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19 kv\I. féléves\"/>
    </mc:Choice>
  </mc:AlternateContent>
  <xr:revisionPtr revIDLastSave="0" documentId="13_ncr:1_{EBA8BCE6-431E-4C1E-AB1F-C6D3055B7C54}" xr6:coauthVersionLast="44" xr6:coauthVersionMax="44" xr10:uidLastSave="{00000000-0000-0000-0000-000000000000}"/>
  <bookViews>
    <workbookView xWindow="-120" yWindow="-120" windowWidth="29040" windowHeight="15840" tabRatio="894" firstSheet="4" activeTab="13" xr2:uid="{00000000-000D-0000-FFFF-FFFF00000000}"/>
  </bookViews>
  <sheets>
    <sheet name="Ktvetési mérleg - 1. mell." sheetId="128" r:id="rId1"/>
    <sheet name="Műk-felh.mérleg - 2. mell." sheetId="139" r:id="rId2"/>
    <sheet name="Bevétel össz. - 3. mell." sheetId="92" r:id="rId3"/>
    <sheet name="Kiadás össz. - 4. mell." sheetId="134" r:id="rId4"/>
    <sheet name="Állami - 5. mell." sheetId="91" r:id="rId5"/>
    <sheet name="Ber.-felú. - 6. mell." sheetId="97" r:id="rId6"/>
    <sheet name="Pénze.átadás - 7. mell." sheetId="95" r:id="rId7"/>
    <sheet name="Szoc.jutt. - 8. mell." sheetId="94" r:id="rId8"/>
    <sheet name="Önkormányzat - 9. mell." sheetId="123" r:id="rId9"/>
    <sheet name="Óvoda - 10. mell." sheetId="132" r:id="rId10"/>
    <sheet name="Ei. felh.terv" sheetId="138" r:id="rId11"/>
    <sheet name="Élelm." sheetId="100" r:id="rId12"/>
    <sheet name="Címrend" sheetId="140" r:id="rId13"/>
    <sheet name="Létszám" sheetId="141" r:id="rId14"/>
    <sheet name="gördülő" sheetId="142" r:id="rId15"/>
    <sheet name="stab.tv saját bevétel" sheetId="143" r:id="rId16"/>
  </sheets>
  <definedNames>
    <definedName name="_xlnm._FilterDatabase" localSheetId="5" hidden="1">'Ber.-felú. - 6. mell.'!$F$1:$F$56</definedName>
    <definedName name="_xlnm._FilterDatabase" localSheetId="2" hidden="1">'Bevétel össz. - 3. mell.'!$A$1:$N$56</definedName>
    <definedName name="_xlnm._FilterDatabase" localSheetId="3">'Kiadás össz. - 4. mell.'!$A$1:$M$28</definedName>
    <definedName name="_xlnm._FilterDatabase" localSheetId="0" hidden="1">'Ktvetési mérleg - 1. mell.'!$J$1:$J$35</definedName>
    <definedName name="_xlnm._FilterDatabase" localSheetId="1" hidden="1">'Műk-felh.mérleg - 2. mell.'!$A$1:$J$31</definedName>
    <definedName name="_xlnm._FilterDatabase" localSheetId="9" hidden="1">'Óvoda - 10. mell.'!$A$1:$F$137</definedName>
    <definedName name="_xlnm._FilterDatabase" localSheetId="8" hidden="1">'Önkormányzat - 9. mell.'!$F$1:$F$207</definedName>
    <definedName name="_xlnm._FilterDatabase" localSheetId="6" hidden="1">'Pénze.átadás - 7. mell.'!$F$1:$F$38</definedName>
    <definedName name="_xlnm._FilterDatabase" localSheetId="7" hidden="1">'Szoc.jutt. - 8. mell.'!$F$1:$F$28</definedName>
    <definedName name="_xlnm.Print_Titles" localSheetId="8">'Önkormányzat - 9. mell.'!$1:$4</definedName>
    <definedName name="_xlnm.Print_Area" localSheetId="4">'Állami - 5. mell.'!$A$1:$F$35</definedName>
    <definedName name="_xlnm.Print_Area" localSheetId="5">'Ber.-felú. - 6. mell.'!$A$1:$F$50</definedName>
    <definedName name="_xlnm.Print_Area" localSheetId="2">'Bevétel össz. - 3. mell.'!$A$2:$N$56</definedName>
    <definedName name="_xlnm.Print_Area" localSheetId="12">Címrend!$A$1:$C$8</definedName>
    <definedName name="_xlnm.Print_Area" localSheetId="10">'Ei. felh.terv'!$A$1:$N$36</definedName>
    <definedName name="_xlnm.Print_Area" localSheetId="14">gördülő!$A$1:$E$44</definedName>
    <definedName name="_xlnm.Print_Area" localSheetId="3">'Kiadás össz. - 4. mell.'!$A$1:$N$27</definedName>
    <definedName name="_xlnm.Print_Area" localSheetId="0">'Ktvetési mérleg - 1. mell.'!$A$1:$J$35</definedName>
    <definedName name="_xlnm.Print_Area" localSheetId="1">'Műk-felh.mérleg - 2. mell.'!$A$1:$J$31</definedName>
    <definedName name="_xlnm.Print_Area" localSheetId="9">'Óvoda - 10. mell.'!$A$1:$F$140</definedName>
    <definedName name="_xlnm.Print_Area" localSheetId="8">'Önkormányzat - 9. mell.'!$A$1:$F$139</definedName>
    <definedName name="_xlnm.Print_Area" localSheetId="6">'Pénze.átadás - 7. mell.'!$A$1:$F$37</definedName>
    <definedName name="_xlnm.Print_Area" localSheetId="7">'Szoc.jutt. - 8. mell.'!$A$1:$F$28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97" l="1"/>
  <c r="I26" i="92" l="1"/>
  <c r="G63" i="132" l="1"/>
  <c r="G71" i="132"/>
  <c r="G89" i="132"/>
  <c r="G90" i="132"/>
  <c r="G91" i="132"/>
  <c r="G92" i="132"/>
  <c r="G95" i="132"/>
  <c r="BK56" i="123"/>
  <c r="F56" i="123" l="1"/>
  <c r="D4" i="95"/>
  <c r="F4" i="95" s="1"/>
  <c r="D3" i="95"/>
  <c r="F3" i="95" s="1"/>
  <c r="F31" i="95" l="1"/>
  <c r="F46" i="97"/>
  <c r="F34" i="97"/>
  <c r="F17" i="97"/>
  <c r="F16" i="97"/>
  <c r="F5" i="97"/>
  <c r="E29" i="91"/>
  <c r="C29" i="91"/>
  <c r="I23" i="134" l="1"/>
  <c r="I22" i="134"/>
  <c r="I21" i="134"/>
  <c r="I19" i="134"/>
  <c r="I17" i="134"/>
  <c r="I16" i="134"/>
  <c r="I15" i="134"/>
  <c r="I14" i="134"/>
  <c r="H14" i="134"/>
  <c r="I13" i="134"/>
  <c r="I11" i="134"/>
  <c r="I10" i="134"/>
  <c r="I9" i="134"/>
  <c r="I8" i="134"/>
  <c r="I7" i="134"/>
  <c r="H7" i="134"/>
  <c r="G22" i="134"/>
  <c r="G23" i="134"/>
  <c r="G21" i="134"/>
  <c r="G19" i="134"/>
  <c r="G15" i="134"/>
  <c r="G16" i="134"/>
  <c r="G17" i="134"/>
  <c r="G14" i="134"/>
  <c r="G13" i="134"/>
  <c r="G11" i="134"/>
  <c r="G10" i="134"/>
  <c r="G9" i="134"/>
  <c r="D65" i="132"/>
  <c r="G65" i="132" s="1"/>
  <c r="D64" i="132"/>
  <c r="G64" i="132" s="1"/>
  <c r="G7" i="134"/>
  <c r="D78" i="132"/>
  <c r="G78" i="132" s="1"/>
  <c r="H9" i="134" l="1"/>
  <c r="H22" i="134"/>
  <c r="H8" i="134"/>
  <c r="I18" i="134"/>
  <c r="G18" i="134"/>
  <c r="D66" i="132"/>
  <c r="G66" i="132" s="1"/>
  <c r="G8" i="134"/>
  <c r="E23" i="134"/>
  <c r="E22" i="134"/>
  <c r="E21" i="134"/>
  <c r="E17" i="134"/>
  <c r="E16" i="134"/>
  <c r="E15" i="134"/>
  <c r="H10" i="134" l="1"/>
  <c r="M16" i="134"/>
  <c r="M21" i="134"/>
  <c r="M23" i="134"/>
  <c r="M15" i="134"/>
  <c r="M17" i="134"/>
  <c r="M22" i="134"/>
  <c r="E69" i="132"/>
  <c r="D5" i="95"/>
  <c r="F5" i="95" s="1"/>
  <c r="C23" i="134"/>
  <c r="K23" i="134" s="1"/>
  <c r="C22" i="134"/>
  <c r="K22" i="134" s="1"/>
  <c r="C21" i="134"/>
  <c r="K21" i="134" s="1"/>
  <c r="C17" i="134"/>
  <c r="K17" i="134" s="1"/>
  <c r="C16" i="134"/>
  <c r="K16" i="134" s="1"/>
  <c r="C15" i="134"/>
  <c r="K15" i="134" s="1"/>
  <c r="H16" i="128" l="1"/>
  <c r="H22" i="139"/>
  <c r="H33" i="128"/>
  <c r="H26" i="139"/>
  <c r="H15" i="128"/>
  <c r="H21" i="139"/>
  <c r="H17" i="128"/>
  <c r="H23" i="139"/>
  <c r="H25" i="139"/>
  <c r="H32" i="128"/>
  <c r="H34" i="128"/>
  <c r="H27" i="139"/>
  <c r="C69" i="132"/>
  <c r="H24" i="139" l="1"/>
  <c r="H19" i="128"/>
  <c r="E55" i="92"/>
  <c r="M55" i="92" s="1"/>
  <c r="I55" i="92"/>
  <c r="E53" i="92"/>
  <c r="M53" i="92" s="1"/>
  <c r="I53" i="92"/>
  <c r="E54" i="92"/>
  <c r="M54" i="92" s="1"/>
  <c r="I54" i="92"/>
  <c r="C53" i="92"/>
  <c r="K53" i="92" s="1"/>
  <c r="G53" i="92"/>
  <c r="C54" i="92"/>
  <c r="K54" i="92" s="1"/>
  <c r="G54" i="92"/>
  <c r="C55" i="92"/>
  <c r="K55" i="92" s="1"/>
  <c r="G55" i="92"/>
  <c r="I52" i="92"/>
  <c r="E52" i="92"/>
  <c r="G52" i="92"/>
  <c r="C52" i="92"/>
  <c r="E49" i="92"/>
  <c r="M49" i="92" s="1"/>
  <c r="I49" i="92"/>
  <c r="C49" i="92"/>
  <c r="K49" i="92" s="1"/>
  <c r="G49" i="92"/>
  <c r="I48" i="92"/>
  <c r="E48" i="92"/>
  <c r="G48" i="92"/>
  <c r="C48" i="92"/>
  <c r="E46" i="92"/>
  <c r="M46" i="92" s="1"/>
  <c r="I46" i="92"/>
  <c r="C46" i="92"/>
  <c r="K46" i="92" s="1"/>
  <c r="G46" i="92"/>
  <c r="I45" i="92"/>
  <c r="E45" i="92"/>
  <c r="G45" i="92"/>
  <c r="C45" i="92"/>
  <c r="I43" i="92"/>
  <c r="E43" i="92"/>
  <c r="G43" i="92"/>
  <c r="C43" i="92"/>
  <c r="I42" i="92"/>
  <c r="E42" i="92"/>
  <c r="G42" i="92"/>
  <c r="C42" i="92"/>
  <c r="I40" i="92"/>
  <c r="E40" i="92"/>
  <c r="I39" i="92"/>
  <c r="E39" i="92"/>
  <c r="I38" i="92"/>
  <c r="E38" i="92"/>
  <c r="M38" i="92" s="1"/>
  <c r="I37" i="92"/>
  <c r="E37" i="92"/>
  <c r="M37" i="92" s="1"/>
  <c r="I36" i="92"/>
  <c r="E36" i="92"/>
  <c r="M36" i="92" s="1"/>
  <c r="I35" i="92"/>
  <c r="E35" i="92"/>
  <c r="M35" i="92" s="1"/>
  <c r="I34" i="92"/>
  <c r="E34" i="92"/>
  <c r="M34" i="92" s="1"/>
  <c r="I33" i="92"/>
  <c r="E33" i="92"/>
  <c r="M33" i="92" s="1"/>
  <c r="I32" i="92"/>
  <c r="E32" i="92"/>
  <c r="M32" i="92" s="1"/>
  <c r="G40" i="92"/>
  <c r="G39" i="92"/>
  <c r="G38" i="92"/>
  <c r="G37" i="92"/>
  <c r="G36" i="92"/>
  <c r="G35" i="92"/>
  <c r="G34" i="92"/>
  <c r="G33" i="92"/>
  <c r="G32" i="92"/>
  <c r="C40" i="92"/>
  <c r="K40" i="92" s="1"/>
  <c r="C39" i="92"/>
  <c r="K39" i="92" s="1"/>
  <c r="C38" i="92"/>
  <c r="K38" i="92" s="1"/>
  <c r="C37" i="92"/>
  <c r="K37" i="92" s="1"/>
  <c r="C36" i="92"/>
  <c r="K36" i="92" s="1"/>
  <c r="C35" i="92"/>
  <c r="K35" i="92" s="1"/>
  <c r="C34" i="92"/>
  <c r="K34" i="92" s="1"/>
  <c r="C33" i="92"/>
  <c r="K33" i="92" s="1"/>
  <c r="I30" i="92"/>
  <c r="I29" i="92"/>
  <c r="E30" i="92"/>
  <c r="M30" i="92" s="1"/>
  <c r="E29" i="92"/>
  <c r="M29" i="92" s="1"/>
  <c r="G30" i="92"/>
  <c r="G29" i="92"/>
  <c r="C30" i="92"/>
  <c r="K30" i="92" s="1"/>
  <c r="C29" i="92"/>
  <c r="K29" i="92" s="1"/>
  <c r="I28" i="92"/>
  <c r="E28" i="92"/>
  <c r="G28" i="92"/>
  <c r="C28" i="92"/>
  <c r="K28" i="92" s="1"/>
  <c r="I27" i="92"/>
  <c r="E27" i="92"/>
  <c r="M27" i="92" s="1"/>
  <c r="G27" i="92"/>
  <c r="C27" i="92"/>
  <c r="K27" i="92" s="1"/>
  <c r="E26" i="92"/>
  <c r="M26" i="92" s="1"/>
  <c r="G26" i="92"/>
  <c r="C26" i="92"/>
  <c r="I25" i="92"/>
  <c r="E25" i="92"/>
  <c r="G25" i="92"/>
  <c r="C25" i="92"/>
  <c r="K25" i="92" s="1"/>
  <c r="I24" i="92"/>
  <c r="E24" i="92"/>
  <c r="M24" i="92" s="1"/>
  <c r="G24" i="92"/>
  <c r="C24" i="92"/>
  <c r="K24" i="92" s="1"/>
  <c r="I23" i="92"/>
  <c r="G23" i="92"/>
  <c r="E23" i="92"/>
  <c r="M23" i="92" s="1"/>
  <c r="C23" i="92"/>
  <c r="K23" i="92" s="1"/>
  <c r="I22" i="92"/>
  <c r="G22" i="92"/>
  <c r="E110" i="132"/>
  <c r="C110" i="132"/>
  <c r="D109" i="132"/>
  <c r="G109" i="132" s="1"/>
  <c r="D108" i="132"/>
  <c r="G108" i="132" s="1"/>
  <c r="D107" i="132"/>
  <c r="G107" i="132" s="1"/>
  <c r="E106" i="132"/>
  <c r="C106" i="132"/>
  <c r="D105" i="132"/>
  <c r="G105" i="132" s="1"/>
  <c r="D104" i="132"/>
  <c r="G104" i="132" s="1"/>
  <c r="D103" i="132"/>
  <c r="G103" i="132" s="1"/>
  <c r="E102" i="132"/>
  <c r="C102" i="132"/>
  <c r="D101" i="132"/>
  <c r="G101" i="132" s="1"/>
  <c r="D100" i="132"/>
  <c r="G100" i="132" s="1"/>
  <c r="D99" i="132"/>
  <c r="G99" i="132" s="1"/>
  <c r="E22" i="92"/>
  <c r="M22" i="92" s="1"/>
  <c r="C22" i="92"/>
  <c r="K22" i="92" s="1"/>
  <c r="I18" i="92"/>
  <c r="H18" i="92"/>
  <c r="I19" i="92"/>
  <c r="H19" i="92"/>
  <c r="D19" i="92"/>
  <c r="L19" i="92" s="1"/>
  <c r="C19" i="92"/>
  <c r="G18" i="92"/>
  <c r="D18" i="92"/>
  <c r="L18" i="92" s="1"/>
  <c r="C18" i="92"/>
  <c r="K18" i="92" s="1"/>
  <c r="I15" i="92"/>
  <c r="I14" i="92"/>
  <c r="I13" i="92"/>
  <c r="I12" i="92"/>
  <c r="I11" i="92"/>
  <c r="H15" i="92"/>
  <c r="H14" i="92"/>
  <c r="H13" i="92"/>
  <c r="H12" i="92"/>
  <c r="G15" i="92"/>
  <c r="G14" i="92"/>
  <c r="G13" i="92"/>
  <c r="G12" i="92"/>
  <c r="G11" i="92"/>
  <c r="E15" i="92"/>
  <c r="M15" i="92" s="1"/>
  <c r="E14" i="92"/>
  <c r="M14" i="92" s="1"/>
  <c r="E13" i="92"/>
  <c r="M13" i="92" s="1"/>
  <c r="E12" i="92"/>
  <c r="M12" i="92" s="1"/>
  <c r="E11" i="92"/>
  <c r="M11" i="92" s="1"/>
  <c r="C12" i="92"/>
  <c r="K12" i="92" s="1"/>
  <c r="C13" i="92"/>
  <c r="K13" i="92" s="1"/>
  <c r="C14" i="92"/>
  <c r="K14" i="92" s="1"/>
  <c r="C15" i="92"/>
  <c r="K15" i="92" s="1"/>
  <c r="C11" i="92"/>
  <c r="K11" i="92" s="1"/>
  <c r="E93" i="132"/>
  <c r="C93" i="132"/>
  <c r="I9" i="92"/>
  <c r="I8" i="92"/>
  <c r="I7" i="92"/>
  <c r="I6" i="92"/>
  <c r="I5" i="92"/>
  <c r="I4" i="92"/>
  <c r="G9" i="92"/>
  <c r="G8" i="92"/>
  <c r="G7" i="92"/>
  <c r="G6" i="92"/>
  <c r="G5" i="92"/>
  <c r="G4" i="92"/>
  <c r="D15" i="139"/>
  <c r="E21" i="97"/>
  <c r="C21" i="97"/>
  <c r="D33" i="97"/>
  <c r="E32" i="97"/>
  <c r="C32" i="97"/>
  <c r="F31" i="97"/>
  <c r="D19" i="97"/>
  <c r="F19" i="97" s="1"/>
  <c r="E136" i="132"/>
  <c r="C136" i="132"/>
  <c r="D134" i="132"/>
  <c r="G134" i="132" s="1"/>
  <c r="D133" i="132"/>
  <c r="G133" i="132" s="1"/>
  <c r="E121" i="132"/>
  <c r="C121" i="132"/>
  <c r="D120" i="132"/>
  <c r="G120" i="132" s="1"/>
  <c r="D70" i="132"/>
  <c r="G70" i="132" s="1"/>
  <c r="E61" i="132"/>
  <c r="E55" i="132"/>
  <c r="D50" i="132"/>
  <c r="D60" i="132"/>
  <c r="D49" i="132"/>
  <c r="E39" i="132"/>
  <c r="D33" i="132"/>
  <c r="G33" i="132" s="1"/>
  <c r="D34" i="132"/>
  <c r="D35" i="132"/>
  <c r="G35" i="132" s="1"/>
  <c r="D36" i="132"/>
  <c r="G36" i="132" s="1"/>
  <c r="D37" i="132"/>
  <c r="D38" i="132"/>
  <c r="E32" i="132"/>
  <c r="E27" i="132"/>
  <c r="D22" i="132"/>
  <c r="D23" i="132"/>
  <c r="G23" i="132" s="1"/>
  <c r="F22" i="132" l="1"/>
  <c r="G22" i="132"/>
  <c r="F38" i="132"/>
  <c r="G38" i="132"/>
  <c r="F34" i="132"/>
  <c r="G34" i="132"/>
  <c r="F60" i="132"/>
  <c r="G60" i="132"/>
  <c r="M25" i="92"/>
  <c r="K26" i="92"/>
  <c r="M39" i="92"/>
  <c r="M40" i="92"/>
  <c r="K42" i="92"/>
  <c r="M42" i="92"/>
  <c r="K43" i="92"/>
  <c r="M43" i="92"/>
  <c r="K45" i="92"/>
  <c r="M45" i="92"/>
  <c r="K48" i="92"/>
  <c r="M48" i="92"/>
  <c r="K52" i="92"/>
  <c r="M52" i="92"/>
  <c r="F37" i="132"/>
  <c r="G37" i="132"/>
  <c r="F49" i="132"/>
  <c r="G49" i="132"/>
  <c r="F50" i="132"/>
  <c r="G50" i="132"/>
  <c r="M28" i="92"/>
  <c r="C111" i="132"/>
  <c r="I5" i="134"/>
  <c r="H13" i="134"/>
  <c r="J13" i="134" s="1"/>
  <c r="F70" i="132"/>
  <c r="H53" i="92"/>
  <c r="J53" i="92" s="1"/>
  <c r="F133" i="132"/>
  <c r="H23" i="92"/>
  <c r="H25" i="92"/>
  <c r="H27" i="92"/>
  <c r="H29" i="92"/>
  <c r="H40" i="92"/>
  <c r="H54" i="92"/>
  <c r="J54" i="92" s="1"/>
  <c r="F134" i="132"/>
  <c r="H22" i="92"/>
  <c r="H24" i="92"/>
  <c r="H26" i="92"/>
  <c r="H28" i="92"/>
  <c r="H30" i="92"/>
  <c r="D21" i="97"/>
  <c r="F21" i="97" s="1"/>
  <c r="E111" i="132"/>
  <c r="D102" i="132"/>
  <c r="G102" i="132" s="1"/>
  <c r="D106" i="132"/>
  <c r="G106" i="132" s="1"/>
  <c r="D110" i="132"/>
  <c r="G110" i="132" s="1"/>
  <c r="E40" i="132"/>
  <c r="D39" i="132"/>
  <c r="D24" i="132"/>
  <c r="G24" i="132" s="1"/>
  <c r="D25" i="132"/>
  <c r="G25" i="132" s="1"/>
  <c r="D26" i="132"/>
  <c r="F39" i="132" l="1"/>
  <c r="F26" i="132"/>
  <c r="G26" i="132"/>
  <c r="D111" i="132"/>
  <c r="G111" i="132" s="1"/>
  <c r="D27" i="132"/>
  <c r="H5" i="134" l="1"/>
  <c r="J5" i="134" s="1"/>
  <c r="F27" i="132"/>
  <c r="E20" i="132"/>
  <c r="C20" i="132"/>
  <c r="E16" i="132"/>
  <c r="C16" i="132"/>
  <c r="D15" i="132"/>
  <c r="D3" i="132"/>
  <c r="D135" i="132"/>
  <c r="G135" i="132" s="1"/>
  <c r="D132" i="132"/>
  <c r="G132" i="132" s="1"/>
  <c r="D129" i="132"/>
  <c r="G129" i="132" s="1"/>
  <c r="D128" i="132"/>
  <c r="G128" i="132" s="1"/>
  <c r="D126" i="132"/>
  <c r="G126" i="132" s="1"/>
  <c r="D125" i="132"/>
  <c r="G125" i="132" s="1"/>
  <c r="D123" i="132"/>
  <c r="G123" i="132" s="1"/>
  <c r="D122" i="132"/>
  <c r="G122" i="132" s="1"/>
  <c r="D119" i="132"/>
  <c r="G119" i="132" s="1"/>
  <c r="D118" i="132"/>
  <c r="G118" i="132" s="1"/>
  <c r="D117" i="132"/>
  <c r="G117" i="132" s="1"/>
  <c r="D116" i="132"/>
  <c r="G116" i="132" s="1"/>
  <c r="D115" i="132"/>
  <c r="G115" i="132" s="1"/>
  <c r="D114" i="132"/>
  <c r="G114" i="132" s="1"/>
  <c r="D113" i="132"/>
  <c r="G113" i="132" s="1"/>
  <c r="D112" i="132"/>
  <c r="G112" i="132" s="1"/>
  <c r="D96" i="132"/>
  <c r="G96" i="132" s="1"/>
  <c r="D88" i="132"/>
  <c r="G88" i="132" s="1"/>
  <c r="D86" i="132"/>
  <c r="G86" i="132" s="1"/>
  <c r="D85" i="132"/>
  <c r="G85" i="132" s="1"/>
  <c r="D84" i="132"/>
  <c r="G84" i="132" s="1"/>
  <c r="D83" i="132"/>
  <c r="G83" i="132" s="1"/>
  <c r="D82" i="132"/>
  <c r="G82" i="132" s="1"/>
  <c r="D81" i="132"/>
  <c r="G81" i="132" s="1"/>
  <c r="D79" i="132"/>
  <c r="G79" i="132" s="1"/>
  <c r="D77" i="132"/>
  <c r="G77" i="132" s="1"/>
  <c r="D74" i="132"/>
  <c r="G74" i="132" s="1"/>
  <c r="D73" i="132"/>
  <c r="G73" i="132" s="1"/>
  <c r="D72" i="132"/>
  <c r="G72" i="132" s="1"/>
  <c r="D68" i="132"/>
  <c r="G68" i="132" s="1"/>
  <c r="D67" i="132"/>
  <c r="G67" i="132" s="1"/>
  <c r="D59" i="132"/>
  <c r="G59" i="132" s="1"/>
  <c r="D58" i="132"/>
  <c r="G58" i="132" s="1"/>
  <c r="D57" i="132"/>
  <c r="G57" i="132" s="1"/>
  <c r="D56" i="132"/>
  <c r="D54" i="132"/>
  <c r="G54" i="132" s="1"/>
  <c r="D53" i="132"/>
  <c r="G53" i="132" s="1"/>
  <c r="D52" i="132"/>
  <c r="D48" i="132"/>
  <c r="G48" i="132" s="1"/>
  <c r="D47" i="132"/>
  <c r="D46" i="132"/>
  <c r="G46" i="132" s="1"/>
  <c r="D45" i="132"/>
  <c r="D44" i="132"/>
  <c r="D42" i="132"/>
  <c r="D41" i="132"/>
  <c r="G41" i="132" s="1"/>
  <c r="D31" i="132"/>
  <c r="D30" i="132"/>
  <c r="D29" i="132"/>
  <c r="D28" i="132"/>
  <c r="D19" i="132"/>
  <c r="G19" i="132" s="1"/>
  <c r="D18" i="132"/>
  <c r="D17" i="132"/>
  <c r="G17" i="132" s="1"/>
  <c r="D14" i="132"/>
  <c r="G14" i="132" s="1"/>
  <c r="D13" i="132"/>
  <c r="D12" i="132"/>
  <c r="G12" i="132" s="1"/>
  <c r="D11" i="132"/>
  <c r="G11" i="132" s="1"/>
  <c r="D10" i="132"/>
  <c r="D9" i="132"/>
  <c r="D8" i="132"/>
  <c r="D7" i="132"/>
  <c r="G7" i="132" s="1"/>
  <c r="D6" i="132"/>
  <c r="G6" i="132" s="1"/>
  <c r="D5" i="132"/>
  <c r="D4" i="132"/>
  <c r="G4" i="132" s="1"/>
  <c r="F8" i="132" l="1"/>
  <c r="G8" i="132"/>
  <c r="F10" i="132"/>
  <c r="G10" i="132"/>
  <c r="F18" i="132"/>
  <c r="G18" i="132"/>
  <c r="F28" i="132"/>
  <c r="G28" i="132"/>
  <c r="F30" i="132"/>
  <c r="G30" i="132"/>
  <c r="F44" i="132"/>
  <c r="G44" i="132"/>
  <c r="F56" i="132"/>
  <c r="G56" i="132"/>
  <c r="F15" i="132"/>
  <c r="G15" i="132"/>
  <c r="F5" i="132"/>
  <c r="G5" i="132"/>
  <c r="F9" i="132"/>
  <c r="G9" i="132"/>
  <c r="F13" i="132"/>
  <c r="G13" i="132"/>
  <c r="F29" i="132"/>
  <c r="G29" i="132"/>
  <c r="F31" i="132"/>
  <c r="G31" i="132"/>
  <c r="F42" i="132"/>
  <c r="G42" i="132"/>
  <c r="F45" i="132"/>
  <c r="G45" i="132"/>
  <c r="F47" i="132"/>
  <c r="G47" i="132"/>
  <c r="F52" i="132"/>
  <c r="G52" i="132"/>
  <c r="F3" i="132"/>
  <c r="G3" i="132"/>
  <c r="H11" i="134"/>
  <c r="H15" i="134"/>
  <c r="H17" i="134"/>
  <c r="H23" i="134"/>
  <c r="H5" i="92"/>
  <c r="H7" i="92"/>
  <c r="H9" i="92"/>
  <c r="H33" i="92"/>
  <c r="H35" i="92"/>
  <c r="H37" i="92"/>
  <c r="H39" i="92"/>
  <c r="H43" i="92"/>
  <c r="H46" i="92"/>
  <c r="H49" i="92"/>
  <c r="H55" i="92"/>
  <c r="H19" i="134"/>
  <c r="H16" i="134"/>
  <c r="H21" i="134"/>
  <c r="H4" i="92"/>
  <c r="H6" i="92"/>
  <c r="H8" i="92"/>
  <c r="H32" i="92"/>
  <c r="H34" i="92"/>
  <c r="H36" i="92"/>
  <c r="J36" i="92" s="1"/>
  <c r="F116" i="132"/>
  <c r="H38" i="92"/>
  <c r="H42" i="92"/>
  <c r="H45" i="92"/>
  <c r="H48" i="92"/>
  <c r="H52" i="92"/>
  <c r="D69" i="132"/>
  <c r="G69" i="132" s="1"/>
  <c r="D121" i="132"/>
  <c r="D93" i="132"/>
  <c r="G93" i="132" s="1"/>
  <c r="H11" i="92"/>
  <c r="D136" i="132"/>
  <c r="C21" i="132"/>
  <c r="G4" i="134" s="1"/>
  <c r="E21" i="132"/>
  <c r="D16" i="132"/>
  <c r="D32" i="132"/>
  <c r="D61" i="132"/>
  <c r="D20" i="132"/>
  <c r="D55" i="132"/>
  <c r="D20" i="123"/>
  <c r="D19" i="123"/>
  <c r="D21" i="123"/>
  <c r="C32" i="132"/>
  <c r="C39" i="132"/>
  <c r="G39" i="132" s="1"/>
  <c r="D132" i="123"/>
  <c r="BK132" i="123" s="1"/>
  <c r="D133" i="123"/>
  <c r="BK133" i="123" s="1"/>
  <c r="D134" i="123"/>
  <c r="BK134" i="123" s="1"/>
  <c r="D131" i="123"/>
  <c r="BK131" i="123" s="1"/>
  <c r="E135" i="123"/>
  <c r="C135" i="123"/>
  <c r="AQ135" i="123"/>
  <c r="AP135" i="123"/>
  <c r="AO135" i="123"/>
  <c r="AN135" i="123"/>
  <c r="AK135" i="123"/>
  <c r="AJ135" i="123"/>
  <c r="AI135" i="123"/>
  <c r="AH135" i="123"/>
  <c r="AG135" i="123"/>
  <c r="AF135" i="123"/>
  <c r="AE135" i="123"/>
  <c r="AD135" i="123"/>
  <c r="AC135" i="123"/>
  <c r="AB135" i="123"/>
  <c r="AA135" i="123"/>
  <c r="Z135" i="123"/>
  <c r="Y135" i="123"/>
  <c r="X135" i="123"/>
  <c r="W135" i="123"/>
  <c r="V135" i="123"/>
  <c r="T135" i="123"/>
  <c r="S135" i="123"/>
  <c r="R135" i="123"/>
  <c r="Q135" i="123"/>
  <c r="P135" i="123"/>
  <c r="O135" i="123"/>
  <c r="N135" i="123"/>
  <c r="M135" i="123"/>
  <c r="L135" i="123"/>
  <c r="K135" i="123"/>
  <c r="J135" i="123"/>
  <c r="I135" i="123"/>
  <c r="E129" i="123"/>
  <c r="D128" i="123"/>
  <c r="BK128" i="123" s="1"/>
  <c r="D127" i="123"/>
  <c r="BK127" i="123" s="1"/>
  <c r="C129" i="123"/>
  <c r="D125" i="123"/>
  <c r="BK125" i="123" s="1"/>
  <c r="E126" i="123"/>
  <c r="D124" i="123"/>
  <c r="BK124" i="123" s="1"/>
  <c r="C126" i="123"/>
  <c r="D122" i="123"/>
  <c r="BK122" i="123" s="1"/>
  <c r="D121" i="123"/>
  <c r="BK121" i="123" s="1"/>
  <c r="E123" i="123"/>
  <c r="C123" i="123"/>
  <c r="E120" i="123"/>
  <c r="G120" i="123"/>
  <c r="H120" i="123"/>
  <c r="I120" i="123"/>
  <c r="J120" i="123"/>
  <c r="K120" i="123"/>
  <c r="L120" i="123"/>
  <c r="M120" i="123"/>
  <c r="N120" i="123"/>
  <c r="O120" i="123"/>
  <c r="P120" i="123"/>
  <c r="Q120" i="123"/>
  <c r="R120" i="123"/>
  <c r="S120" i="123"/>
  <c r="T120" i="123"/>
  <c r="V120" i="123"/>
  <c r="W120" i="123"/>
  <c r="X120" i="123"/>
  <c r="Y120" i="123"/>
  <c r="Z120" i="123"/>
  <c r="AA120" i="123"/>
  <c r="AB120" i="123"/>
  <c r="AC120" i="123"/>
  <c r="AD120" i="123"/>
  <c r="AE120" i="123"/>
  <c r="AF120" i="123"/>
  <c r="AG120" i="123"/>
  <c r="AH120" i="123"/>
  <c r="AI120" i="123"/>
  <c r="AJ120" i="123"/>
  <c r="AK120" i="123"/>
  <c r="AL120" i="123"/>
  <c r="AM120" i="123"/>
  <c r="AN120" i="123"/>
  <c r="AO120" i="123"/>
  <c r="AP120" i="123"/>
  <c r="AQ120" i="123"/>
  <c r="AR120" i="123"/>
  <c r="C120" i="123"/>
  <c r="D112" i="123"/>
  <c r="BK112" i="123" s="1"/>
  <c r="D113" i="123"/>
  <c r="BK113" i="123" s="1"/>
  <c r="D114" i="123"/>
  <c r="BK114" i="123" s="1"/>
  <c r="D115" i="123"/>
  <c r="BK115" i="123" s="1"/>
  <c r="D116" i="123"/>
  <c r="BK116" i="123" s="1"/>
  <c r="D117" i="123"/>
  <c r="BK117" i="123" s="1"/>
  <c r="D118" i="123"/>
  <c r="BK118" i="123" s="1"/>
  <c r="D119" i="123"/>
  <c r="BK119" i="123" s="1"/>
  <c r="D111" i="123"/>
  <c r="BK111" i="123" s="1"/>
  <c r="E109" i="123"/>
  <c r="C109" i="123"/>
  <c r="U108" i="123"/>
  <c r="D108" i="123"/>
  <c r="BK108" i="123" s="1"/>
  <c r="E105" i="123"/>
  <c r="C105" i="123"/>
  <c r="E101" i="123"/>
  <c r="C101" i="123"/>
  <c r="U101" i="123"/>
  <c r="D100" i="123"/>
  <c r="BK100" i="123" s="1"/>
  <c r="D102" i="123"/>
  <c r="BK102" i="123" s="1"/>
  <c r="D99" i="123"/>
  <c r="D104" i="123"/>
  <c r="BK104" i="123" s="1"/>
  <c r="D103" i="123"/>
  <c r="BK103" i="123" s="1"/>
  <c r="D106" i="123"/>
  <c r="BK106" i="123" s="1"/>
  <c r="D107" i="123"/>
  <c r="BK107" i="123" s="1"/>
  <c r="D98" i="123"/>
  <c r="BK98" i="123" s="1"/>
  <c r="D96" i="123"/>
  <c r="BK96" i="123" s="1"/>
  <c r="D95" i="123"/>
  <c r="BK95" i="123" s="1"/>
  <c r="E97" i="123"/>
  <c r="C97" i="123"/>
  <c r="E93" i="123"/>
  <c r="C93" i="123"/>
  <c r="D90" i="123"/>
  <c r="BK90" i="123" s="1"/>
  <c r="D89" i="123"/>
  <c r="BK89" i="123" s="1"/>
  <c r="D91" i="123"/>
  <c r="BK91" i="123" s="1"/>
  <c r="D92" i="123"/>
  <c r="BK92" i="123" s="1"/>
  <c r="D88" i="123"/>
  <c r="BK88" i="123" s="1"/>
  <c r="E81" i="123"/>
  <c r="E82" i="123"/>
  <c r="E83" i="123"/>
  <c r="D85" i="123"/>
  <c r="E85" i="123"/>
  <c r="E8" i="92" s="1"/>
  <c r="M8" i="92" s="1"/>
  <c r="D86" i="123"/>
  <c r="E86" i="123"/>
  <c r="E9" i="92" s="1"/>
  <c r="M9" i="92" s="1"/>
  <c r="C86" i="123"/>
  <c r="C9" i="92" s="1"/>
  <c r="K9" i="92" s="1"/>
  <c r="C85" i="123"/>
  <c r="C8" i="92" s="1"/>
  <c r="K8" i="92" s="1"/>
  <c r="C83" i="123"/>
  <c r="C6" i="92" s="1"/>
  <c r="K6" i="92" s="1"/>
  <c r="C82" i="123"/>
  <c r="C5" i="92" s="1"/>
  <c r="K5" i="92" s="1"/>
  <c r="C81" i="123"/>
  <c r="C4" i="92" s="1"/>
  <c r="K4" i="92" s="1"/>
  <c r="D30" i="91"/>
  <c r="F30" i="91" s="1"/>
  <c r="D26" i="91"/>
  <c r="D83" i="123" s="1"/>
  <c r="D23" i="91"/>
  <c r="F23" i="91" s="1"/>
  <c r="D13" i="91"/>
  <c r="D81" i="123" s="1"/>
  <c r="D77" i="123"/>
  <c r="BK77" i="123" s="1"/>
  <c r="D78" i="123"/>
  <c r="BK78" i="123" s="1"/>
  <c r="D76" i="123"/>
  <c r="BK76" i="123" s="1"/>
  <c r="AQ79" i="123"/>
  <c r="AP79" i="123"/>
  <c r="AO79" i="123"/>
  <c r="AN79" i="123"/>
  <c r="AK79" i="123"/>
  <c r="AJ79" i="123"/>
  <c r="AI79" i="123"/>
  <c r="AH79" i="123"/>
  <c r="AG79" i="123"/>
  <c r="AF79" i="123"/>
  <c r="AE79" i="123"/>
  <c r="AD79" i="123"/>
  <c r="AC79" i="123"/>
  <c r="AB79" i="123"/>
  <c r="AA79" i="123"/>
  <c r="Z79" i="123"/>
  <c r="Y79" i="123"/>
  <c r="X79" i="123"/>
  <c r="W79" i="123"/>
  <c r="V79" i="123"/>
  <c r="U79" i="123"/>
  <c r="T79" i="123"/>
  <c r="S79" i="123"/>
  <c r="R79" i="123"/>
  <c r="Q79" i="123"/>
  <c r="P79" i="123"/>
  <c r="O79" i="123"/>
  <c r="N79" i="123"/>
  <c r="M79" i="123"/>
  <c r="L79" i="123"/>
  <c r="K79" i="123"/>
  <c r="J79" i="123"/>
  <c r="I79" i="123"/>
  <c r="E79" i="123"/>
  <c r="C79" i="123"/>
  <c r="D72" i="123"/>
  <c r="BK72" i="123" s="1"/>
  <c r="D73" i="123"/>
  <c r="BK73" i="123" s="1"/>
  <c r="D71" i="123"/>
  <c r="BK71" i="123" s="1"/>
  <c r="E74" i="123"/>
  <c r="C74" i="123"/>
  <c r="G66" i="123"/>
  <c r="H66" i="123"/>
  <c r="I66" i="123"/>
  <c r="J66" i="123"/>
  <c r="K66" i="123"/>
  <c r="L66" i="123"/>
  <c r="M66" i="123"/>
  <c r="N66" i="123"/>
  <c r="O66" i="123"/>
  <c r="P66" i="123"/>
  <c r="Q66" i="123"/>
  <c r="R66" i="123"/>
  <c r="S66" i="123"/>
  <c r="T66" i="123"/>
  <c r="U66" i="123"/>
  <c r="V66" i="123"/>
  <c r="W66" i="123"/>
  <c r="X66" i="123"/>
  <c r="Y66" i="123"/>
  <c r="Z66" i="123"/>
  <c r="AA66" i="123"/>
  <c r="AB66" i="123"/>
  <c r="AC66" i="123"/>
  <c r="AD66" i="123"/>
  <c r="AE66" i="123"/>
  <c r="AF66" i="123"/>
  <c r="AG66" i="123"/>
  <c r="AH66" i="123"/>
  <c r="AI66" i="123"/>
  <c r="AJ66" i="123"/>
  <c r="AK66" i="123"/>
  <c r="AL66" i="123"/>
  <c r="AM66" i="123"/>
  <c r="AN66" i="123"/>
  <c r="AO66" i="123"/>
  <c r="AP66" i="123"/>
  <c r="AQ66" i="123"/>
  <c r="BI64" i="123"/>
  <c r="D65" i="123"/>
  <c r="E65" i="123"/>
  <c r="E10" i="134" s="1"/>
  <c r="C65" i="123"/>
  <c r="C10" i="134" s="1"/>
  <c r="K10" i="134" s="1"/>
  <c r="E63" i="123"/>
  <c r="C63" i="123"/>
  <c r="C8" i="134" s="1"/>
  <c r="K8" i="134" s="1"/>
  <c r="G62" i="123"/>
  <c r="H62" i="123"/>
  <c r="I62" i="123"/>
  <c r="J62" i="123"/>
  <c r="K62" i="123"/>
  <c r="L62" i="123"/>
  <c r="M62" i="123"/>
  <c r="N62" i="123"/>
  <c r="O62" i="123"/>
  <c r="P62" i="123"/>
  <c r="Q62" i="123"/>
  <c r="R62" i="123"/>
  <c r="S62" i="123"/>
  <c r="T62" i="123"/>
  <c r="U62" i="123"/>
  <c r="V62" i="123"/>
  <c r="W62" i="123"/>
  <c r="X62" i="123"/>
  <c r="Y62" i="123"/>
  <c r="Z62" i="123"/>
  <c r="AA62" i="123"/>
  <c r="AB62" i="123"/>
  <c r="AC62" i="123"/>
  <c r="AD62" i="123"/>
  <c r="AE62" i="123"/>
  <c r="AF62" i="123"/>
  <c r="AG62" i="123"/>
  <c r="AH62" i="123"/>
  <c r="AI62" i="123"/>
  <c r="AJ62" i="123"/>
  <c r="AK62" i="123"/>
  <c r="AL62" i="123"/>
  <c r="AM62" i="123"/>
  <c r="AN62" i="123"/>
  <c r="AO62" i="123"/>
  <c r="AP62" i="123"/>
  <c r="AQ62" i="123"/>
  <c r="BI60" i="123"/>
  <c r="D55" i="123"/>
  <c r="E60" i="123"/>
  <c r="C60" i="123"/>
  <c r="D57" i="123"/>
  <c r="BK57" i="123" s="1"/>
  <c r="D58" i="123"/>
  <c r="BK58" i="123" s="1"/>
  <c r="D59" i="123"/>
  <c r="D53" i="123"/>
  <c r="D52" i="123"/>
  <c r="E54" i="123"/>
  <c r="C54" i="123"/>
  <c r="D50" i="123"/>
  <c r="D49" i="123"/>
  <c r="D47" i="123"/>
  <c r="E51" i="123"/>
  <c r="C51" i="123"/>
  <c r="D48" i="123"/>
  <c r="BK48" i="123" s="1"/>
  <c r="D46" i="123"/>
  <c r="D45" i="123"/>
  <c r="D44" i="123"/>
  <c r="D42" i="123"/>
  <c r="D41" i="123"/>
  <c r="E43" i="123"/>
  <c r="C43" i="123"/>
  <c r="E38" i="123"/>
  <c r="E39" i="123" s="1"/>
  <c r="D33" i="123"/>
  <c r="D34" i="123"/>
  <c r="D35" i="123"/>
  <c r="BK35" i="123" s="1"/>
  <c r="D36" i="123"/>
  <c r="D37" i="123"/>
  <c r="D38" i="123"/>
  <c r="C39" i="123"/>
  <c r="D30" i="123"/>
  <c r="D31" i="123"/>
  <c r="D29" i="123"/>
  <c r="E32" i="123"/>
  <c r="C32" i="123"/>
  <c r="D24" i="123"/>
  <c r="D25" i="123"/>
  <c r="BK25" i="123" s="1"/>
  <c r="D26" i="123"/>
  <c r="D27" i="123"/>
  <c r="E28" i="123"/>
  <c r="C28" i="123"/>
  <c r="C5" i="134" s="1"/>
  <c r="E22" i="123"/>
  <c r="C22" i="123"/>
  <c r="D6" i="123"/>
  <c r="BK6" i="123" s="1"/>
  <c r="AR6" i="123"/>
  <c r="D17" i="123"/>
  <c r="D16" i="123"/>
  <c r="BK16" i="123" s="1"/>
  <c r="D15" i="123"/>
  <c r="D14" i="123"/>
  <c r="D13" i="123"/>
  <c r="BK13" i="123" s="1"/>
  <c r="D12" i="123"/>
  <c r="D11" i="123"/>
  <c r="D10" i="123"/>
  <c r="BK10" i="123" s="1"/>
  <c r="D9" i="123"/>
  <c r="D8" i="123"/>
  <c r="BK8" i="123" s="1"/>
  <c r="D7" i="123"/>
  <c r="BK7" i="123" s="1"/>
  <c r="D5" i="123"/>
  <c r="E18" i="123"/>
  <c r="C18" i="123"/>
  <c r="E22" i="94"/>
  <c r="E25" i="94"/>
  <c r="E27" i="94" s="1"/>
  <c r="D26" i="94"/>
  <c r="D23" i="94"/>
  <c r="F23" i="94" s="1"/>
  <c r="D24" i="94"/>
  <c r="F24" i="94" s="1"/>
  <c r="D25" i="94"/>
  <c r="F25" i="94" s="1"/>
  <c r="D22" i="94"/>
  <c r="F22" i="94" s="1"/>
  <c r="D16" i="94"/>
  <c r="D17" i="94"/>
  <c r="D18" i="94"/>
  <c r="D19" i="94"/>
  <c r="F19" i="94" s="1"/>
  <c r="D20" i="94"/>
  <c r="D15" i="94"/>
  <c r="E21" i="94"/>
  <c r="C21" i="94"/>
  <c r="C27" i="94"/>
  <c r="E33" i="95"/>
  <c r="E30" i="95"/>
  <c r="D33" i="95"/>
  <c r="C33" i="95"/>
  <c r="D30" i="95"/>
  <c r="D36" i="95" s="1"/>
  <c r="D67" i="123" s="1"/>
  <c r="E29" i="95"/>
  <c r="D25" i="95"/>
  <c r="F25" i="95" s="1"/>
  <c r="D28" i="95"/>
  <c r="F28" i="95" s="1"/>
  <c r="D27" i="95"/>
  <c r="F27" i="95" s="1"/>
  <c r="D26" i="95"/>
  <c r="F26" i="95" s="1"/>
  <c r="D24" i="95"/>
  <c r="F24" i="95" s="1"/>
  <c r="D23" i="95"/>
  <c r="D22" i="95"/>
  <c r="F22" i="95" s="1"/>
  <c r="D21" i="95"/>
  <c r="F21" i="95" s="1"/>
  <c r="D20" i="95"/>
  <c r="F20" i="95" s="1"/>
  <c r="D19" i="95"/>
  <c r="D18" i="95"/>
  <c r="F18" i="95" s="1"/>
  <c r="D17" i="95"/>
  <c r="D16" i="95"/>
  <c r="F16" i="95" s="1"/>
  <c r="D15" i="95"/>
  <c r="F15" i="95" s="1"/>
  <c r="D14" i="95"/>
  <c r="F14" i="95" s="1"/>
  <c r="D13" i="95"/>
  <c r="C29" i="95"/>
  <c r="C66" i="123" s="1"/>
  <c r="C11" i="134" s="1"/>
  <c r="K11" i="134" s="1"/>
  <c r="C30" i="95"/>
  <c r="E6" i="95"/>
  <c r="E8" i="95"/>
  <c r="D4" i="92" l="1"/>
  <c r="L4" i="92" s="1"/>
  <c r="BK81" i="123"/>
  <c r="D6" i="92"/>
  <c r="L6" i="92" s="1"/>
  <c r="BK83" i="123"/>
  <c r="D19" i="134"/>
  <c r="F9" i="123"/>
  <c r="BK9" i="123"/>
  <c r="F11" i="123"/>
  <c r="BK11" i="123"/>
  <c r="F15" i="123"/>
  <c r="BK15" i="123"/>
  <c r="F17" i="123"/>
  <c r="BK17" i="123"/>
  <c r="F26" i="123"/>
  <c r="BK26" i="123"/>
  <c r="F24" i="123"/>
  <c r="BK24" i="123"/>
  <c r="F31" i="123"/>
  <c r="BK31" i="123"/>
  <c r="F37" i="123"/>
  <c r="BK37" i="123"/>
  <c r="F33" i="123"/>
  <c r="BK33" i="123"/>
  <c r="F41" i="123"/>
  <c r="BK41" i="123"/>
  <c r="F44" i="123"/>
  <c r="BK44" i="123"/>
  <c r="F46" i="123"/>
  <c r="BK46" i="123"/>
  <c r="F47" i="123"/>
  <c r="BK47" i="123"/>
  <c r="F50" i="123"/>
  <c r="BK50" i="123"/>
  <c r="F53" i="123"/>
  <c r="BK53" i="123"/>
  <c r="F55" i="123"/>
  <c r="BK55" i="123"/>
  <c r="D9" i="92"/>
  <c r="L9" i="92" s="1"/>
  <c r="BK86" i="123"/>
  <c r="D8" i="92"/>
  <c r="L8" i="92" s="1"/>
  <c r="BK85" i="123"/>
  <c r="D82" i="123"/>
  <c r="F19" i="123"/>
  <c r="BK19" i="123"/>
  <c r="F55" i="132"/>
  <c r="F61" i="132"/>
  <c r="F16" i="132"/>
  <c r="G16" i="132"/>
  <c r="F121" i="132"/>
  <c r="G121" i="132"/>
  <c r="F5" i="123"/>
  <c r="BK5" i="123"/>
  <c r="F12" i="123"/>
  <c r="BK12" i="123"/>
  <c r="F14" i="123"/>
  <c r="BK14" i="123"/>
  <c r="F27" i="123"/>
  <c r="BK27" i="123"/>
  <c r="F29" i="123"/>
  <c r="BK29" i="123"/>
  <c r="F30" i="123"/>
  <c r="BK30" i="123"/>
  <c r="F38" i="123"/>
  <c r="BK38" i="123"/>
  <c r="F36" i="123"/>
  <c r="BK36" i="123"/>
  <c r="F34" i="123"/>
  <c r="BK34" i="123"/>
  <c r="F42" i="123"/>
  <c r="BK42" i="123"/>
  <c r="F45" i="123"/>
  <c r="BK45" i="123"/>
  <c r="F49" i="123"/>
  <c r="BK49" i="123"/>
  <c r="F52" i="123"/>
  <c r="BK52" i="123"/>
  <c r="F59" i="123"/>
  <c r="BK59" i="123"/>
  <c r="D10" i="134"/>
  <c r="L10" i="134" s="1"/>
  <c r="BK65" i="123"/>
  <c r="F13" i="91"/>
  <c r="F26" i="91"/>
  <c r="D29" i="91"/>
  <c r="F29" i="91" s="1"/>
  <c r="F99" i="123"/>
  <c r="BK99" i="123"/>
  <c r="F21" i="123"/>
  <c r="BK21" i="123"/>
  <c r="F20" i="123"/>
  <c r="BK20" i="123"/>
  <c r="F20" i="132"/>
  <c r="G20" i="132"/>
  <c r="G32" i="132"/>
  <c r="F136" i="132"/>
  <c r="G136" i="132"/>
  <c r="E8" i="134"/>
  <c r="E6" i="92"/>
  <c r="F83" i="123"/>
  <c r="E5" i="92"/>
  <c r="F82" i="123"/>
  <c r="E4" i="92"/>
  <c r="F81" i="123"/>
  <c r="H18" i="134"/>
  <c r="J18" i="134" s="1"/>
  <c r="D40" i="132"/>
  <c r="F32" i="132"/>
  <c r="I4" i="134"/>
  <c r="D17" i="134"/>
  <c r="L17" i="134" s="1"/>
  <c r="I17" i="128" s="1"/>
  <c r="D23" i="134"/>
  <c r="F23" i="134" s="1"/>
  <c r="F78" i="123"/>
  <c r="D11" i="92"/>
  <c r="L11" i="92" s="1"/>
  <c r="D14" i="92"/>
  <c r="L14" i="92" s="1"/>
  <c r="F91" i="123"/>
  <c r="D13" i="92"/>
  <c r="L13" i="92" s="1"/>
  <c r="E19" i="92"/>
  <c r="M19" i="92" s="1"/>
  <c r="D29" i="92"/>
  <c r="L29" i="92" s="1"/>
  <c r="F107" i="123"/>
  <c r="D26" i="92"/>
  <c r="L26" i="92" s="1"/>
  <c r="F103" i="123"/>
  <c r="D24" i="92"/>
  <c r="L24" i="92" s="1"/>
  <c r="F100" i="123"/>
  <c r="D30" i="92"/>
  <c r="L30" i="92" s="1"/>
  <c r="D32" i="92"/>
  <c r="L32" i="92" s="1"/>
  <c r="D39" i="92"/>
  <c r="L39" i="92" s="1"/>
  <c r="D37" i="92"/>
  <c r="L37" i="92" s="1"/>
  <c r="F116" i="123"/>
  <c r="D35" i="92"/>
  <c r="L35" i="92" s="1"/>
  <c r="D33" i="92"/>
  <c r="L33" i="92" s="1"/>
  <c r="F112" i="123"/>
  <c r="D42" i="92"/>
  <c r="L42" i="92" s="1"/>
  <c r="F121" i="123"/>
  <c r="D49" i="92"/>
  <c r="F128" i="123"/>
  <c r="D52" i="92"/>
  <c r="F131" i="123"/>
  <c r="D54" i="92"/>
  <c r="L54" i="92" s="1"/>
  <c r="E5" i="134"/>
  <c r="M5" i="134" s="1"/>
  <c r="D15" i="134"/>
  <c r="L15" i="134" s="1"/>
  <c r="D16" i="134"/>
  <c r="L16" i="134" s="1"/>
  <c r="I16" i="128" s="1"/>
  <c r="D21" i="134"/>
  <c r="F21" i="134" s="1"/>
  <c r="F76" i="123"/>
  <c r="D22" i="134"/>
  <c r="F22" i="134" s="1"/>
  <c r="F77" i="123"/>
  <c r="D15" i="92"/>
  <c r="L15" i="92" s="1"/>
  <c r="F92" i="123"/>
  <c r="D12" i="92"/>
  <c r="L12" i="92" s="1"/>
  <c r="E18" i="92"/>
  <c r="M18" i="92" s="1"/>
  <c r="D22" i="92"/>
  <c r="L22" i="92" s="1"/>
  <c r="F98" i="123"/>
  <c r="D28" i="92"/>
  <c r="L28" i="92" s="1"/>
  <c r="F106" i="123"/>
  <c r="D27" i="92"/>
  <c r="L27" i="92" s="1"/>
  <c r="F104" i="123"/>
  <c r="D25" i="92"/>
  <c r="L25" i="92" s="1"/>
  <c r="F102" i="123"/>
  <c r="D40" i="92"/>
  <c r="F119" i="123"/>
  <c r="D38" i="92"/>
  <c r="L38" i="92" s="1"/>
  <c r="D36" i="92"/>
  <c r="F115" i="123"/>
  <c r="D34" i="92"/>
  <c r="F113" i="123"/>
  <c r="D43" i="92"/>
  <c r="L43" i="92" s="1"/>
  <c r="D45" i="92"/>
  <c r="L45" i="92" s="1"/>
  <c r="D46" i="92"/>
  <c r="F125" i="123"/>
  <c r="D48" i="92"/>
  <c r="L48" i="92" s="1"/>
  <c r="D55" i="92"/>
  <c r="L55" i="92" s="1"/>
  <c r="D53" i="92"/>
  <c r="F132" i="123"/>
  <c r="F30" i="95"/>
  <c r="C36" i="95"/>
  <c r="D29" i="95"/>
  <c r="D66" i="123" s="1"/>
  <c r="F13" i="95"/>
  <c r="E66" i="123"/>
  <c r="E36" i="95"/>
  <c r="F36" i="95" s="1"/>
  <c r="C67" i="123"/>
  <c r="C19" i="134" s="1"/>
  <c r="K19" i="134" s="1"/>
  <c r="H20" i="128" s="1"/>
  <c r="M10" i="134"/>
  <c r="M8" i="134"/>
  <c r="H10" i="139"/>
  <c r="H9" i="128"/>
  <c r="H10" i="128"/>
  <c r="H11" i="139"/>
  <c r="D101" i="123"/>
  <c r="D23" i="92"/>
  <c r="L23" i="92" s="1"/>
  <c r="H7" i="128"/>
  <c r="H8" i="139"/>
  <c r="I10" i="139"/>
  <c r="I9" i="128"/>
  <c r="L19" i="134"/>
  <c r="D21" i="132"/>
  <c r="D22" i="123"/>
  <c r="D123" i="123"/>
  <c r="D126" i="123"/>
  <c r="D129" i="123"/>
  <c r="C40" i="132"/>
  <c r="C110" i="123"/>
  <c r="E110" i="123"/>
  <c r="D109" i="123"/>
  <c r="D120" i="123"/>
  <c r="D135" i="123"/>
  <c r="D97" i="123"/>
  <c r="BK97" i="123" s="1"/>
  <c r="D105" i="123"/>
  <c r="D39" i="123"/>
  <c r="D28" i="123"/>
  <c r="D51" i="123"/>
  <c r="BI77" i="123"/>
  <c r="D93" i="123"/>
  <c r="D60" i="123"/>
  <c r="C23" i="123"/>
  <c r="C4" i="134" s="1"/>
  <c r="E23" i="123"/>
  <c r="C40" i="123"/>
  <c r="D79" i="123"/>
  <c r="D74" i="123"/>
  <c r="BK74" i="123" s="1"/>
  <c r="D54" i="123"/>
  <c r="E40" i="123"/>
  <c r="D43" i="123"/>
  <c r="D32" i="123"/>
  <c r="D18" i="123"/>
  <c r="BK18" i="123" s="1"/>
  <c r="D21" i="94"/>
  <c r="F21" i="94" s="1"/>
  <c r="D27" i="94"/>
  <c r="F27" i="94" s="1"/>
  <c r="F54" i="123" l="1"/>
  <c r="BK54" i="123"/>
  <c r="F32" i="123"/>
  <c r="BK32" i="123"/>
  <c r="F93" i="123"/>
  <c r="BK93" i="123"/>
  <c r="F51" i="123"/>
  <c r="BK51" i="123"/>
  <c r="F39" i="123"/>
  <c r="BK39" i="123"/>
  <c r="F120" i="123"/>
  <c r="BK120" i="123"/>
  <c r="F126" i="123"/>
  <c r="BK126" i="123"/>
  <c r="F22" i="123"/>
  <c r="BK22" i="123"/>
  <c r="F101" i="123"/>
  <c r="BK101" i="123"/>
  <c r="F40" i="92"/>
  <c r="L40" i="92"/>
  <c r="F52" i="92"/>
  <c r="L52" i="92"/>
  <c r="F49" i="92"/>
  <c r="L49" i="92"/>
  <c r="F4" i="92"/>
  <c r="M4" i="92"/>
  <c r="M5" i="92"/>
  <c r="F6" i="92"/>
  <c r="M6" i="92"/>
  <c r="BK67" i="123"/>
  <c r="F43" i="123"/>
  <c r="BK43" i="123"/>
  <c r="F79" i="123"/>
  <c r="BK79" i="123"/>
  <c r="F60" i="123"/>
  <c r="BK60" i="123"/>
  <c r="D5" i="134"/>
  <c r="L5" i="134" s="1"/>
  <c r="BK28" i="123"/>
  <c r="F105" i="123"/>
  <c r="BK105" i="123"/>
  <c r="F135" i="123"/>
  <c r="BK135" i="123"/>
  <c r="F109" i="123"/>
  <c r="BK109" i="123"/>
  <c r="F129" i="123"/>
  <c r="BK129" i="123"/>
  <c r="F123" i="123"/>
  <c r="BK123" i="123"/>
  <c r="H4" i="134"/>
  <c r="G21" i="132"/>
  <c r="D11" i="134"/>
  <c r="L11" i="134" s="1"/>
  <c r="I10" i="128" s="1"/>
  <c r="BK66" i="123"/>
  <c r="F53" i="92"/>
  <c r="L53" i="92"/>
  <c r="F46" i="92"/>
  <c r="L46" i="92"/>
  <c r="F34" i="92"/>
  <c r="L34" i="92"/>
  <c r="F36" i="92"/>
  <c r="L36" i="92"/>
  <c r="F40" i="132"/>
  <c r="G40" i="132"/>
  <c r="D5" i="92"/>
  <c r="L5" i="92" s="1"/>
  <c r="BK82" i="123"/>
  <c r="J10" i="128"/>
  <c r="E11" i="134"/>
  <c r="M11" i="134" s="1"/>
  <c r="N11" i="134" s="1"/>
  <c r="F66" i="123"/>
  <c r="J4" i="134"/>
  <c r="F21" i="132"/>
  <c r="F24" i="92"/>
  <c r="F27" i="92"/>
  <c r="I23" i="139"/>
  <c r="L22" i="134"/>
  <c r="I26" i="139" s="1"/>
  <c r="J26" i="139" s="1"/>
  <c r="F29" i="92"/>
  <c r="F33" i="92"/>
  <c r="F22" i="92"/>
  <c r="L21" i="134"/>
  <c r="I32" i="128" s="1"/>
  <c r="J32" i="128" s="1"/>
  <c r="F26" i="92"/>
  <c r="F15" i="92"/>
  <c r="F42" i="92"/>
  <c r="F25" i="92"/>
  <c r="F28" i="92"/>
  <c r="F14" i="92"/>
  <c r="L23" i="134"/>
  <c r="I34" i="128" s="1"/>
  <c r="J34" i="128" s="1"/>
  <c r="F37" i="92"/>
  <c r="D23" i="123"/>
  <c r="I15" i="128"/>
  <c r="I19" i="128" s="1"/>
  <c r="I21" i="139"/>
  <c r="E4" i="134"/>
  <c r="F18" i="123"/>
  <c r="F28" i="123"/>
  <c r="F23" i="92"/>
  <c r="I22" i="139"/>
  <c r="N5" i="134"/>
  <c r="H13" i="139"/>
  <c r="E67" i="123"/>
  <c r="I11" i="139"/>
  <c r="J11" i="139" s="1"/>
  <c r="F11" i="134"/>
  <c r="F29" i="95"/>
  <c r="F5" i="134"/>
  <c r="I13" i="139"/>
  <c r="J13" i="139" s="1"/>
  <c r="I20" i="128"/>
  <c r="J20" i="128" s="1"/>
  <c r="I4" i="128"/>
  <c r="I5" i="139"/>
  <c r="K4" i="134"/>
  <c r="H3" i="128" s="1"/>
  <c r="D110" i="123"/>
  <c r="D40" i="123"/>
  <c r="F110" i="123" l="1"/>
  <c r="BK110" i="123"/>
  <c r="D4" i="134"/>
  <c r="L4" i="134" s="1"/>
  <c r="BK23" i="123"/>
  <c r="F40" i="123"/>
  <c r="BK40" i="123"/>
  <c r="F4" i="134"/>
  <c r="F5" i="92"/>
  <c r="E19" i="134"/>
  <c r="M19" i="134" s="1"/>
  <c r="N19" i="134" s="1"/>
  <c r="F67" i="123"/>
  <c r="N22" i="134"/>
  <c r="N21" i="134"/>
  <c r="I33" i="128"/>
  <c r="J33" i="128" s="1"/>
  <c r="M4" i="134"/>
  <c r="N4" i="134" s="1"/>
  <c r="N23" i="134"/>
  <c r="I27" i="139"/>
  <c r="J27" i="139" s="1"/>
  <c r="I25" i="139"/>
  <c r="J25" i="139" s="1"/>
  <c r="I24" i="139"/>
  <c r="F23" i="123"/>
  <c r="F19" i="134"/>
  <c r="H4" i="139"/>
  <c r="I3" i="128"/>
  <c r="J3" i="128" s="1"/>
  <c r="I4" i="139"/>
  <c r="J4" i="139" s="1"/>
  <c r="E11" i="95"/>
  <c r="C11" i="95"/>
  <c r="D10" i="95"/>
  <c r="F10" i="95" s="1"/>
  <c r="D9" i="95"/>
  <c r="F9" i="95" s="1"/>
  <c r="D8" i="95"/>
  <c r="F8" i="95" s="1"/>
  <c r="D7" i="95"/>
  <c r="F7" i="95" s="1"/>
  <c r="D6" i="95"/>
  <c r="I28" i="139" l="1"/>
  <c r="D11" i="95"/>
  <c r="D64" i="123" s="1"/>
  <c r="F6" i="95"/>
  <c r="F11" i="95"/>
  <c r="C64" i="123"/>
  <c r="C9" i="134" s="1"/>
  <c r="K9" i="134" s="1"/>
  <c r="C37" i="95"/>
  <c r="E64" i="123"/>
  <c r="F64" i="123" s="1"/>
  <c r="E37" i="95"/>
  <c r="D63" i="123"/>
  <c r="D49" i="97"/>
  <c r="E49" i="97"/>
  <c r="C49" i="97"/>
  <c r="E45" i="97"/>
  <c r="C45" i="97"/>
  <c r="D44" i="97"/>
  <c r="E37" i="97"/>
  <c r="E43" i="97" s="1"/>
  <c r="D40" i="97"/>
  <c r="F40" i="97" s="1"/>
  <c r="D37" i="97"/>
  <c r="F37" i="97" s="1"/>
  <c r="C43" i="97"/>
  <c r="D38" i="97"/>
  <c r="F38" i="97" s="1"/>
  <c r="D39" i="97"/>
  <c r="F39" i="97" s="1"/>
  <c r="D41" i="97"/>
  <c r="F41" i="97" s="1"/>
  <c r="D42" i="97"/>
  <c r="F42" i="97" s="1"/>
  <c r="D36" i="97"/>
  <c r="F36" i="97" s="1"/>
  <c r="D26" i="97"/>
  <c r="F26" i="97" s="1"/>
  <c r="D23" i="97"/>
  <c r="F23" i="97" s="1"/>
  <c r="D24" i="97"/>
  <c r="F24" i="97" s="1"/>
  <c r="D25" i="97"/>
  <c r="F25" i="97" s="1"/>
  <c r="D27" i="97"/>
  <c r="F27" i="97" s="1"/>
  <c r="D28" i="97"/>
  <c r="F28" i="97" s="1"/>
  <c r="D29" i="97"/>
  <c r="F29" i="97" s="1"/>
  <c r="D30" i="97"/>
  <c r="F30" i="97" s="1"/>
  <c r="D22" i="97"/>
  <c r="D8" i="97"/>
  <c r="F8" i="97" s="1"/>
  <c r="F63" i="123" l="1"/>
  <c r="BK63" i="123"/>
  <c r="D9" i="134"/>
  <c r="L9" i="134" s="1"/>
  <c r="I8" i="128" s="1"/>
  <c r="BK64" i="123"/>
  <c r="D37" i="95"/>
  <c r="I9" i="139"/>
  <c r="F37" i="95"/>
  <c r="E9" i="134"/>
  <c r="E68" i="123"/>
  <c r="H8" i="128"/>
  <c r="J8" i="128" s="1"/>
  <c r="H9" i="139"/>
  <c r="H12" i="139" s="1"/>
  <c r="D32" i="97"/>
  <c r="F32" i="97" s="1"/>
  <c r="F22" i="97"/>
  <c r="D45" i="97"/>
  <c r="F44" i="97"/>
  <c r="F45" i="97"/>
  <c r="D68" i="123"/>
  <c r="D8" i="134"/>
  <c r="C47" i="97"/>
  <c r="C70" i="123" s="1"/>
  <c r="C14" i="134" s="1"/>
  <c r="K14" i="134" s="1"/>
  <c r="E47" i="97"/>
  <c r="D43" i="97"/>
  <c r="F68" i="123" l="1"/>
  <c r="J9" i="139"/>
  <c r="F9" i="134"/>
  <c r="M9" i="134"/>
  <c r="N9" i="134" s="1"/>
  <c r="D47" i="97"/>
  <c r="D70" i="123" s="1"/>
  <c r="E70" i="123"/>
  <c r="F47" i="97"/>
  <c r="F43" i="97"/>
  <c r="L8" i="134"/>
  <c r="I7" i="128" s="1"/>
  <c r="J7" i="128" s="1"/>
  <c r="F8" i="134"/>
  <c r="H14" i="128"/>
  <c r="H19" i="139"/>
  <c r="E18" i="97"/>
  <c r="D14" i="97"/>
  <c r="F14" i="97" s="1"/>
  <c r="D13" i="97"/>
  <c r="F13" i="97" s="1"/>
  <c r="D12" i="97"/>
  <c r="F12" i="97" s="1"/>
  <c r="D10" i="97"/>
  <c r="F10" i="97" s="1"/>
  <c r="D9" i="97"/>
  <c r="F9" i="97" s="1"/>
  <c r="D7" i="97"/>
  <c r="F7" i="97" s="1"/>
  <c r="D11" i="97"/>
  <c r="F11" i="97" s="1"/>
  <c r="C18" i="97"/>
  <c r="D14" i="134" l="1"/>
  <c r="L14" i="134" s="1"/>
  <c r="BK70" i="123"/>
  <c r="E14" i="134"/>
  <c r="M14" i="134" s="1"/>
  <c r="N14" i="134" s="1"/>
  <c r="F70" i="123"/>
  <c r="I8" i="139"/>
  <c r="J8" i="139" s="1"/>
  <c r="N8" i="134"/>
  <c r="F14" i="134"/>
  <c r="D18" i="97"/>
  <c r="F18" i="97" s="1"/>
  <c r="E20" i="92"/>
  <c r="E16" i="92"/>
  <c r="D16" i="92"/>
  <c r="I50" i="92"/>
  <c r="I47" i="92"/>
  <c r="I44" i="92"/>
  <c r="I31" i="92"/>
  <c r="I20" i="92"/>
  <c r="I16" i="92"/>
  <c r="I10" i="92"/>
  <c r="H50" i="92"/>
  <c r="H47" i="92"/>
  <c r="H44" i="92"/>
  <c r="H31" i="92"/>
  <c r="H20" i="92"/>
  <c r="H21" i="92" s="1"/>
  <c r="H16" i="92"/>
  <c r="H10" i="92"/>
  <c r="E6" i="97"/>
  <c r="D6" i="97"/>
  <c r="D35" i="97" s="1"/>
  <c r="D50" i="97" s="1"/>
  <c r="M16" i="92" l="1"/>
  <c r="L16" i="92"/>
  <c r="M20" i="92"/>
  <c r="I19" i="139"/>
  <c r="J19" i="139" s="1"/>
  <c r="I14" i="128"/>
  <c r="J14" i="128" s="1"/>
  <c r="I12" i="139"/>
  <c r="J12" i="139" s="1"/>
  <c r="F16" i="92"/>
  <c r="E35" i="97"/>
  <c r="F6" i="97"/>
  <c r="I21" i="92"/>
  <c r="I17" i="92"/>
  <c r="H41" i="92"/>
  <c r="I41" i="92"/>
  <c r="E21" i="92"/>
  <c r="M21" i="92" s="1"/>
  <c r="H17" i="92"/>
  <c r="D20" i="92"/>
  <c r="L20" i="92" s="1"/>
  <c r="E41" i="92"/>
  <c r="M41" i="92" s="1"/>
  <c r="D41" i="92"/>
  <c r="L41" i="92" s="1"/>
  <c r="E31" i="92"/>
  <c r="M31" i="92" s="1"/>
  <c r="E44" i="92"/>
  <c r="M44" i="92" s="1"/>
  <c r="E47" i="92"/>
  <c r="M47" i="92" s="1"/>
  <c r="E50" i="92"/>
  <c r="M50" i="92" s="1"/>
  <c r="D31" i="92"/>
  <c r="L31" i="92" s="1"/>
  <c r="D44" i="92"/>
  <c r="L44" i="92" s="1"/>
  <c r="D47" i="92"/>
  <c r="L47" i="92" s="1"/>
  <c r="D50" i="92"/>
  <c r="L50" i="92" s="1"/>
  <c r="D32" i="91"/>
  <c r="E32" i="91"/>
  <c r="F32" i="91" l="1"/>
  <c r="E35" i="91"/>
  <c r="E84" i="123"/>
  <c r="D84" i="123"/>
  <c r="D35" i="91"/>
  <c r="E50" i="97"/>
  <c r="F50" i="97" s="1"/>
  <c r="F35" i="97"/>
  <c r="F50" i="92"/>
  <c r="F44" i="92"/>
  <c r="F47" i="92"/>
  <c r="F31" i="92"/>
  <c r="F41" i="92"/>
  <c r="J41" i="92"/>
  <c r="H51" i="92"/>
  <c r="H56" i="92" s="1"/>
  <c r="I51" i="92"/>
  <c r="E69" i="123"/>
  <c r="D69" i="123"/>
  <c r="E28" i="94"/>
  <c r="D28" i="94"/>
  <c r="D62" i="123" s="1"/>
  <c r="D131" i="132"/>
  <c r="E131" i="132"/>
  <c r="D51" i="132"/>
  <c r="E51" i="132"/>
  <c r="D43" i="132"/>
  <c r="E43" i="132"/>
  <c r="D61" i="123"/>
  <c r="E61" i="123"/>
  <c r="D7" i="134" l="1"/>
  <c r="L7" i="134" s="1"/>
  <c r="D7" i="92"/>
  <c r="D87" i="123"/>
  <c r="F35" i="91"/>
  <c r="D6" i="134"/>
  <c r="D137" i="132"/>
  <c r="F84" i="123"/>
  <c r="E7" i="92"/>
  <c r="E87" i="123"/>
  <c r="D13" i="134"/>
  <c r="E13" i="134"/>
  <c r="F13" i="134" s="1"/>
  <c r="F69" i="123"/>
  <c r="F43" i="132"/>
  <c r="F51" i="132"/>
  <c r="E137" i="132"/>
  <c r="F137" i="132" s="1"/>
  <c r="F131" i="132"/>
  <c r="E6" i="134"/>
  <c r="F6" i="134" s="1"/>
  <c r="F61" i="123"/>
  <c r="E62" i="123"/>
  <c r="F28" i="94"/>
  <c r="J51" i="92"/>
  <c r="I56" i="92"/>
  <c r="J56" i="92" s="1"/>
  <c r="D12" i="134"/>
  <c r="D18" i="134"/>
  <c r="L13" i="134"/>
  <c r="I7" i="139"/>
  <c r="I6" i="128"/>
  <c r="E18" i="134"/>
  <c r="I15" i="139"/>
  <c r="I11" i="128"/>
  <c r="D75" i="123"/>
  <c r="E62" i="132"/>
  <c r="D62" i="132"/>
  <c r="D21" i="92"/>
  <c r="L21" i="92" s="1"/>
  <c r="D14" i="142"/>
  <c r="E14" i="142"/>
  <c r="C14" i="142"/>
  <c r="E19" i="138"/>
  <c r="F19" i="138"/>
  <c r="G19" i="138"/>
  <c r="H19" i="138"/>
  <c r="I19" i="138"/>
  <c r="J19" i="138"/>
  <c r="K19" i="138"/>
  <c r="L19" i="138"/>
  <c r="M19" i="138"/>
  <c r="F7" i="92" l="1"/>
  <c r="M7" i="92"/>
  <c r="E10" i="92"/>
  <c r="H6" i="134"/>
  <c r="E94" i="123"/>
  <c r="F87" i="123"/>
  <c r="D94" i="123"/>
  <c r="L7" i="92"/>
  <c r="D10" i="92"/>
  <c r="D80" i="123"/>
  <c r="E7" i="134"/>
  <c r="F62" i="123"/>
  <c r="E75" i="123"/>
  <c r="F75" i="123" s="1"/>
  <c r="M13" i="134"/>
  <c r="N13" i="134" s="1"/>
  <c r="I6" i="134"/>
  <c r="I12" i="134" s="1"/>
  <c r="F62" i="132"/>
  <c r="E80" i="123"/>
  <c r="F80" i="123" s="1"/>
  <c r="E12" i="134"/>
  <c r="F12" i="134" s="1"/>
  <c r="J6" i="134"/>
  <c r="F18" i="134"/>
  <c r="M18" i="134"/>
  <c r="I13" i="128"/>
  <c r="I18" i="139"/>
  <c r="D20" i="134"/>
  <c r="D24" i="134" s="1"/>
  <c r="L18" i="134"/>
  <c r="M6" i="134"/>
  <c r="L6" i="134"/>
  <c r="H12" i="134"/>
  <c r="E76" i="132"/>
  <c r="D76" i="132"/>
  <c r="U127" i="123"/>
  <c r="U132" i="123"/>
  <c r="U135" i="123" s="1"/>
  <c r="AR135" i="123" s="1"/>
  <c r="C6" i="97"/>
  <c r="BI61" i="123"/>
  <c r="S87" i="123"/>
  <c r="AQ68" i="123"/>
  <c r="AP68" i="123"/>
  <c r="I32" i="123"/>
  <c r="J32" i="123"/>
  <c r="K32" i="123"/>
  <c r="L32" i="123"/>
  <c r="M32" i="123"/>
  <c r="N32" i="123"/>
  <c r="O32" i="123"/>
  <c r="P32" i="123"/>
  <c r="Q32" i="123"/>
  <c r="R32" i="123"/>
  <c r="V32" i="123"/>
  <c r="W32" i="123"/>
  <c r="X32" i="123"/>
  <c r="Y32" i="123"/>
  <c r="Z32" i="123"/>
  <c r="AA32" i="123"/>
  <c r="AD32" i="123"/>
  <c r="AE32" i="123"/>
  <c r="AF32" i="123"/>
  <c r="AG32" i="123"/>
  <c r="AH32" i="123"/>
  <c r="AI32" i="123"/>
  <c r="AJ32" i="123"/>
  <c r="AK32" i="123"/>
  <c r="AN32" i="123"/>
  <c r="AO32" i="123"/>
  <c r="AP32" i="123"/>
  <c r="R69" i="123"/>
  <c r="S69" i="123"/>
  <c r="T69" i="123"/>
  <c r="U69" i="123"/>
  <c r="V69" i="123"/>
  <c r="W69" i="123"/>
  <c r="Y69" i="123"/>
  <c r="R70" i="123"/>
  <c r="U107" i="123"/>
  <c r="L10" i="92" l="1"/>
  <c r="D17" i="92"/>
  <c r="D130" i="123"/>
  <c r="E130" i="123"/>
  <c r="F94" i="123"/>
  <c r="D80" i="132"/>
  <c r="M10" i="92"/>
  <c r="F10" i="92"/>
  <c r="E17" i="92"/>
  <c r="F7" i="134"/>
  <c r="M7" i="134"/>
  <c r="N7" i="134" s="1"/>
  <c r="E80" i="132"/>
  <c r="F80" i="132" s="1"/>
  <c r="F76" i="132"/>
  <c r="E20" i="134"/>
  <c r="F20" i="134" s="1"/>
  <c r="N6" i="134"/>
  <c r="N18" i="134"/>
  <c r="J12" i="134"/>
  <c r="E24" i="134"/>
  <c r="F24" i="134" s="1"/>
  <c r="I29" i="139"/>
  <c r="I5" i="128"/>
  <c r="I6" i="139"/>
  <c r="M12" i="134"/>
  <c r="I20" i="134"/>
  <c r="L12" i="134"/>
  <c r="H20" i="134"/>
  <c r="BI74" i="123"/>
  <c r="C44" i="142"/>
  <c r="D44" i="142"/>
  <c r="E44" i="142"/>
  <c r="E25" i="142"/>
  <c r="AD18" i="123"/>
  <c r="AP60" i="123"/>
  <c r="S39" i="123"/>
  <c r="S40" i="123" s="1"/>
  <c r="T39" i="123"/>
  <c r="T40" i="123" s="1"/>
  <c r="U39" i="123"/>
  <c r="U40" i="123" s="1"/>
  <c r="BI76" i="123"/>
  <c r="C9" i="142"/>
  <c r="D9" i="142"/>
  <c r="E9" i="142"/>
  <c r="E13" i="142"/>
  <c r="C25" i="142"/>
  <c r="D25" i="142"/>
  <c r="D35" i="138"/>
  <c r="B35" i="138"/>
  <c r="C35" i="97"/>
  <c r="BI71" i="123"/>
  <c r="S51" i="123"/>
  <c r="S54" i="123"/>
  <c r="S60" i="123"/>
  <c r="T51" i="123"/>
  <c r="T54" i="123"/>
  <c r="T60" i="123"/>
  <c r="U51" i="123"/>
  <c r="U54" i="123"/>
  <c r="U60" i="123"/>
  <c r="U100" i="123"/>
  <c r="B16" i="142" s="1"/>
  <c r="N6" i="138" s="1"/>
  <c r="B6" i="138" s="1"/>
  <c r="B19" i="138" s="1"/>
  <c r="U102" i="123"/>
  <c r="U99" i="123"/>
  <c r="B18" i="142" s="1"/>
  <c r="N8" i="138" s="1"/>
  <c r="U104" i="123"/>
  <c r="B19" i="142" s="1"/>
  <c r="N9" i="138" s="1"/>
  <c r="U103" i="123"/>
  <c r="U106" i="123"/>
  <c r="U98" i="123"/>
  <c r="H110" i="123"/>
  <c r="H130" i="123" s="1"/>
  <c r="S68" i="123"/>
  <c r="T68" i="123"/>
  <c r="U68" i="123"/>
  <c r="U88" i="123"/>
  <c r="U89" i="123"/>
  <c r="U91" i="123"/>
  <c r="U92" i="123"/>
  <c r="C32" i="91"/>
  <c r="B21" i="142"/>
  <c r="N11" i="138" s="1"/>
  <c r="U111" i="123"/>
  <c r="U112" i="123"/>
  <c r="U113" i="123"/>
  <c r="U114" i="123"/>
  <c r="U115" i="123"/>
  <c r="U116" i="123"/>
  <c r="U117" i="123"/>
  <c r="U118" i="123"/>
  <c r="U119" i="123"/>
  <c r="U121" i="123"/>
  <c r="U122" i="123"/>
  <c r="U124" i="123"/>
  <c r="U125" i="123"/>
  <c r="U128" i="123"/>
  <c r="G16" i="92"/>
  <c r="G10" i="92"/>
  <c r="G31" i="92"/>
  <c r="G44" i="92"/>
  <c r="G47" i="92"/>
  <c r="G50" i="92"/>
  <c r="C13" i="142"/>
  <c r="D13" i="142"/>
  <c r="AR20" i="123"/>
  <c r="AR21" i="123"/>
  <c r="AR19" i="123"/>
  <c r="BJ5" i="123"/>
  <c r="AR7" i="123"/>
  <c r="AR12" i="123"/>
  <c r="AR15" i="123"/>
  <c r="AR17" i="123"/>
  <c r="AR8" i="123"/>
  <c r="AR13" i="123"/>
  <c r="AR9" i="123"/>
  <c r="AR10" i="123"/>
  <c r="AR11" i="123"/>
  <c r="AR14" i="123"/>
  <c r="AR16" i="123"/>
  <c r="AR24" i="123"/>
  <c r="AR25" i="123"/>
  <c r="AR27" i="123"/>
  <c r="AR26" i="123"/>
  <c r="C27" i="132"/>
  <c r="G27" i="132" s="1"/>
  <c r="AR46" i="123"/>
  <c r="BI48" i="123"/>
  <c r="AR47" i="123"/>
  <c r="AR45" i="123"/>
  <c r="AR44" i="123"/>
  <c r="AR49" i="123"/>
  <c r="AR48" i="123"/>
  <c r="BI53" i="123"/>
  <c r="BI55" i="123"/>
  <c r="BI54" i="123"/>
  <c r="BI56" i="123"/>
  <c r="BI57" i="123"/>
  <c r="AR42" i="123"/>
  <c r="AR41" i="123"/>
  <c r="AR36" i="123"/>
  <c r="AR37" i="123"/>
  <c r="AR38" i="123"/>
  <c r="AR33" i="123"/>
  <c r="AR34" i="123"/>
  <c r="AR35" i="123"/>
  <c r="AR29" i="123"/>
  <c r="AR30" i="123"/>
  <c r="AR31" i="123"/>
  <c r="BI51" i="123"/>
  <c r="BI50" i="123"/>
  <c r="C43" i="132"/>
  <c r="G43" i="132" s="1"/>
  <c r="C51" i="132"/>
  <c r="G51" i="132" s="1"/>
  <c r="C61" i="132"/>
  <c r="G61" i="132" s="1"/>
  <c r="C55" i="132"/>
  <c r="G55" i="132" s="1"/>
  <c r="C8" i="94"/>
  <c r="C5" i="94"/>
  <c r="U95" i="123"/>
  <c r="G27" i="134"/>
  <c r="C27" i="134"/>
  <c r="I96" i="123"/>
  <c r="I97" i="123" s="1"/>
  <c r="J96" i="123"/>
  <c r="J97" i="123" s="1"/>
  <c r="L96" i="123"/>
  <c r="M96" i="123"/>
  <c r="M97" i="123" s="1"/>
  <c r="N96" i="123"/>
  <c r="O96" i="123"/>
  <c r="O97" i="123" s="1"/>
  <c r="P96" i="123"/>
  <c r="P97" i="123" s="1"/>
  <c r="Q96" i="123"/>
  <c r="Q97" i="123" s="1"/>
  <c r="R96" i="123"/>
  <c r="R97" i="123" s="1"/>
  <c r="S96" i="123"/>
  <c r="S97" i="123" s="1"/>
  <c r="T96" i="123"/>
  <c r="T97" i="123" s="1"/>
  <c r="F35" i="138"/>
  <c r="H35" i="138"/>
  <c r="E35" i="138"/>
  <c r="I35" i="138"/>
  <c r="G35" i="138"/>
  <c r="C35" i="138"/>
  <c r="J35" i="138"/>
  <c r="K35" i="138"/>
  <c r="L35" i="138"/>
  <c r="M35" i="138"/>
  <c r="M4" i="100"/>
  <c r="K6" i="100"/>
  <c r="L6" i="100" s="1"/>
  <c r="U82" i="123"/>
  <c r="U83" i="123"/>
  <c r="U84" i="123"/>
  <c r="U81" i="123"/>
  <c r="U85" i="123"/>
  <c r="U86" i="123"/>
  <c r="S126" i="123"/>
  <c r="T126" i="123"/>
  <c r="S123" i="123"/>
  <c r="T123" i="123"/>
  <c r="T110" i="123"/>
  <c r="T87" i="123"/>
  <c r="T93" i="123"/>
  <c r="J110" i="123"/>
  <c r="K110" i="123"/>
  <c r="L110" i="123"/>
  <c r="M110" i="123"/>
  <c r="N110" i="123"/>
  <c r="O110" i="123"/>
  <c r="P110" i="123"/>
  <c r="Q110" i="123"/>
  <c r="R110" i="123"/>
  <c r="S110" i="123"/>
  <c r="P87" i="123"/>
  <c r="P93" i="123"/>
  <c r="Q87" i="123"/>
  <c r="Q93" i="123"/>
  <c r="R87" i="123"/>
  <c r="R93" i="123"/>
  <c r="S93" i="123"/>
  <c r="M93" i="123"/>
  <c r="N93" i="123"/>
  <c r="O93" i="123"/>
  <c r="M87" i="123"/>
  <c r="N87" i="123"/>
  <c r="O87" i="123"/>
  <c r="S129" i="123"/>
  <c r="T129" i="123"/>
  <c r="Q126" i="123"/>
  <c r="R126" i="123"/>
  <c r="Q123" i="123"/>
  <c r="R123" i="123"/>
  <c r="J87" i="123"/>
  <c r="J93" i="123"/>
  <c r="J123" i="123"/>
  <c r="J129" i="123"/>
  <c r="J126" i="123"/>
  <c r="K97" i="123"/>
  <c r="K123" i="123"/>
  <c r="K129" i="123"/>
  <c r="K87" i="123"/>
  <c r="K93" i="123"/>
  <c r="K126" i="123"/>
  <c r="L93" i="123"/>
  <c r="L87" i="123"/>
  <c r="L123" i="123"/>
  <c r="L129" i="123"/>
  <c r="L126" i="123"/>
  <c r="M123" i="123"/>
  <c r="M129" i="123"/>
  <c r="M126" i="123"/>
  <c r="N97" i="123"/>
  <c r="N123" i="123"/>
  <c r="N129" i="123"/>
  <c r="N126" i="123"/>
  <c r="O123" i="123"/>
  <c r="O129" i="123"/>
  <c r="O126" i="123"/>
  <c r="P126" i="123"/>
  <c r="P123" i="123"/>
  <c r="P129" i="123"/>
  <c r="I129" i="123"/>
  <c r="I87" i="123"/>
  <c r="I93" i="123"/>
  <c r="I110" i="123"/>
  <c r="I123" i="123"/>
  <c r="I126" i="123"/>
  <c r="Q129" i="123"/>
  <c r="R129" i="123"/>
  <c r="BI67" i="123"/>
  <c r="BI68" i="123"/>
  <c r="I68" i="123"/>
  <c r="N68" i="123"/>
  <c r="J68" i="123"/>
  <c r="K68" i="123"/>
  <c r="L68" i="123"/>
  <c r="M68" i="123"/>
  <c r="O68" i="123"/>
  <c r="P68" i="123"/>
  <c r="Q68" i="123"/>
  <c r="R68" i="123"/>
  <c r="V68" i="123"/>
  <c r="W68" i="123"/>
  <c r="X68" i="123"/>
  <c r="Y68" i="123"/>
  <c r="Z68" i="123"/>
  <c r="AA68" i="123"/>
  <c r="AB68" i="123"/>
  <c r="AC68" i="123"/>
  <c r="AD68" i="123"/>
  <c r="AE68" i="123"/>
  <c r="AF68" i="123"/>
  <c r="AG68" i="123"/>
  <c r="AH68" i="123"/>
  <c r="AI68" i="123"/>
  <c r="AJ68" i="123"/>
  <c r="AK68" i="123"/>
  <c r="AL68" i="123"/>
  <c r="AM68" i="123"/>
  <c r="AM75" i="123" s="1"/>
  <c r="AM80" i="123" s="1"/>
  <c r="AN68" i="123"/>
  <c r="AO68" i="123"/>
  <c r="I74" i="123"/>
  <c r="J74" i="123"/>
  <c r="K74" i="123"/>
  <c r="L74" i="123"/>
  <c r="M74" i="123"/>
  <c r="N74" i="123"/>
  <c r="O74" i="123"/>
  <c r="P74" i="123"/>
  <c r="Q74" i="123"/>
  <c r="R74" i="123"/>
  <c r="S74" i="123"/>
  <c r="T74" i="123"/>
  <c r="U74" i="123"/>
  <c r="V74" i="123"/>
  <c r="W74" i="123"/>
  <c r="X74" i="123"/>
  <c r="Y74" i="123"/>
  <c r="Z74" i="123"/>
  <c r="AA74" i="123"/>
  <c r="AB74" i="123"/>
  <c r="AC74" i="123"/>
  <c r="AD74" i="123"/>
  <c r="AE74" i="123"/>
  <c r="AF74" i="123"/>
  <c r="AG74" i="123"/>
  <c r="AH74" i="123"/>
  <c r="AI74" i="123"/>
  <c r="AJ74" i="123"/>
  <c r="AK74" i="123"/>
  <c r="AN74" i="123"/>
  <c r="AO74" i="123"/>
  <c r="AP74" i="123"/>
  <c r="BI75" i="123"/>
  <c r="R18" i="123"/>
  <c r="R22" i="123"/>
  <c r="R28" i="123"/>
  <c r="R39" i="123"/>
  <c r="R40" i="123" s="1"/>
  <c r="R43" i="123"/>
  <c r="R51" i="123"/>
  <c r="R54" i="123"/>
  <c r="R60" i="123"/>
  <c r="P51" i="123"/>
  <c r="P39" i="123"/>
  <c r="P40" i="123" s="1"/>
  <c r="P43" i="123"/>
  <c r="P54" i="123"/>
  <c r="P60" i="123"/>
  <c r="P18" i="123"/>
  <c r="P22" i="123"/>
  <c r="P28" i="123"/>
  <c r="I51" i="123"/>
  <c r="I60" i="123"/>
  <c r="I39" i="123"/>
  <c r="I40" i="123" s="1"/>
  <c r="I43" i="123"/>
  <c r="I54" i="123"/>
  <c r="I18" i="123"/>
  <c r="I22" i="123"/>
  <c r="I28" i="123"/>
  <c r="J51" i="123"/>
  <c r="J60" i="123"/>
  <c r="J39" i="123"/>
  <c r="J40" i="123" s="1"/>
  <c r="J43" i="123"/>
  <c r="J54" i="123"/>
  <c r="J18" i="123"/>
  <c r="J22" i="123"/>
  <c r="J28" i="123"/>
  <c r="K43" i="123"/>
  <c r="K51" i="123"/>
  <c r="K60" i="123"/>
  <c r="K39" i="123"/>
  <c r="K40" i="123" s="1"/>
  <c r="K54" i="123"/>
  <c r="K18" i="123"/>
  <c r="K22" i="123"/>
  <c r="K28" i="123"/>
  <c r="L22" i="123"/>
  <c r="L18" i="123"/>
  <c r="L28" i="123"/>
  <c r="L51" i="123"/>
  <c r="L60" i="123"/>
  <c r="L39" i="123"/>
  <c r="L40" i="123" s="1"/>
  <c r="L43" i="123"/>
  <c r="L54" i="123"/>
  <c r="M51" i="123"/>
  <c r="M60" i="123"/>
  <c r="M39" i="123"/>
  <c r="M40" i="123" s="1"/>
  <c r="M43" i="123"/>
  <c r="M54" i="123"/>
  <c r="M18" i="123"/>
  <c r="M22" i="123"/>
  <c r="M28" i="123"/>
  <c r="N51" i="123"/>
  <c r="N60" i="123"/>
  <c r="N39" i="123"/>
  <c r="N40" i="123" s="1"/>
  <c r="N43" i="123"/>
  <c r="N54" i="123"/>
  <c r="N18" i="123"/>
  <c r="N22" i="123"/>
  <c r="N28" i="123"/>
  <c r="O51" i="123"/>
  <c r="O60" i="123"/>
  <c r="O39" i="123"/>
  <c r="O40" i="123" s="1"/>
  <c r="O43" i="123"/>
  <c r="O54" i="123"/>
  <c r="O18" i="123"/>
  <c r="O22" i="123"/>
  <c r="O28" i="123"/>
  <c r="Q22" i="123"/>
  <c r="Q18" i="123"/>
  <c r="Q28" i="123"/>
  <c r="Q39" i="123"/>
  <c r="Q40" i="123" s="1"/>
  <c r="Q51" i="123"/>
  <c r="Q60" i="123"/>
  <c r="Q43" i="123"/>
  <c r="Q54" i="123"/>
  <c r="V18" i="123"/>
  <c r="V22" i="123"/>
  <c r="V28" i="123"/>
  <c r="V39" i="123"/>
  <c r="V40" i="123" s="1"/>
  <c r="V43" i="123"/>
  <c r="V51" i="123"/>
  <c r="V54" i="123"/>
  <c r="V60" i="123"/>
  <c r="W18" i="123"/>
  <c r="W22" i="123"/>
  <c r="W28" i="123"/>
  <c r="W39" i="123"/>
  <c r="W40" i="123" s="1"/>
  <c r="W60" i="123"/>
  <c r="W43" i="123"/>
  <c r="W51" i="123"/>
  <c r="W54" i="123"/>
  <c r="X18" i="123"/>
  <c r="X22" i="123"/>
  <c r="X28" i="123"/>
  <c r="X39" i="123"/>
  <c r="X40" i="123" s="1"/>
  <c r="X43" i="123"/>
  <c r="X51" i="123"/>
  <c r="X54" i="123"/>
  <c r="X60" i="123"/>
  <c r="Y18" i="123"/>
  <c r="Y22" i="123"/>
  <c r="Y28" i="123"/>
  <c r="Y39" i="123"/>
  <c r="Y40" i="123" s="1"/>
  <c r="Y43" i="123"/>
  <c r="Y51" i="123"/>
  <c r="Y54" i="123"/>
  <c r="Y60" i="123"/>
  <c r="Z18" i="123"/>
  <c r="Z22" i="123"/>
  <c r="Z28" i="123"/>
  <c r="Z39" i="123"/>
  <c r="Z40" i="123" s="1"/>
  <c r="Z51" i="123"/>
  <c r="Z60" i="123"/>
  <c r="Z43" i="123"/>
  <c r="Z54" i="123"/>
  <c r="AA18" i="123"/>
  <c r="AA22" i="123"/>
  <c r="AA28" i="123"/>
  <c r="AA39" i="123"/>
  <c r="AA40" i="123" s="1"/>
  <c r="AA51" i="123"/>
  <c r="AA60" i="123"/>
  <c r="AA43" i="123"/>
  <c r="AA54" i="123"/>
  <c r="AD22" i="123"/>
  <c r="AD28" i="123"/>
  <c r="AD39" i="123"/>
  <c r="AD40" i="123" s="1"/>
  <c r="AD43" i="123"/>
  <c r="AD51" i="123"/>
  <c r="AD54" i="123"/>
  <c r="AD60" i="123"/>
  <c r="AE18" i="123"/>
  <c r="AE22" i="123"/>
  <c r="AE28" i="123"/>
  <c r="AE39" i="123"/>
  <c r="AE40" i="123" s="1"/>
  <c r="AE43" i="123"/>
  <c r="AE51" i="123"/>
  <c r="AE54" i="123"/>
  <c r="AE60" i="123"/>
  <c r="AF18" i="123"/>
  <c r="AF22" i="123"/>
  <c r="AF28" i="123"/>
  <c r="AF39" i="123"/>
  <c r="AF40" i="123" s="1"/>
  <c r="AF43" i="123"/>
  <c r="AF51" i="123"/>
  <c r="AF54" i="123"/>
  <c r="AF60" i="123"/>
  <c r="AG18" i="123"/>
  <c r="AG22" i="123"/>
  <c r="AG28" i="123"/>
  <c r="AG39" i="123"/>
  <c r="AG40" i="123" s="1"/>
  <c r="AG51" i="123"/>
  <c r="AG60" i="123"/>
  <c r="AG43" i="123"/>
  <c r="AG54" i="123"/>
  <c r="AH18" i="123"/>
  <c r="AH22" i="123"/>
  <c r="AH28" i="123"/>
  <c r="AH39" i="123"/>
  <c r="AH40" i="123" s="1"/>
  <c r="AH43" i="123"/>
  <c r="AH51" i="123"/>
  <c r="AH60" i="123"/>
  <c r="AH54" i="123"/>
  <c r="AI18" i="123"/>
  <c r="AI22" i="123"/>
  <c r="AI28" i="123"/>
  <c r="AI39" i="123"/>
  <c r="AI40" i="123" s="1"/>
  <c r="AI60" i="123"/>
  <c r="AI43" i="123"/>
  <c r="AI51" i="123"/>
  <c r="AI54" i="123"/>
  <c r="AJ18" i="123"/>
  <c r="AJ22" i="123"/>
  <c r="AJ28" i="123"/>
  <c r="AJ39" i="123"/>
  <c r="AJ40" i="123" s="1"/>
  <c r="AJ43" i="123"/>
  <c r="AJ51" i="123"/>
  <c r="AJ54" i="123"/>
  <c r="AJ60" i="123"/>
  <c r="AK18" i="123"/>
  <c r="AK22" i="123"/>
  <c r="AK28" i="123"/>
  <c r="AK39" i="123"/>
  <c r="AK40" i="123" s="1"/>
  <c r="AK51" i="123"/>
  <c r="AK60" i="123"/>
  <c r="AK43" i="123"/>
  <c r="AK54" i="123"/>
  <c r="AN18" i="123"/>
  <c r="AN22" i="123"/>
  <c r="AN28" i="123"/>
  <c r="AN39" i="123"/>
  <c r="AN40" i="123" s="1"/>
  <c r="AN43" i="123"/>
  <c r="AN51" i="123"/>
  <c r="AN54" i="123"/>
  <c r="AN60" i="123"/>
  <c r="AO18" i="123"/>
  <c r="AO22" i="123"/>
  <c r="AO28" i="123"/>
  <c r="AO39" i="123"/>
  <c r="AO40" i="123" s="1"/>
  <c r="AO51" i="123"/>
  <c r="AO60" i="123"/>
  <c r="AO43" i="123"/>
  <c r="AO54" i="123"/>
  <c r="AP18" i="123"/>
  <c r="AP22" i="123"/>
  <c r="AP28" i="123"/>
  <c r="AP39" i="123"/>
  <c r="AP40" i="123" s="1"/>
  <c r="AP43" i="123"/>
  <c r="AP51" i="123"/>
  <c r="AP54" i="123"/>
  <c r="AQ74" i="123"/>
  <c r="BI70" i="123"/>
  <c r="BI69" i="123"/>
  <c r="BI62" i="123"/>
  <c r="BI63" i="123"/>
  <c r="BI65" i="123"/>
  <c r="E4" i="100"/>
  <c r="F4" i="100" s="1"/>
  <c r="E5" i="100"/>
  <c r="F5" i="100" s="1"/>
  <c r="G5" i="100" s="1"/>
  <c r="K5" i="100"/>
  <c r="M5" i="100" s="1"/>
  <c r="E6" i="100"/>
  <c r="F6" i="100" s="1"/>
  <c r="B7" i="100"/>
  <c r="H7" i="100"/>
  <c r="K7" i="100"/>
  <c r="E9" i="100"/>
  <c r="L9" i="100"/>
  <c r="M9" i="100" s="1"/>
  <c r="E10" i="100"/>
  <c r="F10" i="100"/>
  <c r="G10" i="100" s="1"/>
  <c r="K10" i="100"/>
  <c r="L10" i="100" s="1"/>
  <c r="M10" i="100"/>
  <c r="E11" i="100"/>
  <c r="F11" i="100"/>
  <c r="G11" i="100" s="1"/>
  <c r="K11" i="100"/>
  <c r="L11" i="100" s="1"/>
  <c r="M11" i="100"/>
  <c r="E12" i="100"/>
  <c r="F12" i="100"/>
  <c r="G12" i="100" s="1"/>
  <c r="K12" i="100"/>
  <c r="L12" i="100" s="1"/>
  <c r="M12" i="100"/>
  <c r="B13" i="100"/>
  <c r="H13" i="100"/>
  <c r="E15" i="100"/>
  <c r="K15" i="100"/>
  <c r="L15" i="100" s="1"/>
  <c r="B16" i="100"/>
  <c r="C16" i="100"/>
  <c r="D16" i="100"/>
  <c r="H16" i="100"/>
  <c r="I16" i="100"/>
  <c r="J16" i="100"/>
  <c r="E19" i="100"/>
  <c r="K19" i="100"/>
  <c r="E20" i="100"/>
  <c r="F20" i="100" s="1"/>
  <c r="G20" i="100" s="1"/>
  <c r="K20" i="100"/>
  <c r="B21" i="100"/>
  <c r="H21" i="100"/>
  <c r="E23" i="100"/>
  <c r="F23" i="100" s="1"/>
  <c r="K23" i="100"/>
  <c r="L23" i="100" s="1"/>
  <c r="M23" i="100" s="1"/>
  <c r="E27" i="100"/>
  <c r="F27" i="100" s="1"/>
  <c r="G27" i="100" s="1"/>
  <c r="E28" i="100"/>
  <c r="F28" i="100" s="1"/>
  <c r="K28" i="100"/>
  <c r="M28" i="100"/>
  <c r="M34" i="100" s="1"/>
  <c r="E29" i="100"/>
  <c r="F29" i="100" s="1"/>
  <c r="E30" i="100"/>
  <c r="F30" i="100" s="1"/>
  <c r="G30" i="100" s="1"/>
  <c r="E31" i="100"/>
  <c r="F31" i="100" s="1"/>
  <c r="G31" i="100" s="1"/>
  <c r="F32" i="100"/>
  <c r="G32" i="100" s="1"/>
  <c r="F33" i="100"/>
  <c r="G33" i="100" s="1"/>
  <c r="B34" i="100"/>
  <c r="H34" i="100"/>
  <c r="E36" i="100"/>
  <c r="F36" i="100" s="1"/>
  <c r="G36" i="100" s="1"/>
  <c r="M36" i="100"/>
  <c r="E37" i="100"/>
  <c r="F37" i="100" s="1"/>
  <c r="G37" i="100" s="1"/>
  <c r="E38" i="100"/>
  <c r="F38" i="100"/>
  <c r="G38" i="100" s="1"/>
  <c r="E39" i="100"/>
  <c r="F39" i="100" s="1"/>
  <c r="G39" i="100" s="1"/>
  <c r="K39" i="100"/>
  <c r="M39" i="100" s="1"/>
  <c r="E40" i="100"/>
  <c r="F40" i="100" s="1"/>
  <c r="G40" i="100" s="1"/>
  <c r="E41" i="100"/>
  <c r="F41" i="100" s="1"/>
  <c r="G41" i="100" s="1"/>
  <c r="M41" i="100"/>
  <c r="E42" i="100"/>
  <c r="F42" i="100" s="1"/>
  <c r="G42" i="100" s="1"/>
  <c r="E43" i="100"/>
  <c r="F43" i="100"/>
  <c r="G43" i="100" s="1"/>
  <c r="G44" i="100"/>
  <c r="M44" i="100"/>
  <c r="B45" i="100"/>
  <c r="H45" i="100"/>
  <c r="L45" i="100"/>
  <c r="E47" i="100"/>
  <c r="F47" i="100" s="1"/>
  <c r="G47" i="100" s="1"/>
  <c r="K47" i="100"/>
  <c r="L47" i="100"/>
  <c r="M47" i="100" s="1"/>
  <c r="B48" i="100"/>
  <c r="C48" i="100"/>
  <c r="D48" i="100"/>
  <c r="E48" i="100"/>
  <c r="I48" i="100"/>
  <c r="J48" i="100"/>
  <c r="G49" i="100"/>
  <c r="M49" i="100"/>
  <c r="G50" i="100"/>
  <c r="K50" i="100"/>
  <c r="L50" i="100" s="1"/>
  <c r="E51" i="100"/>
  <c r="F51" i="100" s="1"/>
  <c r="K51" i="100"/>
  <c r="L51" i="100" s="1"/>
  <c r="M51" i="100" s="1"/>
  <c r="M53" i="100" s="1"/>
  <c r="E52" i="100"/>
  <c r="F52" i="100"/>
  <c r="G52" i="100" s="1"/>
  <c r="K52" i="100"/>
  <c r="L52" i="100" s="1"/>
  <c r="M52" i="100" s="1"/>
  <c r="B53" i="100"/>
  <c r="H53" i="100"/>
  <c r="E55" i="100"/>
  <c r="F55" i="100" s="1"/>
  <c r="G55" i="100" s="1"/>
  <c r="K55" i="100"/>
  <c r="L55" i="100"/>
  <c r="M55" i="100" s="1"/>
  <c r="E56" i="100"/>
  <c r="F56" i="100" s="1"/>
  <c r="G56" i="100" s="1"/>
  <c r="K56" i="100"/>
  <c r="L56" i="100" s="1"/>
  <c r="M56" i="100" s="1"/>
  <c r="C75" i="132"/>
  <c r="G75" i="132" s="1"/>
  <c r="C87" i="132"/>
  <c r="C97" i="132"/>
  <c r="G97" i="132" s="1"/>
  <c r="C124" i="132"/>
  <c r="G124" i="132" s="1"/>
  <c r="C127" i="132"/>
  <c r="G127" i="132" s="1"/>
  <c r="C130" i="132"/>
  <c r="G130" i="132" s="1"/>
  <c r="C10" i="94"/>
  <c r="C14" i="94"/>
  <c r="C15" i="139"/>
  <c r="K13" i="100"/>
  <c r="F34" i="100"/>
  <c r="F19" i="100"/>
  <c r="G19" i="100" s="1"/>
  <c r="E21" i="100"/>
  <c r="F9" i="100"/>
  <c r="G9" i="100" s="1"/>
  <c r="G13" i="100" s="1"/>
  <c r="E13" i="100"/>
  <c r="E53" i="100"/>
  <c r="K48" i="100"/>
  <c r="K34" i="100"/>
  <c r="E34" i="100"/>
  <c r="G23" i="100"/>
  <c r="E7" i="100"/>
  <c r="G6" i="100"/>
  <c r="F15" i="100"/>
  <c r="F16" i="100"/>
  <c r="E16" i="100"/>
  <c r="G15" i="100"/>
  <c r="F21" i="100"/>
  <c r="M45" i="100"/>
  <c r="L13" i="100"/>
  <c r="K21" i="100"/>
  <c r="L16" i="100"/>
  <c r="J15" i="143"/>
  <c r="J16" i="143" s="1"/>
  <c r="H15" i="143"/>
  <c r="H16" i="143" s="1"/>
  <c r="F15" i="143"/>
  <c r="F16" i="143" s="1"/>
  <c r="D15" i="143"/>
  <c r="D16" i="143" s="1"/>
  <c r="I15" i="143"/>
  <c r="I16" i="143" s="1"/>
  <c r="G15" i="143"/>
  <c r="G16" i="143" s="1"/>
  <c r="E15" i="143"/>
  <c r="E16" i="143" s="1"/>
  <c r="C15" i="143"/>
  <c r="C16" i="143" s="1"/>
  <c r="C94" i="132" l="1"/>
  <c r="G94" i="132" s="1"/>
  <c r="G87" i="132"/>
  <c r="B24" i="100"/>
  <c r="D136" i="123"/>
  <c r="L17" i="92"/>
  <c r="D51" i="92"/>
  <c r="G21" i="100"/>
  <c r="C35" i="91"/>
  <c r="C84" i="123"/>
  <c r="M17" i="92"/>
  <c r="F17" i="92"/>
  <c r="E51" i="92"/>
  <c r="E136" i="123"/>
  <c r="F136" i="123" s="1"/>
  <c r="F130" i="123"/>
  <c r="K27" i="134"/>
  <c r="I27" i="128"/>
  <c r="I31" i="128" s="1"/>
  <c r="N12" i="134"/>
  <c r="J20" i="134"/>
  <c r="I16" i="139"/>
  <c r="H24" i="134"/>
  <c r="L20" i="134"/>
  <c r="I24" i="134"/>
  <c r="J24" i="134" s="1"/>
  <c r="M20" i="134"/>
  <c r="N20" i="134" s="1"/>
  <c r="G5" i="134"/>
  <c r="C98" i="132"/>
  <c r="G19" i="92"/>
  <c r="K19" i="92" s="1"/>
  <c r="B26" i="142"/>
  <c r="N18" i="138"/>
  <c r="C62" i="132"/>
  <c r="G62" i="132" s="1"/>
  <c r="U120" i="123"/>
  <c r="AB75" i="123"/>
  <c r="AB80" i="123" s="1"/>
  <c r="B17" i="142"/>
  <c r="N7" i="138" s="1"/>
  <c r="AQ75" i="123"/>
  <c r="AQ80" i="123" s="1"/>
  <c r="AC75" i="123"/>
  <c r="AC80" i="123" s="1"/>
  <c r="AL75" i="123"/>
  <c r="AL80" i="123" s="1"/>
  <c r="L94" i="123"/>
  <c r="G4" i="100"/>
  <c r="G7" i="100" s="1"/>
  <c r="F7" i="100"/>
  <c r="M13" i="100"/>
  <c r="L53" i="100"/>
  <c r="F45" i="100"/>
  <c r="L48" i="100"/>
  <c r="M48" i="100" s="1"/>
  <c r="M58" i="100" s="1"/>
  <c r="X23" i="123"/>
  <c r="W23" i="123"/>
  <c r="V23" i="123"/>
  <c r="Q23" i="123"/>
  <c r="R23" i="123"/>
  <c r="I94" i="123"/>
  <c r="I130" i="123" s="1"/>
  <c r="K94" i="123"/>
  <c r="K130" i="123" s="1"/>
  <c r="G41" i="92"/>
  <c r="B36" i="142"/>
  <c r="L20" i="100"/>
  <c r="M20" i="100" s="1"/>
  <c r="L19" i="100"/>
  <c r="L21" i="100" s="1"/>
  <c r="L24" i="100" s="1"/>
  <c r="H24" i="100"/>
  <c r="U129" i="123"/>
  <c r="E45" i="100"/>
  <c r="E58" i="100" s="1"/>
  <c r="M50" i="100"/>
  <c r="F13" i="100"/>
  <c r="F24" i="100" s="1"/>
  <c r="G16" i="100"/>
  <c r="E24" i="100"/>
  <c r="F48" i="100"/>
  <c r="G48" i="100" s="1"/>
  <c r="K45" i="100"/>
  <c r="H58" i="100"/>
  <c r="B58" i="100"/>
  <c r="AG23" i="123"/>
  <c r="K23" i="123"/>
  <c r="J23" i="123"/>
  <c r="I23" i="123"/>
  <c r="J94" i="123"/>
  <c r="J130" i="123" s="1"/>
  <c r="M94" i="123"/>
  <c r="M130" i="123" s="1"/>
  <c r="C28" i="94"/>
  <c r="G17" i="92"/>
  <c r="B36" i="138"/>
  <c r="E28" i="142"/>
  <c r="C28" i="142"/>
  <c r="L97" i="123"/>
  <c r="U96" i="123"/>
  <c r="U97" i="123" s="1"/>
  <c r="BI72" i="123"/>
  <c r="B22" i="142"/>
  <c r="AK23" i="123"/>
  <c r="AD23" i="123"/>
  <c r="AA23" i="123"/>
  <c r="Y23" i="123"/>
  <c r="O23" i="123"/>
  <c r="N23" i="123"/>
  <c r="M23" i="123"/>
  <c r="BI66" i="123"/>
  <c r="B12" i="142"/>
  <c r="C32" i="92"/>
  <c r="K32" i="92" s="1"/>
  <c r="B24" i="142"/>
  <c r="C87" i="123"/>
  <c r="BK87" i="123" s="1"/>
  <c r="B38" i="142"/>
  <c r="N28" i="138"/>
  <c r="C68" i="123"/>
  <c r="BK68" i="123" s="1"/>
  <c r="U110" i="123"/>
  <c r="AR43" i="123"/>
  <c r="Z23" i="123"/>
  <c r="AR22" i="123"/>
  <c r="P23" i="123"/>
  <c r="AP23" i="123"/>
  <c r="AN23" i="123"/>
  <c r="AF23" i="123"/>
  <c r="AI23" i="123"/>
  <c r="AR32" i="123"/>
  <c r="AR39" i="123"/>
  <c r="BI58" i="123"/>
  <c r="K61" i="123"/>
  <c r="S94" i="123"/>
  <c r="S130" i="123" s="1"/>
  <c r="R94" i="123"/>
  <c r="R130" i="123" s="1"/>
  <c r="U87" i="123"/>
  <c r="B11" i="143"/>
  <c r="U123" i="123"/>
  <c r="B20" i="142"/>
  <c r="N10" i="138" s="1"/>
  <c r="O94" i="123"/>
  <c r="O130" i="123" s="1"/>
  <c r="N94" i="123"/>
  <c r="N130" i="123" s="1"/>
  <c r="Q94" i="123"/>
  <c r="Q130" i="123" s="1"/>
  <c r="P94" i="123"/>
  <c r="P130" i="123" s="1"/>
  <c r="T94" i="123"/>
  <c r="T130" i="123" s="1"/>
  <c r="B41" i="142"/>
  <c r="B42" i="142"/>
  <c r="BI52" i="123"/>
  <c r="AI61" i="123"/>
  <c r="J61" i="123"/>
  <c r="U61" i="123"/>
  <c r="U75" i="123" s="1"/>
  <c r="W61" i="123"/>
  <c r="AO61" i="123"/>
  <c r="AN61" i="123"/>
  <c r="AK61" i="123"/>
  <c r="AG61" i="123"/>
  <c r="AE61" i="123"/>
  <c r="AD61" i="123"/>
  <c r="AP61" i="123"/>
  <c r="AJ61" i="123"/>
  <c r="AF61" i="123"/>
  <c r="N61" i="123"/>
  <c r="M61" i="123"/>
  <c r="AH61" i="123"/>
  <c r="P61" i="123"/>
  <c r="L23" i="123"/>
  <c r="AO23" i="123"/>
  <c r="AO75" i="123" s="1"/>
  <c r="AJ23" i="123"/>
  <c r="AJ75" i="123" s="1"/>
  <c r="AH23" i="123"/>
  <c r="AE23" i="123"/>
  <c r="G51" i="100"/>
  <c r="G53" i="100" s="1"/>
  <c r="F53" i="100"/>
  <c r="G45" i="100"/>
  <c r="K53" i="100"/>
  <c r="K58" i="100" s="1"/>
  <c r="G29" i="100"/>
  <c r="G28" i="100"/>
  <c r="K16" i="100"/>
  <c r="M15" i="100"/>
  <c r="AA61" i="123"/>
  <c r="Z61" i="123"/>
  <c r="Y61" i="123"/>
  <c r="X61" i="123"/>
  <c r="Q61" i="123"/>
  <c r="O61" i="123"/>
  <c r="I61" i="123"/>
  <c r="R61" i="123"/>
  <c r="U126" i="123"/>
  <c r="M6" i="100"/>
  <c r="M7" i="100" s="1"/>
  <c r="AR18" i="123"/>
  <c r="N17" i="138"/>
  <c r="V61" i="123"/>
  <c r="L61" i="123"/>
  <c r="U93" i="123"/>
  <c r="BI49" i="123"/>
  <c r="AR28" i="123"/>
  <c r="D28" i="142"/>
  <c r="S61" i="123"/>
  <c r="T61" i="123"/>
  <c r="C131" i="132" l="1"/>
  <c r="G98" i="132"/>
  <c r="C7" i="92"/>
  <c r="K7" i="92" s="1"/>
  <c r="BK84" i="123"/>
  <c r="M19" i="100"/>
  <c r="M51" i="92"/>
  <c r="E56" i="92"/>
  <c r="F51" i="92"/>
  <c r="L51" i="92"/>
  <c r="D56" i="92"/>
  <c r="L56" i="92" s="1"/>
  <c r="M24" i="134"/>
  <c r="L24" i="134"/>
  <c r="I31" i="139"/>
  <c r="K5" i="134"/>
  <c r="G6" i="134"/>
  <c r="G20" i="92"/>
  <c r="G21" i="92" s="1"/>
  <c r="G51" i="92" s="1"/>
  <c r="G56" i="92" s="1"/>
  <c r="C7" i="140" s="1"/>
  <c r="B27" i="142"/>
  <c r="C62" i="123"/>
  <c r="C69" i="123"/>
  <c r="C50" i="97"/>
  <c r="AI75" i="123"/>
  <c r="AI80" i="123" s="1"/>
  <c r="J75" i="123"/>
  <c r="J80" i="123" s="1"/>
  <c r="AG75" i="123"/>
  <c r="AG80" i="123" s="1"/>
  <c r="M75" i="123"/>
  <c r="M80" i="123" s="1"/>
  <c r="O75" i="123"/>
  <c r="O80" i="123" s="1"/>
  <c r="AK75" i="123"/>
  <c r="AK80" i="123" s="1"/>
  <c r="AA75" i="123"/>
  <c r="AA80" i="123" s="1"/>
  <c r="AE75" i="123"/>
  <c r="AE80" i="123" s="1"/>
  <c r="L75" i="123"/>
  <c r="L80" i="123" s="1"/>
  <c r="AH75" i="123"/>
  <c r="AH80" i="123" s="1"/>
  <c r="AN75" i="123"/>
  <c r="AN80" i="123" s="1"/>
  <c r="W75" i="123"/>
  <c r="W80" i="123" s="1"/>
  <c r="AF75" i="123"/>
  <c r="AF80" i="123" s="1"/>
  <c r="AP75" i="123"/>
  <c r="AP80" i="123" s="1"/>
  <c r="P75" i="123"/>
  <c r="P80" i="123" s="1"/>
  <c r="Z75" i="123"/>
  <c r="Z80" i="123" s="1"/>
  <c r="N75" i="123"/>
  <c r="N80" i="123" s="1"/>
  <c r="Y75" i="123"/>
  <c r="Y80" i="123" s="1"/>
  <c r="AD75" i="123"/>
  <c r="AD80" i="123" s="1"/>
  <c r="I75" i="123"/>
  <c r="I80" i="123" s="1"/>
  <c r="K75" i="123"/>
  <c r="K80" i="123" s="1"/>
  <c r="R75" i="123"/>
  <c r="R80" i="123" s="1"/>
  <c r="V75" i="123"/>
  <c r="V80" i="123" s="1"/>
  <c r="X75" i="123"/>
  <c r="X80" i="123" s="1"/>
  <c r="Q75" i="123"/>
  <c r="Q80" i="123" s="1"/>
  <c r="U80" i="123"/>
  <c r="S75" i="123"/>
  <c r="S80" i="123" s="1"/>
  <c r="T75" i="123"/>
  <c r="T80" i="123" s="1"/>
  <c r="L130" i="123"/>
  <c r="B34" i="142"/>
  <c r="L58" i="100"/>
  <c r="B11" i="142"/>
  <c r="G24" i="100"/>
  <c r="B35" i="142"/>
  <c r="N14" i="138"/>
  <c r="C20" i="92"/>
  <c r="K20" i="92" s="1"/>
  <c r="F58" i="100"/>
  <c r="M21" i="100"/>
  <c r="C44" i="92"/>
  <c r="K44" i="92" s="1"/>
  <c r="C94" i="123"/>
  <c r="BK94" i="123" s="1"/>
  <c r="C10" i="92"/>
  <c r="K10" i="92" s="1"/>
  <c r="AJ80" i="123"/>
  <c r="AO80" i="123"/>
  <c r="C76" i="132"/>
  <c r="AR40" i="123"/>
  <c r="M16" i="100"/>
  <c r="K24" i="100"/>
  <c r="B23" i="142"/>
  <c r="B14" i="142"/>
  <c r="B25" i="142" s="1"/>
  <c r="B8" i="143"/>
  <c r="B15" i="143" s="1"/>
  <c r="B16" i="143" s="1"/>
  <c r="B15" i="142"/>
  <c r="N5" i="138" s="1"/>
  <c r="B7" i="142"/>
  <c r="N13" i="138" s="1"/>
  <c r="C47" i="92"/>
  <c r="K47" i="92" s="1"/>
  <c r="U94" i="123"/>
  <c r="U130" i="123" s="1"/>
  <c r="AR23" i="123"/>
  <c r="G34" i="100"/>
  <c r="G58" i="100" s="1"/>
  <c r="M56" i="92" l="1"/>
  <c r="F56" i="92"/>
  <c r="C80" i="132"/>
  <c r="G80" i="132" s="1"/>
  <c r="G76" i="132"/>
  <c r="C7" i="134"/>
  <c r="K7" i="134" s="1"/>
  <c r="BK62" i="123"/>
  <c r="C137" i="132"/>
  <c r="G137" i="132" s="1"/>
  <c r="G131" i="132"/>
  <c r="C13" i="134"/>
  <c r="K13" i="134" s="1"/>
  <c r="BK69" i="123"/>
  <c r="N24" i="134"/>
  <c r="C18" i="134"/>
  <c r="H7" i="139"/>
  <c r="J7" i="139" s="1"/>
  <c r="H6" i="128"/>
  <c r="J6" i="128" s="1"/>
  <c r="G12" i="134"/>
  <c r="H5" i="139"/>
  <c r="J5" i="139" s="1"/>
  <c r="H4" i="128"/>
  <c r="J4" i="128" s="1"/>
  <c r="N15" i="138"/>
  <c r="C50" i="92"/>
  <c r="K50" i="92" s="1"/>
  <c r="C21" i="92"/>
  <c r="K21" i="92" s="1"/>
  <c r="M24" i="100"/>
  <c r="BI78" i="123"/>
  <c r="C61" i="123"/>
  <c r="BI59" i="123"/>
  <c r="BI73" i="123" s="1"/>
  <c r="C41" i="92"/>
  <c r="K41" i="92" s="1"/>
  <c r="C16" i="92"/>
  <c r="K16" i="92" s="1"/>
  <c r="C31" i="92"/>
  <c r="K31" i="92" s="1"/>
  <c r="C130" i="123"/>
  <c r="C136" i="123" l="1"/>
  <c r="BK136" i="123" s="1"/>
  <c r="BK130" i="123"/>
  <c r="C6" i="134"/>
  <c r="C12" i="134" s="1"/>
  <c r="BK61" i="123"/>
  <c r="K12" i="134"/>
  <c r="H13" i="128"/>
  <c r="J13" i="128" s="1"/>
  <c r="H18" i="139"/>
  <c r="J18" i="139" s="1"/>
  <c r="C20" i="134"/>
  <c r="C24" i="134" s="1"/>
  <c r="K18" i="134"/>
  <c r="K6" i="134"/>
  <c r="G20" i="134"/>
  <c r="C17" i="92"/>
  <c r="K17" i="92" s="1"/>
  <c r="N16" i="138"/>
  <c r="C75" i="123"/>
  <c r="C80" i="123" l="1"/>
  <c r="BK80" i="123" s="1"/>
  <c r="BK75" i="123"/>
  <c r="C51" i="92"/>
  <c r="H5" i="128"/>
  <c r="J5" i="128" s="1"/>
  <c r="H6" i="139"/>
  <c r="J6" i="139" s="1"/>
  <c r="K20" i="134"/>
  <c r="G24" i="134"/>
  <c r="C56" i="92" l="1"/>
  <c r="K56" i="92" s="1"/>
  <c r="K51" i="92"/>
  <c r="K24" i="134"/>
  <c r="C6" i="140"/>
  <c r="C8" i="140" l="1"/>
  <c r="C5" i="140"/>
  <c r="I35" i="128"/>
  <c r="B43" i="142"/>
  <c r="N33" i="138"/>
  <c r="H11" i="128"/>
  <c r="B31" i="142"/>
  <c r="N21" i="138"/>
  <c r="N26" i="138"/>
  <c r="N29" i="138"/>
  <c r="N30" i="138"/>
  <c r="N24" i="138"/>
  <c r="N23" i="138"/>
  <c r="B32" i="142"/>
  <c r="N31" i="138"/>
  <c r="N25" i="138"/>
  <c r="N32" i="138"/>
  <c r="N27" i="138"/>
  <c r="B37" i="142"/>
  <c r="H15" i="139"/>
  <c r="N34" i="138"/>
  <c r="B33" i="142"/>
  <c r="H28" i="139"/>
  <c r="J28" i="139" s="1"/>
  <c r="N22" i="138"/>
  <c r="H27" i="128" l="1"/>
  <c r="J11" i="128"/>
  <c r="H16" i="139"/>
  <c r="J16" i="139" s="1"/>
  <c r="J15" i="139"/>
  <c r="N35" i="138"/>
  <c r="B44" i="142"/>
  <c r="H29" i="139"/>
  <c r="J29" i="139" s="1"/>
  <c r="H31" i="128" l="1"/>
  <c r="J27" i="128"/>
  <c r="H31" i="139"/>
  <c r="J31" i="139" s="1"/>
  <c r="J31" i="128" l="1"/>
  <c r="H35" i="128"/>
  <c r="J35" i="128" s="1"/>
  <c r="C28" i="128" l="1"/>
  <c r="C25" i="139" s="1"/>
  <c r="C11" i="139"/>
  <c r="C22" i="128"/>
  <c r="C23" i="139"/>
  <c r="C25" i="128"/>
  <c r="C7" i="128"/>
  <c r="C19" i="139" s="1"/>
  <c r="C24" i="128"/>
  <c r="C26" i="128" s="1"/>
  <c r="C21" i="139"/>
  <c r="C20" i="128"/>
  <c r="C15" i="128"/>
  <c r="C4" i="128"/>
  <c r="C5" i="139"/>
  <c r="C19" i="128"/>
  <c r="C9" i="139" s="1"/>
  <c r="C10" i="128"/>
  <c r="C21" i="128"/>
  <c r="C10" i="139" s="1"/>
  <c r="C12" i="139" s="1"/>
  <c r="C23" i="128"/>
  <c r="C32" i="128"/>
  <c r="C27" i="139"/>
  <c r="C33" i="128"/>
  <c r="C12" i="128"/>
  <c r="C17" i="128"/>
  <c r="C29" i="128"/>
  <c r="C26" i="139" s="1"/>
  <c r="C9" i="128"/>
  <c r="B10" i="142"/>
  <c r="B13" i="142" s="1"/>
  <c r="C11" i="128"/>
  <c r="C4" i="139"/>
  <c r="C6" i="139" s="1"/>
  <c r="C13" i="128"/>
  <c r="B6" i="142"/>
  <c r="B9" i="142" s="1"/>
  <c r="B28" i="142" s="1"/>
  <c r="C6" i="128"/>
  <c r="C16" i="128"/>
  <c r="C14" i="128"/>
  <c r="C3" i="128"/>
  <c r="C5" i="128"/>
  <c r="N3" i="138" l="1"/>
  <c r="C3" i="138" s="1"/>
  <c r="C19" i="138" s="1"/>
  <c r="C36" i="138" s="1"/>
  <c r="C8" i="128"/>
  <c r="C18" i="139"/>
  <c r="C20" i="139" s="1"/>
  <c r="D3" i="138"/>
  <c r="D19" i="138" s="1"/>
  <c r="N19" i="138"/>
  <c r="C18" i="128"/>
  <c r="C8" i="139" s="1"/>
  <c r="C16" i="139" s="1"/>
  <c r="C22" i="139"/>
  <c r="C24" i="139" s="1"/>
  <c r="C28" i="139"/>
  <c r="C29" i="139" s="1"/>
  <c r="C31" i="139" l="1"/>
  <c r="D36" i="138"/>
  <c r="E36" i="138" s="1"/>
  <c r="F36" i="138" s="1"/>
  <c r="G36" i="138" s="1"/>
  <c r="H36" i="138" s="1"/>
  <c r="I36" i="138" s="1"/>
  <c r="J36" i="138" s="1"/>
  <c r="K36" i="138" s="1"/>
  <c r="L36" i="138" s="1"/>
  <c r="M36" i="138" s="1"/>
  <c r="N36" i="138" s="1"/>
  <c r="C27" i="128"/>
  <c r="C31" i="128" s="1"/>
  <c r="C35" i="128" s="1"/>
  <c r="N4" i="92"/>
  <c r="N56" i="92"/>
  <c r="N14" i="92"/>
  <c r="N24" i="92"/>
  <c r="E12" i="128"/>
  <c r="D12" i="128"/>
  <c r="D19" i="139"/>
  <c r="D7" i="128"/>
  <c r="N50" i="92"/>
  <c r="N25" i="92"/>
  <c r="N46" i="92"/>
  <c r="N33" i="92"/>
  <c r="N53" i="92"/>
  <c r="D14" i="128"/>
  <c r="E14" i="128" s="1"/>
  <c r="N40" i="92"/>
  <c r="N22" i="92"/>
  <c r="D10" i="128"/>
  <c r="E10" i="128" s="1"/>
  <c r="N36" i="92"/>
  <c r="D13" i="128"/>
  <c r="E13" i="128" s="1"/>
  <c r="N52" i="92"/>
  <c r="N37" i="92"/>
  <c r="N34" i="92"/>
  <c r="N31" i="92"/>
  <c r="N17" i="92"/>
  <c r="N49" i="92"/>
  <c r="N26" i="92"/>
  <c r="D22" i="128"/>
  <c r="D11" i="139" s="1"/>
  <c r="N23" i="92"/>
  <c r="N44" i="92"/>
  <c r="N16" i="92"/>
  <c r="N5" i="92"/>
  <c r="N15" i="92"/>
  <c r="N54" i="92"/>
  <c r="D28" i="128"/>
  <c r="D25" i="139" s="1"/>
  <c r="N28" i="92"/>
  <c r="N6" i="92"/>
  <c r="D11" i="128"/>
  <c r="E11" i="128" s="1"/>
  <c r="D25" i="128"/>
  <c r="E25" i="128" s="1"/>
  <c r="D16" i="128"/>
  <c r="E16" i="128" s="1"/>
  <c r="N47" i="92"/>
  <c r="N41" i="92"/>
  <c r="N42" i="92"/>
  <c r="N10" i="92"/>
  <c r="D29" i="128"/>
  <c r="D26" i="139" s="1"/>
  <c r="E26" i="139" s="1"/>
  <c r="E29" i="128"/>
  <c r="D33" i="128"/>
  <c r="N27" i="92"/>
  <c r="D6" i="128"/>
  <c r="D18" i="139" s="1"/>
  <c r="D20" i="139" s="1"/>
  <c r="D8" i="128"/>
  <c r="D17" i="128"/>
  <c r="D15" i="128"/>
  <c r="E15" i="128" s="1"/>
  <c r="N29" i="92"/>
  <c r="D21" i="128"/>
  <c r="D23" i="128" s="1"/>
  <c r="D32" i="128"/>
  <c r="E32" i="128" s="1"/>
  <c r="N7" i="92"/>
  <c r="D19" i="128"/>
  <c r="D9" i="139" s="1"/>
  <c r="E9" i="139" s="1"/>
  <c r="D20" i="128"/>
  <c r="D21" i="139" s="1"/>
  <c r="E21" i="139" s="1"/>
  <c r="D24" i="128"/>
  <c r="D26" i="128" s="1"/>
  <c r="D4" i="128"/>
  <c r="D5" i="139" s="1"/>
  <c r="E5" i="139" s="1"/>
  <c r="N51" i="92"/>
  <c r="D3" i="128"/>
  <c r="D4" i="139" s="1"/>
  <c r="D9" i="128"/>
  <c r="D18" i="128" s="1"/>
  <c r="D22" i="139" l="1"/>
  <c r="D5" i="128"/>
  <c r="E5" i="128" s="1"/>
  <c r="E20" i="128"/>
  <c r="E19" i="128"/>
  <c r="D10" i="139"/>
  <c r="D12" i="139" s="1"/>
  <c r="E3" i="128"/>
  <c r="D8" i="139"/>
  <c r="E8" i="139" s="1"/>
  <c r="E18" i="128"/>
  <c r="E4" i="139"/>
  <c r="D6" i="139"/>
  <c r="D27" i="128"/>
  <c r="E25" i="139"/>
  <c r="E9" i="128"/>
  <c r="D27" i="139"/>
  <c r="E27" i="139" s="1"/>
  <c r="D23" i="139"/>
  <c r="E23" i="139" s="1"/>
  <c r="E26" i="128"/>
  <c r="E4" i="128"/>
  <c r="E28" i="128"/>
  <c r="D28" i="139" l="1"/>
  <c r="E27" i="128"/>
  <c r="D31" i="128"/>
  <c r="E6" i="139"/>
  <c r="D16" i="139"/>
  <c r="D24" i="139"/>
  <c r="E24" i="139" s="1"/>
  <c r="E16" i="139" l="1"/>
  <c r="D35" i="128"/>
  <c r="E35" i="128" s="1"/>
  <c r="E31" i="128"/>
  <c r="D29" i="139"/>
  <c r="E29" i="139" s="1"/>
  <c r="E28" i="139"/>
  <c r="D31" i="139" l="1"/>
  <c r="E31" i="139" s="1"/>
</calcChain>
</file>

<file path=xl/sharedStrings.xml><?xml version="1.0" encoding="utf-8"?>
<sst xmlns="http://schemas.openxmlformats.org/spreadsheetml/2006/main" count="1377" uniqueCount="755">
  <si>
    <t>Személyi juttatások</t>
  </si>
  <si>
    <t>Dologi kiadás</t>
  </si>
  <si>
    <t>Ellátottak juttatása</t>
  </si>
  <si>
    <t>Beruházás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</si>
  <si>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</si>
  <si>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</si>
  <si>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</si>
  <si>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</si>
  <si>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</si>
  <si>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</si>
  <si>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</si>
  <si>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</si>
  <si>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</si>
  <si>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</si>
  <si>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</si>
  <si>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</si>
  <si>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</si>
  <si>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</si>
  <si>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</si>
  <si>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</si>
  <si>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</si>
  <si>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</si>
  <si>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</si>
  <si>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</si>
  <si>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</si>
  <si>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</si>
  <si>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</si>
  <si>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</si>
  <si>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</si>
  <si>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</si>
  <si>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</si>
  <si>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</si>
  <si>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</si>
  <si>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</si>
  <si>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</si>
  <si>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</si>
  <si>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</si>
  <si>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</si>
  <si>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</si>
  <si>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</si>
  <si>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</si>
  <si>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</si>
  <si>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</si>
  <si>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</si>
  <si>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</si>
  <si>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</si>
  <si>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</si>
  <si>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</si>
  <si>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Óvoda</t>
  </si>
  <si>
    <t>Bölcsődés gyerekek össz.:</t>
  </si>
  <si>
    <t>Munkaadókat terhelő járulék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</si>
  <si>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</si>
  <si>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</si>
  <si>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</si>
  <si>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</si>
  <si>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</si>
  <si>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</si>
  <si>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</si>
  <si>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</si>
  <si>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</si>
  <si>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</si>
  <si>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</si>
  <si>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</si>
  <si>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</si>
  <si>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terv</t>
  </si>
  <si>
    <t>Szociális adó</t>
  </si>
  <si>
    <t xml:space="preserve">EHO </t>
  </si>
  <si>
    <t>Munkaruha, védőeszköz</t>
  </si>
  <si>
    <t>Intézmény finanszírozás</t>
  </si>
  <si>
    <t>Ápolási díj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</si>
  <si>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</si>
  <si>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</si>
  <si>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</si>
  <si>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</si>
  <si>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</si>
  <si>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</si>
  <si>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</si>
  <si>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</si>
  <si>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</si>
  <si>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</si>
  <si>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Megnevezés</t>
  </si>
  <si>
    <t>Szociális juttatások</t>
  </si>
  <si>
    <t>Gyógyszer, vegyszer</t>
  </si>
  <si>
    <t>Bevételek</t>
  </si>
  <si>
    <t>Kölcsön nyújtás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</si>
  <si>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</si>
  <si>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</si>
  <si>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</si>
  <si>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</si>
  <si>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</si>
  <si>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</si>
  <si>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</si>
  <si>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</si>
  <si>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</si>
  <si>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</si>
  <si>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</si>
  <si>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</si>
  <si>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</si>
  <si>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</si>
  <si>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</si>
  <si>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</si>
  <si>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</si>
  <si>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</si>
  <si>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</si>
  <si>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</si>
  <si>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</si>
  <si>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</si>
  <si>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</si>
  <si>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>MŰKÖDÉSI  BEVÉTELEK ÖSSZESEN</t>
  </si>
  <si>
    <t>MŰKÖDÉSI KIADÁSOK ÖSSZ.</t>
  </si>
  <si>
    <t>Hiány:</t>
  </si>
  <si>
    <t>Többlet:</t>
  </si>
  <si>
    <t>FELHALMOZÁSI KIADÁSOK ÖSSZ.</t>
  </si>
  <si>
    <t xml:space="preserve">                MIND ÖSSZESEN</t>
  </si>
  <si>
    <t xml:space="preserve">                       MIND ÖSSZESEN</t>
  </si>
  <si>
    <t>Létszám (fő)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</si>
  <si>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</si>
  <si>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</si>
  <si>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</si>
  <si>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</si>
  <si>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</si>
  <si>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</si>
  <si>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</si>
  <si>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</si>
  <si>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</si>
  <si>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</si>
  <si>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</si>
  <si>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</si>
  <si>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</si>
  <si>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</si>
  <si>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</si>
  <si>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</si>
  <si>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</si>
  <si>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</si>
  <si>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</si>
  <si>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</si>
  <si>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</si>
  <si>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</si>
  <si>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</si>
  <si>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</si>
  <si>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</si>
  <si>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</si>
  <si>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</si>
  <si>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</si>
  <si>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</si>
  <si>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</si>
  <si>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</si>
  <si>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</si>
  <si>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</si>
  <si>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</si>
  <si>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</si>
  <si>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</si>
  <si>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</si>
  <si>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</si>
  <si>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</si>
  <si>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</si>
  <si>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</si>
  <si>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</si>
  <si>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</si>
  <si>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</si>
  <si>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</si>
  <si>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</si>
  <si>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</si>
  <si>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</si>
  <si>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</si>
  <si>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</si>
  <si>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>Foglalkoztatottak egyéb személyi juttatása (biztosítási díj)</t>
  </si>
  <si>
    <t>Egyéb külső személyi juttatások (prémium évek, egysz.fogl.,repi)</t>
  </si>
  <si>
    <t>K321</t>
  </si>
  <si>
    <t>Informatikai szolgáltatások igénybevétele</t>
  </si>
  <si>
    <t xml:space="preserve">K322 </t>
  </si>
  <si>
    <t>K32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</si>
  <si>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</si>
  <si>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</si>
  <si>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</si>
  <si>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</si>
  <si>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</si>
  <si>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</si>
  <si>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</si>
  <si>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</si>
  <si>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</si>
  <si>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</si>
  <si>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</si>
  <si>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</si>
  <si>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</si>
  <si>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</si>
  <si>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</si>
  <si>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</si>
  <si>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</si>
  <si>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</si>
  <si>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</si>
  <si>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</si>
  <si>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</si>
  <si>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</si>
  <si>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</si>
  <si>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</si>
  <si>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</si>
  <si>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</si>
  <si>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</si>
  <si>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</si>
  <si>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>K3</t>
  </si>
  <si>
    <t xml:space="preserve">DOLOGI KIADÁSOK </t>
  </si>
  <si>
    <t>K61</t>
  </si>
  <si>
    <t>K62</t>
  </si>
  <si>
    <t>K63</t>
  </si>
  <si>
    <t>K64</t>
  </si>
  <si>
    <t>K65</t>
  </si>
  <si>
    <t>K67</t>
  </si>
  <si>
    <t>K6</t>
  </si>
  <si>
    <t>K71</t>
  </si>
  <si>
    <t>K74</t>
  </si>
  <si>
    <t>K7</t>
  </si>
  <si>
    <t>K86</t>
  </si>
  <si>
    <t>K87</t>
  </si>
  <si>
    <t>K88</t>
  </si>
  <si>
    <t>K8</t>
  </si>
  <si>
    <t>FELHALMOZÁSI KIADÁSOK ÖSSZESEN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</si>
  <si>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</si>
  <si>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</si>
  <si>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</si>
  <si>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</si>
  <si>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</si>
  <si>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</si>
  <si>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</si>
  <si>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</si>
  <si>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</si>
  <si>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</si>
  <si>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</si>
  <si>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</si>
  <si>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</si>
  <si>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</si>
  <si>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</si>
  <si>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</si>
  <si>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</si>
  <si>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</si>
  <si>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</si>
  <si>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</si>
  <si>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</si>
  <si>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</si>
  <si>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</si>
  <si>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</si>
  <si>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</si>
  <si>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</si>
  <si>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</si>
  <si>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</si>
  <si>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</si>
  <si>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</si>
  <si>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</si>
  <si>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>Eredeti</t>
  </si>
  <si>
    <t>Önkorm.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</si>
  <si>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</si>
  <si>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</si>
  <si>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</si>
  <si>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</si>
  <si>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</si>
  <si>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</si>
  <si>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</si>
  <si>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</si>
  <si>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</si>
  <si>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</si>
  <si>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</si>
  <si>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</si>
  <si>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>K912</t>
  </si>
  <si>
    <t>Belföldi értékpapír vásárlás</t>
  </si>
  <si>
    <t>B1</t>
  </si>
  <si>
    <t>Önkormányzatok működési támogatása</t>
  </si>
  <si>
    <t>Egyéb működési célú támogatások ÁH-n belülről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</si>
  <si>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</si>
  <si>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</si>
  <si>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</si>
  <si>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</si>
  <si>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</si>
  <si>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</si>
  <si>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</si>
  <si>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</si>
  <si>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</si>
  <si>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</si>
  <si>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</si>
  <si>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</si>
  <si>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t>B34</t>
  </si>
  <si>
    <t>B351</t>
  </si>
  <si>
    <t>B354</t>
  </si>
  <si>
    <t>B355</t>
  </si>
  <si>
    <t>Gépjárműadók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</si>
  <si>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</si>
  <si>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</si>
  <si>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</si>
  <si>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</si>
  <si>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</si>
  <si>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</si>
  <si>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</si>
  <si>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</si>
  <si>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</si>
  <si>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</si>
  <si>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</si>
  <si>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</si>
  <si>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</si>
  <si>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</si>
  <si>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</si>
  <si>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</si>
  <si>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</si>
  <si>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</si>
  <si>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</si>
  <si>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</si>
  <si>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</si>
  <si>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</si>
  <si>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</si>
  <si>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</si>
  <si>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</si>
  <si>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</si>
  <si>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</si>
  <si>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</si>
  <si>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</si>
  <si>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</si>
  <si>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</si>
  <si>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</si>
  <si>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</si>
  <si>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Egyéb felhalmozási célú átvett pénzeszközök ÁH-n kívülről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</si>
  <si>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</si>
  <si>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</si>
  <si>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</si>
  <si>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</si>
  <si>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</si>
  <si>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</si>
  <si>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</si>
  <si>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Ellátottak juttatásai</t>
  </si>
  <si>
    <t xml:space="preserve">      ÖNKORMÁNYZAT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</si>
  <si>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</si>
  <si>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</si>
  <si>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</si>
  <si>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</si>
  <si>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</si>
  <si>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</si>
  <si>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</si>
  <si>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</si>
  <si>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</si>
  <si>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</si>
  <si>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</si>
  <si>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</si>
  <si>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</si>
  <si>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Szolgáltatások ellenértéke (igazg.szolg.díj, vendégétkezés)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</si>
  <si>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</si>
  <si>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</si>
  <si>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</si>
  <si>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</si>
  <si>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</si>
  <si>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</si>
  <si>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</si>
  <si>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</si>
  <si>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</si>
  <si>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</si>
  <si>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</si>
  <si>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</si>
  <si>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</si>
  <si>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</si>
  <si>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</si>
  <si>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</si>
  <si>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</si>
  <si>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</si>
  <si>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</si>
  <si>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</si>
  <si>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</si>
  <si>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</si>
  <si>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</si>
  <si>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</si>
  <si>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</si>
  <si>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</si>
  <si>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</si>
  <si>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</si>
  <si>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</si>
  <si>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</si>
  <si>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I.1.a.</t>
  </si>
  <si>
    <t>I.</t>
  </si>
  <si>
    <t>II.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</si>
  <si>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</si>
  <si>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</si>
  <si>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</si>
  <si>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</si>
  <si>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</si>
  <si>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</si>
  <si>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</si>
  <si>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</si>
  <si>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</si>
  <si>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</si>
  <si>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</si>
  <si>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</si>
  <si>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Település üzemeltetés támogatása</t>
  </si>
  <si>
    <t>I.1.b.</t>
  </si>
  <si>
    <t xml:space="preserve">            Önkormányzati hivatal működésének támogatása</t>
  </si>
  <si>
    <t>Arany János Tehetséggondozó Program</t>
  </si>
  <si>
    <t>Felsőoktatásban résztvevők támogatása</t>
  </si>
  <si>
    <t>8. osztályos tanulók támogatása (16. fő)</t>
  </si>
  <si>
    <t>Beiskolázási segély, táboroztatás</t>
  </si>
  <si>
    <t>Szakmai tev-t segítő szolgáltatások  (közszolg.,száml.szellemi)</t>
  </si>
  <si>
    <t>Egyéb szolgáltatások (száll.,posta, hull.,munkaeü., bank)</t>
  </si>
  <si>
    <t>Ruházati költségtérítés  (2013. SZÉP kártya)</t>
  </si>
  <si>
    <t>Táppénz hozzájárulás  (2012. SZÉP kártya kif.adó)</t>
  </si>
  <si>
    <t>Közcélú foglalkoztatás</t>
  </si>
  <si>
    <t>Működési célú központosított előirányzatok  (kompenzáció)</t>
  </si>
  <si>
    <t>Helyi önkormányzatok kiegészítő támogatása    (külterületi)</t>
  </si>
  <si>
    <t xml:space="preserve">                   beszámítás</t>
  </si>
  <si>
    <t>Közös Hivatal fennt-hoz átvett pénzeszköz …... Önk-tól</t>
  </si>
  <si>
    <t>Össz.: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</si>
  <si>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</si>
  <si>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</si>
  <si>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</si>
  <si>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</si>
  <si>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</si>
  <si>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</si>
  <si>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</si>
  <si>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</si>
  <si>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</si>
  <si>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</si>
  <si>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Kölcsönök visszatérülése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</si>
  <si>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</si>
  <si>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</si>
  <si>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</si>
  <si>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</si>
  <si>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</si>
  <si>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</si>
  <si>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</si>
  <si>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</si>
  <si>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</si>
  <si>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</si>
  <si>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</si>
  <si>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</si>
  <si>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</si>
  <si>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</si>
  <si>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</si>
  <si>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</si>
  <si>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</si>
  <si>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</si>
  <si>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</si>
  <si>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</si>
  <si>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</si>
  <si>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</si>
  <si>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</si>
  <si>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</si>
  <si>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</si>
  <si>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</si>
  <si>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</si>
  <si>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</si>
  <si>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</si>
  <si>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</si>
  <si>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</si>
  <si>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</si>
  <si>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Nyugdíjasok karácsonyi juttatása</t>
  </si>
  <si>
    <t>Pénzeszköz átadás Közös Hivatal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</si>
  <si>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</si>
  <si>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</si>
  <si>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</si>
  <si>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</si>
  <si>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</si>
  <si>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</si>
  <si>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</si>
  <si>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</si>
  <si>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</si>
  <si>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</si>
  <si>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Család és nővédelmi eü. Gondozás</t>
  </si>
  <si>
    <t>Szakmai tevékenységet segítő szolgáltatások  (gyermekorvos)</t>
  </si>
  <si>
    <t>Ifjuság-egészségügyi gondozás</t>
  </si>
  <si>
    <t>Nemzetközi kulúrális együttműködés</t>
  </si>
  <si>
    <t>Könyvtári szolgáltatások</t>
  </si>
  <si>
    <t>Közművelődés-közösségi és társadalmi részvétel fejlesztése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</si>
  <si>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</si>
  <si>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</si>
  <si>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</si>
  <si>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</si>
  <si>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</si>
  <si>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</si>
  <si>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</si>
  <si>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</si>
  <si>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</si>
  <si>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</si>
  <si>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</si>
  <si>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</si>
  <si>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</si>
  <si>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</si>
  <si>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</si>
  <si>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</si>
  <si>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Idegenforgalmi adó</t>
  </si>
  <si>
    <t>Kommunális adó</t>
  </si>
  <si>
    <t xml:space="preserve">                                         háziorvosi szolgálat</t>
  </si>
  <si>
    <t>Polgárőr Egyesület</t>
  </si>
  <si>
    <t>Szolgáltatások ellenértéke</t>
  </si>
  <si>
    <t>Értékesítési és forgalmi adók (iparűzési adó)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</si>
  <si>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</si>
  <si>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</si>
  <si>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</si>
  <si>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</si>
  <si>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</si>
  <si>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</si>
  <si>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</si>
  <si>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</si>
  <si>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</si>
  <si>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</si>
  <si>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</si>
  <si>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</si>
  <si>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</si>
  <si>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</si>
  <si>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</si>
  <si>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</si>
  <si>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</si>
  <si>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</si>
  <si>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</si>
  <si>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</si>
  <si>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</si>
  <si>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</si>
  <si>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</si>
  <si>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</si>
  <si>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</si>
  <si>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</si>
  <si>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</si>
  <si>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</si>
  <si>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</si>
  <si>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</si>
  <si>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</si>
  <si>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</si>
  <si>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</si>
  <si>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</si>
  <si>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</si>
  <si>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</si>
  <si>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</si>
  <si>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</si>
  <si>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</si>
  <si>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</si>
  <si>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</si>
  <si>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</si>
  <si>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</si>
  <si>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Játékok</t>
  </si>
  <si>
    <t>K917</t>
  </si>
  <si>
    <t>Pénzügyi lízing kiadásai</t>
  </si>
  <si>
    <t>Kerékpárutak üzemeltetése, fenntartása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</si>
  <si>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</si>
  <si>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</si>
  <si>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</si>
  <si>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</si>
  <si>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Tagdíjak</t>
  </si>
  <si>
    <t>Levéli Általános Iskola Diákjaiért Alapítvány</t>
  </si>
  <si>
    <t>Csiga Biga Palota Alapítvány</t>
  </si>
  <si>
    <t>HungaRocky Táncegyesület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</si>
  <si>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</si>
  <si>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</si>
  <si>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</si>
  <si>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</si>
  <si>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</si>
  <si>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</si>
  <si>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Települési támogatás, lakásfenntartási támogatás, temetési segély</t>
  </si>
  <si>
    <t>Köztemetés, ápolási támogatás</t>
  </si>
  <si>
    <t>018030 Támogatási célú finanszírozási műveletek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</si>
  <si>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</si>
  <si>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</si>
  <si>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</si>
  <si>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</si>
  <si>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</si>
  <si>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</si>
  <si>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</si>
  <si>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</si>
  <si>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</si>
  <si>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 xml:space="preserve">A működési és fejlesztési célú bevételek és kiadások 2018-2021. évi </t>
  </si>
  <si>
    <t>2018. évi előirányzat</t>
  </si>
  <si>
    <t>Tanulmányterv Fő utca parkoló elhelyezésére</t>
  </si>
  <si>
    <t>Közvilágítás korszerűsítése</t>
  </si>
  <si>
    <t>Maradvány felhasználás</t>
  </si>
  <si>
    <t>Pénzmaradvány felhasználéás</t>
  </si>
  <si>
    <t>Pénzmaradvány igénybevétele</t>
  </si>
  <si>
    <t>I. módosítás</t>
  </si>
  <si>
    <t>teljesítés</t>
  </si>
  <si>
    <t>A helyi önkormányzatok előző évi elszámolásából származó kiadások</t>
  </si>
  <si>
    <t>módosított ei.</t>
  </si>
  <si>
    <t>I. módosított ei.</t>
  </si>
  <si>
    <t>Terv</t>
  </si>
  <si>
    <t>módosítás</t>
  </si>
  <si>
    <t>2019. évi költségvetési előirányzat költségvetési szervenként</t>
  </si>
  <si>
    <t>Költségvetési engedélyezett létszámhely 2019. év</t>
  </si>
  <si>
    <t>Nem közfoglal-koztatott</t>
  </si>
  <si>
    <t>Közfog-lalkoztatott</t>
  </si>
  <si>
    <t>Kultúrház udvar fedése</t>
  </si>
  <si>
    <t>Fő u. 7. (takarék vásárlása)</t>
  </si>
  <si>
    <t>Bölcsődei fejlesztési pályázatírás költsége 171/2018. (X.29.) határozat</t>
  </si>
  <si>
    <t>Bölcsőde pályázat önerő biztosítása</t>
  </si>
  <si>
    <t>Térköves járdaépítés folytatása (temető) ravatolozó, szerszámos</t>
  </si>
  <si>
    <t>Járdaépítés (József A. u. és Fő u. 59. sz. ingatlan mellett)</t>
  </si>
  <si>
    <t>Murvás útépítés (Vadász u., Petőfi S. utcától Diófa utcáig)</t>
  </si>
  <si>
    <t>Diófa és Vadász utca között betonelem csapadékvíz-elvezető árokhoz</t>
  </si>
  <si>
    <t>Kultúrház udvarán gépkocsifeljáró térkövezése (108/2019. hat.)</t>
  </si>
  <si>
    <t>Kultúrház udvarán térkőburkolat készítése (82/2019. hat.)</t>
  </si>
  <si>
    <t>Immateriális javak beszerzése</t>
  </si>
  <si>
    <t>Ingatlanok beszerzése, létesítése</t>
  </si>
  <si>
    <t>Informatikai eszközök beszerzése</t>
  </si>
  <si>
    <t>Fénymásoló megvásárlása maradványértéken (lízingelt másoló)</t>
  </si>
  <si>
    <t>Chip olvasó</t>
  </si>
  <si>
    <t>Egyéb tárgyi eszközök beszerzése</t>
  </si>
  <si>
    <t>Részesedés vásárlás</t>
  </si>
  <si>
    <t>Beruházások előzetesen felszámított általános forgalmi adója</t>
  </si>
  <si>
    <t xml:space="preserve">BERUHÁZÁSOK </t>
  </si>
  <si>
    <t>Zsírfogó cseréje a konyhánál</t>
  </si>
  <si>
    <t>Fűnyíró vásárlása: zöldterület kezelés</t>
  </si>
  <si>
    <t>Adagoló sószóró-adapter beszerzése</t>
  </si>
  <si>
    <t>Kamerarendszer bővítése: Horgásztó</t>
  </si>
  <si>
    <t>Közösségi kemence: pályázati önrész</t>
  </si>
  <si>
    <t>Chipleolvasó</t>
  </si>
  <si>
    <t>Berendezési tárgyak megvásárlása: Fő u. 7. (takarék)</t>
  </si>
  <si>
    <t>Berendezési tárgyak megvásárlása: Sport büfé (192/2018. (XII.17.) hat.)</t>
  </si>
  <si>
    <t>Védőnői szék, lámpa a pólyázó fölé</t>
  </si>
  <si>
    <t>Villamos hálózat bővítése: temető</t>
  </si>
  <si>
    <t>Kazáncsere: Fő u. 25. 2. sz. lakás</t>
  </si>
  <si>
    <t>Hátsó épület külső pucolása és szociális helyiség kialakítása: Fő u. 2. (kertészek raktára)</t>
  </si>
  <si>
    <t>Villamos bővítés kábelezéssel: Fő u. 2. (kertészek raktára)</t>
  </si>
  <si>
    <t>Csapadékvíz-elvezető árok: Vadász utca</t>
  </si>
  <si>
    <t>Út-felújítás: Alsófő u. és Május 1. Liget u. (80/2019. hat.)</t>
  </si>
  <si>
    <t>Szolgálati lakások felújítása: Fő u. 25. (2 lakás) (58/2019. hat.)</t>
  </si>
  <si>
    <t>K73</t>
  </si>
  <si>
    <t>Egyéb tárgyi eszközök felújítása</t>
  </si>
  <si>
    <t>Ingatlanok felújítása</t>
  </si>
  <si>
    <t>Gázkazán cseréje</t>
  </si>
  <si>
    <t>Felújítások általános forgalmi adója</t>
  </si>
  <si>
    <t>EGYÉB FELHALMOZÁSI CÉLÚ KIADÁSOK</t>
  </si>
  <si>
    <t>Egyéb működési célú peszk. átadása államházt. belülre</t>
  </si>
  <si>
    <t>Fejlesztési célú peszk. átadása államházt. belülre</t>
  </si>
  <si>
    <t>Országos Mentőszolgálat Alapítvány</t>
  </si>
  <si>
    <t>Példa Egyesület a Szigetköz Gyermekekért</t>
  </si>
  <si>
    <t>Egyéb civil szervezetek (alapítvány) támogatása</t>
  </si>
  <si>
    <t>K513</t>
  </si>
  <si>
    <t>Felnőtt játszótér pályázat önerő 90/2018.(IV24.) határozat</t>
  </si>
  <si>
    <t>Tűzoltó Egyesület (-sátorbérlet)</t>
  </si>
  <si>
    <t xml:space="preserve">   Működési tartalék (2018. évi maradvány: 25.403.317,-Ft)</t>
  </si>
  <si>
    <t>Jelzőrendszeres 50e, doborgazi tábor 70e rászoruló gy kar 75e, idősek otthoni ellátásért</t>
  </si>
  <si>
    <t>Tankönyv támogatás</t>
  </si>
  <si>
    <t>Közép- és felső oktatási tanulók szoc.t. (Bursa)</t>
  </si>
  <si>
    <t>Téli rezsicsökkentés (átcsop. K312-be)</t>
  </si>
  <si>
    <t>Foglalkoztatottak személyi juttatásai</t>
  </si>
  <si>
    <t>Foglalk. egyéb szem. jutt. (biztosítási díj, megbízási díj: kompenzáció, kult. pótlék)</t>
  </si>
  <si>
    <t xml:space="preserve">Külső személyi juttatások </t>
  </si>
  <si>
    <t>Alapilletmények, pótlékok, illetmények, kereset-kiegészítés</t>
  </si>
  <si>
    <t>Alapilletmények, pótlékok, illetmények, kereset-kiegészítés: részmunkaidősök</t>
  </si>
  <si>
    <t>Jutalom: részmunkaidősök</t>
  </si>
  <si>
    <t>Szakmai anyag beszerzés</t>
  </si>
  <si>
    <t>Üzemeltetési anyagok beszerzése</t>
  </si>
  <si>
    <t>Készletbeszerzés</t>
  </si>
  <si>
    <t>Kommunikációs szolgáltatások</t>
  </si>
  <si>
    <t>Egyéb szolgáltatások (lomtalanítás, Hír-Levél nyomtatás, gyepmesteri szolg., tűzoltó készülékek ell., postaktg., biztosítási díj)</t>
  </si>
  <si>
    <t>K332</t>
  </si>
  <si>
    <t>+500.000,-Ft: ? (K337)</t>
  </si>
  <si>
    <t>+30.000,-Ft: kultúrház térkő burkolata (K513)</t>
  </si>
  <si>
    <t>-500.000,-Ft: ?: K336; +250.000,-ft: tűzoltó sátor bérlete (K512)</t>
  </si>
  <si>
    <t>Szolgáltatási kiadások</t>
  </si>
  <si>
    <t>Kiküldetések, reklám kiadások</t>
  </si>
  <si>
    <t>Különféle befizetések és egyéb dologi kiadások</t>
  </si>
  <si>
    <t>+8.100,-Ft: kultúrház térkő burkolata (K513); +67.500,-Ft: sátor bérlet Tűzoltó versenyre (K512)</t>
  </si>
  <si>
    <t>+5.670.000,-Ft: Fő u. 7. vásárlás fordított ÁFA-ja (K67)</t>
  </si>
  <si>
    <t>K33</t>
  </si>
  <si>
    <t>KIADÁSOK ÖSSZESEN</t>
  </si>
  <si>
    <t>KIADÁSOK HALMOZOTT ÖSSZEGE</t>
  </si>
  <si>
    <t>FINANSZÍROZÁSI KIADÁSOK</t>
  </si>
  <si>
    <t>+18.641,-Ft: bérkompenzáció</t>
  </si>
  <si>
    <t xml:space="preserve">      Helyi önkormányzatok működésének általános tám. (B111)</t>
  </si>
  <si>
    <t>+138.619,-Ft: bérkompenzáció</t>
  </si>
  <si>
    <t xml:space="preserve">           Köznevelési feladatok (óvoda) (B112)</t>
  </si>
  <si>
    <t xml:space="preserve">              Kedvezményes étkezés (B113)</t>
  </si>
  <si>
    <t>Könyvtári, közművelődés feladatok támogatása (B114)</t>
  </si>
  <si>
    <t>+193.830,-Ft: kulturális bérpótlék</t>
  </si>
  <si>
    <t xml:space="preserve">             Kiegészítő támogatások (B116)</t>
  </si>
  <si>
    <t xml:space="preserve">              Lakott külterület (B115)</t>
  </si>
  <si>
    <t>OEP-től átvett pénzeszköz ifjúság eü. feladatok</t>
  </si>
  <si>
    <t>Bursa ösztöndíj</t>
  </si>
  <si>
    <t>Jövedelem adók (termőföld bérbeadás)</t>
  </si>
  <si>
    <t>B341</t>
  </si>
  <si>
    <t>B342</t>
  </si>
  <si>
    <t>Vagyoni típusú adók (építmény, telekadó)</t>
  </si>
  <si>
    <t>Egyéb adók (talajterhelési díj)</t>
  </si>
  <si>
    <t>B36</t>
  </si>
  <si>
    <t>B35</t>
  </si>
  <si>
    <t>Termékek és szolgáltatások adói</t>
  </si>
  <si>
    <t>Egyéb közhatalmi bevételek</t>
  </si>
  <si>
    <t>Környezetvédelmi bírság</t>
  </si>
  <si>
    <t>B367</t>
  </si>
  <si>
    <t>B361</t>
  </si>
  <si>
    <t>B362</t>
  </si>
  <si>
    <t>Vagyoni típusú adók összesen</t>
  </si>
  <si>
    <t>Fordítot áfa</t>
  </si>
  <si>
    <t>B411</t>
  </si>
  <si>
    <t>MŰK. CÉLÚ ÁTVETT PÉNZE. ÁH. KÍVÜLRŐL</t>
  </si>
  <si>
    <t>B65</t>
  </si>
  <si>
    <t>+47.560,-Ft: Amazone támogatása szelektív ingeráram készülékre (K64 + K67)</t>
  </si>
  <si>
    <t>FELHALM. CÉLÚ ÁTVETT PÉNZE. ÁH. KÍVÜLRŐL</t>
  </si>
  <si>
    <t>B75</t>
  </si>
  <si>
    <t>BEVÉTELEK ÖSSZESEN</t>
  </si>
  <si>
    <t>FINANSZÍROZÁSI BEVÉTELEK</t>
  </si>
  <si>
    <t>+25.403.317,-Ft: 2018. évi maradvány miatti módosítás (K513)</t>
  </si>
  <si>
    <t>BEVÉTELEK HALMOZOTT ÖSSZEGE</t>
  </si>
  <si>
    <t>+50.000,-Ft: Skultéti János tűzoltó jutalma (K513)</t>
  </si>
  <si>
    <t>-317.500,-Ft: tűzoltó sátor bérlete (K337 + K351)</t>
  </si>
  <si>
    <t>FELHALM. ÁTVETT PÉNZE. ÁH KÍVÜLRŐL</t>
  </si>
  <si>
    <t>MŰK. CÉLÚ TÁMOGATÁS ÁH. BELÜLRŐL</t>
  </si>
  <si>
    <t>FELH. CÉLÚ TÁMOGATÁS ÁH. BELÜLRŐL</t>
  </si>
  <si>
    <t>Alapilletmények, pótlékok, illetmény-, keresetkiegészítés: részmunkaidős</t>
  </si>
  <si>
    <t>Jutalom: részmunkaidős</t>
  </si>
  <si>
    <t>K22</t>
  </si>
  <si>
    <t>Rehabilitációs hozzájárulás</t>
  </si>
  <si>
    <t>K3114</t>
  </si>
  <si>
    <t>Szakmai anyag: tempera, krepp papír barkácsoláshoz</t>
  </si>
  <si>
    <t>Felhalm. célú pénze. átv. ÁH. kívülről</t>
  </si>
  <si>
    <t>KÖLTSÉGVETÉSI FŐÖSSZEG</t>
  </si>
  <si>
    <t>Finanszírozási célú bevételek</t>
  </si>
  <si>
    <t>Finanszírozási célú kiadások</t>
  </si>
  <si>
    <t>FELHALMOZÁSI BEVÉTELEK ÖSSZ.</t>
  </si>
  <si>
    <t>Bértámogatás</t>
  </si>
  <si>
    <r>
      <t xml:space="preserve">Jövedelem adók: </t>
    </r>
    <r>
      <rPr>
        <sz val="12"/>
        <rFont val="Times"/>
      </rPr>
      <t>termőföld bérbeadás</t>
    </r>
  </si>
  <si>
    <r>
      <t xml:space="preserve">Vagyoni típusú adók: </t>
    </r>
    <r>
      <rPr>
        <sz val="12"/>
        <rFont val="Times"/>
      </rPr>
      <t>építmény, telekadó</t>
    </r>
  </si>
  <si>
    <r>
      <rPr>
        <b/>
        <sz val="12"/>
        <rFont val="Times"/>
      </rPr>
      <t xml:space="preserve">Értékesítési és forgalmi adók: </t>
    </r>
    <r>
      <rPr>
        <sz val="12"/>
        <rFont val="Times"/>
      </rPr>
      <t>iparűzési adó</t>
    </r>
  </si>
  <si>
    <r>
      <rPr>
        <b/>
        <sz val="12"/>
        <rFont val="Times"/>
      </rPr>
      <t>Egyéb adók</t>
    </r>
    <r>
      <rPr>
        <sz val="12"/>
        <rFont val="Times"/>
      </rPr>
      <t>: talajterhelési díj</t>
    </r>
  </si>
  <si>
    <t xml:space="preserve">                       bírság, pótlék</t>
  </si>
  <si>
    <t xml:space="preserve">                       környezetvédelmi bírság</t>
  </si>
  <si>
    <t>Készletértékesítés ellenértéke</t>
  </si>
  <si>
    <t>Közvetített szolgáltatások ellenértéke</t>
  </si>
  <si>
    <t>Tulajdonosi bevételek</t>
  </si>
  <si>
    <t>Általános forgalmi adó visszatérítése</t>
  </si>
  <si>
    <t>Kamatbevételek és más nyereségjellegű bevételek</t>
  </si>
  <si>
    <t>Jövedelem adók: termőföld bérbeadás</t>
  </si>
  <si>
    <t>Vagyoni típusú adók: építmény, telekadó</t>
  </si>
  <si>
    <t>Értékesítési és forgalmi adók: iparűzési adó</t>
  </si>
  <si>
    <t>Egyéb adók: talajterhelési díj</t>
  </si>
  <si>
    <t>összesen</t>
  </si>
  <si>
    <t>Működési kiadások összesen</t>
  </si>
  <si>
    <t>Felhalmozási kiadások</t>
  </si>
  <si>
    <t>K5021</t>
  </si>
  <si>
    <t>K5022</t>
  </si>
  <si>
    <t>HALMOZOTT KIADÁSOK ÖSSZ.</t>
  </si>
  <si>
    <t>Nem veszélyes
hulladék
kezelése,
ártalmatlanítása</t>
  </si>
  <si>
    <t>Önkormányzatok funkcióira nem sorolható bevételei áh.-n kívülről</t>
  </si>
  <si>
    <t>Szennyvíz gyűjtése, tisztítása</t>
  </si>
  <si>
    <t>Az önkormányzati vagyonnal való gazd. Kapcsolatos feladatok</t>
  </si>
  <si>
    <t>Város- és községgazdálkodás egyéb szolgáltatások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</si>
  <si>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</si>
  <si>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</si>
  <si>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</si>
  <si>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</si>
  <si>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>011130 Önkormányzati jogalkotás</t>
  </si>
  <si>
    <t>032020 Tűz és katasztrófavédelmi tevékenység</t>
  </si>
  <si>
    <t>018030Támogatási célú finanszírozási műveletek</t>
  </si>
  <si>
    <t>Közös Hivatal fennt-hoz átvett pénzeszközök</t>
  </si>
  <si>
    <t>változás
(%)</t>
  </si>
  <si>
    <t>telj. arány
mód.
EI-hoz (%)</t>
  </si>
  <si>
    <t>VI.</t>
  </si>
  <si>
    <t>telj. arány
mód.
EI-hoz
(%)</t>
  </si>
  <si>
    <t>telj. arány
mód. EI-hoz
(%)</t>
  </si>
  <si>
    <t>A helyi önkormányzatok törvényi előíráson alapuló befizetései</t>
  </si>
  <si>
    <t xml:space="preserve">telj.
arány
mód.
EI-hoz (%) </t>
  </si>
  <si>
    <t>ÓVODA</t>
  </si>
  <si>
    <t>vált.
(%)</t>
  </si>
  <si>
    <t>HALMOZOTT BEVÉTELEK ÖSSZESEN</t>
  </si>
  <si>
    <t>Egyéb felhalmozási célú támogatások ÁH-n kívülre</t>
  </si>
  <si>
    <t>+37.449,-Ft: szelektív ingeráram készülék: Amazone; +95.410,-Ft: iratmegsemmisítő</t>
  </si>
  <si>
    <r>
      <t xml:space="preserve">Egyéb tárgyi eszközök: tányér, evőeszköz, mosogatógép, kuka, </t>
    </r>
    <r>
      <rPr>
        <b/>
        <sz val="10"/>
        <rFont val="Times"/>
        <charset val="238"/>
      </rPr>
      <t>külső adattároló</t>
    </r>
    <r>
      <rPr>
        <sz val="10"/>
        <rFont val="Times"/>
        <charset val="238"/>
      </rPr>
      <t xml:space="preserve">, </t>
    </r>
    <r>
      <rPr>
        <b/>
        <sz val="10"/>
        <rFont val="Times"/>
        <charset val="238"/>
      </rPr>
      <t>üzenetrögzítős telefon</t>
    </r>
    <r>
      <rPr>
        <sz val="10"/>
        <rFont val="Times"/>
        <charset val="238"/>
      </rPr>
      <t xml:space="preserve">, falitükör, konyhaszekrény, beltéri hírdetőtábla, olvasólámpa, </t>
    </r>
    <r>
      <rPr>
        <b/>
        <sz val="10"/>
        <rFont val="Times"/>
        <charset val="238"/>
      </rPr>
      <t>szelektív ingeráram készülék Amazone-tól, mobiltelefon (temető), virágtartó láda (temető), vérnyomásmérő, fénymásoló (lízing: Kultúrház)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</si>
</sst>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  <numFmt numFmtId="167" formatCode="0&quot;. évi&quot;"/>
    <numFmt numFmtId="168" formatCode="0&quot;. I. félévi&quot;"/>
    <numFmt numFmtId="169" formatCode="#,##0\ _F_t"/>
    <numFmt numFmtId="170" formatCode="_-* #,##0\ _F_t_-;\-* #,##0\ _F_t_-;_-* &quot;-&quot;\ _F_t_-;_-@_-"/>
    <numFmt numFmtId="171" formatCode="0&quot; fő&quot;"/>
  </numFmts>
  <fonts count="1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sz val="14"/>
      <name val="Times New Roman"/>
      <family val="1"/>
      <charset val="238"/>
    </font>
    <font>
      <b/>
      <sz val="12"/>
      <color indexed="8"/>
      <name val="Times"/>
      <family val="1"/>
      <charset val="238"/>
    </font>
    <font>
      <sz val="10"/>
      <name val="Times"/>
      <family val="1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b/>
      <sz val="10"/>
      <name val="Arial CE"/>
      <charset val="238"/>
    </font>
    <font>
      <sz val="10"/>
      <name val="Times"/>
      <family val="1"/>
      <charset val="238"/>
    </font>
    <font>
      <b/>
      <sz val="11"/>
      <name val="Times"/>
      <family val="1"/>
    </font>
    <font>
      <sz val="12"/>
      <name val="Times"/>
      <family val="1"/>
      <charset val="238"/>
    </font>
    <font>
      <sz val="11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0"/>
      <color indexed="10"/>
      <name val="Times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rgb="FF0070C0"/>
      <name val="Arial CE"/>
      <charset val="238"/>
    </font>
    <font>
      <sz val="10"/>
      <color rgb="FF0070C0"/>
      <name val="Times"/>
      <family val="1"/>
      <charset val="238"/>
    </font>
    <font>
      <b/>
      <sz val="11"/>
      <color rgb="FF0070C0"/>
      <name val="Times"/>
      <family val="1"/>
      <charset val="238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sz val="10"/>
      <color rgb="FF0070C0"/>
      <name val="Times"/>
      <charset val="238"/>
    </font>
    <font>
      <sz val="11"/>
      <color rgb="FF0070C0"/>
      <name val="Times"/>
      <charset val="238"/>
    </font>
    <font>
      <sz val="10"/>
      <color rgb="FF0070C0"/>
      <name val="Times New Roman"/>
      <family val="1"/>
      <charset val="238"/>
    </font>
    <font>
      <sz val="14"/>
      <name val="Arial CE"/>
      <charset val="238"/>
    </font>
    <font>
      <b/>
      <sz val="10"/>
      <name val="Times"/>
      <charset val="238"/>
    </font>
    <font>
      <b/>
      <sz val="13"/>
      <name val="Times"/>
      <family val="1"/>
      <charset val="238"/>
    </font>
    <font>
      <sz val="13"/>
      <name val="Times"/>
      <family val="1"/>
      <charset val="238"/>
    </font>
    <font>
      <b/>
      <sz val="13"/>
      <name val="Times"/>
      <charset val="238"/>
    </font>
    <font>
      <b/>
      <sz val="13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2"/>
      <name val="Times"/>
      <charset val="238"/>
    </font>
    <font>
      <sz val="13"/>
      <name val="Times"/>
      <charset val="238"/>
    </font>
    <font>
      <sz val="12"/>
      <name val="Times"/>
    </font>
    <font>
      <b/>
      <sz val="15"/>
      <name val="Times"/>
      <family val="1"/>
    </font>
    <font>
      <sz val="13"/>
      <name val="Times"/>
      <family val="1"/>
    </font>
    <font>
      <b/>
      <sz val="15"/>
      <color rgb="FFFF0000"/>
      <name val="Times"/>
      <family val="1"/>
    </font>
    <font>
      <b/>
      <sz val="12"/>
      <name val="Times"/>
    </font>
    <font>
      <sz val="10"/>
      <name val="Times"/>
      <charset val="238"/>
    </font>
    <font>
      <b/>
      <sz val="13"/>
      <color rgb="FFFF0000"/>
      <name val="Times"/>
      <family val="1"/>
    </font>
    <font>
      <b/>
      <sz val="13"/>
      <name val="Times"/>
    </font>
    <font>
      <b/>
      <sz val="11"/>
      <name val="Times"/>
    </font>
    <font>
      <b/>
      <sz val="14"/>
      <color indexed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Arial CE"/>
      <charset val="238"/>
    </font>
    <font>
      <sz val="10"/>
      <color indexed="8"/>
      <name val="Times"/>
      <charset val="238"/>
    </font>
    <font>
      <b/>
      <sz val="11"/>
      <color indexed="8"/>
      <name val="Times New Roman"/>
      <family val="1"/>
      <charset val="238"/>
    </font>
    <font>
      <sz val="9"/>
      <name val="Times"/>
      <charset val="238"/>
    </font>
    <font>
      <b/>
      <sz val="14"/>
      <name val="Times"/>
      <family val="1"/>
    </font>
    <font>
      <b/>
      <sz val="14"/>
      <color rgb="FFFF0000"/>
      <name val="Times"/>
      <family val="1"/>
    </font>
    <font>
      <b/>
      <sz val="14"/>
      <name val="Times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ck">
        <color indexed="64"/>
      </right>
      <top style="thin">
        <color indexed="64"/>
      </top>
      <bottom/>
      <diagonal/>
    </border>
    <border>
      <left style="mediumDashed">
        <color indexed="64"/>
      </left>
      <right style="thick">
        <color indexed="64"/>
      </right>
      <top/>
      <bottom/>
      <diagonal/>
    </border>
    <border>
      <left style="mediumDashed">
        <color indexed="64"/>
      </left>
      <right style="thick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74" fillId="0" borderId="0"/>
    <xf numFmtId="0" fontId="1" fillId="0" borderId="0"/>
    <xf numFmtId="0" fontId="45" fillId="0" borderId="0"/>
    <xf numFmtId="0" fontId="9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872">
    <xf numFmtId="0" fontId="0" fillId="0" borderId="0" xfId="0"/>
    <xf numFmtId="0" fontId="5" fillId="0" borderId="10" xfId="0" applyFont="1" applyBorder="1"/>
    <xf numFmtId="165" fontId="7" fillId="24" borderId="10" xfId="26" applyNumberFormat="1" applyFont="1" applyFill="1" applyBorder="1"/>
    <xf numFmtId="165" fontId="8" fillId="24" borderId="10" xfId="26" applyNumberFormat="1" applyFont="1" applyFill="1" applyBorder="1"/>
    <xf numFmtId="165" fontId="6" fillId="25" borderId="10" xfId="26" applyNumberFormat="1" applyFont="1" applyFill="1" applyBorder="1"/>
    <xf numFmtId="0" fontId="7" fillId="24" borderId="10" xfId="0" applyFont="1" applyFill="1" applyBorder="1" applyAlignment="1">
      <alignment horizontal="center"/>
    </xf>
    <xf numFmtId="0" fontId="8" fillId="25" borderId="10" xfId="0" applyFont="1" applyFill="1" applyBorder="1"/>
    <xf numFmtId="0" fontId="6" fillId="25" borderId="10" xfId="0" applyFont="1" applyFill="1" applyBorder="1" applyAlignment="1">
      <alignment horizontal="center"/>
    </xf>
    <xf numFmtId="0" fontId="6" fillId="25" borderId="10" xfId="0" applyFont="1" applyFill="1" applyBorder="1"/>
    <xf numFmtId="0" fontId="6" fillId="0" borderId="10" xfId="0" applyFont="1" applyBorder="1" applyAlignment="1">
      <alignment horizontal="center"/>
    </xf>
    <xf numFmtId="0" fontId="26" fillId="25" borderId="10" xfId="0" applyFont="1" applyFill="1" applyBorder="1"/>
    <xf numFmtId="0" fontId="6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6" fillId="0" borderId="10" xfId="0" applyFont="1" applyBorder="1"/>
    <xf numFmtId="165" fontId="6" fillId="26" borderId="10" xfId="26" applyNumberFormat="1" applyFont="1" applyFill="1" applyBorder="1" applyAlignment="1">
      <alignment horizontal="center"/>
    </xf>
    <xf numFmtId="0" fontId="27" fillId="25" borderId="10" xfId="0" applyFont="1" applyFill="1" applyBorder="1"/>
    <xf numFmtId="0" fontId="4" fillId="0" borderId="10" xfId="0" applyFont="1" applyBorder="1"/>
    <xf numFmtId="0" fontId="37" fillId="0" borderId="10" xfId="0" applyFont="1" applyBorder="1"/>
    <xf numFmtId="0" fontId="5" fillId="0" borderId="14" xfId="0" applyFont="1" applyBorder="1"/>
    <xf numFmtId="0" fontId="27" fillId="25" borderId="14" xfId="0" applyFont="1" applyFill="1" applyBorder="1"/>
    <xf numFmtId="165" fontId="8" fillId="24" borderId="14" xfId="26" applyNumberFormat="1" applyFont="1" applyFill="1" applyBorder="1"/>
    <xf numFmtId="0" fontId="5" fillId="0" borderId="10" xfId="0" applyFont="1" applyFill="1" applyBorder="1"/>
    <xf numFmtId="0" fontId="4" fillId="0" borderId="10" xfId="0" applyFont="1" applyFill="1" applyBorder="1"/>
    <xf numFmtId="165" fontId="5" fillId="0" borderId="10" xfId="26" applyNumberFormat="1" applyFont="1" applyBorder="1"/>
    <xf numFmtId="165" fontId="4" fillId="0" borderId="10" xfId="26" applyNumberFormat="1" applyFont="1" applyBorder="1"/>
    <xf numFmtId="165" fontId="5" fillId="0" borderId="14" xfId="26" applyNumberFormat="1" applyFont="1" applyBorder="1"/>
    <xf numFmtId="165" fontId="4" fillId="0" borderId="10" xfId="26" applyNumberFormat="1" applyFont="1" applyFill="1" applyBorder="1"/>
    <xf numFmtId="0" fontId="5" fillId="27" borderId="10" xfId="0" applyFont="1" applyFill="1" applyBorder="1"/>
    <xf numFmtId="165" fontId="29" fillId="0" borderId="10" xfId="26" applyNumberFormat="1" applyFont="1" applyBorder="1"/>
    <xf numFmtId="0" fontId="29" fillId="0" borderId="0" xfId="0" applyFont="1"/>
    <xf numFmtId="165" fontId="29" fillId="0" borderId="0" xfId="0" applyNumberFormat="1" applyFont="1"/>
    <xf numFmtId="165" fontId="29" fillId="0" borderId="0" xfId="26" applyNumberFormat="1" applyFont="1"/>
    <xf numFmtId="165" fontId="26" fillId="25" borderId="10" xfId="26" applyNumberFormat="1" applyFont="1" applyFill="1" applyBorder="1"/>
    <xf numFmtId="0" fontId="5" fillId="25" borderId="10" xfId="0" applyFont="1" applyFill="1" applyBorder="1"/>
    <xf numFmtId="165" fontId="28" fillId="28" borderId="10" xfId="26" applyNumberFormat="1" applyFont="1" applyFill="1" applyBorder="1"/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7" fillId="25" borderId="10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26" fillId="0" borderId="17" xfId="42" applyFont="1" applyFill="1" applyBorder="1" applyAlignment="1" applyProtection="1">
      <alignment horizontal="center" vertical="center"/>
    </xf>
    <xf numFmtId="0" fontId="26" fillId="0" borderId="18" xfId="42" applyFont="1" applyFill="1" applyBorder="1" applyAlignment="1" applyProtection="1">
      <alignment horizontal="center" vertical="center"/>
    </xf>
    <xf numFmtId="0" fontId="27" fillId="0" borderId="10" xfId="42" applyFont="1" applyFill="1" applyBorder="1" applyAlignment="1" applyProtection="1">
      <alignment horizontal="left" vertical="center" indent="1"/>
      <protection locked="0"/>
    </xf>
    <xf numFmtId="166" fontId="27" fillId="0" borderId="10" xfId="42" applyNumberFormat="1" applyFont="1" applyFill="1" applyBorder="1" applyAlignment="1" applyProtection="1">
      <alignment vertical="center"/>
      <protection locked="0"/>
    </xf>
    <xf numFmtId="166" fontId="26" fillId="0" borderId="19" xfId="42" applyNumberFormat="1" applyFont="1" applyFill="1" applyBorder="1" applyAlignment="1" applyProtection="1">
      <alignment vertical="center"/>
    </xf>
    <xf numFmtId="0" fontId="27" fillId="0" borderId="14" xfId="42" applyFont="1" applyFill="1" applyBorder="1" applyAlignment="1" applyProtection="1">
      <alignment horizontal="left" vertical="center" indent="1"/>
      <protection locked="0"/>
    </xf>
    <xf numFmtId="166" fontId="27" fillId="0" borderId="14" xfId="42" applyNumberFormat="1" applyFont="1" applyFill="1" applyBorder="1" applyAlignment="1" applyProtection="1">
      <alignment vertical="center"/>
      <protection locked="0"/>
    </xf>
    <xf numFmtId="166" fontId="26" fillId="0" borderId="20" xfId="42" applyNumberFormat="1" applyFont="1" applyFill="1" applyBorder="1" applyAlignment="1" applyProtection="1">
      <alignment vertical="center"/>
    </xf>
    <xf numFmtId="0" fontId="27" fillId="0" borderId="15" xfId="42" applyFont="1" applyFill="1" applyBorder="1" applyAlignment="1" applyProtection="1">
      <alignment horizontal="left" vertical="center" indent="1"/>
      <protection locked="0"/>
    </xf>
    <xf numFmtId="166" fontId="27" fillId="0" borderId="15" xfId="42" applyNumberFormat="1" applyFont="1" applyFill="1" applyBorder="1" applyAlignment="1" applyProtection="1">
      <alignment vertical="center"/>
      <protection locked="0"/>
    </xf>
    <xf numFmtId="0" fontId="26" fillId="0" borderId="21" xfId="42" applyFont="1" applyFill="1" applyBorder="1" applyAlignment="1" applyProtection="1">
      <alignment horizontal="left" vertical="center" indent="1"/>
    </xf>
    <xf numFmtId="166" fontId="26" fillId="0" borderId="21" xfId="42" applyNumberFormat="1" applyFont="1" applyFill="1" applyBorder="1" applyAlignment="1" applyProtection="1">
      <alignment vertical="center"/>
    </xf>
    <xf numFmtId="166" fontId="26" fillId="0" borderId="22" xfId="42" applyNumberFormat="1" applyFont="1" applyFill="1" applyBorder="1" applyAlignment="1" applyProtection="1">
      <alignment vertical="center"/>
    </xf>
    <xf numFmtId="0" fontId="26" fillId="0" borderId="21" xfId="42" applyFont="1" applyFill="1" applyBorder="1" applyAlignment="1" applyProtection="1">
      <alignment horizontal="left" indent="1"/>
      <protection locked="0"/>
    </xf>
    <xf numFmtId="166" fontId="26" fillId="0" borderId="21" xfId="42" applyNumberFormat="1" applyFont="1" applyFill="1" applyBorder="1" applyProtection="1"/>
    <xf numFmtId="0" fontId="6" fillId="25" borderId="0" xfId="0" applyFont="1" applyFill="1" applyAlignment="1">
      <alignment horizontal="left"/>
    </xf>
    <xf numFmtId="0" fontId="29" fillId="25" borderId="0" xfId="0" applyFont="1" applyFill="1"/>
    <xf numFmtId="165" fontId="40" fillId="25" borderId="0" xfId="26" applyNumberFormat="1" applyFont="1" applyFill="1"/>
    <xf numFmtId="165" fontId="7" fillId="28" borderId="10" xfId="26" applyNumberFormat="1" applyFont="1" applyFill="1" applyBorder="1"/>
    <xf numFmtId="165" fontId="8" fillId="28" borderId="10" xfId="26" applyNumberFormat="1" applyFont="1" applyFill="1" applyBorder="1"/>
    <xf numFmtId="0" fontId="7" fillId="28" borderId="10" xfId="0" applyFont="1" applyFill="1" applyBorder="1"/>
    <xf numFmtId="165" fontId="7" fillId="25" borderId="10" xfId="26" applyNumberFormat="1" applyFont="1" applyFill="1" applyBorder="1"/>
    <xf numFmtId="165" fontId="27" fillId="28" borderId="10" xfId="26" applyNumberFormat="1" applyFont="1" applyFill="1" applyBorder="1"/>
    <xf numFmtId="0" fontId="27" fillId="0" borderId="0" xfId="0" applyFont="1" applyBorder="1"/>
    <xf numFmtId="165" fontId="44" fillId="28" borderId="10" xfId="26" applyNumberFormat="1" applyFont="1" applyFill="1" applyBorder="1"/>
    <xf numFmtId="165" fontId="47" fillId="28" borderId="10" xfId="26" applyNumberFormat="1" applyFont="1" applyFill="1" applyBorder="1"/>
    <xf numFmtId="165" fontId="54" fillId="25" borderId="10" xfId="26" applyNumberFormat="1" applyFont="1" applyFill="1" applyBorder="1"/>
    <xf numFmtId="165" fontId="51" fillId="25" borderId="10" xfId="26" applyNumberFormat="1" applyFont="1" applyFill="1" applyBorder="1"/>
    <xf numFmtId="165" fontId="54" fillId="28" borderId="10" xfId="26" applyNumberFormat="1" applyFont="1" applyFill="1" applyBorder="1"/>
    <xf numFmtId="165" fontId="7" fillId="28" borderId="10" xfId="27" applyNumberFormat="1" applyFont="1" applyFill="1" applyBorder="1"/>
    <xf numFmtId="0" fontId="59" fillId="0" borderId="0" xfId="0" applyFont="1"/>
    <xf numFmtId="0" fontId="8" fillId="0" borderId="10" xfId="0" applyFont="1" applyFill="1" applyBorder="1"/>
    <xf numFmtId="0" fontId="47" fillId="0" borderId="10" xfId="0" applyFont="1" applyFill="1" applyBorder="1"/>
    <xf numFmtId="0" fontId="67" fillId="25" borderId="10" xfId="0" applyFont="1" applyFill="1" applyBorder="1" applyAlignment="1" applyProtection="1">
      <alignment horizontal="left" vertical="center" wrapText="1"/>
      <protection locked="0"/>
    </xf>
    <xf numFmtId="165" fontId="53" fillId="28" borderId="0" xfId="26" applyNumberFormat="1" applyFont="1" applyFill="1"/>
    <xf numFmtId="165" fontId="53" fillId="0" borderId="0" xfId="26" applyNumberFormat="1" applyFont="1"/>
    <xf numFmtId="165" fontId="31" fillId="28" borderId="10" xfId="26" applyNumberFormat="1" applyFont="1" applyFill="1" applyBorder="1"/>
    <xf numFmtId="165" fontId="61" fillId="28" borderId="10" xfId="27" applyNumberFormat="1" applyFont="1" applyFill="1" applyBorder="1"/>
    <xf numFmtId="165" fontId="30" fillId="0" borderId="10" xfId="26" applyNumberFormat="1" applyFont="1" applyBorder="1"/>
    <xf numFmtId="0" fontId="67" fillId="25" borderId="10" xfId="0" applyFont="1" applyFill="1" applyBorder="1"/>
    <xf numFmtId="0" fontId="74" fillId="0" borderId="0" xfId="40" applyFill="1"/>
    <xf numFmtId="0" fontId="74" fillId="0" borderId="0" xfId="40"/>
    <xf numFmtId="0" fontId="71" fillId="0" borderId="0" xfId="40" applyFont="1"/>
    <xf numFmtId="0" fontId="71" fillId="0" borderId="0" xfId="40" applyFont="1" applyBorder="1" applyAlignment="1">
      <alignment horizontal="center"/>
    </xf>
    <xf numFmtId="0" fontId="71" fillId="0" borderId="30" xfId="40" applyFont="1" applyBorder="1"/>
    <xf numFmtId="0" fontId="71" fillId="0" borderId="0" xfId="40" applyFont="1" applyBorder="1"/>
    <xf numFmtId="0" fontId="55" fillId="0" borderId="31" xfId="40" applyFont="1" applyFill="1" applyBorder="1" applyAlignment="1">
      <alignment horizontal="center"/>
    </xf>
    <xf numFmtId="0" fontId="71" fillId="0" borderId="32" xfId="40" applyFont="1" applyBorder="1" applyAlignment="1">
      <alignment horizontal="center" wrapText="1"/>
    </xf>
    <xf numFmtId="0" fontId="71" fillId="0" borderId="31" xfId="40" applyFont="1" applyBorder="1"/>
    <xf numFmtId="0" fontId="55" fillId="0" borderId="34" xfId="40" applyFont="1" applyFill="1" applyBorder="1"/>
    <xf numFmtId="0" fontId="55" fillId="0" borderId="34" xfId="40" applyFont="1" applyBorder="1"/>
    <xf numFmtId="0" fontId="74" fillId="0" borderId="34" xfId="40" applyFill="1" applyBorder="1"/>
    <xf numFmtId="0" fontId="74" fillId="0" borderId="0" xfId="40" applyBorder="1"/>
    <xf numFmtId="0" fontId="35" fillId="0" borderId="34" xfId="40" applyFont="1" applyFill="1" applyBorder="1" applyAlignment="1">
      <alignment wrapText="1"/>
    </xf>
    <xf numFmtId="0" fontId="35" fillId="0" borderId="34" xfId="40" applyFont="1" applyBorder="1"/>
    <xf numFmtId="0" fontId="71" fillId="0" borderId="34" xfId="40" applyFont="1" applyFill="1" applyBorder="1"/>
    <xf numFmtId="0" fontId="35" fillId="0" borderId="34" xfId="40" applyFont="1" applyFill="1" applyBorder="1"/>
    <xf numFmtId="0" fontId="55" fillId="0" borderId="35" xfId="40" applyFont="1" applyFill="1" applyBorder="1"/>
    <xf numFmtId="0" fontId="55" fillId="0" borderId="36" xfId="40" applyFont="1" applyFill="1" applyBorder="1"/>
    <xf numFmtId="0" fontId="71" fillId="0" borderId="30" xfId="40" applyFont="1" applyFill="1" applyBorder="1"/>
    <xf numFmtId="0" fontId="71" fillId="0" borderId="0" xfId="0" applyFont="1"/>
    <xf numFmtId="0" fontId="71" fillId="0" borderId="30" xfId="0" applyFont="1" applyFill="1" applyBorder="1"/>
    <xf numFmtId="0" fontId="71" fillId="0" borderId="30" xfId="0" applyFont="1" applyFill="1" applyBorder="1" applyAlignment="1">
      <alignment horizontal="center"/>
    </xf>
    <xf numFmtId="0" fontId="74" fillId="0" borderId="37" xfId="0" applyFont="1" applyBorder="1"/>
    <xf numFmtId="3" fontId="74" fillId="0" borderId="37" xfId="0" applyNumberFormat="1" applyFont="1" applyFill="1" applyBorder="1"/>
    <xf numFmtId="0" fontId="74" fillId="0" borderId="34" xfId="0" applyFont="1" applyBorder="1"/>
    <xf numFmtId="3" fontId="74" fillId="0" borderId="34" xfId="0" applyNumberFormat="1" applyFont="1" applyFill="1" applyBorder="1"/>
    <xf numFmtId="3" fontId="74" fillId="0" borderId="36" xfId="0" applyNumberFormat="1" applyFont="1" applyFill="1" applyBorder="1"/>
    <xf numFmtId="0" fontId="71" fillId="0" borderId="30" xfId="0" applyFont="1" applyBorder="1"/>
    <xf numFmtId="3" fontId="71" fillId="0" borderId="30" xfId="0" applyNumberFormat="1" applyFont="1" applyFill="1" applyBorder="1"/>
    <xf numFmtId="0" fontId="74" fillId="0" borderId="35" xfId="0" applyFont="1" applyBorder="1"/>
    <xf numFmtId="3" fontId="74" fillId="0" borderId="35" xfId="0" applyNumberFormat="1" applyFont="1" applyFill="1" applyBorder="1"/>
    <xf numFmtId="3" fontId="71" fillId="0" borderId="30" xfId="0" applyNumberFormat="1" applyFont="1" applyBorder="1"/>
    <xf numFmtId="0" fontId="74" fillId="0" borderId="0" xfId="0" applyFont="1" applyFill="1" applyBorder="1"/>
    <xf numFmtId="3" fontId="74" fillId="0" borderId="0" xfId="0" applyNumberFormat="1" applyFont="1" applyFill="1" applyBorder="1"/>
    <xf numFmtId="0" fontId="74" fillId="0" borderId="38" xfId="0" applyFont="1" applyFill="1" applyBorder="1"/>
    <xf numFmtId="3" fontId="0" fillId="0" borderId="38" xfId="0" applyNumberFormat="1" applyBorder="1"/>
    <xf numFmtId="0" fontId="74" fillId="0" borderId="34" xfId="0" applyFont="1" applyFill="1" applyBorder="1"/>
    <xf numFmtId="3" fontId="0" fillId="0" borderId="34" xfId="0" applyNumberFormat="1" applyBorder="1"/>
    <xf numFmtId="3" fontId="74" fillId="0" borderId="34" xfId="0" applyNumberFormat="1" applyFont="1" applyBorder="1" applyAlignment="1">
      <alignment horizontal="left"/>
    </xf>
    <xf numFmtId="0" fontId="74" fillId="0" borderId="0" xfId="0" applyFont="1"/>
    <xf numFmtId="0" fontId="75" fillId="0" borderId="10" xfId="0" applyFont="1" applyBorder="1" applyAlignment="1">
      <alignment horizontal="center"/>
    </xf>
    <xf numFmtId="0" fontId="73" fillId="0" borderId="39" xfId="0" applyFont="1" applyBorder="1" applyAlignment="1">
      <alignment horizontal="center"/>
    </xf>
    <xf numFmtId="0" fontId="75" fillId="0" borderId="15" xfId="0" applyFont="1" applyBorder="1"/>
    <xf numFmtId="3" fontId="75" fillId="0" borderId="15" xfId="0" applyNumberFormat="1" applyFont="1" applyBorder="1"/>
    <xf numFmtId="0" fontId="75" fillId="0" borderId="40" xfId="0" applyFont="1" applyBorder="1"/>
    <xf numFmtId="3" fontId="75" fillId="0" borderId="40" xfId="0" applyNumberFormat="1" applyFont="1" applyBorder="1"/>
    <xf numFmtId="0" fontId="76" fillId="0" borderId="40" xfId="0" applyFont="1" applyBorder="1" applyAlignment="1">
      <alignment wrapText="1"/>
    </xf>
    <xf numFmtId="3" fontId="75" fillId="0" borderId="40" xfId="0" applyNumberFormat="1" applyFont="1" applyBorder="1" applyAlignment="1">
      <alignment wrapText="1"/>
    </xf>
    <xf numFmtId="0" fontId="75" fillId="0" borderId="40" xfId="0" applyFont="1" applyBorder="1" applyAlignment="1">
      <alignment wrapText="1"/>
    </xf>
    <xf numFmtId="0" fontId="75" fillId="0" borderId="41" xfId="0" applyFont="1" applyBorder="1"/>
    <xf numFmtId="3" fontId="75" fillId="0" borderId="41" xfId="0" applyNumberFormat="1" applyFont="1" applyBorder="1"/>
    <xf numFmtId="0" fontId="77" fillId="0" borderId="10" xfId="0" applyFont="1" applyBorder="1"/>
    <xf numFmtId="3" fontId="77" fillId="0" borderId="10" xfId="0" applyNumberFormat="1" applyFont="1" applyBorder="1"/>
    <xf numFmtId="0" fontId="78" fillId="25" borderId="10" xfId="0" applyFont="1" applyFill="1" applyBorder="1"/>
    <xf numFmtId="165" fontId="30" fillId="0" borderId="10" xfId="26" applyNumberFormat="1" applyFont="1" applyBorder="1" applyAlignment="1">
      <alignment horizontal="center"/>
    </xf>
    <xf numFmtId="0" fontId="43" fillId="0" borderId="0" xfId="0" applyFont="1"/>
    <xf numFmtId="165" fontId="54" fillId="25" borderId="10" xfId="27" applyNumberFormat="1" applyFont="1" applyFill="1" applyBorder="1"/>
    <xf numFmtId="165" fontId="60" fillId="0" borderId="10" xfId="26" applyNumberFormat="1" applyFont="1" applyBorder="1"/>
    <xf numFmtId="0" fontId="85" fillId="0" borderId="10" xfId="0" applyFont="1" applyBorder="1"/>
    <xf numFmtId="165" fontId="54" fillId="28" borderId="10" xfId="27" applyNumberFormat="1" applyFont="1" applyFill="1" applyBorder="1"/>
    <xf numFmtId="0" fontId="85" fillId="0" borderId="0" xfId="0" applyFont="1"/>
    <xf numFmtId="165" fontId="49" fillId="28" borderId="10" xfId="27" applyNumberFormat="1" applyFont="1" applyFill="1" applyBorder="1"/>
    <xf numFmtId="165" fontId="54" fillId="26" borderId="10" xfId="27" applyNumberFormat="1" applyFont="1" applyFill="1" applyBorder="1"/>
    <xf numFmtId="165" fontId="47" fillId="28" borderId="10" xfId="27" applyNumberFormat="1" applyFont="1" applyFill="1" applyBorder="1"/>
    <xf numFmtId="0" fontId="85" fillId="25" borderId="0" xfId="0" applyFont="1" applyFill="1"/>
    <xf numFmtId="165" fontId="51" fillId="25" borderId="0" xfId="26" applyNumberFormat="1" applyFont="1" applyFill="1"/>
    <xf numFmtId="165" fontId="60" fillId="25" borderId="0" xfId="26" applyNumberFormat="1" applyFont="1" applyFill="1"/>
    <xf numFmtId="0" fontId="43" fillId="25" borderId="0" xfId="0" applyFont="1" applyFill="1"/>
    <xf numFmtId="0" fontId="60" fillId="25" borderId="0" xfId="0" applyFont="1" applyFill="1"/>
    <xf numFmtId="165" fontId="78" fillId="25" borderId="10" xfId="26" applyNumberFormat="1" applyFont="1" applyFill="1" applyBorder="1"/>
    <xf numFmtId="165" fontId="83" fillId="28" borderId="10" xfId="27" applyNumberFormat="1" applyFont="1" applyFill="1" applyBorder="1"/>
    <xf numFmtId="0" fontId="85" fillId="28" borderId="0" xfId="0" applyFont="1" applyFill="1"/>
    <xf numFmtId="0" fontId="43" fillId="28" borderId="0" xfId="0" applyFont="1" applyFill="1"/>
    <xf numFmtId="165" fontId="60" fillId="0" borderId="15" xfId="26" applyNumberFormat="1" applyFont="1" applyBorder="1"/>
    <xf numFmtId="165" fontId="30" fillId="0" borderId="0" xfId="26" applyNumberFormat="1" applyFont="1" applyBorder="1" applyAlignment="1">
      <alignment horizontal="center"/>
    </xf>
    <xf numFmtId="165" fontId="51" fillId="0" borderId="10" xfId="26" applyNumberFormat="1" applyFont="1" applyBorder="1" applyAlignment="1">
      <alignment horizontal="center"/>
    </xf>
    <xf numFmtId="0" fontId="43" fillId="0" borderId="10" xfId="0" applyFont="1" applyBorder="1"/>
    <xf numFmtId="165" fontId="43" fillId="0" borderId="10" xfId="0" applyNumberFormat="1" applyFont="1" applyBorder="1"/>
    <xf numFmtId="165" fontId="53" fillId="0" borderId="10" xfId="26" applyNumberFormat="1" applyFont="1" applyBorder="1"/>
    <xf numFmtId="0" fontId="85" fillId="28" borderId="10" xfId="0" applyFont="1" applyFill="1" applyBorder="1"/>
    <xf numFmtId="165" fontId="53" fillId="28" borderId="10" xfId="26" applyNumberFormat="1" applyFont="1" applyFill="1" applyBorder="1"/>
    <xf numFmtId="0" fontId="43" fillId="28" borderId="10" xfId="0" applyFont="1" applyFill="1" applyBorder="1"/>
    <xf numFmtId="165" fontId="85" fillId="28" borderId="10" xfId="0" applyNumberFormat="1" applyFont="1" applyFill="1" applyBorder="1"/>
    <xf numFmtId="165" fontId="43" fillId="28" borderId="10" xfId="0" applyNumberFormat="1" applyFont="1" applyFill="1" applyBorder="1"/>
    <xf numFmtId="1" fontId="52" fillId="0" borderId="10" xfId="26" applyNumberFormat="1" applyFont="1" applyBorder="1" applyAlignment="1">
      <alignment horizontal="right"/>
    </xf>
    <xf numFmtId="1" fontId="52" fillId="0" borderId="10" xfId="26" applyNumberFormat="1" applyFont="1" applyBorder="1"/>
    <xf numFmtId="0" fontId="59" fillId="28" borderId="10" xfId="0" applyFont="1" applyFill="1" applyBorder="1"/>
    <xf numFmtId="165" fontId="59" fillId="28" borderId="10" xfId="0" applyNumberFormat="1" applyFont="1" applyFill="1" applyBorder="1"/>
    <xf numFmtId="0" fontId="87" fillId="25" borderId="10" xfId="0" applyFont="1" applyFill="1" applyBorder="1" applyAlignment="1">
      <alignment horizontal="center"/>
    </xf>
    <xf numFmtId="0" fontId="88" fillId="0" borderId="10" xfId="0" applyFont="1" applyBorder="1" applyAlignment="1">
      <alignment horizontal="center"/>
    </xf>
    <xf numFmtId="49" fontId="83" fillId="24" borderId="10" xfId="26" applyNumberFormat="1" applyFont="1" applyFill="1" applyBorder="1" applyAlignment="1">
      <alignment horizontal="center"/>
    </xf>
    <xf numFmtId="49" fontId="5" fillId="0" borderId="10" xfId="0" applyNumberFormat="1" applyFont="1" applyBorder="1"/>
    <xf numFmtId="0" fontId="7" fillId="24" borderId="10" xfId="0" applyFont="1" applyFill="1" applyBorder="1"/>
    <xf numFmtId="1" fontId="7" fillId="24" borderId="10" xfId="0" applyNumberFormat="1" applyFont="1" applyFill="1" applyBorder="1"/>
    <xf numFmtId="165" fontId="66" fillId="24" borderId="10" xfId="26" applyNumberFormat="1" applyFont="1" applyFill="1" applyBorder="1"/>
    <xf numFmtId="0" fontId="72" fillId="0" borderId="0" xfId="0" applyFont="1" applyBorder="1"/>
    <xf numFmtId="3" fontId="72" fillId="0" borderId="0" xfId="0" applyNumberFormat="1" applyFont="1" applyBorder="1"/>
    <xf numFmtId="0" fontId="73" fillId="0" borderId="0" xfId="0" applyFont="1" applyBorder="1"/>
    <xf numFmtId="0" fontId="55" fillId="0" borderId="0" xfId="40" applyFont="1" applyFill="1" applyBorder="1"/>
    <xf numFmtId="3" fontId="73" fillId="0" borderId="0" xfId="0" applyNumberFormat="1" applyFont="1" applyBorder="1"/>
    <xf numFmtId="0" fontId="35" fillId="0" borderId="0" xfId="40" applyFont="1" applyFill="1" applyBorder="1" applyAlignment="1">
      <alignment wrapText="1"/>
    </xf>
    <xf numFmtId="0" fontId="72" fillId="0" borderId="0" xfId="0" applyFont="1" applyBorder="1" applyAlignment="1">
      <alignment wrapText="1"/>
    </xf>
    <xf numFmtId="0" fontId="72" fillId="0" borderId="0" xfId="0" applyFont="1" applyBorder="1" applyAlignment="1"/>
    <xf numFmtId="0" fontId="0" fillId="0" borderId="0" xfId="0" applyBorder="1" applyAlignment="1"/>
    <xf numFmtId="3" fontId="70" fillId="0" borderId="0" xfId="0" applyNumberFormat="1" applyFont="1" applyBorder="1"/>
    <xf numFmtId="0" fontId="0" fillId="0" borderId="0" xfId="0" applyBorder="1"/>
    <xf numFmtId="166" fontId="0" fillId="0" borderId="0" xfId="0" applyNumberFormat="1"/>
    <xf numFmtId="0" fontId="27" fillId="25" borderId="16" xfId="42" applyFont="1" applyFill="1" applyBorder="1" applyAlignment="1" applyProtection="1">
      <alignment horizontal="left" vertical="center" indent="1"/>
    </xf>
    <xf numFmtId="166" fontId="27" fillId="25" borderId="16" xfId="42" applyNumberFormat="1" applyFont="1" applyFill="1" applyBorder="1" applyAlignment="1" applyProtection="1">
      <alignment vertical="center"/>
      <protection locked="0"/>
    </xf>
    <xf numFmtId="0" fontId="54" fillId="25" borderId="0" xfId="0" applyFont="1" applyFill="1" applyBorder="1" applyAlignment="1"/>
    <xf numFmtId="165" fontId="54" fillId="25" borderId="0" xfId="27" applyNumberFormat="1" applyFont="1" applyFill="1" applyBorder="1"/>
    <xf numFmtId="165" fontId="48" fillId="25" borderId="0" xfId="27" applyNumberFormat="1" applyFont="1" applyFill="1" applyBorder="1"/>
    <xf numFmtId="165" fontId="49" fillId="28" borderId="0" xfId="27" applyNumberFormat="1" applyFont="1" applyFill="1" applyBorder="1"/>
    <xf numFmtId="165" fontId="54" fillId="28" borderId="0" xfId="27" applyNumberFormat="1" applyFont="1" applyFill="1" applyBorder="1"/>
    <xf numFmtId="165" fontId="47" fillId="28" borderId="0" xfId="27" applyNumberFormat="1" applyFont="1" applyFill="1" applyBorder="1"/>
    <xf numFmtId="165" fontId="7" fillId="28" borderId="0" xfId="26" applyNumberFormat="1" applyFont="1" applyFill="1" applyBorder="1"/>
    <xf numFmtId="165" fontId="7" fillId="25" borderId="0" xfId="26" applyNumberFormat="1" applyFont="1" applyFill="1" applyBorder="1"/>
    <xf numFmtId="165" fontId="26" fillId="25" borderId="0" xfId="26" applyNumberFormat="1" applyFont="1" applyFill="1" applyBorder="1"/>
    <xf numFmtId="165" fontId="54" fillId="28" borderId="0" xfId="26" applyNumberFormat="1" applyFont="1" applyFill="1" applyBorder="1"/>
    <xf numFmtId="165" fontId="48" fillId="25" borderId="0" xfId="26" applyNumberFormat="1" applyFont="1" applyFill="1" applyBorder="1"/>
    <xf numFmtId="165" fontId="31" fillId="25" borderId="0" xfId="26" applyNumberFormat="1" applyFont="1" applyFill="1" applyBorder="1"/>
    <xf numFmtId="165" fontId="54" fillId="25" borderId="0" xfId="26" applyNumberFormat="1" applyFont="1" applyFill="1" applyBorder="1"/>
    <xf numFmtId="165" fontId="27" fillId="25" borderId="0" xfId="26" applyNumberFormat="1" applyFont="1" applyFill="1" applyBorder="1"/>
    <xf numFmtId="0" fontId="43" fillId="0" borderId="0" xfId="0" applyFont="1" applyBorder="1"/>
    <xf numFmtId="165" fontId="62" fillId="28" borderId="0" xfId="26" applyNumberFormat="1" applyFont="1" applyFill="1" applyBorder="1"/>
    <xf numFmtId="165" fontId="47" fillId="28" borderId="0" xfId="26" applyNumberFormat="1" applyFont="1" applyFill="1" applyBorder="1"/>
    <xf numFmtId="165" fontId="27" fillId="28" borderId="0" xfId="26" applyNumberFormat="1" applyFont="1" applyFill="1" applyBorder="1"/>
    <xf numFmtId="165" fontId="8" fillId="28" borderId="0" xfId="26" applyNumberFormat="1" applyFont="1" applyFill="1" applyBorder="1"/>
    <xf numFmtId="165" fontId="31" fillId="28" borderId="0" xfId="26" applyNumberFormat="1" applyFont="1" applyFill="1" applyBorder="1"/>
    <xf numFmtId="0" fontId="56" fillId="25" borderId="0" xfId="0" applyFont="1" applyFill="1" applyBorder="1"/>
    <xf numFmtId="0" fontId="85" fillId="0" borderId="0" xfId="0" applyFont="1" applyBorder="1"/>
    <xf numFmtId="0" fontId="63" fillId="25" borderId="0" xfId="0" applyFont="1" applyFill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72" fillId="0" borderId="47" xfId="0" applyFont="1" applyBorder="1"/>
    <xf numFmtId="0" fontId="72" fillId="0" borderId="38" xfId="0" applyFont="1" applyBorder="1"/>
    <xf numFmtId="3" fontId="72" fillId="0" borderId="38" xfId="0" applyNumberFormat="1" applyFont="1" applyBorder="1"/>
    <xf numFmtId="0" fontId="73" fillId="0" borderId="48" xfId="0" applyFont="1" applyBorder="1"/>
    <xf numFmtId="0" fontId="73" fillId="0" borderId="37" xfId="0" applyFont="1" applyBorder="1"/>
    <xf numFmtId="3" fontId="73" fillId="0" borderId="37" xfId="0" applyNumberFormat="1" applyFont="1" applyBorder="1"/>
    <xf numFmtId="0" fontId="73" fillId="0" borderId="49" xfId="0" applyFont="1" applyBorder="1"/>
    <xf numFmtId="0" fontId="73" fillId="0" borderId="34" xfId="0" applyFont="1" applyBorder="1"/>
    <xf numFmtId="3" fontId="73" fillId="0" borderId="34" xfId="0" applyNumberFormat="1" applyFont="1" applyBorder="1"/>
    <xf numFmtId="3" fontId="70" fillId="0" borderId="30" xfId="0" applyNumberFormat="1" applyFont="1" applyBorder="1"/>
    <xf numFmtId="165" fontId="62" fillId="28" borderId="10" xfId="26" applyNumberFormat="1" applyFont="1" applyFill="1" applyBorder="1"/>
    <xf numFmtId="165" fontId="82" fillId="25" borderId="10" xfId="26" applyNumberFormat="1" applyFont="1" applyFill="1" applyBorder="1"/>
    <xf numFmtId="166" fontId="87" fillId="25" borderId="16" xfId="42" applyNumberFormat="1" applyFont="1" applyFill="1" applyBorder="1" applyAlignment="1" applyProtection="1">
      <alignment vertical="center"/>
      <protection locked="0"/>
    </xf>
    <xf numFmtId="166" fontId="87" fillId="0" borderId="19" xfId="42" applyNumberFormat="1" applyFont="1" applyFill="1" applyBorder="1" applyAlignment="1" applyProtection="1">
      <alignment vertical="center"/>
    </xf>
    <xf numFmtId="166" fontId="87" fillId="0" borderId="10" xfId="42" applyNumberFormat="1" applyFont="1" applyFill="1" applyBorder="1" applyAlignment="1" applyProtection="1">
      <alignment vertical="center"/>
      <protection locked="0"/>
    </xf>
    <xf numFmtId="3" fontId="74" fillId="0" borderId="31" xfId="0" applyNumberFormat="1" applyFont="1" applyBorder="1" applyAlignment="1">
      <alignment horizontal="left"/>
    </xf>
    <xf numFmtId="3" fontId="0" fillId="0" borderId="31" xfId="0" applyNumberFormat="1" applyBorder="1"/>
    <xf numFmtId="0" fontId="84" fillId="0" borderId="10" xfId="0" applyFont="1" applyBorder="1"/>
    <xf numFmtId="1" fontId="89" fillId="25" borderId="10" xfId="26" applyNumberFormat="1" applyFont="1" applyFill="1" applyBorder="1"/>
    <xf numFmtId="165" fontId="51" fillId="0" borderId="13" xfId="26" applyNumberFormat="1" applyFont="1" applyBorder="1" applyAlignment="1">
      <alignment horizontal="center"/>
    </xf>
    <xf numFmtId="0" fontId="74" fillId="0" borderId="31" xfId="0" applyFont="1" applyBorder="1"/>
    <xf numFmtId="3" fontId="74" fillId="0" borderId="50" xfId="0" applyNumberFormat="1" applyFont="1" applyFill="1" applyBorder="1"/>
    <xf numFmtId="166" fontId="87" fillId="0" borderId="11" xfId="42" applyNumberFormat="1" applyFont="1" applyFill="1" applyBorder="1" applyAlignment="1" applyProtection="1">
      <alignment vertical="center"/>
      <protection locked="0"/>
    </xf>
    <xf numFmtId="0" fontId="27" fillId="0" borderId="16" xfId="42" applyFont="1" applyFill="1" applyBorder="1" applyAlignment="1" applyProtection="1">
      <alignment horizontal="left" vertical="center" indent="1"/>
      <protection locked="0"/>
    </xf>
    <xf numFmtId="166" fontId="27" fillId="0" borderId="16" xfId="42" applyNumberFormat="1" applyFont="1" applyFill="1" applyBorder="1" applyAlignment="1" applyProtection="1">
      <alignment vertical="center"/>
      <protection locked="0"/>
    </xf>
    <xf numFmtId="166" fontId="87" fillId="0" borderId="26" xfId="42" applyNumberFormat="1" applyFont="1" applyFill="1" applyBorder="1" applyAlignment="1" applyProtection="1">
      <alignment vertical="center"/>
    </xf>
    <xf numFmtId="165" fontId="30" fillId="0" borderId="10" xfId="26" applyNumberFormat="1" applyFont="1" applyBorder="1" applyAlignment="1">
      <alignment horizontal="center"/>
    </xf>
    <xf numFmtId="0" fontId="92" fillId="0" borderId="10" xfId="0" applyFont="1" applyBorder="1"/>
    <xf numFmtId="165" fontId="93" fillId="0" borderId="10" xfId="26" applyNumberFormat="1" applyFont="1" applyBorder="1"/>
    <xf numFmtId="165" fontId="94" fillId="28" borderId="10" xfId="26" applyNumberFormat="1" applyFont="1" applyFill="1" applyBorder="1"/>
    <xf numFmtId="0" fontId="95" fillId="0" borderId="10" xfId="0" applyFont="1" applyBorder="1"/>
    <xf numFmtId="1" fontId="96" fillId="25" borderId="10" xfId="26" applyNumberFormat="1" applyFont="1" applyFill="1" applyBorder="1"/>
    <xf numFmtId="165" fontId="97" fillId="0" borderId="10" xfId="26" applyNumberFormat="1" applyFont="1" applyBorder="1"/>
    <xf numFmtId="165" fontId="98" fillId="25" borderId="10" xfId="26" applyNumberFormat="1" applyFont="1" applyFill="1" applyBorder="1" applyAlignment="1">
      <alignment horizontal="center"/>
    </xf>
    <xf numFmtId="165" fontId="93" fillId="0" borderId="15" xfId="26" applyNumberFormat="1" applyFont="1" applyBorder="1"/>
    <xf numFmtId="165" fontId="98" fillId="0" borderId="10" xfId="26" applyNumberFormat="1" applyFont="1" applyBorder="1" applyAlignment="1">
      <alignment horizontal="center"/>
    </xf>
    <xf numFmtId="165" fontId="100" fillId="0" borderId="10" xfId="26" applyNumberFormat="1" applyFont="1" applyBorder="1"/>
    <xf numFmtId="165" fontId="99" fillId="25" borderId="10" xfId="26" applyNumberFormat="1" applyFont="1" applyFill="1" applyBorder="1"/>
    <xf numFmtId="0" fontId="101" fillId="0" borderId="0" xfId="0" applyFont="1"/>
    <xf numFmtId="3" fontId="0" fillId="0" borderId="0" xfId="0" applyNumberFormat="1" applyAlignment="1">
      <alignment horizontal="right"/>
    </xf>
    <xf numFmtId="0" fontId="6" fillId="25" borderId="0" xfId="0" applyFont="1" applyFill="1" applyAlignment="1">
      <alignment horizontal="center"/>
    </xf>
    <xf numFmtId="0" fontId="71" fillId="0" borderId="33" xfId="40" applyFont="1" applyBorder="1" applyAlignment="1">
      <alignment horizontal="center" vertical="center" wrapText="1"/>
    </xf>
    <xf numFmtId="0" fontId="0" fillId="0" borderId="0" xfId="0" applyFill="1"/>
    <xf numFmtId="0" fontId="86" fillId="0" borderId="0" xfId="0" applyFont="1" applyFill="1"/>
    <xf numFmtId="0" fontId="84" fillId="0" borderId="0" xfId="0" applyFont="1" applyFill="1"/>
    <xf numFmtId="165" fontId="0" fillId="0" borderId="0" xfId="0" applyNumberFormat="1" applyFill="1"/>
    <xf numFmtId="169" fontId="85" fillId="0" borderId="0" xfId="0" applyNumberFormat="1" applyFont="1"/>
    <xf numFmtId="0" fontId="8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0" fontId="28" fillId="27" borderId="10" xfId="26" applyNumberFormat="1" applyFont="1" applyFill="1" applyBorder="1" applyAlignment="1">
      <alignment horizontal="right"/>
    </xf>
    <xf numFmtId="170" fontId="103" fillId="28" borderId="10" xfId="26" applyNumberFormat="1" applyFont="1" applyFill="1" applyBorder="1" applyAlignment="1">
      <alignment horizontal="right"/>
    </xf>
    <xf numFmtId="0" fontId="105" fillId="28" borderId="14" xfId="41" applyFont="1" applyFill="1" applyBorder="1" applyAlignment="1">
      <alignment horizontal="center"/>
    </xf>
    <xf numFmtId="0" fontId="105" fillId="28" borderId="10" xfId="41" applyFont="1" applyFill="1" applyBorder="1"/>
    <xf numFmtId="170" fontId="105" fillId="28" borderId="10" xfId="26" applyNumberFormat="1" applyFont="1" applyFill="1" applyBorder="1" applyAlignment="1">
      <alignment horizontal="right"/>
    </xf>
    <xf numFmtId="0" fontId="81" fillId="27" borderId="10" xfId="41" applyFont="1" applyFill="1" applyBorder="1"/>
    <xf numFmtId="170" fontId="81" fillId="27" borderId="10" xfId="26" applyNumberFormat="1" applyFont="1" applyFill="1" applyBorder="1" applyAlignment="1">
      <alignment horizontal="right"/>
    </xf>
    <xf numFmtId="0" fontId="105" fillId="28" borderId="10" xfId="41" applyFont="1" applyFill="1" applyBorder="1" applyAlignment="1">
      <alignment horizontal="left" indent="2"/>
    </xf>
    <xf numFmtId="0" fontId="81" fillId="27" borderId="10" xfId="41" applyFont="1" applyFill="1" applyBorder="1" applyAlignment="1">
      <alignment horizontal="left" indent="4"/>
    </xf>
    <xf numFmtId="0" fontId="3" fillId="31" borderId="10" xfId="41" applyFont="1" applyFill="1" applyBorder="1"/>
    <xf numFmtId="0" fontId="8" fillId="31" borderId="10" xfId="41" applyFont="1" applyFill="1" applyBorder="1"/>
    <xf numFmtId="0" fontId="27" fillId="31" borderId="10" xfId="0" applyFont="1" applyFill="1" applyBorder="1"/>
    <xf numFmtId="0" fontId="105" fillId="32" borderId="10" xfId="41" applyFont="1" applyFill="1" applyBorder="1" applyAlignment="1">
      <alignment horizontal="left" indent="2"/>
    </xf>
    <xf numFmtId="0" fontId="105" fillId="32" borderId="14" xfId="41" applyFont="1" applyFill="1" applyBorder="1" applyAlignment="1">
      <alignment horizontal="left" indent="2"/>
    </xf>
    <xf numFmtId="170" fontId="105" fillId="32" borderId="14" xfId="41" applyNumberFormat="1" applyFont="1" applyFill="1" applyBorder="1" applyAlignment="1">
      <alignment horizontal="right"/>
    </xf>
    <xf numFmtId="170" fontId="107" fillId="28" borderId="10" xfId="26" applyNumberFormat="1" applyFont="1" applyFill="1" applyBorder="1" applyAlignment="1">
      <alignment horizontal="right"/>
    </xf>
    <xf numFmtId="0" fontId="29" fillId="31" borderId="10" xfId="0" applyFont="1" applyFill="1" applyBorder="1" applyAlignment="1">
      <alignment horizontal="center"/>
    </xf>
    <xf numFmtId="0" fontId="103" fillId="28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9" fillId="31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1" borderId="10" xfId="0" applyFont="1" applyFill="1" applyBorder="1" applyAlignment="1">
      <alignment horizontal="center" vertical="center"/>
    </xf>
    <xf numFmtId="170" fontId="78" fillId="33" borderId="10" xfId="41" applyNumberFormat="1" applyFont="1" applyFill="1" applyBorder="1" applyAlignment="1">
      <alignment horizontal="right"/>
    </xf>
    <xf numFmtId="170" fontId="78" fillId="33" borderId="10" xfId="26" applyNumberFormat="1" applyFont="1" applyFill="1" applyBorder="1" applyAlignment="1">
      <alignment horizontal="right"/>
    </xf>
    <xf numFmtId="170" fontId="108" fillId="33" borderId="10" xfId="41" applyNumberFormat="1" applyFont="1" applyFill="1" applyBorder="1" applyAlignment="1">
      <alignment horizontal="right"/>
    </xf>
    <xf numFmtId="170" fontId="28" fillId="33" borderId="10" xfId="26" applyNumberFormat="1" applyFont="1" applyFill="1" applyBorder="1" applyAlignment="1">
      <alignment horizontal="right"/>
    </xf>
    <xf numFmtId="170" fontId="79" fillId="33" borderId="10" xfId="26" applyNumberFormat="1" applyFont="1" applyFill="1" applyBorder="1" applyAlignment="1">
      <alignment horizontal="right" vertical="center"/>
    </xf>
    <xf numFmtId="0" fontId="29" fillId="31" borderId="14" xfId="0" applyFont="1" applyFill="1" applyBorder="1" applyAlignment="1">
      <alignment horizontal="center"/>
    </xf>
    <xf numFmtId="165" fontId="54" fillId="25" borderId="0" xfId="27" applyNumberFormat="1" applyFont="1" applyFill="1" applyBorder="1" applyAlignment="1">
      <alignment vertical="center" wrapText="1"/>
    </xf>
    <xf numFmtId="165" fontId="93" fillId="0" borderId="10" xfId="26" applyNumberFormat="1" applyFont="1" applyBorder="1" applyAlignment="1">
      <alignment vertical="center" wrapText="1"/>
    </xf>
    <xf numFmtId="165" fontId="60" fillId="0" borderId="10" xfId="26" applyNumberFormat="1" applyFont="1" applyBorder="1" applyAlignment="1">
      <alignment vertical="center" wrapText="1"/>
    </xf>
    <xf numFmtId="165" fontId="98" fillId="0" borderId="10" xfId="26" applyNumberFormat="1" applyFont="1" applyBorder="1" applyAlignment="1">
      <alignment vertical="center" wrapText="1"/>
    </xf>
    <xf numFmtId="165" fontId="42" fillId="0" borderId="10" xfId="26" applyNumberFormat="1" applyFont="1" applyBorder="1" applyAlignment="1">
      <alignment vertical="center" wrapText="1"/>
    </xf>
    <xf numFmtId="165" fontId="29" fillId="0" borderId="10" xfId="26" applyNumberFormat="1" applyFont="1" applyBorder="1" applyAlignment="1">
      <alignment vertical="center" wrapText="1"/>
    </xf>
    <xf numFmtId="0" fontId="43" fillId="31" borderId="0" xfId="0" applyFont="1" applyFill="1" applyBorder="1"/>
    <xf numFmtId="0" fontId="85" fillId="31" borderId="0" xfId="0" applyFont="1" applyFill="1" applyBorder="1"/>
    <xf numFmtId="0" fontId="43" fillId="31" borderId="0" xfId="0" applyFont="1" applyFill="1" applyBorder="1" applyAlignment="1">
      <alignment vertical="center" wrapText="1"/>
    </xf>
    <xf numFmtId="0" fontId="105" fillId="28" borderId="10" xfId="0" applyFont="1" applyFill="1" applyBorder="1"/>
    <xf numFmtId="170" fontId="105" fillId="28" borderId="10" xfId="27" applyNumberFormat="1" applyFont="1" applyFill="1" applyBorder="1"/>
    <xf numFmtId="170" fontId="81" fillId="28" borderId="10" xfId="26" applyNumberFormat="1" applyFont="1" applyFill="1" applyBorder="1"/>
    <xf numFmtId="170" fontId="85" fillId="0" borderId="0" xfId="0" applyNumberFormat="1" applyFont="1"/>
    <xf numFmtId="0" fontId="27" fillId="0" borderId="14" xfId="0" applyFont="1" applyFill="1" applyBorder="1"/>
    <xf numFmtId="0" fontId="27" fillId="0" borderId="10" xfId="0" applyFont="1" applyFill="1" applyBorder="1"/>
    <xf numFmtId="170" fontId="27" fillId="33" borderId="14" xfId="27" applyNumberFormat="1" applyFont="1" applyFill="1" applyBorder="1"/>
    <xf numFmtId="170" fontId="27" fillId="33" borderId="10" xfId="27" applyNumberFormat="1" applyFont="1" applyFill="1" applyBorder="1"/>
    <xf numFmtId="0" fontId="104" fillId="31" borderId="10" xfId="0" applyFont="1" applyFill="1" applyBorder="1"/>
    <xf numFmtId="0" fontId="104" fillId="31" borderId="13" xfId="0" applyFont="1" applyFill="1" applyBorder="1" applyAlignment="1">
      <alignment horizontal="left" indent="2"/>
    </xf>
    <xf numFmtId="170" fontId="104" fillId="33" borderId="10" xfId="27" applyNumberFormat="1" applyFont="1" applyFill="1" applyBorder="1"/>
    <xf numFmtId="0" fontId="81" fillId="34" borderId="10" xfId="0" applyFont="1" applyFill="1" applyBorder="1"/>
    <xf numFmtId="170" fontId="81" fillId="34" borderId="10" xfId="27" applyNumberFormat="1" applyFont="1" applyFill="1" applyBorder="1"/>
    <xf numFmtId="0" fontId="83" fillId="32" borderId="10" xfId="0" applyFont="1" applyFill="1" applyBorder="1"/>
    <xf numFmtId="170" fontId="83" fillId="32" borderId="10" xfId="27" applyNumberFormat="1" applyFont="1" applyFill="1" applyBorder="1"/>
    <xf numFmtId="0" fontId="8" fillId="31" borderId="10" xfId="0" applyFont="1" applyFill="1" applyBorder="1"/>
    <xf numFmtId="0" fontId="8" fillId="31" borderId="10" xfId="0" applyFont="1" applyFill="1" applyBorder="1" applyAlignment="1">
      <alignment vertical="center" wrapText="1"/>
    </xf>
    <xf numFmtId="0" fontId="0" fillId="31" borderId="0" xfId="0" quotePrefix="1" applyFont="1" applyFill="1" applyBorder="1"/>
    <xf numFmtId="170" fontId="8" fillId="33" borderId="10" xfId="27" applyNumberFormat="1" applyFont="1" applyFill="1" applyBorder="1"/>
    <xf numFmtId="170" fontId="8" fillId="33" borderId="10" xfId="27" applyNumberFormat="1" applyFont="1" applyFill="1" applyBorder="1" applyAlignment="1">
      <alignment vertical="center" wrapText="1"/>
    </xf>
    <xf numFmtId="0" fontId="0" fillId="0" borderId="0" xfId="0" quotePrefix="1"/>
    <xf numFmtId="16" fontId="110" fillId="31" borderId="10" xfId="0" applyNumberFormat="1" applyFont="1" applyFill="1" applyBorder="1"/>
    <xf numFmtId="170" fontId="110" fillId="31" borderId="10" xfId="26" applyNumberFormat="1" applyFont="1" applyFill="1" applyBorder="1"/>
    <xf numFmtId="0" fontId="104" fillId="0" borderId="10" xfId="0" applyFont="1" applyBorder="1"/>
    <xf numFmtId="0" fontId="111" fillId="35" borderId="10" xfId="0" applyFont="1" applyFill="1" applyBorder="1"/>
    <xf numFmtId="170" fontId="111" fillId="35" borderId="10" xfId="26" applyNumberFormat="1" applyFont="1" applyFill="1" applyBorder="1"/>
    <xf numFmtId="170" fontId="110" fillId="33" borderId="10" xfId="26" applyNumberFormat="1" applyFont="1" applyFill="1" applyBorder="1"/>
    <xf numFmtId="170" fontId="104" fillId="33" borderId="10" xfId="26" applyNumberFormat="1" applyFont="1" applyFill="1" applyBorder="1"/>
    <xf numFmtId="0" fontId="78" fillId="31" borderId="10" xfId="0" applyFont="1" applyFill="1" applyBorder="1"/>
    <xf numFmtId="0" fontId="78" fillId="31" borderId="15" xfId="0" applyFont="1" applyFill="1" applyBorder="1"/>
    <xf numFmtId="170" fontId="78" fillId="33" borderId="10" xfId="26" applyNumberFormat="1" applyFont="1" applyFill="1" applyBorder="1"/>
    <xf numFmtId="0" fontId="31" fillId="0" borderId="10" xfId="0" applyFont="1" applyFill="1" applyBorder="1"/>
    <xf numFmtId="0" fontId="31" fillId="0" borderId="14" xfId="0" applyFont="1" applyFill="1" applyBorder="1"/>
    <xf numFmtId="170" fontId="31" fillId="33" borderId="10" xfId="26" applyNumberFormat="1" applyFont="1" applyFill="1" applyBorder="1"/>
    <xf numFmtId="170" fontId="31" fillId="33" borderId="14" xfId="26" applyNumberFormat="1" applyFont="1" applyFill="1" applyBorder="1"/>
    <xf numFmtId="0" fontId="109" fillId="0" borderId="10" xfId="0" applyFont="1" applyFill="1" applyBorder="1"/>
    <xf numFmtId="0" fontId="78" fillId="0" borderId="10" xfId="0" applyFont="1" applyFill="1" applyBorder="1"/>
    <xf numFmtId="170" fontId="109" fillId="33" borderId="10" xfId="26" applyNumberFormat="1" applyFont="1" applyFill="1" applyBorder="1"/>
    <xf numFmtId="170" fontId="112" fillId="33" borderId="10" xfId="26" applyNumberFormat="1" applyFont="1" applyFill="1" applyBorder="1"/>
    <xf numFmtId="165" fontId="48" fillId="25" borderId="0" xfId="27" applyNumberFormat="1" applyFont="1" applyFill="1" applyBorder="1" applyAlignment="1">
      <alignment vertical="center"/>
    </xf>
    <xf numFmtId="165" fontId="60" fillId="0" borderId="10" xfId="26" applyNumberFormat="1" applyFont="1" applyBorder="1" applyAlignment="1">
      <alignment vertical="center"/>
    </xf>
    <xf numFmtId="165" fontId="30" fillId="25" borderId="10" xfId="26" applyNumberFormat="1" applyFont="1" applyFill="1" applyBorder="1" applyAlignment="1">
      <alignment vertical="center"/>
    </xf>
    <xf numFmtId="165" fontId="93" fillId="0" borderId="10" xfId="26" applyNumberFormat="1" applyFont="1" applyBorder="1" applyAlignment="1">
      <alignment vertical="center"/>
    </xf>
    <xf numFmtId="165" fontId="30" fillId="0" borderId="10" xfId="26" applyNumberFormat="1" applyFont="1" applyBorder="1" applyAlignment="1">
      <alignment vertical="center"/>
    </xf>
    <xf numFmtId="0" fontId="0" fillId="31" borderId="0" xfId="0" quotePrefix="1" applyFont="1" applyFill="1" applyBorder="1" applyAlignment="1">
      <alignment vertical="center"/>
    </xf>
    <xf numFmtId="0" fontId="43" fillId="31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170" fontId="78" fillId="33" borderId="10" xfId="41" applyNumberFormat="1" applyFont="1" applyFill="1" applyBorder="1" applyAlignment="1">
      <alignment vertical="center"/>
    </xf>
    <xf numFmtId="0" fontId="49" fillId="25" borderId="14" xfId="0" applyFont="1" applyFill="1" applyBorder="1" applyAlignment="1" applyProtection="1">
      <alignment horizontal="left" vertical="center" wrapText="1"/>
      <protection locked="0"/>
    </xf>
    <xf numFmtId="0" fontId="3" fillId="31" borderId="10" xfId="41" applyFont="1" applyFill="1" applyBorder="1" applyAlignment="1">
      <alignment horizontal="center"/>
    </xf>
    <xf numFmtId="0" fontId="105" fillId="28" borderId="10" xfId="41" applyFont="1" applyFill="1" applyBorder="1" applyAlignment="1">
      <alignment horizontal="center"/>
    </xf>
    <xf numFmtId="0" fontId="3" fillId="31" borderId="10" xfId="41" applyFont="1" applyFill="1" applyBorder="1" applyAlignment="1">
      <alignment horizontal="center" vertical="center" wrapText="1"/>
    </xf>
    <xf numFmtId="0" fontId="81" fillId="27" borderId="10" xfId="41" applyFont="1" applyFill="1" applyBorder="1" applyAlignment="1">
      <alignment horizontal="center"/>
    </xf>
    <xf numFmtId="0" fontId="111" fillId="35" borderId="10" xfId="0" applyFont="1" applyFill="1" applyBorder="1" applyAlignment="1">
      <alignment horizontal="center"/>
    </xf>
    <xf numFmtId="170" fontId="28" fillId="33" borderId="14" xfId="26" applyNumberFormat="1" applyFont="1" applyFill="1" applyBorder="1" applyAlignment="1">
      <alignment horizontal="right"/>
    </xf>
    <xf numFmtId="0" fontId="104" fillId="31" borderId="13" xfId="0" applyFont="1" applyFill="1" applyBorder="1" applyAlignment="1">
      <alignment horizontal="left" wrapText="1" indent="2"/>
    </xf>
    <xf numFmtId="0" fontId="81" fillId="34" borderId="13" xfId="0" applyFont="1" applyFill="1" applyBorder="1" applyAlignment="1">
      <alignment horizontal="left" indent="2"/>
    </xf>
    <xf numFmtId="0" fontId="111" fillId="35" borderId="13" xfId="0" applyFont="1" applyFill="1" applyBorder="1" applyAlignment="1">
      <alignment horizontal="left" indent="3"/>
    </xf>
    <xf numFmtId="166" fontId="50" fillId="36" borderId="15" xfId="0" applyNumberFormat="1" applyFont="1" applyFill="1" applyBorder="1" applyAlignment="1">
      <alignment horizontal="center" vertical="center" wrapText="1"/>
    </xf>
    <xf numFmtId="167" fontId="28" fillId="36" borderId="16" xfId="0" applyNumberFormat="1" applyFont="1" applyFill="1" applyBorder="1" applyAlignment="1">
      <alignment horizontal="center" vertical="center" wrapText="1"/>
    </xf>
    <xf numFmtId="166" fontId="50" fillId="36" borderId="24" xfId="0" applyNumberFormat="1" applyFont="1" applyFill="1" applyBorder="1" applyAlignment="1">
      <alignment horizontal="center" vertical="center" wrapText="1"/>
    </xf>
    <xf numFmtId="0" fontId="104" fillId="31" borderId="13" xfId="0" applyFont="1" applyFill="1" applyBorder="1"/>
    <xf numFmtId="0" fontId="111" fillId="35" borderId="15" xfId="0" applyFont="1" applyFill="1" applyBorder="1"/>
    <xf numFmtId="0" fontId="111" fillId="35" borderId="25" xfId="0" applyFont="1" applyFill="1" applyBorder="1" applyAlignment="1">
      <alignment horizontal="left" indent="3"/>
    </xf>
    <xf numFmtId="170" fontId="111" fillId="35" borderId="15" xfId="26" applyNumberFormat="1" applyFont="1" applyFill="1" applyBorder="1"/>
    <xf numFmtId="0" fontId="104" fillId="31" borderId="14" xfId="0" applyFont="1" applyFill="1" applyBorder="1"/>
    <xf numFmtId="0" fontId="104" fillId="31" borderId="42" xfId="0" applyFont="1" applyFill="1" applyBorder="1"/>
    <xf numFmtId="170" fontId="104" fillId="33" borderId="14" xfId="27" applyNumberFormat="1" applyFont="1" applyFill="1" applyBorder="1"/>
    <xf numFmtId="0" fontId="81" fillId="34" borderId="42" xfId="0" applyFont="1" applyFill="1" applyBorder="1" applyAlignment="1">
      <alignment horizontal="left" indent="2"/>
    </xf>
    <xf numFmtId="170" fontId="81" fillId="34" borderId="14" xfId="27" applyNumberFormat="1" applyFont="1" applyFill="1" applyBorder="1"/>
    <xf numFmtId="166" fontId="48" fillId="37" borderId="30" xfId="0" applyNumberFormat="1" applyFont="1" applyFill="1" applyBorder="1" applyAlignment="1" applyProtection="1">
      <alignment horizontal="right" vertical="center" wrapText="1"/>
    </xf>
    <xf numFmtId="166" fontId="26" fillId="37" borderId="30" xfId="0" applyNumberFormat="1" applyFont="1" applyFill="1" applyBorder="1" applyAlignment="1" applyProtection="1">
      <alignment horizontal="right" vertical="center" wrapText="1"/>
    </xf>
    <xf numFmtId="0" fontId="52" fillId="37" borderId="54" xfId="0" applyFont="1" applyFill="1" applyBorder="1" applyAlignment="1">
      <alignment horizontal="left"/>
    </xf>
    <xf numFmtId="166" fontId="26" fillId="37" borderId="56" xfId="0" applyNumberFormat="1" applyFont="1" applyFill="1" applyBorder="1" applyAlignment="1">
      <alignment horizontal="right" vertical="center" wrapText="1" indent="1"/>
    </xf>
    <xf numFmtId="0" fontId="81" fillId="34" borderId="63" xfId="0" applyFont="1" applyFill="1" applyBorder="1"/>
    <xf numFmtId="0" fontId="104" fillId="31" borderId="63" xfId="0" applyFont="1" applyFill="1" applyBorder="1"/>
    <xf numFmtId="0" fontId="111" fillId="35" borderId="65" xfId="0" applyFont="1" applyFill="1" applyBorder="1"/>
    <xf numFmtId="166" fontId="26" fillId="37" borderId="66" xfId="0" applyNumberFormat="1" applyFont="1" applyFill="1" applyBorder="1" applyAlignment="1" applyProtection="1">
      <alignment horizontal="right" vertical="center" wrapText="1"/>
    </xf>
    <xf numFmtId="0" fontId="81" fillId="34" borderId="67" xfId="0" applyFont="1" applyFill="1" applyBorder="1"/>
    <xf numFmtId="0" fontId="111" fillId="35" borderId="54" xfId="0" applyFont="1" applyFill="1" applyBorder="1"/>
    <xf numFmtId="0" fontId="113" fillId="35" borderId="56" xfId="0" applyFont="1" applyFill="1" applyBorder="1" applyAlignment="1">
      <alignment horizontal="left" indent="3"/>
    </xf>
    <xf numFmtId="170" fontId="113" fillId="35" borderId="30" xfId="26" applyNumberFormat="1" applyFont="1" applyFill="1" applyBorder="1"/>
    <xf numFmtId="0" fontId="113" fillId="35" borderId="54" xfId="0" applyFont="1" applyFill="1" applyBorder="1"/>
    <xf numFmtId="0" fontId="104" fillId="31" borderId="15" xfId="0" applyFont="1" applyFill="1" applyBorder="1"/>
    <xf numFmtId="0" fontId="104" fillId="31" borderId="25" xfId="0" applyFont="1" applyFill="1" applyBorder="1" applyAlignment="1">
      <alignment horizontal="left" indent="2"/>
    </xf>
    <xf numFmtId="170" fontId="104" fillId="33" borderId="15" xfId="27" applyNumberFormat="1" applyFont="1" applyFill="1" applyBorder="1"/>
    <xf numFmtId="0" fontId="81" fillId="34" borderId="23" xfId="0" applyFont="1" applyFill="1" applyBorder="1"/>
    <xf numFmtId="0" fontId="104" fillId="31" borderId="23" xfId="0" applyFont="1" applyFill="1" applyBorder="1"/>
    <xf numFmtId="165" fontId="7" fillId="28" borderId="23" xfId="26" applyNumberFormat="1" applyFont="1" applyFill="1" applyBorder="1"/>
    <xf numFmtId="0" fontId="111" fillId="35" borderId="23" xfId="0" applyFont="1" applyFill="1" applyBorder="1"/>
    <xf numFmtId="0" fontId="104" fillId="31" borderId="68" xfId="0" applyFont="1" applyFill="1" applyBorder="1"/>
    <xf numFmtId="167" fontId="28" fillId="36" borderId="61" xfId="0" applyNumberFormat="1" applyFont="1" applyFill="1" applyBorder="1" applyAlignment="1">
      <alignment horizontal="center"/>
    </xf>
    <xf numFmtId="0" fontId="28" fillId="36" borderId="50" xfId="0" applyFont="1" applyFill="1" applyBorder="1" applyAlignment="1">
      <alignment horizontal="center"/>
    </xf>
    <xf numFmtId="3" fontId="78" fillId="0" borderId="11" xfId="0" applyNumberFormat="1" applyFont="1" applyFill="1" applyBorder="1" applyAlignment="1"/>
    <xf numFmtId="3" fontId="83" fillId="0" borderId="11" xfId="0" applyNumberFormat="1" applyFont="1" applyFill="1" applyBorder="1" applyAlignment="1"/>
    <xf numFmtId="0" fontId="78" fillId="0" borderId="10" xfId="0" applyFont="1" applyFill="1" applyBorder="1" applyAlignment="1">
      <alignment horizontal="left"/>
    </xf>
    <xf numFmtId="0" fontId="83" fillId="0" borderId="10" xfId="0" applyFont="1" applyFill="1" applyBorder="1" applyAlignment="1">
      <alignment horizontal="left"/>
    </xf>
    <xf numFmtId="170" fontId="78" fillId="0" borderId="11" xfId="26" applyNumberFormat="1" applyFont="1" applyFill="1" applyBorder="1"/>
    <xf numFmtId="0" fontId="78" fillId="0" borderId="14" xfId="0" applyFont="1" applyFill="1" applyBorder="1" applyAlignment="1">
      <alignment horizontal="left"/>
    </xf>
    <xf numFmtId="0" fontId="33" fillId="36" borderId="50" xfId="0" applyFont="1" applyFill="1" applyBorder="1" applyAlignment="1">
      <alignment horizontal="center" vertical="center"/>
    </xf>
    <xf numFmtId="3" fontId="78" fillId="0" borderId="52" xfId="0" applyNumberFormat="1" applyFont="1" applyFill="1" applyBorder="1" applyAlignment="1"/>
    <xf numFmtId="170" fontId="78" fillId="0" borderId="52" xfId="26" applyNumberFormat="1" applyFont="1" applyFill="1" applyBorder="1"/>
    <xf numFmtId="170" fontId="78" fillId="0" borderId="42" xfId="26" applyNumberFormat="1" applyFont="1" applyFill="1" applyBorder="1"/>
    <xf numFmtId="170" fontId="78" fillId="0" borderId="13" xfId="26" applyNumberFormat="1" applyFont="1" applyFill="1" applyBorder="1"/>
    <xf numFmtId="170" fontId="78" fillId="38" borderId="75" xfId="26" applyNumberFormat="1" applyFont="1" applyFill="1" applyBorder="1"/>
    <xf numFmtId="170" fontId="78" fillId="38" borderId="73" xfId="26" applyNumberFormat="1" applyFont="1" applyFill="1" applyBorder="1"/>
    <xf numFmtId="170" fontId="103" fillId="38" borderId="75" xfId="26" applyNumberFormat="1" applyFont="1" applyFill="1" applyBorder="1" applyAlignment="1"/>
    <xf numFmtId="170" fontId="103" fillId="38" borderId="73" xfId="26" applyNumberFormat="1" applyFont="1" applyFill="1" applyBorder="1" applyAlignment="1"/>
    <xf numFmtId="170" fontId="103" fillId="0" borderId="42" xfId="26" applyNumberFormat="1" applyFont="1" applyFill="1" applyBorder="1" applyAlignment="1"/>
    <xf numFmtId="170" fontId="103" fillId="0" borderId="14" xfId="26" applyNumberFormat="1" applyFont="1" applyFill="1" applyBorder="1" applyAlignment="1"/>
    <xf numFmtId="170" fontId="103" fillId="0" borderId="13" xfId="26" applyNumberFormat="1" applyFont="1" applyFill="1" applyBorder="1" applyAlignment="1"/>
    <xf numFmtId="170" fontId="103" fillId="0" borderId="10" xfId="26" applyNumberFormat="1" applyFont="1" applyFill="1" applyBorder="1" applyAlignment="1"/>
    <xf numFmtId="166" fontId="28" fillId="36" borderId="62" xfId="0" applyNumberFormat="1" applyFont="1" applyFill="1" applyBorder="1" applyAlignment="1">
      <alignment horizontal="center" vertical="center" wrapText="1"/>
    </xf>
    <xf numFmtId="166" fontId="50" fillId="36" borderId="76" xfId="0" applyNumberFormat="1" applyFont="1" applyFill="1" applyBorder="1" applyAlignment="1">
      <alignment horizontal="center" vertical="center" wrapText="1"/>
    </xf>
    <xf numFmtId="167" fontId="28" fillId="36" borderId="43" xfId="0" applyNumberFormat="1" applyFont="1" applyFill="1" applyBorder="1" applyAlignment="1">
      <alignment horizontal="center" vertical="center" wrapText="1"/>
    </xf>
    <xf numFmtId="170" fontId="104" fillId="33" borderId="11" xfId="27" applyNumberFormat="1" applyFont="1" applyFill="1" applyBorder="1"/>
    <xf numFmtId="170" fontId="81" fillId="34" borderId="11" xfId="27" applyNumberFormat="1" applyFont="1" applyFill="1" applyBorder="1"/>
    <xf numFmtId="170" fontId="111" fillId="35" borderId="76" xfId="26" applyNumberFormat="1" applyFont="1" applyFill="1" applyBorder="1"/>
    <xf numFmtId="166" fontId="48" fillId="37" borderId="54" xfId="0" applyNumberFormat="1" applyFont="1" applyFill="1" applyBorder="1" applyAlignment="1" applyProtection="1">
      <alignment horizontal="right" vertical="center" wrapText="1"/>
    </xf>
    <xf numFmtId="170" fontId="104" fillId="33" borderId="52" xfId="27" applyNumberFormat="1" applyFont="1" applyFill="1" applyBorder="1"/>
    <xf numFmtId="170" fontId="113" fillId="35" borderId="54" xfId="26" applyNumberFormat="1" applyFont="1" applyFill="1" applyBorder="1"/>
    <xf numFmtId="166" fontId="26" fillId="37" borderId="54" xfId="0" applyNumberFormat="1" applyFont="1" applyFill="1" applyBorder="1" applyAlignment="1" applyProtection="1">
      <alignment horizontal="right" vertical="center" wrapText="1"/>
    </xf>
    <xf numFmtId="170" fontId="81" fillId="34" borderId="52" xfId="27" applyNumberFormat="1" applyFont="1" applyFill="1" applyBorder="1"/>
    <xf numFmtId="10" fontId="29" fillId="0" borderId="81" xfId="0" applyNumberFormat="1" applyFont="1" applyFill="1" applyBorder="1" applyAlignment="1" applyProtection="1">
      <alignment vertical="center" wrapText="1"/>
      <protection locked="0"/>
    </xf>
    <xf numFmtId="10" fontId="6" fillId="37" borderId="83" xfId="0" applyNumberFormat="1" applyFont="1" applyFill="1" applyBorder="1" applyAlignment="1" applyProtection="1">
      <alignment horizontal="right" vertical="center" wrapText="1"/>
    </xf>
    <xf numFmtId="10" fontId="26" fillId="37" borderId="84" xfId="0" applyNumberFormat="1" applyFont="1" applyFill="1" applyBorder="1" applyAlignment="1" applyProtection="1">
      <alignment horizontal="right" vertical="center" wrapText="1"/>
    </xf>
    <xf numFmtId="10" fontId="27" fillId="0" borderId="80" xfId="0" applyNumberFormat="1" applyFont="1" applyFill="1" applyBorder="1" applyAlignment="1" applyProtection="1">
      <alignment vertical="center" wrapText="1"/>
      <protection locked="0"/>
    </xf>
    <xf numFmtId="10" fontId="27" fillId="0" borderId="81" xfId="0" applyNumberFormat="1" applyFont="1" applyFill="1" applyBorder="1" applyAlignment="1" applyProtection="1">
      <alignment vertical="center" wrapText="1"/>
      <protection locked="0"/>
    </xf>
    <xf numFmtId="10" fontId="114" fillId="34" borderId="82" xfId="27" applyNumberFormat="1" applyFont="1" applyFill="1" applyBorder="1"/>
    <xf numFmtId="10" fontId="114" fillId="35" borderId="77" xfId="26" applyNumberFormat="1" applyFont="1" applyFill="1" applyBorder="1"/>
    <xf numFmtId="10" fontId="116" fillId="35" borderId="84" xfId="26" applyNumberFormat="1" applyFont="1" applyFill="1" applyBorder="1"/>
    <xf numFmtId="10" fontId="27" fillId="0" borderId="88" xfId="0" applyNumberFormat="1" applyFont="1" applyFill="1" applyBorder="1" applyAlignment="1" applyProtection="1">
      <alignment vertical="center" wrapText="1"/>
      <protection locked="0"/>
    </xf>
    <xf numFmtId="10" fontId="114" fillId="34" borderId="87" xfId="27" applyNumberFormat="1" applyFont="1" applyFill="1" applyBorder="1"/>
    <xf numFmtId="10" fontId="114" fillId="35" borderId="85" xfId="26" applyNumberFormat="1" applyFont="1" applyFill="1" applyBorder="1"/>
    <xf numFmtId="10" fontId="114" fillId="34" borderId="88" xfId="27" applyNumberFormat="1" applyFont="1" applyFill="1" applyBorder="1"/>
    <xf numFmtId="0" fontId="33" fillId="36" borderId="58" xfId="0" applyFont="1" applyFill="1" applyBorder="1" applyAlignment="1">
      <alignment horizontal="center" vertical="center"/>
    </xf>
    <xf numFmtId="0" fontId="33" fillId="36" borderId="60" xfId="0" applyFont="1" applyFill="1" applyBorder="1" applyAlignment="1">
      <alignment horizontal="center" vertical="center"/>
    </xf>
    <xf numFmtId="170" fontId="78" fillId="38" borderId="91" xfId="26" applyNumberFormat="1" applyFont="1" applyFill="1" applyBorder="1"/>
    <xf numFmtId="170" fontId="78" fillId="38" borderId="92" xfId="26" applyNumberFormat="1" applyFont="1" applyFill="1" applyBorder="1"/>
    <xf numFmtId="10" fontId="115" fillId="33" borderId="88" xfId="26" applyNumberFormat="1" applyFont="1" applyFill="1" applyBorder="1" applyAlignment="1">
      <alignment horizontal="center"/>
    </xf>
    <xf numFmtId="10" fontId="115" fillId="33" borderId="87" xfId="26" applyNumberFormat="1" applyFont="1" applyFill="1" applyBorder="1" applyAlignment="1">
      <alignment horizontal="center"/>
    </xf>
    <xf numFmtId="170" fontId="117" fillId="39" borderId="73" xfId="0" applyNumberFormat="1" applyFont="1" applyFill="1" applyBorder="1" applyAlignment="1"/>
    <xf numFmtId="170" fontId="117" fillId="39" borderId="13" xfId="0" applyNumberFormat="1" applyFont="1" applyFill="1" applyBorder="1" applyAlignment="1"/>
    <xf numFmtId="170" fontId="117" fillId="39" borderId="11" xfId="0" applyNumberFormat="1" applyFont="1" applyFill="1" applyBorder="1" applyAlignment="1"/>
    <xf numFmtId="170" fontId="117" fillId="39" borderId="92" xfId="0" applyNumberFormat="1" applyFont="1" applyFill="1" applyBorder="1" applyAlignment="1"/>
    <xf numFmtId="170" fontId="117" fillId="39" borderId="10" xfId="0" applyNumberFormat="1" applyFont="1" applyFill="1" applyBorder="1" applyAlignment="1"/>
    <xf numFmtId="165" fontId="101" fillId="0" borderId="0" xfId="0" applyNumberFormat="1" applyFont="1"/>
    <xf numFmtId="10" fontId="118" fillId="39" borderId="87" xfId="0" applyNumberFormat="1" applyFont="1" applyFill="1" applyBorder="1" applyAlignment="1">
      <alignment horizontal="center"/>
    </xf>
    <xf numFmtId="10" fontId="118" fillId="35" borderId="87" xfId="0" applyNumberFormat="1" applyFont="1" applyFill="1" applyBorder="1" applyAlignment="1">
      <alignment horizontal="center"/>
    </xf>
    <xf numFmtId="167" fontId="103" fillId="36" borderId="74" xfId="0" applyNumberFormat="1" applyFont="1" applyFill="1" applyBorder="1" applyAlignment="1">
      <alignment horizontal="center" vertical="center"/>
    </xf>
    <xf numFmtId="168" fontId="103" fillId="36" borderId="89" xfId="0" applyNumberFormat="1" applyFont="1" applyFill="1" applyBorder="1" applyAlignment="1">
      <alignment horizontal="center" vertical="center" wrapText="1"/>
    </xf>
    <xf numFmtId="167" fontId="103" fillId="36" borderId="90" xfId="0" applyNumberFormat="1" applyFont="1" applyFill="1" applyBorder="1" applyAlignment="1">
      <alignment horizontal="center" vertical="center"/>
    </xf>
    <xf numFmtId="168" fontId="103" fillId="36" borderId="74" xfId="0" applyNumberFormat="1" applyFont="1" applyFill="1" applyBorder="1" applyAlignment="1">
      <alignment horizontal="center" vertical="center" wrapText="1"/>
    </xf>
    <xf numFmtId="170" fontId="117" fillId="35" borderId="73" xfId="0" applyNumberFormat="1" applyFont="1" applyFill="1" applyBorder="1" applyAlignment="1"/>
    <xf numFmtId="170" fontId="117" fillId="35" borderId="13" xfId="0" applyNumberFormat="1" applyFont="1" applyFill="1" applyBorder="1" applyAlignment="1"/>
    <xf numFmtId="170" fontId="117" fillId="35" borderId="11" xfId="0" applyNumberFormat="1" applyFont="1" applyFill="1" applyBorder="1" applyAlignment="1"/>
    <xf numFmtId="170" fontId="117" fillId="35" borderId="92" xfId="0" applyNumberFormat="1" applyFont="1" applyFill="1" applyBorder="1" applyAlignment="1"/>
    <xf numFmtId="170" fontId="117" fillId="35" borderId="10" xfId="0" applyNumberFormat="1" applyFont="1" applyFill="1" applyBorder="1" applyAlignment="1"/>
    <xf numFmtId="16" fontId="27" fillId="0" borderId="10" xfId="0" applyNumberFormat="1" applyFont="1" applyBorder="1"/>
    <xf numFmtId="0" fontId="27" fillId="0" borderId="10" xfId="0" applyFont="1" applyBorder="1"/>
    <xf numFmtId="0" fontId="54" fillId="0" borderId="10" xfId="0" applyFont="1" applyBorder="1"/>
    <xf numFmtId="0" fontId="29" fillId="0" borderId="10" xfId="0" applyFont="1" applyBorder="1"/>
    <xf numFmtId="0" fontId="0" fillId="0" borderId="10" xfId="0" applyBorder="1"/>
    <xf numFmtId="16" fontId="54" fillId="0" borderId="14" xfId="0" applyNumberFormat="1" applyFont="1" applyBorder="1"/>
    <xf numFmtId="167" fontId="35" fillId="36" borderId="61" xfId="0" applyNumberFormat="1" applyFont="1" applyFill="1" applyBorder="1" applyAlignment="1">
      <alignment horizontal="center" vertical="center" wrapText="1"/>
    </xf>
    <xf numFmtId="168" fontId="35" fillId="36" borderId="61" xfId="0" applyNumberFormat="1" applyFont="1" applyFill="1" applyBorder="1" applyAlignment="1">
      <alignment horizontal="center" vertical="center" wrapText="1"/>
    </xf>
    <xf numFmtId="0" fontId="38" fillId="36" borderId="50" xfId="0" applyFont="1" applyFill="1" applyBorder="1" applyAlignment="1">
      <alignment horizontal="center" vertical="center" wrapText="1"/>
    </xf>
    <xf numFmtId="169" fontId="68" fillId="29" borderId="30" xfId="0" applyNumberFormat="1" applyFont="1" applyFill="1" applyBorder="1" applyAlignment="1">
      <alignment vertical="center"/>
    </xf>
    <xf numFmtId="169" fontId="49" fillId="32" borderId="14" xfId="0" applyNumberFormat="1" applyFont="1" applyFill="1" applyBorder="1" applyAlignment="1" applyProtection="1">
      <alignment vertical="center"/>
    </xf>
    <xf numFmtId="169" fontId="49" fillId="32" borderId="52" xfId="0" applyNumberFormat="1" applyFont="1" applyFill="1" applyBorder="1" applyAlignment="1" applyProtection="1">
      <alignment vertical="center"/>
    </xf>
    <xf numFmtId="169" fontId="66" fillId="32" borderId="10" xfId="0" applyNumberFormat="1" applyFont="1" applyFill="1" applyBorder="1" applyAlignment="1" applyProtection="1">
      <alignment vertical="center"/>
    </xf>
    <xf numFmtId="169" fontId="66" fillId="32" borderId="11" xfId="0" applyNumberFormat="1" applyFont="1" applyFill="1" applyBorder="1" applyAlignment="1" applyProtection="1">
      <alignment vertical="center"/>
    </xf>
    <xf numFmtId="169" fontId="8" fillId="32" borderId="10" xfId="0" applyNumberFormat="1" applyFont="1" applyFill="1" applyBorder="1" applyAlignment="1" applyProtection="1">
      <alignment vertical="center"/>
    </xf>
    <xf numFmtId="169" fontId="8" fillId="32" borderId="11" xfId="0" applyNumberFormat="1" applyFont="1" applyFill="1" applyBorder="1" applyAlignment="1" applyProtection="1">
      <alignment vertical="center"/>
    </xf>
    <xf numFmtId="169" fontId="7" fillId="32" borderId="10" xfId="0" applyNumberFormat="1" applyFont="1" applyFill="1" applyBorder="1" applyAlignment="1" applyProtection="1">
      <alignment vertical="center"/>
    </xf>
    <xf numFmtId="169" fontId="7" fillId="32" borderId="11" xfId="0" applyNumberFormat="1" applyFont="1" applyFill="1" applyBorder="1" applyAlignment="1" applyProtection="1">
      <alignment vertical="center"/>
    </xf>
    <xf numFmtId="169" fontId="31" fillId="32" borderId="10" xfId="26" applyNumberFormat="1" applyFont="1" applyFill="1" applyBorder="1" applyAlignment="1">
      <alignment vertical="center"/>
    </xf>
    <xf numFmtId="169" fontId="31" fillId="32" borderId="11" xfId="26" applyNumberFormat="1" applyFont="1" applyFill="1" applyBorder="1" applyAlignment="1">
      <alignment vertical="center"/>
    </xf>
    <xf numFmtId="169" fontId="31" fillId="32" borderId="10" xfId="0" applyNumberFormat="1" applyFont="1" applyFill="1" applyBorder="1" applyAlignment="1">
      <alignment vertical="center"/>
    </xf>
    <xf numFmtId="169" fontId="31" fillId="32" borderId="11" xfId="0" applyNumberFormat="1" applyFont="1" applyFill="1" applyBorder="1" applyAlignment="1">
      <alignment vertical="center"/>
    </xf>
    <xf numFmtId="169" fontId="31" fillId="32" borderId="10" xfId="0" applyNumberFormat="1" applyFont="1" applyFill="1" applyBorder="1" applyAlignment="1" applyProtection="1">
      <alignment vertical="center"/>
    </xf>
    <xf numFmtId="169" fontId="31" fillId="32" borderId="11" xfId="0" applyNumberFormat="1" applyFont="1" applyFill="1" applyBorder="1" applyAlignment="1" applyProtection="1">
      <alignment vertical="center"/>
    </xf>
    <xf numFmtId="169" fontId="47" fillId="32" borderId="10" xfId="0" applyNumberFormat="1" applyFont="1" applyFill="1" applyBorder="1" applyAlignment="1" applyProtection="1">
      <alignment vertical="center"/>
    </xf>
    <xf numFmtId="169" fontId="47" fillId="32" borderId="11" xfId="0" applyNumberFormat="1" applyFont="1" applyFill="1" applyBorder="1" applyAlignment="1" applyProtection="1">
      <alignment vertical="center"/>
    </xf>
    <xf numFmtId="169" fontId="47" fillId="32" borderId="10" xfId="0" applyNumberFormat="1" applyFont="1" applyFill="1" applyBorder="1" applyAlignment="1" applyProtection="1">
      <alignment vertical="center"/>
      <protection locked="0"/>
    </xf>
    <xf numFmtId="169" fontId="47" fillId="32" borderId="11" xfId="0" applyNumberFormat="1" applyFont="1" applyFill="1" applyBorder="1" applyAlignment="1" applyProtection="1">
      <alignment vertical="center"/>
      <protection locked="0"/>
    </xf>
    <xf numFmtId="169" fontId="31" fillId="32" borderId="10" xfId="0" applyNumberFormat="1" applyFont="1" applyFill="1" applyBorder="1" applyAlignment="1" applyProtection="1">
      <alignment vertical="center"/>
      <protection locked="0"/>
    </xf>
    <xf numFmtId="169" fontId="31" fillId="32" borderId="11" xfId="0" applyNumberFormat="1" applyFont="1" applyFill="1" applyBorder="1" applyAlignment="1" applyProtection="1">
      <alignment vertical="center"/>
      <protection locked="0"/>
    </xf>
    <xf numFmtId="169" fontId="7" fillId="32" borderId="10" xfId="0" applyNumberFormat="1" applyFont="1" applyFill="1" applyBorder="1" applyAlignment="1">
      <alignment vertical="center"/>
    </xf>
    <xf numFmtId="169" fontId="7" fillId="32" borderId="11" xfId="0" applyNumberFormat="1" applyFont="1" applyFill="1" applyBorder="1" applyAlignment="1">
      <alignment vertical="center"/>
    </xf>
    <xf numFmtId="169" fontId="47" fillId="32" borderId="10" xfId="26" applyNumberFormat="1" applyFont="1" applyFill="1" applyBorder="1" applyAlignment="1">
      <alignment vertical="center"/>
    </xf>
    <xf numFmtId="169" fontId="47" fillId="32" borderId="11" xfId="26" applyNumberFormat="1" applyFont="1" applyFill="1" applyBorder="1" applyAlignment="1">
      <alignment vertical="center"/>
    </xf>
    <xf numFmtId="169" fontId="66" fillId="32" borderId="10" xfId="26" applyNumberFormat="1" applyFont="1" applyFill="1" applyBorder="1" applyAlignment="1">
      <alignment vertical="center"/>
    </xf>
    <xf numFmtId="169" fontId="66" fillId="32" borderId="11" xfId="26" applyNumberFormat="1" applyFont="1" applyFill="1" applyBorder="1" applyAlignment="1">
      <alignment vertical="center"/>
    </xf>
    <xf numFmtId="169" fontId="8" fillId="32" borderId="10" xfId="26" applyNumberFormat="1" applyFont="1" applyFill="1" applyBorder="1" applyAlignment="1">
      <alignment vertical="center"/>
    </xf>
    <xf numFmtId="169" fontId="8" fillId="32" borderId="11" xfId="26" applyNumberFormat="1" applyFont="1" applyFill="1" applyBorder="1" applyAlignment="1">
      <alignment vertical="center"/>
    </xf>
    <xf numFmtId="0" fontId="49" fillId="34" borderId="10" xfId="0" applyFont="1" applyFill="1" applyBorder="1" applyAlignment="1">
      <alignment horizontal="center"/>
    </xf>
    <xf numFmtId="0" fontId="7" fillId="34" borderId="10" xfId="0" applyFont="1" applyFill="1" applyBorder="1" applyAlignment="1" applyProtection="1">
      <alignment horizontal="left" vertical="center" wrapText="1"/>
      <protection locked="0"/>
    </xf>
    <xf numFmtId="169" fontId="7" fillId="34" borderId="10" xfId="0" applyNumberFormat="1" applyFont="1" applyFill="1" applyBorder="1" applyAlignment="1" applyProtection="1">
      <alignment vertical="center"/>
    </xf>
    <xf numFmtId="169" fontId="7" fillId="34" borderId="11" xfId="0" applyNumberFormat="1" applyFont="1" applyFill="1" applyBorder="1" applyAlignment="1" applyProtection="1">
      <alignment vertical="center"/>
    </xf>
    <xf numFmtId="169" fontId="7" fillId="34" borderId="10" xfId="0" applyNumberFormat="1" applyFont="1" applyFill="1" applyBorder="1" applyAlignment="1" applyProtection="1">
      <alignment vertical="center"/>
      <protection locked="0"/>
    </xf>
    <xf numFmtId="169" fontId="7" fillId="34" borderId="11" xfId="0" applyNumberFormat="1" applyFont="1" applyFill="1" applyBorder="1" applyAlignment="1" applyProtection="1">
      <alignment vertical="center"/>
      <protection locked="0"/>
    </xf>
    <xf numFmtId="16" fontId="51" fillId="34" borderId="10" xfId="0" applyNumberFormat="1" applyFont="1" applyFill="1" applyBorder="1" applyAlignment="1">
      <alignment horizontal="center"/>
    </xf>
    <xf numFmtId="169" fontId="39" fillId="34" borderId="10" xfId="0" applyNumberFormat="1" applyFont="1" applyFill="1" applyBorder="1" applyAlignment="1" applyProtection="1">
      <alignment vertical="center"/>
    </xf>
    <xf numFmtId="169" fontId="39" fillId="34" borderId="11" xfId="0" applyNumberFormat="1" applyFont="1" applyFill="1" applyBorder="1" applyAlignment="1" applyProtection="1">
      <alignment vertical="center"/>
    </xf>
    <xf numFmtId="0" fontId="53" fillId="34" borderId="10" xfId="0" applyFont="1" applyFill="1" applyBorder="1" applyAlignment="1">
      <alignment horizontal="center"/>
    </xf>
    <xf numFmtId="0" fontId="7" fillId="34" borderId="10" xfId="0" applyFont="1" applyFill="1" applyBorder="1"/>
    <xf numFmtId="169" fontId="7" fillId="34" borderId="10" xfId="26" applyNumberFormat="1" applyFont="1" applyFill="1" applyBorder="1" applyAlignment="1">
      <alignment vertical="center"/>
    </xf>
    <xf numFmtId="169" fontId="7" fillId="34" borderId="11" xfId="26" applyNumberFormat="1" applyFont="1" applyFill="1" applyBorder="1" applyAlignment="1">
      <alignment vertical="center"/>
    </xf>
    <xf numFmtId="0" fontId="53" fillId="34" borderId="15" xfId="0" applyFont="1" applyFill="1" applyBorder="1" applyAlignment="1">
      <alignment horizontal="center"/>
    </xf>
    <xf numFmtId="0" fontId="7" fillId="34" borderId="15" xfId="0" applyFont="1" applyFill="1" applyBorder="1"/>
    <xf numFmtId="169" fontId="7" fillId="34" borderId="15" xfId="26" applyNumberFormat="1" applyFont="1" applyFill="1" applyBorder="1" applyAlignment="1">
      <alignment vertical="center"/>
    </xf>
    <xf numFmtId="169" fontId="7" fillId="34" borderId="76" xfId="26" applyNumberFormat="1" applyFont="1" applyFill="1" applyBorder="1" applyAlignment="1">
      <alignment vertical="center"/>
    </xf>
    <xf numFmtId="0" fontId="6" fillId="0" borderId="10" xfId="0" applyFont="1" applyFill="1" applyBorder="1"/>
    <xf numFmtId="0" fontId="7" fillId="0" borderId="10" xfId="0" applyFont="1" applyFill="1" applyBorder="1"/>
    <xf numFmtId="10" fontId="49" fillId="32" borderId="94" xfId="0" applyNumberFormat="1" applyFont="1" applyFill="1" applyBorder="1" applyAlignment="1" applyProtection="1">
      <alignment vertical="center"/>
    </xf>
    <xf numFmtId="10" fontId="66" fillId="32" borderId="87" xfId="0" applyNumberFormat="1" applyFont="1" applyFill="1" applyBorder="1" applyAlignment="1" applyProtection="1">
      <alignment vertical="center"/>
    </xf>
    <xf numFmtId="10" fontId="8" fillId="32" borderId="87" xfId="0" applyNumberFormat="1" applyFont="1" applyFill="1" applyBorder="1" applyAlignment="1" applyProtection="1">
      <alignment vertical="center"/>
    </xf>
    <xf numFmtId="10" fontId="7" fillId="32" borderId="87" xfId="0" applyNumberFormat="1" applyFont="1" applyFill="1" applyBorder="1" applyAlignment="1" applyProtection="1">
      <alignment vertical="center"/>
    </xf>
    <xf numFmtId="10" fontId="7" fillId="34" borderId="87" xfId="0" applyNumberFormat="1" applyFont="1" applyFill="1" applyBorder="1" applyAlignment="1" applyProtection="1">
      <alignment vertical="center"/>
    </xf>
    <xf numFmtId="10" fontId="31" fillId="32" borderId="87" xfId="26" applyNumberFormat="1" applyFont="1" applyFill="1" applyBorder="1" applyAlignment="1">
      <alignment vertical="center"/>
    </xf>
    <xf numFmtId="10" fontId="31" fillId="32" borderId="87" xfId="0" applyNumberFormat="1" applyFont="1" applyFill="1" applyBorder="1" applyAlignment="1">
      <alignment vertical="center"/>
    </xf>
    <xf numFmtId="10" fontId="31" fillId="32" borderId="87" xfId="0" applyNumberFormat="1" applyFont="1" applyFill="1" applyBorder="1" applyAlignment="1" applyProtection="1">
      <alignment vertical="center"/>
    </xf>
    <xf numFmtId="10" fontId="47" fillId="32" borderId="87" xfId="0" applyNumberFormat="1" applyFont="1" applyFill="1" applyBorder="1" applyAlignment="1" applyProtection="1">
      <alignment vertical="center"/>
    </xf>
    <xf numFmtId="10" fontId="47" fillId="32" borderId="87" xfId="0" applyNumberFormat="1" applyFont="1" applyFill="1" applyBorder="1" applyAlignment="1" applyProtection="1">
      <alignment vertical="center"/>
      <protection locked="0"/>
    </xf>
    <xf numFmtId="10" fontId="31" fillId="32" borderId="87" xfId="0" applyNumberFormat="1" applyFont="1" applyFill="1" applyBorder="1" applyAlignment="1" applyProtection="1">
      <alignment vertical="center"/>
      <protection locked="0"/>
    </xf>
    <xf numFmtId="10" fontId="7" fillId="34" borderId="87" xfId="0" applyNumberFormat="1" applyFont="1" applyFill="1" applyBorder="1" applyAlignment="1" applyProtection="1">
      <alignment vertical="center"/>
      <protection locked="0"/>
    </xf>
    <xf numFmtId="10" fontId="7" fillId="32" borderId="87" xfId="0" applyNumberFormat="1" applyFont="1" applyFill="1" applyBorder="1" applyAlignment="1">
      <alignment vertical="center"/>
    </xf>
    <xf numFmtId="10" fontId="47" fillId="32" borderId="87" xfId="26" applyNumberFormat="1" applyFont="1" applyFill="1" applyBorder="1" applyAlignment="1">
      <alignment vertical="center"/>
    </xf>
    <xf numFmtId="10" fontId="66" fillId="32" borderId="87" xfId="26" applyNumberFormat="1" applyFont="1" applyFill="1" applyBorder="1" applyAlignment="1">
      <alignment vertical="center"/>
    </xf>
    <xf numFmtId="10" fontId="39" fillId="34" borderId="87" xfId="0" applyNumberFormat="1" applyFont="1" applyFill="1" applyBorder="1" applyAlignment="1" applyProtection="1">
      <alignment vertical="center"/>
    </xf>
    <xf numFmtId="10" fontId="8" fillId="32" borderId="87" xfId="26" applyNumberFormat="1" applyFont="1" applyFill="1" applyBorder="1" applyAlignment="1">
      <alignment vertical="center"/>
    </xf>
    <xf numFmtId="10" fontId="7" fillId="34" borderId="87" xfId="26" applyNumberFormat="1" applyFont="1" applyFill="1" applyBorder="1" applyAlignment="1">
      <alignment vertical="center"/>
    </xf>
    <xf numFmtId="10" fontId="7" fillId="34" borderId="85" xfId="26" applyNumberFormat="1" applyFont="1" applyFill="1" applyBorder="1" applyAlignment="1">
      <alignment vertical="center"/>
    </xf>
    <xf numFmtId="10" fontId="68" fillId="29" borderId="30" xfId="0" applyNumberFormat="1" applyFont="1" applyFill="1" applyBorder="1" applyAlignment="1">
      <alignment vertical="center"/>
    </xf>
    <xf numFmtId="10" fontId="0" fillId="0" borderId="0" xfId="0" applyNumberFormat="1"/>
    <xf numFmtId="170" fontId="78" fillId="33" borderId="11" xfId="41" applyNumberFormat="1" applyFont="1" applyFill="1" applyBorder="1" applyAlignment="1">
      <alignment vertical="center"/>
    </xf>
    <xf numFmtId="170" fontId="105" fillId="28" borderId="11" xfId="26" applyNumberFormat="1" applyFont="1" applyFill="1" applyBorder="1" applyAlignment="1">
      <alignment horizontal="right"/>
    </xf>
    <xf numFmtId="170" fontId="81" fillId="27" borderId="11" xfId="26" applyNumberFormat="1" applyFont="1" applyFill="1" applyBorder="1" applyAlignment="1">
      <alignment horizontal="right"/>
    </xf>
    <xf numFmtId="170" fontId="111" fillId="35" borderId="11" xfId="26" applyNumberFormat="1" applyFont="1" applyFill="1" applyBorder="1"/>
    <xf numFmtId="170" fontId="105" fillId="28" borderId="69" xfId="26" applyNumberFormat="1" applyFont="1" applyFill="1" applyBorder="1" applyAlignment="1">
      <alignment horizontal="right"/>
    </xf>
    <xf numFmtId="170" fontId="81" fillId="27" borderId="69" xfId="26" applyNumberFormat="1" applyFont="1" applyFill="1" applyBorder="1" applyAlignment="1">
      <alignment horizontal="right"/>
    </xf>
    <xf numFmtId="170" fontId="111" fillId="35" borderId="69" xfId="26" applyNumberFormat="1" applyFont="1" applyFill="1" applyBorder="1"/>
    <xf numFmtId="0" fontId="8" fillId="31" borderId="11" xfId="41" applyFont="1" applyFill="1" applyBorder="1"/>
    <xf numFmtId="0" fontId="105" fillId="28" borderId="11" xfId="41" applyFont="1" applyFill="1" applyBorder="1" applyAlignment="1">
      <alignment horizontal="left" indent="2"/>
    </xf>
    <xf numFmtId="0" fontId="81" fillId="27" borderId="11" xfId="41" applyFont="1" applyFill="1" applyBorder="1" applyAlignment="1">
      <alignment horizontal="left" indent="4"/>
    </xf>
    <xf numFmtId="0" fontId="111" fillId="35" borderId="12" xfId="0" applyFont="1" applyFill="1" applyBorder="1" applyAlignment="1">
      <alignment horizontal="left" indent="6"/>
    </xf>
    <xf numFmtId="170" fontId="78" fillId="33" borderId="95" xfId="41" applyNumberFormat="1" applyFont="1" applyFill="1" applyBorder="1" applyAlignment="1">
      <alignment vertical="center"/>
    </xf>
    <xf numFmtId="170" fontId="78" fillId="33" borderId="69" xfId="41" applyNumberFormat="1" applyFont="1" applyFill="1" applyBorder="1" applyAlignment="1">
      <alignment vertical="center"/>
    </xf>
    <xf numFmtId="10" fontId="5" fillId="0" borderId="95" xfId="26" applyNumberFormat="1" applyFont="1" applyFill="1" applyBorder="1" applyAlignment="1">
      <alignment vertical="center"/>
    </xf>
    <xf numFmtId="10" fontId="5" fillId="0" borderId="69" xfId="26" applyNumberFormat="1" applyFont="1" applyFill="1" applyBorder="1" applyAlignment="1">
      <alignment vertical="center"/>
    </xf>
    <xf numFmtId="10" fontId="102" fillId="28" borderId="69" xfId="26" applyNumberFormat="1" applyFont="1" applyFill="1" applyBorder="1" applyAlignment="1"/>
    <xf numFmtId="10" fontId="87" fillId="27" borderId="69" xfId="26" applyNumberFormat="1" applyFont="1" applyFill="1" applyBorder="1" applyAlignment="1"/>
    <xf numFmtId="10" fontId="44" fillId="35" borderId="69" xfId="26" applyNumberFormat="1" applyFont="1" applyFill="1" applyBorder="1" applyAlignment="1"/>
    <xf numFmtId="167" fontId="28" fillId="36" borderId="16" xfId="41" applyNumberFormat="1" applyFont="1" applyFill="1" applyBorder="1" applyAlignment="1">
      <alignment horizontal="center"/>
    </xf>
    <xf numFmtId="168" fontId="28" fillId="36" borderId="16" xfId="41" applyNumberFormat="1" applyFont="1" applyFill="1" applyBorder="1" applyAlignment="1">
      <alignment horizontal="center"/>
    </xf>
    <xf numFmtId="3" fontId="28" fillId="36" borderId="24" xfId="41" applyNumberFormat="1" applyFont="1" applyFill="1" applyBorder="1" applyAlignment="1">
      <alignment horizontal="center"/>
    </xf>
    <xf numFmtId="170" fontId="78" fillId="33" borderId="11" xfId="41" applyNumberFormat="1" applyFont="1" applyFill="1" applyBorder="1" applyAlignment="1">
      <alignment horizontal="right"/>
    </xf>
    <xf numFmtId="170" fontId="105" fillId="32" borderId="52" xfId="41" applyNumberFormat="1" applyFont="1" applyFill="1" applyBorder="1" applyAlignment="1">
      <alignment horizontal="right"/>
    </xf>
    <xf numFmtId="170" fontId="78" fillId="33" borderId="11" xfId="26" applyNumberFormat="1" applyFont="1" applyFill="1" applyBorder="1" applyAlignment="1">
      <alignment horizontal="right"/>
    </xf>
    <xf numFmtId="170" fontId="108" fillId="33" borderId="11" xfId="41" applyNumberFormat="1" applyFont="1" applyFill="1" applyBorder="1" applyAlignment="1">
      <alignment horizontal="right"/>
    </xf>
    <xf numFmtId="10" fontId="5" fillId="0" borderId="95" xfId="26" applyNumberFormat="1" applyFont="1" applyFill="1" applyBorder="1" applyAlignment="1">
      <alignment horizontal="right"/>
    </xf>
    <xf numFmtId="10" fontId="5" fillId="0" borderId="69" xfId="26" applyNumberFormat="1" applyFont="1" applyFill="1" applyBorder="1" applyAlignment="1">
      <alignment horizontal="right"/>
    </xf>
    <xf numFmtId="10" fontId="102" fillId="32" borderId="96" xfId="0" applyNumberFormat="1" applyFont="1" applyFill="1" applyBorder="1" applyAlignment="1">
      <alignment horizontal="right"/>
    </xf>
    <xf numFmtId="10" fontId="102" fillId="28" borderId="69" xfId="26" applyNumberFormat="1" applyFont="1" applyFill="1" applyBorder="1" applyAlignment="1">
      <alignment horizontal="right"/>
    </xf>
    <xf numFmtId="10" fontId="87" fillId="27" borderId="69" xfId="26" applyNumberFormat="1" applyFont="1" applyFill="1" applyBorder="1" applyAlignment="1">
      <alignment horizontal="right"/>
    </xf>
    <xf numFmtId="170" fontId="28" fillId="33" borderId="52" xfId="26" applyNumberFormat="1" applyFont="1" applyFill="1" applyBorder="1" applyAlignment="1">
      <alignment horizontal="right"/>
    </xf>
    <xf numFmtId="170" fontId="28" fillId="33" borderId="11" xfId="26" applyNumberFormat="1" applyFont="1" applyFill="1" applyBorder="1" applyAlignment="1">
      <alignment horizontal="right"/>
    </xf>
    <xf numFmtId="170" fontId="107" fillId="28" borderId="11" xfId="26" applyNumberFormat="1" applyFont="1" applyFill="1" applyBorder="1" applyAlignment="1">
      <alignment horizontal="right"/>
    </xf>
    <xf numFmtId="170" fontId="103" fillId="28" borderId="11" xfId="26" applyNumberFormat="1" applyFont="1" applyFill="1" applyBorder="1" applyAlignment="1">
      <alignment horizontal="right"/>
    </xf>
    <xf numFmtId="170" fontId="79" fillId="33" borderId="11" xfId="26" applyNumberFormat="1" applyFont="1" applyFill="1" applyBorder="1" applyAlignment="1">
      <alignment horizontal="right"/>
    </xf>
    <xf numFmtId="170" fontId="79" fillId="33" borderId="11" xfId="26" applyNumberFormat="1" applyFont="1" applyFill="1" applyBorder="1" applyAlignment="1">
      <alignment horizontal="right" vertical="center"/>
    </xf>
    <xf numFmtId="170" fontId="80" fillId="33" borderId="11" xfId="26" applyNumberFormat="1" applyFont="1" applyFill="1" applyBorder="1" applyAlignment="1">
      <alignment horizontal="right" vertical="center"/>
    </xf>
    <xf numFmtId="170" fontId="28" fillId="27" borderId="11" xfId="26" applyNumberFormat="1" applyFont="1" applyFill="1" applyBorder="1" applyAlignment="1">
      <alignment horizontal="right"/>
    </xf>
    <xf numFmtId="167" fontId="28" fillId="36" borderId="61" xfId="0" applyNumberFormat="1" applyFont="1" applyFill="1" applyBorder="1" applyAlignment="1">
      <alignment horizontal="center" wrapText="1"/>
    </xf>
    <xf numFmtId="168" fontId="28" fillId="36" borderId="61" xfId="0" applyNumberFormat="1" applyFont="1" applyFill="1" applyBorder="1" applyAlignment="1">
      <alignment horizontal="center" wrapText="1"/>
    </xf>
    <xf numFmtId="3" fontId="28" fillId="36" borderId="50" xfId="0" applyNumberFormat="1" applyFont="1" applyFill="1" applyBorder="1" applyAlignment="1">
      <alignment horizontal="center"/>
    </xf>
    <xf numFmtId="0" fontId="27" fillId="31" borderId="52" xfId="0" applyFont="1" applyFill="1" applyBorder="1"/>
    <xf numFmtId="3" fontId="27" fillId="31" borderId="11" xfId="0" applyNumberFormat="1" applyFont="1" applyFill="1" applyBorder="1"/>
    <xf numFmtId="3" fontId="106" fillId="28" borderId="11" xfId="0" applyNumberFormat="1" applyFont="1" applyFill="1" applyBorder="1" applyAlignment="1">
      <alignment horizontal="left" indent="2"/>
    </xf>
    <xf numFmtId="3" fontId="103" fillId="28" borderId="11" xfId="0" applyNumberFormat="1" applyFont="1" applyFill="1" applyBorder="1" applyAlignment="1">
      <alignment horizontal="left" indent="2"/>
    </xf>
    <xf numFmtId="49" fontId="82" fillId="31" borderId="11" xfId="0" applyNumberFormat="1" applyFont="1" applyFill="1" applyBorder="1"/>
    <xf numFmtId="3" fontId="82" fillId="31" borderId="11" xfId="0" applyNumberFormat="1" applyFont="1" applyFill="1" applyBorder="1" applyAlignment="1">
      <alignment horizontal="left"/>
    </xf>
    <xf numFmtId="3" fontId="82" fillId="31" borderId="11" xfId="0" applyNumberFormat="1" applyFont="1" applyFill="1" applyBorder="1" applyAlignment="1">
      <alignment vertical="center"/>
    </xf>
    <xf numFmtId="0" fontId="27" fillId="31" borderId="11" xfId="0" applyFont="1" applyFill="1" applyBorder="1" applyAlignment="1">
      <alignment vertical="center"/>
    </xf>
    <xf numFmtId="3" fontId="27" fillId="31" borderId="11" xfId="0" applyNumberFormat="1" applyFont="1" applyFill="1" applyBorder="1" applyAlignment="1">
      <alignment vertical="center"/>
    </xf>
    <xf numFmtId="0" fontId="91" fillId="31" borderId="11" xfId="43" applyFont="1" applyFill="1" applyBorder="1" applyAlignment="1">
      <alignment vertical="center" wrapText="1"/>
    </xf>
    <xf numFmtId="0" fontId="28" fillId="27" borderId="11" xfId="0" applyFont="1" applyFill="1" applyBorder="1" applyAlignment="1">
      <alignment horizontal="left" indent="4"/>
    </xf>
    <xf numFmtId="170" fontId="28" fillId="33" borderId="95" xfId="26" applyNumberFormat="1" applyFont="1" applyFill="1" applyBorder="1" applyAlignment="1">
      <alignment horizontal="right"/>
    </xf>
    <xf numFmtId="170" fontId="28" fillId="33" borderId="69" xfId="26" applyNumberFormat="1" applyFont="1" applyFill="1" applyBorder="1" applyAlignment="1">
      <alignment horizontal="right"/>
    </xf>
    <xf numFmtId="170" fontId="107" fillId="28" borderId="69" xfId="26" applyNumberFormat="1" applyFont="1" applyFill="1" applyBorder="1" applyAlignment="1">
      <alignment horizontal="right"/>
    </xf>
    <xf numFmtId="170" fontId="32" fillId="33" borderId="69" xfId="26" applyNumberFormat="1" applyFont="1" applyFill="1" applyBorder="1" applyAlignment="1">
      <alignment horizontal="right"/>
    </xf>
    <xf numFmtId="170" fontId="103" fillId="28" borderId="69" xfId="26" applyNumberFormat="1" applyFont="1" applyFill="1" applyBorder="1" applyAlignment="1">
      <alignment horizontal="right"/>
    </xf>
    <xf numFmtId="170" fontId="34" fillId="33" borderId="69" xfId="26" applyNumberFormat="1" applyFont="1" applyFill="1" applyBorder="1" applyAlignment="1">
      <alignment horizontal="right"/>
    </xf>
    <xf numFmtId="170" fontId="79" fillId="33" borderId="69" xfId="26" applyNumberFormat="1" applyFont="1" applyFill="1" applyBorder="1" applyAlignment="1">
      <alignment horizontal="right" vertical="center"/>
    </xf>
    <xf numFmtId="170" fontId="28" fillId="27" borderId="69" xfId="26" applyNumberFormat="1" applyFont="1" applyFill="1" applyBorder="1" applyAlignment="1">
      <alignment horizontal="right"/>
    </xf>
    <xf numFmtId="10" fontId="102" fillId="0" borderId="88" xfId="26" applyNumberFormat="1" applyFont="1" applyFill="1" applyBorder="1" applyAlignment="1">
      <alignment horizontal="right"/>
    </xf>
    <xf numFmtId="10" fontId="102" fillId="0" borderId="87" xfId="26" applyNumberFormat="1" applyFont="1" applyFill="1" applyBorder="1" applyAlignment="1">
      <alignment horizontal="right"/>
    </xf>
    <xf numFmtId="10" fontId="115" fillId="0" borderId="87" xfId="26" applyNumberFormat="1" applyFont="1" applyFill="1" applyBorder="1" applyAlignment="1">
      <alignment horizontal="right"/>
    </xf>
    <xf numFmtId="10" fontId="115" fillId="0" borderId="87" xfId="26" applyNumberFormat="1" applyFont="1" applyFill="1" applyBorder="1" applyAlignment="1">
      <alignment horizontal="right" vertical="center"/>
    </xf>
    <xf numFmtId="10" fontId="122" fillId="0" borderId="87" xfId="26" applyNumberFormat="1" applyFont="1" applyFill="1" applyBorder="1" applyAlignment="1">
      <alignment horizontal="right" vertical="center"/>
    </xf>
    <xf numFmtId="10" fontId="123" fillId="28" borderId="87" xfId="26" applyNumberFormat="1" applyFont="1" applyFill="1" applyBorder="1" applyAlignment="1">
      <alignment horizontal="right"/>
    </xf>
    <xf numFmtId="10" fontId="26" fillId="28" borderId="87" xfId="26" applyNumberFormat="1" applyFont="1" applyFill="1" applyBorder="1" applyAlignment="1">
      <alignment horizontal="right"/>
    </xf>
    <xf numFmtId="10" fontId="87" fillId="28" borderId="87" xfId="26" applyNumberFormat="1" applyFont="1" applyFill="1" applyBorder="1" applyAlignment="1">
      <alignment horizontal="right"/>
    </xf>
    <xf numFmtId="10" fontId="7" fillId="27" borderId="87" xfId="26" applyNumberFormat="1" applyFont="1" applyFill="1" applyBorder="1" applyAlignment="1">
      <alignment horizontal="right"/>
    </xf>
    <xf numFmtId="165" fontId="82" fillId="0" borderId="0" xfId="26" applyNumberFormat="1" applyFont="1" applyFill="1" applyBorder="1" applyAlignment="1">
      <alignment wrapText="1"/>
    </xf>
    <xf numFmtId="0" fontId="50" fillId="36" borderId="15" xfId="0" applyFont="1" applyFill="1" applyBorder="1" applyAlignment="1"/>
    <xf numFmtId="167" fontId="28" fillId="36" borderId="16" xfId="0" applyNumberFormat="1" applyFont="1" applyFill="1" applyBorder="1" applyAlignment="1">
      <alignment horizontal="center"/>
    </xf>
    <xf numFmtId="168" fontId="28" fillId="36" borderId="16" xfId="0" applyNumberFormat="1" applyFont="1" applyFill="1" applyBorder="1" applyAlignment="1">
      <alignment horizontal="center"/>
    </xf>
    <xf numFmtId="0" fontId="50" fillId="36" borderId="16" xfId="0" applyFont="1" applyFill="1" applyBorder="1" applyAlignment="1">
      <alignment horizontal="center"/>
    </xf>
    <xf numFmtId="0" fontId="28" fillId="36" borderId="16" xfId="0" applyFont="1" applyFill="1" applyBorder="1" applyAlignment="1">
      <alignment horizontal="center"/>
    </xf>
    <xf numFmtId="0" fontId="50" fillId="36" borderId="24" xfId="0" applyFont="1" applyFill="1" applyBorder="1" applyAlignment="1"/>
    <xf numFmtId="170" fontId="27" fillId="33" borderId="52" xfId="27" applyNumberFormat="1" applyFont="1" applyFill="1" applyBorder="1"/>
    <xf numFmtId="170" fontId="27" fillId="33" borderId="11" xfId="27" applyNumberFormat="1" applyFont="1" applyFill="1" applyBorder="1"/>
    <xf numFmtId="170" fontId="105" fillId="28" borderId="11" xfId="27" applyNumberFormat="1" applyFont="1" applyFill="1" applyBorder="1"/>
    <xf numFmtId="170" fontId="8" fillId="33" borderId="11" xfId="27" applyNumberFormat="1" applyFont="1" applyFill="1" applyBorder="1"/>
    <xf numFmtId="170" fontId="83" fillId="32" borderId="11" xfId="27" applyNumberFormat="1" applyFont="1" applyFill="1" applyBorder="1"/>
    <xf numFmtId="170" fontId="8" fillId="33" borderId="11" xfId="27" applyNumberFormat="1" applyFont="1" applyFill="1" applyBorder="1" applyAlignment="1">
      <alignment vertical="center" wrapText="1"/>
    </xf>
    <xf numFmtId="170" fontId="110" fillId="33" borderId="11" xfId="26" applyNumberFormat="1" applyFont="1" applyFill="1" applyBorder="1"/>
    <xf numFmtId="170" fontId="104" fillId="33" borderId="11" xfId="26" applyNumberFormat="1" applyFont="1" applyFill="1" applyBorder="1"/>
    <xf numFmtId="170" fontId="78" fillId="33" borderId="11" xfId="26" applyNumberFormat="1" applyFont="1" applyFill="1" applyBorder="1"/>
    <xf numFmtId="170" fontId="78" fillId="33" borderId="76" xfId="26" applyNumberFormat="1" applyFont="1" applyFill="1" applyBorder="1"/>
    <xf numFmtId="170" fontId="31" fillId="33" borderId="11" xfId="26" applyNumberFormat="1" applyFont="1" applyFill="1" applyBorder="1"/>
    <xf numFmtId="170" fontId="31" fillId="33" borderId="52" xfId="26" applyNumberFormat="1" applyFont="1" applyFill="1" applyBorder="1"/>
    <xf numFmtId="170" fontId="109" fillId="33" borderId="11" xfId="26" applyNumberFormat="1" applyFont="1" applyFill="1" applyBorder="1"/>
    <xf numFmtId="170" fontId="112" fillId="33" borderId="11" xfId="26" applyNumberFormat="1" applyFont="1" applyFill="1" applyBorder="1"/>
    <xf numFmtId="0" fontId="27" fillId="0" borderId="53" xfId="0" applyFont="1" applyFill="1" applyBorder="1"/>
    <xf numFmtId="0" fontId="27" fillId="0" borderId="12" xfId="0" applyFont="1" applyFill="1" applyBorder="1"/>
    <xf numFmtId="0" fontId="105" fillId="28" borderId="12" xfId="0" applyFont="1" applyFill="1" applyBorder="1" applyAlignment="1">
      <alignment horizontal="left" indent="3"/>
    </xf>
    <xf numFmtId="0" fontId="8" fillId="31" borderId="12" xfId="0" applyFont="1" applyFill="1" applyBorder="1"/>
    <xf numFmtId="0" fontId="81" fillId="34" borderId="12" xfId="0" applyFont="1" applyFill="1" applyBorder="1" applyAlignment="1">
      <alignment horizontal="left" indent="4"/>
    </xf>
    <xf numFmtId="0" fontId="104" fillId="31" borderId="12" xfId="0" applyFont="1" applyFill="1" applyBorder="1" applyAlignment="1">
      <alignment horizontal="left" indent="2"/>
    </xf>
    <xf numFmtId="0" fontId="27" fillId="31" borderId="12" xfId="0" applyFont="1" applyFill="1" applyBorder="1"/>
    <xf numFmtId="0" fontId="83" fillId="32" borderId="12" xfId="0" applyFont="1" applyFill="1" applyBorder="1" applyAlignment="1">
      <alignment horizontal="left" indent="1"/>
    </xf>
    <xf numFmtId="0" fontId="8" fillId="31" borderId="12" xfId="0" applyFont="1" applyFill="1" applyBorder="1" applyAlignment="1">
      <alignment vertical="center" wrapText="1"/>
    </xf>
    <xf numFmtId="0" fontId="110" fillId="31" borderId="12" xfId="0" applyFont="1" applyFill="1" applyBorder="1"/>
    <xf numFmtId="0" fontId="110" fillId="31" borderId="12" xfId="0" applyFont="1" applyFill="1" applyBorder="1" applyAlignment="1">
      <alignment wrapText="1"/>
    </xf>
    <xf numFmtId="0" fontId="78" fillId="31" borderId="12" xfId="0" applyFont="1" applyFill="1" applyBorder="1"/>
    <xf numFmtId="0" fontId="78" fillId="31" borderId="39" xfId="0" applyFont="1" applyFill="1" applyBorder="1"/>
    <xf numFmtId="0" fontId="31" fillId="0" borderId="53" xfId="0" applyFont="1" applyFill="1" applyBorder="1"/>
    <xf numFmtId="0" fontId="31" fillId="0" borderId="12" xfId="0" applyFont="1" applyFill="1" applyBorder="1"/>
    <xf numFmtId="0" fontId="104" fillId="0" borderId="12" xfId="0" applyFont="1" applyFill="1" applyBorder="1" applyAlignment="1">
      <alignment horizontal="left" indent="2"/>
    </xf>
    <xf numFmtId="0" fontId="78" fillId="0" borderId="12" xfId="0" applyFont="1" applyFill="1" applyBorder="1"/>
    <xf numFmtId="170" fontId="105" fillId="28" borderId="69" xfId="27" applyNumberFormat="1" applyFont="1" applyFill="1" applyBorder="1"/>
    <xf numFmtId="170" fontId="81" fillId="34" borderId="69" xfId="27" applyNumberFormat="1" applyFont="1" applyFill="1" applyBorder="1"/>
    <xf numFmtId="170" fontId="27" fillId="33" borderId="95" xfId="27" applyNumberFormat="1" applyFont="1" applyFill="1" applyBorder="1"/>
    <xf numFmtId="170" fontId="27" fillId="33" borderId="69" xfId="27" applyNumberFormat="1" applyFont="1" applyFill="1" applyBorder="1"/>
    <xf numFmtId="170" fontId="8" fillId="33" borderId="69" xfId="27" applyNumberFormat="1" applyFont="1" applyFill="1" applyBorder="1"/>
    <xf numFmtId="170" fontId="104" fillId="33" borderId="69" xfId="27" applyNumberFormat="1" applyFont="1" applyFill="1" applyBorder="1"/>
    <xf numFmtId="170" fontId="83" fillId="32" borderId="69" xfId="27" applyNumberFormat="1" applyFont="1" applyFill="1" applyBorder="1"/>
    <xf numFmtId="170" fontId="8" fillId="33" borderId="69" xfId="27" applyNumberFormat="1" applyFont="1" applyFill="1" applyBorder="1" applyAlignment="1">
      <alignment vertical="center" wrapText="1"/>
    </xf>
    <xf numFmtId="170" fontId="110" fillId="33" borderId="69" xfId="26" applyNumberFormat="1" applyFont="1" applyFill="1" applyBorder="1"/>
    <xf numFmtId="170" fontId="104" fillId="33" borderId="69" xfId="26" applyNumberFormat="1" applyFont="1" applyFill="1" applyBorder="1"/>
    <xf numFmtId="170" fontId="78" fillId="33" borderId="69" xfId="26" applyNumberFormat="1" applyFont="1" applyFill="1" applyBorder="1"/>
    <xf numFmtId="170" fontId="78" fillId="33" borderId="97" xfId="26" applyNumberFormat="1" applyFont="1" applyFill="1" applyBorder="1"/>
    <xf numFmtId="170" fontId="31" fillId="33" borderId="69" xfId="26" applyNumberFormat="1" applyFont="1" applyFill="1" applyBorder="1"/>
    <xf numFmtId="170" fontId="31" fillId="33" borderId="96" xfId="26" applyNumberFormat="1" applyFont="1" applyFill="1" applyBorder="1"/>
    <xf numFmtId="170" fontId="109" fillId="33" borderId="69" xfId="26" applyNumberFormat="1" applyFont="1" applyFill="1" applyBorder="1"/>
    <xf numFmtId="170" fontId="112" fillId="33" borderId="69" xfId="26" applyNumberFormat="1" applyFont="1" applyFill="1" applyBorder="1"/>
    <xf numFmtId="10" fontId="124" fillId="0" borderId="95" xfId="27" applyNumberFormat="1" applyFont="1" applyFill="1" applyBorder="1" applyAlignment="1">
      <alignment horizontal="right"/>
    </xf>
    <xf numFmtId="10" fontId="124" fillId="0" borderId="69" xfId="27" applyNumberFormat="1" applyFont="1" applyFill="1" applyBorder="1" applyAlignment="1">
      <alignment horizontal="right"/>
    </xf>
    <xf numFmtId="10" fontId="124" fillId="0" borderId="69" xfId="27" applyNumberFormat="1" applyFont="1" applyFill="1" applyBorder="1" applyAlignment="1">
      <alignment horizontal="right" vertical="center" wrapText="1"/>
    </xf>
    <xf numFmtId="10" fontId="124" fillId="0" borderId="69" xfId="26" applyNumberFormat="1" applyFont="1" applyFill="1" applyBorder="1" applyAlignment="1">
      <alignment horizontal="right"/>
    </xf>
    <xf numFmtId="10" fontId="124" fillId="0" borderId="97" xfId="26" applyNumberFormat="1" applyFont="1" applyFill="1" applyBorder="1" applyAlignment="1">
      <alignment horizontal="right"/>
    </xf>
    <xf numFmtId="10" fontId="124" fillId="0" borderId="96" xfId="26" applyNumberFormat="1" applyFont="1" applyFill="1" applyBorder="1" applyAlignment="1">
      <alignment horizontal="right"/>
    </xf>
    <xf numFmtId="10" fontId="102" fillId="28" borderId="69" xfId="27" applyNumberFormat="1" applyFont="1" applyFill="1" applyBorder="1" applyAlignment="1">
      <alignment horizontal="right"/>
    </xf>
    <xf numFmtId="10" fontId="102" fillId="32" borderId="69" xfId="27" applyNumberFormat="1" applyFont="1" applyFill="1" applyBorder="1" applyAlignment="1">
      <alignment horizontal="right"/>
    </xf>
    <xf numFmtId="10" fontId="102" fillId="28" borderId="69" xfId="27" applyNumberFormat="1" applyFont="1" applyFill="1" applyBorder="1"/>
    <xf numFmtId="10" fontId="87" fillId="34" borderId="69" xfId="27" applyNumberFormat="1" applyFont="1" applyFill="1" applyBorder="1" applyAlignment="1">
      <alignment horizontal="right"/>
    </xf>
    <xf numFmtId="10" fontId="87" fillId="34" borderId="69" xfId="27" applyNumberFormat="1" applyFont="1" applyFill="1" applyBorder="1"/>
    <xf numFmtId="10" fontId="44" fillId="35" borderId="69" xfId="26" applyNumberFormat="1" applyFont="1" applyFill="1" applyBorder="1"/>
    <xf numFmtId="168" fontId="28" fillId="36" borderId="61" xfId="0" applyNumberFormat="1" applyFont="1" applyFill="1" applyBorder="1" applyAlignment="1">
      <alignment horizontal="center"/>
    </xf>
    <xf numFmtId="0" fontId="50" fillId="36" borderId="50" xfId="0" applyFont="1" applyFill="1" applyBorder="1" applyAlignment="1">
      <alignment horizontal="center"/>
    </xf>
    <xf numFmtId="10" fontId="56" fillId="0" borderId="0" xfId="0" applyNumberFormat="1" applyFont="1"/>
    <xf numFmtId="10" fontId="102" fillId="32" borderId="69" xfId="27" applyNumberFormat="1" applyFont="1" applyFill="1" applyBorder="1"/>
    <xf numFmtId="0" fontId="5" fillId="0" borderId="27" xfId="0" applyFont="1" applyFill="1" applyBorder="1"/>
    <xf numFmtId="0" fontId="28" fillId="36" borderId="10" xfId="0" applyFont="1" applyFill="1" applyBorder="1"/>
    <xf numFmtId="10" fontId="56" fillId="0" borderId="0" xfId="0" applyNumberFormat="1" applyFont="1" applyBorder="1" applyAlignment="1">
      <alignment horizontal="right"/>
    </xf>
    <xf numFmtId="10" fontId="85" fillId="0" borderId="0" xfId="0" applyNumberFormat="1" applyFont="1" applyBorder="1"/>
    <xf numFmtId="10" fontId="43" fillId="0" borderId="0" xfId="0" applyNumberFormat="1" applyFont="1" applyBorder="1"/>
    <xf numFmtId="10" fontId="56" fillId="0" borderId="0" xfId="0" applyNumberFormat="1" applyFont="1" applyFill="1" applyBorder="1"/>
    <xf numFmtId="3" fontId="28" fillId="36" borderId="10" xfId="0" applyNumberFormat="1" applyFont="1" applyFill="1" applyBorder="1" applyAlignment="1"/>
    <xf numFmtId="165" fontId="28" fillId="0" borderId="27" xfId="26" applyNumberFormat="1" applyFont="1" applyFill="1" applyBorder="1" applyAlignment="1">
      <alignment horizontal="center"/>
    </xf>
    <xf numFmtId="165" fontId="28" fillId="0" borderId="27" xfId="26" applyNumberFormat="1" applyFont="1" applyFill="1" applyBorder="1"/>
    <xf numFmtId="170" fontId="104" fillId="33" borderId="98" xfId="27" applyNumberFormat="1" applyFont="1" applyFill="1" applyBorder="1"/>
    <xf numFmtId="165" fontId="28" fillId="28" borderId="11" xfId="26" applyNumberFormat="1" applyFont="1" applyFill="1" applyBorder="1"/>
    <xf numFmtId="170" fontId="104" fillId="33" borderId="76" xfId="27" applyNumberFormat="1" applyFont="1" applyFill="1" applyBorder="1"/>
    <xf numFmtId="10" fontId="27" fillId="0" borderId="94" xfId="27" applyNumberFormat="1" applyFont="1" applyFill="1" applyBorder="1"/>
    <xf numFmtId="10" fontId="27" fillId="0" borderId="87" xfId="27" applyNumberFormat="1" applyFont="1" applyFill="1" applyBorder="1"/>
    <xf numFmtId="10" fontId="27" fillId="0" borderId="99" xfId="27" applyNumberFormat="1" applyFont="1" applyFill="1" applyBorder="1"/>
    <xf numFmtId="10" fontId="83" fillId="34" borderId="87" xfId="27" applyNumberFormat="1" applyFont="1" applyFill="1" applyBorder="1"/>
    <xf numFmtId="10" fontId="125" fillId="35" borderId="87" xfId="26" applyNumberFormat="1" applyFont="1" applyFill="1" applyBorder="1"/>
    <xf numFmtId="10" fontId="126" fillId="35" borderId="84" xfId="26" applyNumberFormat="1" applyFont="1" applyFill="1" applyBorder="1"/>
    <xf numFmtId="10" fontId="83" fillId="34" borderId="94" xfId="27" applyNumberFormat="1" applyFont="1" applyFill="1" applyBorder="1"/>
    <xf numFmtId="10" fontId="28" fillId="28" borderId="87" xfId="26" applyNumberFormat="1" applyFont="1" applyFill="1" applyBorder="1"/>
    <xf numFmtId="10" fontId="27" fillId="0" borderId="85" xfId="27" applyNumberFormat="1" applyFont="1" applyFill="1" applyBorder="1"/>
    <xf numFmtId="170" fontId="43" fillId="31" borderId="0" xfId="0" applyNumberFormat="1" applyFont="1" applyFill="1" applyBorder="1"/>
    <xf numFmtId="170" fontId="43" fillId="34" borderId="0" xfId="0" applyNumberFormat="1" applyFont="1" applyFill="1" applyBorder="1"/>
    <xf numFmtId="3" fontId="0" fillId="0" borderId="0" xfId="0" applyNumberFormat="1" applyAlignment="1"/>
    <xf numFmtId="0" fontId="81" fillId="34" borderId="15" xfId="0" applyFont="1" applyFill="1" applyBorder="1"/>
    <xf numFmtId="0" fontId="81" fillId="34" borderId="39" xfId="0" applyFont="1" applyFill="1" applyBorder="1" applyAlignment="1">
      <alignment horizontal="left" indent="4"/>
    </xf>
    <xf numFmtId="170" fontId="81" fillId="34" borderId="97" xfId="27" applyNumberFormat="1" applyFont="1" applyFill="1" applyBorder="1"/>
    <xf numFmtId="170" fontId="81" fillId="34" borderId="15" xfId="27" applyNumberFormat="1" applyFont="1" applyFill="1" applyBorder="1"/>
    <xf numFmtId="170" fontId="81" fillId="34" borderId="76" xfId="27" applyNumberFormat="1" applyFont="1" applyFill="1" applyBorder="1"/>
    <xf numFmtId="10" fontId="87" fillId="34" borderId="97" xfId="27" applyNumberFormat="1" applyFont="1" applyFill="1" applyBorder="1" applyAlignment="1">
      <alignment horizontal="right"/>
    </xf>
    <xf numFmtId="0" fontId="31" fillId="0" borderId="52" xfId="0" applyFont="1" applyFill="1" applyBorder="1"/>
    <xf numFmtId="170" fontId="111" fillId="35" borderId="30" xfId="26" applyNumberFormat="1" applyFont="1" applyFill="1" applyBorder="1"/>
    <xf numFmtId="10" fontId="44" fillId="35" borderId="30" xfId="26" applyNumberFormat="1" applyFont="1" applyFill="1" applyBorder="1"/>
    <xf numFmtId="10" fontId="87" fillId="34" borderId="97" xfId="27" applyNumberFormat="1" applyFont="1" applyFill="1" applyBorder="1"/>
    <xf numFmtId="0" fontId="105" fillId="39" borderId="10" xfId="0" applyFont="1" applyFill="1" applyBorder="1" applyAlignment="1">
      <alignment horizontal="center"/>
    </xf>
    <xf numFmtId="3" fontId="105" fillId="39" borderId="11" xfId="0" applyNumberFormat="1" applyFont="1" applyFill="1" applyBorder="1" applyAlignment="1"/>
    <xf numFmtId="170" fontId="117" fillId="37" borderId="73" xfId="0" applyNumberFormat="1" applyFont="1" applyFill="1" applyBorder="1" applyAlignment="1"/>
    <xf numFmtId="170" fontId="117" fillId="37" borderId="13" xfId="0" applyNumberFormat="1" applyFont="1" applyFill="1" applyBorder="1" applyAlignment="1"/>
    <xf numFmtId="170" fontId="117" fillId="37" borderId="11" xfId="0" applyNumberFormat="1" applyFont="1" applyFill="1" applyBorder="1" applyAlignment="1"/>
    <xf numFmtId="10" fontId="118" fillId="37" borderId="87" xfId="0" applyNumberFormat="1" applyFont="1" applyFill="1" applyBorder="1" applyAlignment="1">
      <alignment horizontal="center"/>
    </xf>
    <xf numFmtId="170" fontId="117" fillId="37" borderId="92" xfId="0" applyNumberFormat="1" applyFont="1" applyFill="1" applyBorder="1" applyAlignment="1"/>
    <xf numFmtId="170" fontId="117" fillId="37" borderId="10" xfId="0" applyNumberFormat="1" applyFont="1" applyFill="1" applyBorder="1" applyAlignment="1"/>
    <xf numFmtId="0" fontId="105" fillId="37" borderId="10" xfId="0" applyFont="1" applyFill="1" applyBorder="1"/>
    <xf numFmtId="0" fontId="105" fillId="37" borderId="12" xfId="0" applyFont="1" applyFill="1" applyBorder="1" applyAlignment="1">
      <alignment horizontal="left" indent="2"/>
    </xf>
    <xf numFmtId="170" fontId="127" fillId="35" borderId="73" xfId="0" applyNumberFormat="1" applyFont="1" applyFill="1" applyBorder="1" applyAlignment="1"/>
    <xf numFmtId="170" fontId="127" fillId="35" borderId="13" xfId="0" applyNumberFormat="1" applyFont="1" applyFill="1" applyBorder="1" applyAlignment="1"/>
    <xf numFmtId="170" fontId="127" fillId="35" borderId="11" xfId="0" applyNumberFormat="1" applyFont="1" applyFill="1" applyBorder="1" applyAlignment="1"/>
    <xf numFmtId="10" fontId="127" fillId="35" borderId="87" xfId="0" applyNumberFormat="1" applyFont="1" applyFill="1" applyBorder="1" applyAlignment="1">
      <alignment horizontal="center"/>
    </xf>
    <xf numFmtId="170" fontId="127" fillId="35" borderId="92" xfId="0" applyNumberFormat="1" applyFont="1" applyFill="1" applyBorder="1" applyAlignment="1"/>
    <xf numFmtId="170" fontId="127" fillId="35" borderId="10" xfId="0" applyNumberFormat="1" applyFont="1" applyFill="1" applyBorder="1" applyAlignment="1"/>
    <xf numFmtId="0" fontId="0" fillId="0" borderId="0" xfId="0" quotePrefix="1" applyFont="1" applyFill="1" applyAlignment="1">
      <alignment vertical="center"/>
    </xf>
    <xf numFmtId="0" fontId="115" fillId="31" borderId="11" xfId="41" applyFont="1" applyFill="1" applyBorder="1" applyAlignment="1">
      <alignment vertical="center" wrapText="1"/>
    </xf>
    <xf numFmtId="0" fontId="28" fillId="36" borderId="44" xfId="0" applyFont="1" applyFill="1" applyBorder="1" applyAlignment="1">
      <alignment horizontal="center" vertical="center"/>
    </xf>
    <xf numFmtId="0" fontId="28" fillId="36" borderId="46" xfId="0" applyFont="1" applyFill="1" applyBorder="1" applyAlignment="1">
      <alignment horizontal="center" vertical="center"/>
    </xf>
    <xf numFmtId="0" fontId="28" fillId="36" borderId="58" xfId="0" applyFont="1" applyFill="1" applyBorder="1" applyAlignment="1">
      <alignment horizontal="center" vertical="center"/>
    </xf>
    <xf numFmtId="0" fontId="28" fillId="36" borderId="60" xfId="0" applyFont="1" applyFill="1" applyBorder="1" applyAlignment="1">
      <alignment horizontal="center" vertical="center"/>
    </xf>
    <xf numFmtId="10" fontId="28" fillId="36" borderId="61" xfId="0" applyNumberFormat="1" applyFont="1" applyFill="1" applyBorder="1" applyAlignment="1">
      <alignment horizontal="center" vertical="center" wrapText="1"/>
    </xf>
    <xf numFmtId="10" fontId="28" fillId="36" borderId="50" xfId="0" applyNumberFormat="1" applyFont="1" applyFill="1" applyBorder="1" applyAlignment="1">
      <alignment horizontal="center" vertical="center"/>
    </xf>
    <xf numFmtId="166" fontId="102" fillId="36" borderId="77" xfId="0" applyNumberFormat="1" applyFont="1" applyFill="1" applyBorder="1" applyAlignment="1">
      <alignment horizontal="center" vertical="center" wrapText="1"/>
    </xf>
    <xf numFmtId="166" fontId="102" fillId="36" borderId="78" xfId="0" applyNumberFormat="1" applyFont="1" applyFill="1" applyBorder="1" applyAlignment="1">
      <alignment horizontal="center" vertical="center" wrapText="1"/>
    </xf>
    <xf numFmtId="166" fontId="102" fillId="36" borderId="79" xfId="0" applyNumberFormat="1" applyFont="1" applyFill="1" applyBorder="1" applyAlignment="1">
      <alignment horizontal="center" vertical="center" wrapText="1"/>
    </xf>
    <xf numFmtId="0" fontId="52" fillId="36" borderId="10" xfId="0" applyFont="1" applyFill="1" applyBorder="1" applyAlignment="1">
      <alignment horizontal="left"/>
    </xf>
    <xf numFmtId="0" fontId="52" fillId="36" borderId="29" xfId="0" applyFont="1" applyFill="1" applyBorder="1" applyAlignment="1">
      <alignment horizontal="left"/>
    </xf>
    <xf numFmtId="166" fontId="57" fillId="36" borderId="63" xfId="0" applyNumberFormat="1" applyFont="1" applyFill="1" applyBorder="1" applyAlignment="1">
      <alignment horizontal="center" vertical="center" wrapText="1"/>
    </xf>
    <xf numFmtId="166" fontId="57" fillId="36" borderId="64" xfId="0" applyNumberFormat="1" applyFont="1" applyFill="1" applyBorder="1" applyAlignment="1">
      <alignment horizontal="center" vertical="center" wrapText="1"/>
    </xf>
    <xf numFmtId="166" fontId="28" fillId="36" borderId="51" xfId="0" applyNumberFormat="1" applyFont="1" applyFill="1" applyBorder="1" applyAlignment="1">
      <alignment horizontal="center" vertical="center" wrapText="1"/>
    </xf>
    <xf numFmtId="166" fontId="28" fillId="36" borderId="43" xfId="0" applyNumberFormat="1" applyFont="1" applyFill="1" applyBorder="1" applyAlignment="1">
      <alignment horizontal="center" vertical="center" wrapText="1"/>
    </xf>
    <xf numFmtId="166" fontId="28" fillId="36" borderId="62" xfId="0" applyNumberFormat="1" applyFont="1" applyFill="1" applyBorder="1" applyAlignment="1">
      <alignment horizontal="center" vertical="center" wrapText="1"/>
    </xf>
    <xf numFmtId="166" fontId="50" fillId="36" borderId="13" xfId="0" applyNumberFormat="1" applyFont="1" applyFill="1" applyBorder="1" applyAlignment="1">
      <alignment horizontal="center" vertical="center" wrapText="1"/>
    </xf>
    <xf numFmtId="166" fontId="50" fillId="36" borderId="28" xfId="0" applyNumberFormat="1" applyFont="1" applyFill="1" applyBorder="1" applyAlignment="1">
      <alignment horizontal="center" vertical="center" wrapText="1"/>
    </xf>
    <xf numFmtId="0" fontId="117" fillId="35" borderId="10" xfId="0" applyFont="1" applyFill="1" applyBorder="1" applyAlignment="1">
      <alignment horizontal="left" indent="3"/>
    </xf>
    <xf numFmtId="0" fontId="117" fillId="35" borderId="11" xfId="0" applyFont="1" applyFill="1" applyBorder="1" applyAlignment="1">
      <alignment horizontal="left" indent="3"/>
    </xf>
    <xf numFmtId="0" fontId="4" fillId="36" borderId="30" xfId="0" applyFont="1" applyFill="1" applyBorder="1" applyAlignment="1">
      <alignment horizontal="center" vertical="center" textRotation="60"/>
    </xf>
    <xf numFmtId="0" fontId="64" fillId="36" borderId="30" xfId="0" applyFont="1" applyFill="1" applyBorder="1" applyAlignment="1">
      <alignment horizontal="center" vertical="center"/>
    </xf>
    <xf numFmtId="0" fontId="119" fillId="36" borderId="70" xfId="0" applyFont="1" applyFill="1" applyBorder="1" applyAlignment="1">
      <alignment horizontal="center" vertical="center"/>
    </xf>
    <xf numFmtId="0" fontId="119" fillId="36" borderId="71" xfId="0" applyFont="1" applyFill="1" applyBorder="1" applyAlignment="1">
      <alignment horizontal="center" vertical="center"/>
    </xf>
    <xf numFmtId="0" fontId="119" fillId="36" borderId="72" xfId="0" applyFont="1" applyFill="1" applyBorder="1" applyAlignment="1">
      <alignment horizontal="center" vertical="center"/>
    </xf>
    <xf numFmtId="0" fontId="28" fillId="36" borderId="70" xfId="0" applyFont="1" applyFill="1" applyBorder="1" applyAlignment="1">
      <alignment horizontal="center" vertical="center"/>
    </xf>
    <xf numFmtId="0" fontId="28" fillId="36" borderId="71" xfId="0" applyFont="1" applyFill="1" applyBorder="1" applyAlignment="1">
      <alignment horizontal="center" vertical="center"/>
    </xf>
    <xf numFmtId="0" fontId="28" fillId="36" borderId="72" xfId="0" applyFont="1" applyFill="1" applyBorder="1" applyAlignment="1">
      <alignment horizontal="center" vertical="center"/>
    </xf>
    <xf numFmtId="168" fontId="120" fillId="36" borderId="93" xfId="0" applyNumberFormat="1" applyFont="1" applyFill="1" applyBorder="1" applyAlignment="1">
      <alignment horizontal="center" vertical="center" wrapText="1"/>
    </xf>
    <xf numFmtId="168" fontId="120" fillId="36" borderId="86" xfId="0" applyNumberFormat="1" applyFont="1" applyFill="1" applyBorder="1" applyAlignment="1">
      <alignment horizontal="center" vertical="center" wrapText="1"/>
    </xf>
    <xf numFmtId="171" fontId="28" fillId="36" borderId="10" xfId="26" applyNumberFormat="1" applyFont="1" applyFill="1" applyBorder="1" applyAlignment="1">
      <alignment horizontal="center"/>
    </xf>
    <xf numFmtId="3" fontId="117" fillId="39" borderId="10" xfId="0" applyNumberFormat="1" applyFont="1" applyFill="1" applyBorder="1" applyAlignment="1">
      <alignment horizontal="left" indent="2"/>
    </xf>
    <xf numFmtId="3" fontId="117" fillId="39" borderId="11" xfId="0" applyNumberFormat="1" applyFont="1" applyFill="1" applyBorder="1" applyAlignment="1">
      <alignment horizontal="left" indent="2"/>
    </xf>
    <xf numFmtId="0" fontId="69" fillId="36" borderId="30" xfId="0" applyFont="1" applyFill="1" applyBorder="1" applyAlignment="1">
      <alignment horizontal="center" vertical="center" wrapText="1"/>
    </xf>
    <xf numFmtId="10" fontId="53" fillId="36" borderId="30" xfId="0" applyNumberFormat="1" applyFont="1" applyFill="1" applyBorder="1" applyAlignment="1">
      <alignment horizontal="center" vertical="center" wrapText="1"/>
    </xf>
    <xf numFmtId="170" fontId="117" fillId="35" borderId="30" xfId="0" applyNumberFormat="1" applyFont="1" applyFill="1" applyBorder="1" applyAlignment="1">
      <alignment horizontal="center"/>
    </xf>
    <xf numFmtId="0" fontId="6" fillId="36" borderId="15" xfId="0" applyFont="1" applyFill="1" applyBorder="1" applyAlignment="1">
      <alignment horizontal="center" vertical="center" textRotation="75"/>
    </xf>
    <xf numFmtId="0" fontId="6" fillId="36" borderId="16" xfId="0" applyFont="1" applyFill="1" applyBorder="1" applyAlignment="1">
      <alignment horizontal="center" vertical="center" textRotation="75"/>
    </xf>
    <xf numFmtId="0" fontId="6" fillId="36" borderId="24" xfId="0" applyFont="1" applyFill="1" applyBorder="1" applyAlignment="1">
      <alignment horizontal="center" vertical="center" textRotation="75"/>
    </xf>
    <xf numFmtId="166" fontId="65" fillId="36" borderId="15" xfId="0" applyNumberFormat="1" applyFont="1" applyFill="1" applyBorder="1" applyAlignment="1">
      <alignment horizontal="center" vertical="center" wrapText="1"/>
    </xf>
    <xf numFmtId="166" fontId="65" fillId="36" borderId="16" xfId="0" applyNumberFormat="1" applyFont="1" applyFill="1" applyBorder="1" applyAlignment="1">
      <alignment horizontal="center" vertical="center" wrapText="1"/>
    </xf>
    <xf numFmtId="166" fontId="65" fillId="36" borderId="24" xfId="0" applyNumberFormat="1" applyFont="1" applyFill="1" applyBorder="1" applyAlignment="1">
      <alignment horizontal="center" vertical="center" wrapText="1"/>
    </xf>
    <xf numFmtId="169" fontId="103" fillId="36" borderId="16" xfId="0" applyNumberFormat="1" applyFont="1" applyFill="1" applyBorder="1" applyAlignment="1" applyProtection="1">
      <alignment horizontal="center" vertical="top" wrapText="1"/>
    </xf>
    <xf numFmtId="169" fontId="103" fillId="36" borderId="24" xfId="0" applyNumberFormat="1" applyFont="1" applyFill="1" applyBorder="1" applyAlignment="1" applyProtection="1">
      <alignment horizontal="center" vertical="top" wrapText="1"/>
    </xf>
    <xf numFmtId="167" fontId="103" fillId="36" borderId="15" xfId="0" applyNumberFormat="1" applyFont="1" applyFill="1" applyBorder="1" applyAlignment="1" applyProtection="1">
      <alignment horizontal="center" wrapText="1"/>
    </xf>
    <xf numFmtId="167" fontId="103" fillId="36" borderId="16" xfId="0" applyNumberFormat="1" applyFont="1" applyFill="1" applyBorder="1" applyAlignment="1" applyProtection="1">
      <alignment horizontal="center" wrapText="1"/>
    </xf>
    <xf numFmtId="0" fontId="102" fillId="36" borderId="15" xfId="0" applyFont="1" applyFill="1" applyBorder="1" applyAlignment="1">
      <alignment horizontal="center" vertical="center" wrapText="1"/>
    </xf>
    <xf numFmtId="0" fontId="102" fillId="36" borderId="16" xfId="0" applyFont="1" applyFill="1" applyBorder="1" applyAlignment="1">
      <alignment horizontal="center" vertical="center"/>
    </xf>
    <xf numFmtId="0" fontId="102" fillId="36" borderId="24" xfId="0" applyFont="1" applyFill="1" applyBorder="1" applyAlignment="1">
      <alignment horizontal="center" vertical="center"/>
    </xf>
    <xf numFmtId="168" fontId="103" fillId="36" borderId="15" xfId="0" applyNumberFormat="1" applyFont="1" applyFill="1" applyBorder="1" applyAlignment="1" applyProtection="1">
      <alignment horizontal="center" wrapText="1"/>
    </xf>
    <xf numFmtId="168" fontId="103" fillId="36" borderId="16" xfId="0" applyNumberFormat="1" applyFont="1" applyFill="1" applyBorder="1" applyAlignment="1" applyProtection="1">
      <alignment horizontal="center" wrapText="1"/>
    </xf>
    <xf numFmtId="0" fontId="58" fillId="36" borderId="15" xfId="41" applyFont="1" applyFill="1" applyBorder="1" applyAlignment="1">
      <alignment horizontal="center" vertical="center" textRotation="67"/>
    </xf>
    <xf numFmtId="0" fontId="58" fillId="36" borderId="24" xfId="41" applyFont="1" applyFill="1" applyBorder="1" applyAlignment="1">
      <alignment horizontal="center" vertical="center" textRotation="67"/>
    </xf>
    <xf numFmtId="10" fontId="88" fillId="36" borderId="15" xfId="0" applyNumberFormat="1" applyFont="1" applyFill="1" applyBorder="1" applyAlignment="1">
      <alignment horizontal="center" wrapText="1"/>
    </xf>
    <xf numFmtId="10" fontId="88" fillId="36" borderId="24" xfId="0" applyNumberFormat="1" applyFont="1" applyFill="1" applyBorder="1" applyAlignment="1">
      <alignment horizontal="center" wrapText="1"/>
    </xf>
    <xf numFmtId="0" fontId="65" fillId="36" borderId="16" xfId="41" applyFont="1" applyFill="1" applyBorder="1" applyAlignment="1">
      <alignment horizontal="center" vertical="center"/>
    </xf>
    <xf numFmtId="0" fontId="65" fillId="36" borderId="24" xfId="41" applyFont="1" applyFill="1" applyBorder="1" applyAlignment="1">
      <alignment horizontal="center" vertical="center"/>
    </xf>
    <xf numFmtId="0" fontId="7" fillId="36" borderId="30" xfId="0" applyFont="1" applyFill="1" applyBorder="1" applyAlignment="1">
      <alignment horizontal="center" vertical="center"/>
    </xf>
    <xf numFmtId="0" fontId="65" fillId="36" borderId="30" xfId="0" applyFont="1" applyFill="1" applyBorder="1" applyAlignment="1">
      <alignment horizontal="center" vertical="center"/>
    </xf>
    <xf numFmtId="0" fontId="121" fillId="36" borderId="30" xfId="0" applyFont="1" applyFill="1" applyBorder="1" applyAlignment="1">
      <alignment horizontal="center" wrapText="1"/>
    </xf>
    <xf numFmtId="0" fontId="0" fillId="30" borderId="15" xfId="0" applyFill="1" applyBorder="1" applyAlignment="1">
      <alignment horizontal="center" wrapText="1"/>
    </xf>
    <xf numFmtId="0" fontId="0" fillId="30" borderId="16" xfId="0" applyFill="1" applyBorder="1" applyAlignment="1">
      <alignment horizontal="center" wrapText="1"/>
    </xf>
    <xf numFmtId="0" fontId="0" fillId="30" borderId="14" xfId="0" applyFill="1" applyBorder="1" applyAlignment="1">
      <alignment horizontal="center" wrapText="1"/>
    </xf>
    <xf numFmtId="165" fontId="82" fillId="30" borderId="76" xfId="26" applyNumberFormat="1" applyFont="1" applyFill="1" applyBorder="1" applyAlignment="1">
      <alignment wrapText="1"/>
    </xf>
    <xf numFmtId="165" fontId="82" fillId="30" borderId="43" xfId="26" applyNumberFormat="1" applyFont="1" applyFill="1" applyBorder="1" applyAlignment="1">
      <alignment wrapText="1"/>
    </xf>
    <xf numFmtId="165" fontId="82" fillId="30" borderId="52" xfId="26" applyNumberFormat="1" applyFont="1" applyFill="1" applyBorder="1" applyAlignment="1">
      <alignment wrapText="1"/>
    </xf>
    <xf numFmtId="0" fontId="0" fillId="30" borderId="25" xfId="0" applyFill="1" applyBorder="1" applyAlignment="1">
      <alignment horizontal="center" wrapText="1"/>
    </xf>
    <xf numFmtId="0" fontId="0" fillId="30" borderId="27" xfId="0" applyFill="1" applyBorder="1" applyAlignment="1">
      <alignment horizontal="center"/>
    </xf>
    <xf numFmtId="0" fontId="0" fillId="30" borderId="42" xfId="0" applyFill="1" applyBorder="1" applyAlignment="1">
      <alignment horizontal="center"/>
    </xf>
    <xf numFmtId="165" fontId="30" fillId="30" borderId="15" xfId="26" applyNumberFormat="1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0" fontId="43" fillId="30" borderId="14" xfId="0" applyFont="1" applyFill="1" applyBorder="1" applyAlignment="1">
      <alignment horizontal="center" vertical="center" wrapText="1"/>
    </xf>
    <xf numFmtId="0" fontId="0" fillId="30" borderId="16" xfId="0" applyFill="1" applyBorder="1" applyAlignment="1">
      <alignment horizontal="center" vertical="center" wrapText="1"/>
    </xf>
    <xf numFmtId="0" fontId="0" fillId="30" borderId="14" xfId="0" applyFill="1" applyBorder="1" applyAlignment="1">
      <alignment horizontal="center" vertical="center" wrapText="1"/>
    </xf>
    <xf numFmtId="10" fontId="87" fillId="36" borderId="15" xfId="0" applyNumberFormat="1" applyFont="1" applyFill="1" applyBorder="1" applyAlignment="1">
      <alignment horizontal="center" vertical="center" wrapText="1"/>
    </xf>
    <xf numFmtId="10" fontId="87" fillId="36" borderId="16" xfId="0" applyNumberFormat="1" applyFont="1" applyFill="1" applyBorder="1" applyAlignment="1">
      <alignment horizontal="center" vertical="center"/>
    </xf>
    <xf numFmtId="10" fontId="87" fillId="36" borderId="24" xfId="0" applyNumberFormat="1" applyFont="1" applyFill="1" applyBorder="1" applyAlignment="1">
      <alignment horizontal="center" vertical="center"/>
    </xf>
    <xf numFmtId="0" fontId="41" fillId="36" borderId="15" xfId="0" applyFont="1" applyFill="1" applyBorder="1" applyAlignment="1">
      <alignment horizontal="left" vertical="center"/>
    </xf>
    <xf numFmtId="0" fontId="41" fillId="36" borderId="16" xfId="0" applyFont="1" applyFill="1" applyBorder="1" applyAlignment="1">
      <alignment horizontal="left" vertical="center"/>
    </xf>
    <xf numFmtId="0" fontId="41" fillId="36" borderId="24" xfId="0" applyFont="1" applyFill="1" applyBorder="1" applyAlignment="1">
      <alignment horizontal="left" vertical="center"/>
    </xf>
    <xf numFmtId="165" fontId="30" fillId="30" borderId="16" xfId="26" applyNumberFormat="1" applyFont="1" applyFill="1" applyBorder="1" applyAlignment="1">
      <alignment horizontal="center" vertical="center" wrapText="1"/>
    </xf>
    <xf numFmtId="165" fontId="30" fillId="30" borderId="14" xfId="26" applyNumberFormat="1" applyFont="1" applyFill="1" applyBorder="1" applyAlignment="1">
      <alignment horizontal="center" vertical="center" wrapText="1"/>
    </xf>
    <xf numFmtId="165" fontId="30" fillId="30" borderId="10" xfId="26" applyNumberFormat="1" applyFont="1" applyFill="1" applyBorder="1" applyAlignment="1">
      <alignment horizontal="center" vertical="center" wrapText="1"/>
    </xf>
    <xf numFmtId="165" fontId="30" fillId="0" borderId="10" xfId="26" applyNumberFormat="1" applyFont="1" applyBorder="1" applyAlignment="1">
      <alignment horizontal="center"/>
    </xf>
    <xf numFmtId="165" fontId="29" fillId="40" borderId="15" xfId="26" applyNumberFormat="1" applyFont="1" applyFill="1" applyBorder="1" applyAlignment="1">
      <alignment wrapText="1"/>
    </xf>
    <xf numFmtId="0" fontId="0" fillId="40" borderId="16" xfId="0" applyFill="1" applyBorder="1" applyAlignment="1">
      <alignment wrapText="1"/>
    </xf>
    <xf numFmtId="0" fontId="0" fillId="40" borderId="14" xfId="0" applyFill="1" applyBorder="1" applyAlignment="1">
      <alignment wrapText="1"/>
    </xf>
    <xf numFmtId="165" fontId="29" fillId="40" borderId="15" xfId="26" applyNumberFormat="1" applyFont="1" applyFill="1" applyBorder="1" applyAlignment="1">
      <alignment horizontal="right" wrapText="1"/>
    </xf>
    <xf numFmtId="0" fontId="0" fillId="40" borderId="16" xfId="0" applyFill="1" applyBorder="1" applyAlignment="1">
      <alignment horizontal="right" wrapText="1"/>
    </xf>
    <xf numFmtId="0" fontId="0" fillId="40" borderId="14" xfId="0" applyFill="1" applyBorder="1" applyAlignment="1">
      <alignment horizontal="right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5" fontId="6" fillId="30" borderId="15" xfId="26" applyNumberFormat="1" applyFont="1" applyFill="1" applyBorder="1" applyAlignment="1">
      <alignment horizontal="center" wrapText="1"/>
    </xf>
    <xf numFmtId="165" fontId="6" fillId="30" borderId="16" xfId="26" applyNumberFormat="1" applyFont="1" applyFill="1" applyBorder="1" applyAlignment="1">
      <alignment horizontal="center" wrapText="1"/>
    </xf>
    <xf numFmtId="165" fontId="6" fillId="30" borderId="14" xfId="26" applyNumberFormat="1" applyFont="1" applyFill="1" applyBorder="1" applyAlignment="1">
      <alignment horizontal="center" wrapText="1"/>
    </xf>
    <xf numFmtId="165" fontId="30" fillId="0" borderId="0" xfId="26" applyNumberFormat="1" applyFont="1" applyBorder="1" applyAlignment="1">
      <alignment horizontal="center"/>
    </xf>
    <xf numFmtId="171" fontId="28" fillId="36" borderId="10" xfId="27" applyNumberFormat="1" applyFont="1" applyFill="1" applyBorder="1" applyAlignment="1">
      <alignment horizontal="center"/>
    </xf>
    <xf numFmtId="0" fontId="111" fillId="35" borderId="54" xfId="0" applyFont="1" applyFill="1" applyBorder="1" applyAlignment="1">
      <alignment horizontal="left" indent="12"/>
    </xf>
    <xf numFmtId="0" fontId="111" fillId="35" borderId="56" xfId="0" applyFont="1" applyFill="1" applyBorder="1" applyAlignment="1">
      <alignment horizontal="left" indent="12"/>
    </xf>
    <xf numFmtId="0" fontId="111" fillId="35" borderId="11" xfId="0" applyFont="1" applyFill="1" applyBorder="1" applyAlignment="1">
      <alignment horizontal="left" indent="10"/>
    </xf>
    <xf numFmtId="0" fontId="111" fillId="35" borderId="100" xfId="0" applyFont="1" applyFill="1" applyBorder="1" applyAlignment="1">
      <alignment horizontal="left" indent="10"/>
    </xf>
    <xf numFmtId="0" fontId="6" fillId="36" borderId="15" xfId="0" applyFont="1" applyFill="1" applyBorder="1" applyAlignment="1">
      <alignment horizontal="center" vertical="center" textRotation="255"/>
    </xf>
    <xf numFmtId="0" fontId="51" fillId="36" borderId="16" xfId="0" applyFont="1" applyFill="1" applyBorder="1" applyAlignment="1">
      <alignment horizontal="center" vertical="center" textRotation="255"/>
    </xf>
    <xf numFmtId="0" fontId="51" fillId="36" borderId="24" xfId="0" applyFont="1" applyFill="1" applyBorder="1" applyAlignment="1">
      <alignment horizontal="center" vertical="center" textRotation="255"/>
    </xf>
    <xf numFmtId="165" fontId="29" fillId="0" borderId="10" xfId="26" applyNumberFormat="1" applyFont="1" applyBorder="1" applyAlignment="1">
      <alignment horizontal="left"/>
    </xf>
    <xf numFmtId="10" fontId="88" fillId="36" borderId="30" xfId="0" applyNumberFormat="1" applyFont="1" applyFill="1" applyBorder="1" applyAlignment="1">
      <alignment horizontal="center" vertical="center" wrapText="1"/>
    </xf>
    <xf numFmtId="10" fontId="88" fillId="36" borderId="30" xfId="0" applyNumberFormat="1" applyFont="1" applyFill="1" applyBorder="1" applyAlignment="1">
      <alignment horizontal="center" vertical="center"/>
    </xf>
    <xf numFmtId="0" fontId="41" fillId="36" borderId="30" xfId="0" applyFont="1" applyFill="1" applyBorder="1" applyAlignment="1">
      <alignment horizontal="center" vertical="center"/>
    </xf>
    <xf numFmtId="0" fontId="6" fillId="36" borderId="30" xfId="0" applyFont="1" applyFill="1" applyBorder="1" applyAlignment="1">
      <alignment horizontal="center" vertical="center" textRotation="45"/>
    </xf>
    <xf numFmtId="0" fontId="46" fillId="0" borderId="57" xfId="42" applyFont="1" applyFill="1" applyBorder="1" applyAlignment="1" applyProtection="1">
      <alignment horizontal="left" vertical="center" indent="1"/>
    </xf>
    <xf numFmtId="0" fontId="46" fillId="0" borderId="55" xfId="42" applyFont="1" applyFill="1" applyBorder="1" applyAlignment="1" applyProtection="1">
      <alignment horizontal="left" vertical="center" indent="1"/>
    </xf>
    <xf numFmtId="0" fontId="46" fillId="0" borderId="56" xfId="42" applyFont="1" applyFill="1" applyBorder="1" applyAlignment="1" applyProtection="1">
      <alignment horizontal="left" vertical="center" inden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7" fontId="7" fillId="24" borderId="11" xfId="0" applyNumberFormat="1" applyFont="1" applyFill="1" applyBorder="1" applyAlignment="1">
      <alignment horizontal="center"/>
    </xf>
    <xf numFmtId="167" fontId="7" fillId="24" borderId="12" xfId="0" applyNumberFormat="1" applyFont="1" applyFill="1" applyBorder="1" applyAlignment="1">
      <alignment horizontal="center"/>
    </xf>
    <xf numFmtId="167" fontId="7" fillId="24" borderId="13" xfId="0" applyNumberFormat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center"/>
    </xf>
    <xf numFmtId="0" fontId="7" fillId="24" borderId="13" xfId="0" applyFont="1" applyFill="1" applyBorder="1" applyAlignment="1">
      <alignment horizontal="center"/>
    </xf>
    <xf numFmtId="0" fontId="72" fillId="0" borderId="54" xfId="0" applyFont="1" applyBorder="1" applyAlignment="1">
      <alignment horizontal="left"/>
    </xf>
    <xf numFmtId="0" fontId="72" fillId="0" borderId="56" xfId="0" applyFont="1" applyBorder="1" applyAlignment="1">
      <alignment horizontal="left"/>
    </xf>
    <xf numFmtId="0" fontId="70" fillId="0" borderId="44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/>
    </xf>
    <xf numFmtId="0" fontId="70" fillId="0" borderId="46" xfId="0" applyFont="1" applyBorder="1" applyAlignment="1">
      <alignment horizontal="center" vertical="center"/>
    </xf>
    <xf numFmtId="0" fontId="0" fillId="0" borderId="32" xfId="0" applyBorder="1" applyAlignment="1"/>
    <xf numFmtId="0" fontId="0" fillId="0" borderId="0" xfId="0" applyBorder="1" applyAlignment="1"/>
    <xf numFmtId="0" fontId="0" fillId="0" borderId="3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60" xfId="0" applyBorder="1" applyAlignment="1"/>
    <xf numFmtId="0" fontId="55" fillId="0" borderId="61" xfId="40" applyFont="1" applyFill="1" applyBorder="1" applyAlignment="1">
      <alignment horizontal="center"/>
    </xf>
    <xf numFmtId="0" fontId="55" fillId="0" borderId="50" xfId="40" applyFont="1" applyFill="1" applyBorder="1" applyAlignment="1">
      <alignment horizontal="center"/>
    </xf>
    <xf numFmtId="0" fontId="71" fillId="0" borderId="30" xfId="40" applyFont="1" applyBorder="1" applyAlignment="1">
      <alignment horizontal="center"/>
    </xf>
    <xf numFmtId="0" fontId="71" fillId="0" borderId="54" xfId="40" applyFont="1" applyBorder="1" applyAlignment="1">
      <alignment horizontal="center"/>
    </xf>
    <xf numFmtId="0" fontId="71" fillId="0" borderId="56" xfId="40" applyFont="1" applyBorder="1" applyAlignment="1">
      <alignment horizontal="center"/>
    </xf>
    <xf numFmtId="0" fontId="71" fillId="0" borderId="0" xfId="40" applyFont="1" applyFill="1" applyAlignment="1">
      <alignment horizontal="center"/>
    </xf>
    <xf numFmtId="0" fontId="71" fillId="0" borderId="0" xfId="0" applyFont="1" applyAlignment="1">
      <alignment horizontal="center"/>
    </xf>
    <xf numFmtId="0" fontId="75" fillId="0" borderId="15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1" fillId="0" borderId="53" xfId="0" applyFont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_Pénzátad." xfId="41" xr:uid="{00000000-0005-0000-0000-000029000000}"/>
    <cellStyle name="Normál_SEGEDLETEK" xfId="42" xr:uid="{00000000-0005-0000-0000-00002A000000}"/>
    <cellStyle name="Normál_Szoc.jutt." xfId="43" xr:uid="{00000000-0005-0000-0000-00002B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99"/>
      <color rgb="FFCCFFCC"/>
      <color rgb="FFFFFFCC"/>
      <color rgb="FFFFFF66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00B0F0"/>
  </sheetPr>
  <dimension ref="A1:J35"/>
  <sheetViews>
    <sheetView workbookViewId="0">
      <pane ySplit="2" topLeftCell="A3" activePane="bottomLeft" state="frozen"/>
      <selection pane="bottomLeft" activeCell="C14" sqref="C14"/>
    </sheetView>
  </sheetViews>
  <sheetFormatPr defaultRowHeight="12.75" x14ac:dyDescent="0.2"/>
  <cols>
    <col min="1" max="1" width="6.7109375" bestFit="1" customWidth="1"/>
    <col min="2" max="2" width="55" bestFit="1" customWidth="1"/>
    <col min="3" max="4" width="20.7109375" customWidth="1"/>
    <col min="5" max="5" width="8.85546875" style="537" bestFit="1" customWidth="1"/>
    <col min="6" max="6" width="7" customWidth="1"/>
    <col min="7" max="7" width="59.5703125" bestFit="1" customWidth="1"/>
    <col min="8" max="9" width="21.5703125" customWidth="1"/>
    <col min="10" max="10" width="9.140625" style="537" bestFit="1" customWidth="1"/>
  </cols>
  <sheetData>
    <row r="1" spans="1:10" ht="24.95" customHeight="1" x14ac:dyDescent="0.25">
      <c r="A1" s="729" t="s">
        <v>75</v>
      </c>
      <c r="B1" s="730"/>
      <c r="C1" s="393">
        <v>2019</v>
      </c>
      <c r="D1" s="393">
        <v>2019</v>
      </c>
      <c r="E1" s="733" t="s">
        <v>750</v>
      </c>
      <c r="F1" s="729" t="s">
        <v>4</v>
      </c>
      <c r="G1" s="730"/>
      <c r="H1" s="393">
        <v>2019</v>
      </c>
      <c r="I1" s="393">
        <v>2019</v>
      </c>
      <c r="J1" s="733" t="s">
        <v>750</v>
      </c>
    </row>
    <row r="2" spans="1:10" ht="24.95" customHeight="1" thickBot="1" x14ac:dyDescent="0.3">
      <c r="A2" s="731"/>
      <c r="B2" s="732"/>
      <c r="C2" s="394" t="s">
        <v>355</v>
      </c>
      <c r="D2" s="394" t="s">
        <v>570</v>
      </c>
      <c r="E2" s="734"/>
      <c r="F2" s="731"/>
      <c r="G2" s="732"/>
      <c r="H2" s="394" t="s">
        <v>355</v>
      </c>
      <c r="I2" s="394" t="s">
        <v>570</v>
      </c>
      <c r="J2" s="734"/>
    </row>
    <row r="3" spans="1:10" ht="24.95" customHeight="1" x14ac:dyDescent="0.25">
      <c r="A3" s="310" t="s">
        <v>271</v>
      </c>
      <c r="B3" s="311" t="s">
        <v>265</v>
      </c>
      <c r="C3" s="312">
        <f>'Bevétel össz. - 3. mell.'!K10</f>
        <v>56512929</v>
      </c>
      <c r="D3" s="417">
        <f>'Bevétel össz. - 3. mell.'!L10</f>
        <v>56845378</v>
      </c>
      <c r="E3" s="689">
        <f>D3/C3-1</f>
        <v>5.8827069465821058E-3</v>
      </c>
      <c r="F3" s="388" t="s">
        <v>143</v>
      </c>
      <c r="G3" s="358" t="s">
        <v>0</v>
      </c>
      <c r="H3" s="314">
        <f>'Kiadás össz. - 4. mell.'!K4</f>
        <v>86983644</v>
      </c>
      <c r="I3" s="418">
        <f>'Kiadás össz. - 4. mell.'!L4</f>
        <v>87231244</v>
      </c>
      <c r="J3" s="695">
        <f>I3/H3-1</f>
        <v>2.8465121557794681E-3</v>
      </c>
    </row>
    <row r="4" spans="1:10" ht="24.95" customHeight="1" x14ac:dyDescent="0.25">
      <c r="A4" s="310" t="s">
        <v>272</v>
      </c>
      <c r="B4" s="311" t="s">
        <v>341</v>
      </c>
      <c r="C4" s="312">
        <f>'Bevétel össz. - 3. mell.'!K16</f>
        <v>21112800</v>
      </c>
      <c r="D4" s="417">
        <f>'Bevétel össz. - 3. mell.'!L16</f>
        <v>21112800</v>
      </c>
      <c r="E4" s="690">
        <f t="shared" ref="E4:E35" si="0">D4/C4-1</f>
        <v>0</v>
      </c>
      <c r="F4" s="388" t="s">
        <v>148</v>
      </c>
      <c r="G4" s="358" t="s">
        <v>50</v>
      </c>
      <c r="H4" s="314">
        <f>'Kiadás össz. - 4. mell.'!K5</f>
        <v>17383608</v>
      </c>
      <c r="I4" s="418">
        <f>'Kiadás össz. - 4. mell.'!L5</f>
        <v>17431889</v>
      </c>
      <c r="J4" s="692">
        <f t="shared" ref="J4:J35" si="1">I4/H4-1</f>
        <v>2.7773866046680862E-3</v>
      </c>
    </row>
    <row r="5" spans="1:10" ht="24.95" customHeight="1" x14ac:dyDescent="0.25">
      <c r="A5" s="313" t="s">
        <v>264</v>
      </c>
      <c r="B5" s="358" t="s">
        <v>356</v>
      </c>
      <c r="C5" s="314">
        <f>SUM(C3:C4)</f>
        <v>77625729</v>
      </c>
      <c r="D5" s="418">
        <f>SUM(D3:D4)</f>
        <v>77958178</v>
      </c>
      <c r="E5" s="692">
        <f t="shared" si="0"/>
        <v>4.2827166235051006E-3</v>
      </c>
      <c r="F5" s="388" t="s">
        <v>200</v>
      </c>
      <c r="G5" s="358" t="s">
        <v>1</v>
      </c>
      <c r="H5" s="314">
        <f>'Kiadás össz. - 4. mell.'!K6</f>
        <v>79745477</v>
      </c>
      <c r="I5" s="418">
        <f>'Kiadás össz. - 4. mell.'!L6</f>
        <v>88152627</v>
      </c>
      <c r="J5" s="692">
        <f t="shared" si="1"/>
        <v>0.10542478791618493</v>
      </c>
    </row>
    <row r="6" spans="1:10" ht="24.95" customHeight="1" x14ac:dyDescent="0.25">
      <c r="A6" s="310" t="s">
        <v>276</v>
      </c>
      <c r="B6" s="311" t="s">
        <v>342</v>
      </c>
      <c r="C6" s="312">
        <f>'Bevétel össz. - 3. mell.'!K18</f>
        <v>0</v>
      </c>
      <c r="D6" s="417">
        <f>'Bevétel össz. - 3. mell.'!L18</f>
        <v>0</v>
      </c>
      <c r="E6" s="690"/>
      <c r="F6" s="388" t="s">
        <v>217</v>
      </c>
      <c r="G6" s="358" t="s">
        <v>2</v>
      </c>
      <c r="H6" s="314">
        <f>'Kiadás össz. - 4. mell.'!K7</f>
        <v>7000800</v>
      </c>
      <c r="I6" s="418">
        <f>'Kiadás össz. - 4. mell.'!L7</f>
        <v>4696800</v>
      </c>
      <c r="J6" s="692">
        <f t="shared" si="1"/>
        <v>-0.32910524511484407</v>
      </c>
    </row>
    <row r="7" spans="1:10" ht="24.95" customHeight="1" x14ac:dyDescent="0.25">
      <c r="A7" s="310" t="s">
        <v>274</v>
      </c>
      <c r="B7" s="311" t="s">
        <v>343</v>
      </c>
      <c r="C7" s="312">
        <f>'Bevétel össz. - 3. mell.'!K20</f>
        <v>0</v>
      </c>
      <c r="D7" s="417">
        <f>'Bevétel össz. - 3. mell.'!L20</f>
        <v>0</v>
      </c>
      <c r="E7" s="690"/>
      <c r="F7" s="389" t="s">
        <v>218</v>
      </c>
      <c r="G7" s="311" t="s">
        <v>219</v>
      </c>
      <c r="H7" s="312">
        <f>'Kiadás össz. - 4. mell.'!K8</f>
        <v>18163453</v>
      </c>
      <c r="I7" s="417">
        <f>'Kiadás össz. - 4. mell.'!L8</f>
        <v>18163453</v>
      </c>
      <c r="J7" s="690">
        <f t="shared" si="1"/>
        <v>0</v>
      </c>
    </row>
    <row r="8" spans="1:10" ht="24.95" customHeight="1" x14ac:dyDescent="0.25">
      <c r="A8" s="313" t="s">
        <v>275</v>
      </c>
      <c r="B8" s="358" t="s">
        <v>345</v>
      </c>
      <c r="C8" s="314">
        <f>SUM(C6:C7)</f>
        <v>0</v>
      </c>
      <c r="D8" s="418">
        <f>SUM(D6:D7)</f>
        <v>0</v>
      </c>
      <c r="E8" s="692"/>
      <c r="F8" s="389" t="s">
        <v>220</v>
      </c>
      <c r="G8" s="311" t="s">
        <v>252</v>
      </c>
      <c r="H8" s="312">
        <f>'Kiadás össz. - 4. mell.'!K9</f>
        <v>21152748</v>
      </c>
      <c r="I8" s="417">
        <f>'Kiadás össz. - 4. mell.'!L9</f>
        <v>21152748</v>
      </c>
      <c r="J8" s="690">
        <f t="shared" si="1"/>
        <v>0</v>
      </c>
    </row>
    <row r="9" spans="1:10" ht="24.95" customHeight="1" x14ac:dyDescent="0.25">
      <c r="A9" s="310" t="s">
        <v>278</v>
      </c>
      <c r="B9" s="311" t="s">
        <v>719</v>
      </c>
      <c r="C9" s="312">
        <f>'Bevétel össz. - 3. mell.'!K22</f>
        <v>2500000</v>
      </c>
      <c r="D9" s="417">
        <f>'Bevétel össz. - 3. mell.'!L22</f>
        <v>2500000</v>
      </c>
      <c r="E9" s="690">
        <f t="shared" si="0"/>
        <v>0</v>
      </c>
      <c r="F9" s="389" t="s">
        <v>222</v>
      </c>
      <c r="G9" s="357" t="s">
        <v>348</v>
      </c>
      <c r="H9" s="312">
        <f>'Kiadás össz. - 4. mell.'!K10</f>
        <v>0</v>
      </c>
      <c r="I9" s="417">
        <f>'Kiadás össz. - 4. mell.'!L10</f>
        <v>0</v>
      </c>
      <c r="J9" s="690"/>
    </row>
    <row r="10" spans="1:10" ht="24.95" customHeight="1" x14ac:dyDescent="0.25">
      <c r="A10" s="310" t="s">
        <v>667</v>
      </c>
      <c r="B10" s="311" t="s">
        <v>481</v>
      </c>
      <c r="C10" s="312">
        <f>'Bevétel össz. - 3. mell.'!K23</f>
        <v>4200000</v>
      </c>
      <c r="D10" s="417">
        <f>'Bevétel össz. - 3. mell.'!L23</f>
        <v>4200000</v>
      </c>
      <c r="E10" s="690">
        <f t="shared" si="0"/>
        <v>0</v>
      </c>
      <c r="F10" s="389" t="s">
        <v>225</v>
      </c>
      <c r="G10" s="311" t="s">
        <v>254</v>
      </c>
      <c r="H10" s="312">
        <f>'Kiadás össz. - 4. mell.'!K11</f>
        <v>15246654</v>
      </c>
      <c r="I10" s="417">
        <f>'Kiadás össz. - 4. mell.'!L11</f>
        <v>14929154</v>
      </c>
      <c r="J10" s="690">
        <f t="shared" si="1"/>
        <v>-2.0824241174489777E-2</v>
      </c>
    </row>
    <row r="11" spans="1:10" ht="24.95" customHeight="1" x14ac:dyDescent="0.25">
      <c r="A11" s="310" t="s">
        <v>668</v>
      </c>
      <c r="B11" s="311" t="s">
        <v>720</v>
      </c>
      <c r="C11" s="312">
        <f>'Bevétel össz. - 3. mell.'!K24</f>
        <v>6500000</v>
      </c>
      <c r="D11" s="417">
        <f>'Bevétel össz. - 3. mell.'!L24</f>
        <v>6500000</v>
      </c>
      <c r="E11" s="690">
        <f t="shared" si="0"/>
        <v>0</v>
      </c>
      <c r="F11" s="388" t="s">
        <v>227</v>
      </c>
      <c r="G11" s="358" t="s">
        <v>351</v>
      </c>
      <c r="H11" s="314">
        <f>SUM(H7:H10)</f>
        <v>54562855</v>
      </c>
      <c r="I11" s="418">
        <f>SUM(I7:I10)</f>
        <v>54245355</v>
      </c>
      <c r="J11" s="692">
        <f t="shared" si="1"/>
        <v>-5.8189770311689593E-3</v>
      </c>
    </row>
    <row r="12" spans="1:10" ht="24.95" customHeight="1" x14ac:dyDescent="0.25">
      <c r="A12" s="310" t="s">
        <v>280</v>
      </c>
      <c r="B12" s="311" t="s">
        <v>721</v>
      </c>
      <c r="C12" s="312">
        <f>'Bevétel össz. - 3. mell.'!K25</f>
        <v>150000000</v>
      </c>
      <c r="D12" s="417">
        <f>'Bevétel össz. - 3. mell.'!L25</f>
        <v>150000000</v>
      </c>
      <c r="E12" s="690">
        <f t="shared" si="0"/>
        <v>0</v>
      </c>
      <c r="F12" s="390"/>
      <c r="G12" s="61"/>
      <c r="H12" s="36"/>
      <c r="I12" s="687"/>
      <c r="J12" s="696"/>
    </row>
    <row r="13" spans="1:10" ht="24.95" customHeight="1" x14ac:dyDescent="0.25">
      <c r="A13" s="310" t="s">
        <v>281</v>
      </c>
      <c r="B13" s="311" t="s">
        <v>283</v>
      </c>
      <c r="C13" s="312">
        <f>'Bevétel össz. - 3. mell.'!K26</f>
        <v>6000000</v>
      </c>
      <c r="D13" s="417">
        <f>'Bevétel össz. - 3. mell.'!L26</f>
        <v>6000000</v>
      </c>
      <c r="E13" s="690">
        <f t="shared" si="0"/>
        <v>0</v>
      </c>
      <c r="F13" s="388" t="s">
        <v>208</v>
      </c>
      <c r="G13" s="358" t="s">
        <v>3</v>
      </c>
      <c r="H13" s="314">
        <f>'Kiadás össz. - 4. mell.'!K13</f>
        <v>99077799</v>
      </c>
      <c r="I13" s="418">
        <f>'Kiadás össz. - 4. mell.'!L13</f>
        <v>111823826</v>
      </c>
      <c r="J13" s="692">
        <f t="shared" si="1"/>
        <v>0.12864665069921477</v>
      </c>
    </row>
    <row r="14" spans="1:10" ht="24.95" customHeight="1" x14ac:dyDescent="0.25">
      <c r="A14" s="310" t="s">
        <v>282</v>
      </c>
      <c r="B14" s="311" t="s">
        <v>480</v>
      </c>
      <c r="C14" s="312">
        <f>'Bevétel össz. - 3. mell.'!K27</f>
        <v>2000000</v>
      </c>
      <c r="D14" s="417">
        <f>'Bevétel össz. - 3. mell.'!L27</f>
        <v>2000000</v>
      </c>
      <c r="E14" s="690">
        <f t="shared" si="0"/>
        <v>0</v>
      </c>
      <c r="F14" s="388" t="s">
        <v>211</v>
      </c>
      <c r="G14" s="358" t="s">
        <v>56</v>
      </c>
      <c r="H14" s="314">
        <f>'Kiadás össz. - 4. mell.'!K14</f>
        <v>37310978</v>
      </c>
      <c r="I14" s="418">
        <f>'Kiadás össz. - 4. mell.'!L14</f>
        <v>44166427</v>
      </c>
      <c r="J14" s="692">
        <f t="shared" si="1"/>
        <v>0.18373812125750222</v>
      </c>
    </row>
    <row r="15" spans="1:10" ht="24.95" customHeight="1" x14ac:dyDescent="0.25">
      <c r="A15" s="310" t="s">
        <v>671</v>
      </c>
      <c r="B15" s="311" t="s">
        <v>722</v>
      </c>
      <c r="C15" s="312">
        <f>'Bevétel össz. - 3. mell.'!K28</f>
        <v>50000</v>
      </c>
      <c r="D15" s="417">
        <f>'Bevétel össz. - 3. mell.'!L28</f>
        <v>50000</v>
      </c>
      <c r="E15" s="690">
        <f t="shared" si="0"/>
        <v>0</v>
      </c>
      <c r="F15" s="389" t="s">
        <v>212</v>
      </c>
      <c r="G15" s="311" t="s">
        <v>259</v>
      </c>
      <c r="H15" s="312">
        <f>'Kiadás össz. - 4. mell.'!K15</f>
        <v>0</v>
      </c>
      <c r="I15" s="417">
        <f>'Kiadás össz. - 4. mell.'!L15</f>
        <v>0</v>
      </c>
      <c r="J15" s="690"/>
    </row>
    <row r="16" spans="1:10" ht="24.95" customHeight="1" x14ac:dyDescent="0.25">
      <c r="A16" s="310"/>
      <c r="B16" s="311" t="s">
        <v>712</v>
      </c>
      <c r="C16" s="312">
        <f>'Bevétel össz. - 3. mell.'!K29</f>
        <v>15000</v>
      </c>
      <c r="D16" s="417">
        <f>'Bevétel össz. - 3. mell.'!L29</f>
        <v>15000</v>
      </c>
      <c r="E16" s="690">
        <f t="shared" si="0"/>
        <v>0</v>
      </c>
      <c r="F16" s="389" t="s">
        <v>213</v>
      </c>
      <c r="G16" s="311" t="s">
        <v>260</v>
      </c>
      <c r="H16" s="312">
        <f>'Kiadás össz. - 4. mell.'!K16</f>
        <v>0</v>
      </c>
      <c r="I16" s="417">
        <f>'Kiadás össz. - 4. mell.'!L16</f>
        <v>0</v>
      </c>
      <c r="J16" s="690"/>
    </row>
    <row r="17" spans="1:10" ht="24.95" customHeight="1" x14ac:dyDescent="0.25">
      <c r="A17" s="310"/>
      <c r="B17" s="311" t="s">
        <v>713</v>
      </c>
      <c r="C17" s="312">
        <f>'Bevétel össz. - 3. mell.'!K30</f>
        <v>0</v>
      </c>
      <c r="D17" s="417">
        <f>'Bevétel össz. - 3. mell.'!L30</f>
        <v>0</v>
      </c>
      <c r="E17" s="690"/>
      <c r="F17" s="389" t="s">
        <v>214</v>
      </c>
      <c r="G17" s="311" t="s">
        <v>261</v>
      </c>
      <c r="H17" s="312">
        <f>'Kiadás össz. - 4. mell.'!K17</f>
        <v>0</v>
      </c>
      <c r="I17" s="417">
        <f>'Kiadás össz. - 4. mell.'!L17</f>
        <v>0</v>
      </c>
      <c r="J17" s="690"/>
    </row>
    <row r="18" spans="1:10" ht="24.95" customHeight="1" x14ac:dyDescent="0.25">
      <c r="A18" s="313" t="s">
        <v>284</v>
      </c>
      <c r="B18" s="358" t="s">
        <v>344</v>
      </c>
      <c r="C18" s="314">
        <f>SUM(C9:C17)</f>
        <v>171265000</v>
      </c>
      <c r="D18" s="418">
        <f>SUM(D9:D17)</f>
        <v>171265000</v>
      </c>
      <c r="E18" s="692">
        <f t="shared" si="0"/>
        <v>0</v>
      </c>
      <c r="F18" s="389"/>
      <c r="G18" s="311"/>
      <c r="H18" s="312"/>
      <c r="I18" s="417"/>
      <c r="J18" s="690"/>
    </row>
    <row r="19" spans="1:10" ht="24.95" customHeight="1" x14ac:dyDescent="0.25">
      <c r="A19" s="313" t="s">
        <v>286</v>
      </c>
      <c r="B19" s="358" t="s">
        <v>98</v>
      </c>
      <c r="C19" s="314">
        <f>'Bevétel össz. - 3. mell.'!K41</f>
        <v>13851807</v>
      </c>
      <c r="D19" s="418">
        <f>'Bevétel össz. - 3. mell.'!L41</f>
        <v>13851807</v>
      </c>
      <c r="E19" s="692">
        <f t="shared" si="0"/>
        <v>0</v>
      </c>
      <c r="F19" s="388" t="s">
        <v>215</v>
      </c>
      <c r="G19" s="358" t="s">
        <v>352</v>
      </c>
      <c r="H19" s="314">
        <f>SUM(H15:H18)</f>
        <v>0</v>
      </c>
      <c r="I19" s="418">
        <f>SUM(I15:I18)</f>
        <v>0</v>
      </c>
      <c r="J19" s="692"/>
    </row>
    <row r="20" spans="1:10" ht="24.95" customHeight="1" x14ac:dyDescent="0.25">
      <c r="A20" s="313" t="s">
        <v>346</v>
      </c>
      <c r="B20" s="358" t="s">
        <v>347</v>
      </c>
      <c r="C20" s="314">
        <f>'Bevétel össz. - 3. mell.'!K44</f>
        <v>460000</v>
      </c>
      <c r="D20" s="418">
        <f>'Bevétel össz. - 3. mell.'!L44</f>
        <v>460000</v>
      </c>
      <c r="E20" s="692">
        <f t="shared" si="0"/>
        <v>0</v>
      </c>
      <c r="F20" s="389" t="s">
        <v>623</v>
      </c>
      <c r="G20" s="311" t="s">
        <v>53</v>
      </c>
      <c r="H20" s="312">
        <f>'Kiadás össz. - 4. mell.'!K19</f>
        <v>52314000</v>
      </c>
      <c r="I20" s="417">
        <f>'Kiadás össz. - 4. mell.'!L19</f>
        <v>52491869</v>
      </c>
      <c r="J20" s="690">
        <f t="shared" si="1"/>
        <v>3.4000267614786583E-3</v>
      </c>
    </row>
    <row r="21" spans="1:10" ht="24.95" customHeight="1" x14ac:dyDescent="0.25">
      <c r="A21" s="310" t="s">
        <v>308</v>
      </c>
      <c r="B21" s="311" t="s">
        <v>357</v>
      </c>
      <c r="C21" s="312">
        <f>'Bevétel össz. - 3. mell.'!K45</f>
        <v>0</v>
      </c>
      <c r="D21" s="417">
        <f>'Bevétel össz. - 3. mell.'!L45</f>
        <v>0</v>
      </c>
      <c r="E21" s="690"/>
      <c r="F21" s="389"/>
      <c r="G21" s="311"/>
      <c r="H21" s="312"/>
      <c r="I21" s="417"/>
      <c r="J21" s="690"/>
    </row>
    <row r="22" spans="1:10" ht="24.95" customHeight="1" x14ac:dyDescent="0.25">
      <c r="A22" s="310" t="s">
        <v>683</v>
      </c>
      <c r="B22" s="311" t="s">
        <v>358</v>
      </c>
      <c r="C22" s="312">
        <f>'Bevétel össz. - 3. mell.'!K46</f>
        <v>0</v>
      </c>
      <c r="D22" s="417">
        <f>'Bevétel össz. - 3. mell.'!L46</f>
        <v>47560</v>
      </c>
      <c r="E22" s="690"/>
      <c r="F22" s="389"/>
      <c r="G22" s="311"/>
      <c r="H22" s="312"/>
      <c r="I22" s="417"/>
      <c r="J22" s="690"/>
    </row>
    <row r="23" spans="1:10" ht="24.95" customHeight="1" x14ac:dyDescent="0.25">
      <c r="A23" s="313" t="s">
        <v>311</v>
      </c>
      <c r="B23" s="358" t="s">
        <v>359</v>
      </c>
      <c r="C23" s="314">
        <f>SUM(C21:C22)</f>
        <v>0</v>
      </c>
      <c r="D23" s="418">
        <f>SUM(D21:D22)</f>
        <v>47560</v>
      </c>
      <c r="E23" s="692"/>
      <c r="F23" s="389"/>
      <c r="G23" s="311"/>
      <c r="H23" s="312"/>
      <c r="I23" s="417"/>
      <c r="J23" s="690"/>
    </row>
    <row r="24" spans="1:10" ht="24.95" customHeight="1" x14ac:dyDescent="0.25">
      <c r="A24" s="310" t="s">
        <v>315</v>
      </c>
      <c r="B24" s="311" t="s">
        <v>316</v>
      </c>
      <c r="C24" s="312">
        <f>'Bevétel össz. - 3. mell.'!K48</f>
        <v>0</v>
      </c>
      <c r="D24" s="417">
        <f>'Bevétel össz. - 3. mell.'!L48</f>
        <v>0</v>
      </c>
      <c r="E24" s="690"/>
      <c r="F24" s="389"/>
      <c r="G24" s="311"/>
      <c r="H24" s="312"/>
      <c r="I24" s="417"/>
      <c r="J24" s="690"/>
    </row>
    <row r="25" spans="1:10" ht="24.95" customHeight="1" x14ac:dyDescent="0.25">
      <c r="A25" s="310" t="s">
        <v>686</v>
      </c>
      <c r="B25" s="311" t="s">
        <v>361</v>
      </c>
      <c r="C25" s="312">
        <f>'Bevétel össz. - 3. mell.'!K49</f>
        <v>2886600</v>
      </c>
      <c r="D25" s="417">
        <f>'Bevétel össz. - 3. mell.'!L49</f>
        <v>2886600</v>
      </c>
      <c r="E25" s="690">
        <f t="shared" si="0"/>
        <v>0</v>
      </c>
      <c r="F25" s="389"/>
      <c r="G25" s="311"/>
      <c r="H25" s="312"/>
      <c r="I25" s="417"/>
      <c r="J25" s="690"/>
    </row>
    <row r="26" spans="1:10" ht="24.95" customHeight="1" x14ac:dyDescent="0.25">
      <c r="A26" s="313" t="s">
        <v>312</v>
      </c>
      <c r="B26" s="358" t="s">
        <v>702</v>
      </c>
      <c r="C26" s="314">
        <f>SUM(C24:C25)</f>
        <v>2886600</v>
      </c>
      <c r="D26" s="418">
        <f>SUM(D24:D25)</f>
        <v>2886600</v>
      </c>
      <c r="E26" s="692">
        <f t="shared" si="0"/>
        <v>0</v>
      </c>
      <c r="F26" s="389"/>
      <c r="G26" s="311"/>
      <c r="H26" s="312"/>
      <c r="I26" s="417"/>
      <c r="J26" s="690"/>
    </row>
    <row r="27" spans="1:10" ht="24.95" customHeight="1" x14ac:dyDescent="0.25">
      <c r="A27" s="326"/>
      <c r="B27" s="359" t="s">
        <v>349</v>
      </c>
      <c r="C27" s="327">
        <f>SUM(C26,C23,C18,C20,C19,C8,C5)</f>
        <v>266089136</v>
      </c>
      <c r="D27" s="541">
        <f>SUM(D26,D23,D18,D20,D19,D8,D5)</f>
        <v>266469145</v>
      </c>
      <c r="E27" s="693">
        <f t="shared" si="0"/>
        <v>1.4281267011215792E-3</v>
      </c>
      <c r="F27" s="391"/>
      <c r="G27" s="359" t="s">
        <v>350</v>
      </c>
      <c r="H27" s="327">
        <f>SUM(H20:H26,H19,H14,H13,H11,H6,H5,H4,H3)</f>
        <v>434379161</v>
      </c>
      <c r="I27" s="541">
        <f>SUM(I20:I26,I19,I14,I13,I11,I6,I5,I4,I3)</f>
        <v>460240037</v>
      </c>
      <c r="J27" s="693">
        <f t="shared" si="1"/>
        <v>5.9535259335334434E-2</v>
      </c>
    </row>
    <row r="28" spans="1:10" ht="24.95" customHeight="1" x14ac:dyDescent="0.25">
      <c r="A28" s="310" t="s">
        <v>319</v>
      </c>
      <c r="B28" s="311" t="s">
        <v>318</v>
      </c>
      <c r="C28" s="312">
        <f>'Bevétel össz. - 3. mell.'!K52</f>
        <v>5000000</v>
      </c>
      <c r="D28" s="417">
        <f>'Bevétel össz. - 3. mell.'!L52</f>
        <v>5000000</v>
      </c>
      <c r="E28" s="690">
        <f t="shared" si="0"/>
        <v>0</v>
      </c>
      <c r="F28" s="389" t="s">
        <v>262</v>
      </c>
      <c r="G28" s="311" t="s">
        <v>263</v>
      </c>
      <c r="H28" s="312">
        <v>0</v>
      </c>
      <c r="I28" s="417">
        <v>0</v>
      </c>
      <c r="J28" s="690"/>
    </row>
    <row r="29" spans="1:10" ht="24.95" customHeight="1" x14ac:dyDescent="0.25">
      <c r="A29" s="310" t="s">
        <v>320</v>
      </c>
      <c r="B29" s="311" t="s">
        <v>321</v>
      </c>
      <c r="C29" s="312">
        <f>'Bevétel össz. - 3. mell.'!K53</f>
        <v>164147292</v>
      </c>
      <c r="D29" s="417">
        <f>'Bevétel össz. - 3. mell.'!L53</f>
        <v>189628159</v>
      </c>
      <c r="E29" s="690">
        <f t="shared" si="0"/>
        <v>0.15523172322574785</v>
      </c>
      <c r="F29" s="389"/>
      <c r="G29" s="311"/>
      <c r="H29" s="312"/>
      <c r="I29" s="417"/>
      <c r="J29" s="690"/>
    </row>
    <row r="30" spans="1:10" ht="24.95" customHeight="1" x14ac:dyDescent="0.25">
      <c r="A30" s="310"/>
      <c r="B30" s="311"/>
      <c r="C30" s="312"/>
      <c r="D30" s="417"/>
      <c r="E30" s="690"/>
      <c r="F30" s="389"/>
      <c r="G30" s="311"/>
      <c r="H30" s="312"/>
      <c r="I30" s="417"/>
      <c r="J30" s="690"/>
    </row>
    <row r="31" spans="1:10" ht="24.95" customHeight="1" x14ac:dyDescent="0.25">
      <c r="A31" s="313"/>
      <c r="B31" s="358" t="s">
        <v>703</v>
      </c>
      <c r="C31" s="314">
        <f>SUM(C27:C30)</f>
        <v>435236428</v>
      </c>
      <c r="D31" s="418">
        <f>SUM(D27:D30)</f>
        <v>461097304</v>
      </c>
      <c r="E31" s="692">
        <f t="shared" si="0"/>
        <v>5.9417995223506326E-2</v>
      </c>
      <c r="F31" s="388"/>
      <c r="G31" s="358" t="s">
        <v>703</v>
      </c>
      <c r="H31" s="314">
        <f>SUM(H27:H30)</f>
        <v>434379161</v>
      </c>
      <c r="I31" s="418">
        <f>SUM(I27:I30)</f>
        <v>460240037</v>
      </c>
      <c r="J31" s="692">
        <f t="shared" si="1"/>
        <v>5.9535259335334434E-2</v>
      </c>
    </row>
    <row r="32" spans="1:10" ht="24.95" customHeight="1" x14ac:dyDescent="0.25">
      <c r="A32" s="310" t="s">
        <v>322</v>
      </c>
      <c r="B32" s="311" t="s">
        <v>68</v>
      </c>
      <c r="C32" s="312">
        <f>'Bevétel össz. - 3. mell.'!K54</f>
        <v>69183233</v>
      </c>
      <c r="D32" s="417">
        <f>'Bevétel össz. - 3. mell.'!L54</f>
        <v>69201874</v>
      </c>
      <c r="E32" s="690">
        <f t="shared" si="0"/>
        <v>2.6944389835037441E-4</v>
      </c>
      <c r="F32" s="389" t="s">
        <v>534</v>
      </c>
      <c r="G32" s="311" t="s">
        <v>535</v>
      </c>
      <c r="H32" s="312">
        <f>'Kiadás össz. - 4. mell.'!K21</f>
        <v>524833</v>
      </c>
      <c r="I32" s="417">
        <f>'Kiadás össz. - 4. mell.'!L21</f>
        <v>524833</v>
      </c>
      <c r="J32" s="690">
        <f t="shared" si="1"/>
        <v>0</v>
      </c>
    </row>
    <row r="33" spans="1:10" ht="24.95" customHeight="1" x14ac:dyDescent="0.25">
      <c r="A33" s="310" t="s">
        <v>323</v>
      </c>
      <c r="B33" s="311" t="s">
        <v>324</v>
      </c>
      <c r="C33" s="312">
        <f>'Bevétel össz. - 3. mell.'!K55</f>
        <v>0</v>
      </c>
      <c r="D33" s="417">
        <f>'Bevétel össz. - 3. mell.'!L55</f>
        <v>0</v>
      </c>
      <c r="E33" s="690"/>
      <c r="F33" s="389" t="s">
        <v>251</v>
      </c>
      <c r="G33" s="311" t="s">
        <v>68</v>
      </c>
      <c r="H33" s="312">
        <f>'Kiadás össz. - 4. mell.'!K22</f>
        <v>69183233</v>
      </c>
      <c r="I33" s="417">
        <f>'Kiadás össz. - 4. mell.'!L22</f>
        <v>69201874</v>
      </c>
      <c r="J33" s="690">
        <f t="shared" si="1"/>
        <v>2.6944389835037441E-4</v>
      </c>
    </row>
    <row r="34" spans="1:10" ht="24.95" customHeight="1" thickBot="1" x14ac:dyDescent="0.3">
      <c r="A34" s="385"/>
      <c r="B34" s="386"/>
      <c r="C34" s="387"/>
      <c r="D34" s="686"/>
      <c r="E34" s="691"/>
      <c r="F34" s="392" t="s">
        <v>530</v>
      </c>
      <c r="G34" s="386" t="s">
        <v>531</v>
      </c>
      <c r="H34" s="387">
        <f>'Kiadás össz. - 4. mell.'!K23</f>
        <v>332434</v>
      </c>
      <c r="I34" s="688">
        <f>'Kiadás össz. - 4. mell.'!L23</f>
        <v>332434</v>
      </c>
      <c r="J34" s="697">
        <f t="shared" si="1"/>
        <v>0</v>
      </c>
    </row>
    <row r="35" spans="1:10" ht="24.95" customHeight="1" thickBot="1" x14ac:dyDescent="0.3">
      <c r="A35" s="384"/>
      <c r="B35" s="382" t="s">
        <v>353</v>
      </c>
      <c r="C35" s="383">
        <f>SUM(C31:C34)</f>
        <v>504419661</v>
      </c>
      <c r="D35" s="422">
        <f>SUM(D31:D34)</f>
        <v>530299178</v>
      </c>
      <c r="E35" s="694">
        <f t="shared" si="0"/>
        <v>5.1305527918349636E-2</v>
      </c>
      <c r="F35" s="384"/>
      <c r="G35" s="382" t="s">
        <v>354</v>
      </c>
      <c r="H35" s="383">
        <f>SUM(H31:H34)</f>
        <v>504419661</v>
      </c>
      <c r="I35" s="422">
        <f>SUM(I31:I34)</f>
        <v>530299178</v>
      </c>
      <c r="J35" s="694">
        <f t="shared" si="1"/>
        <v>5.1305527918349636E-2</v>
      </c>
    </row>
  </sheetData>
  <mergeCells count="4">
    <mergeCell ref="F1:G2"/>
    <mergeCell ref="A1:B2"/>
    <mergeCell ref="E1:E2"/>
    <mergeCell ref="J1:J2"/>
  </mergeCells>
  <phoneticPr fontId="2" type="noConversion"/>
  <printOptions horizontalCentered="1"/>
  <pageMargins left="0.70866141732283472" right="0.70866141732283472" top="0.98" bottom="0.43307086614173229" header="0.47244094488188981" footer="0.39370078740157483"/>
  <pageSetup paperSize="9" scale="55" orientation="landscape" r:id="rId1"/>
  <headerFooter>
    <oddHeader>&amp;L&amp;"Arial CE,Félkövér"&amp;12LEVÉL Községi Önkormányzat&amp;C&amp;"Arial CE,Félkövér"&amp;12Költségvetési mérleg - 2019. év&amp;R&amp;8 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>
    <tabColor rgb="FFC00000"/>
    <pageSetUpPr fitToPage="1"/>
  </sheetPr>
  <dimension ref="A1:G140"/>
  <sheetViews>
    <sheetView workbookViewId="0">
      <pane ySplit="2" topLeftCell="A47" activePane="bottomLeft" state="frozen"/>
      <selection pane="bottomLeft" activeCell="E98" sqref="E98"/>
    </sheetView>
  </sheetViews>
  <sheetFormatPr defaultRowHeight="12.75" x14ac:dyDescent="0.2"/>
  <cols>
    <col min="1" max="1" width="6.7109375" bestFit="1" customWidth="1"/>
    <col min="2" max="2" width="68.140625" bestFit="1" customWidth="1"/>
    <col min="3" max="5" width="19.7109375" bestFit="1" customWidth="1"/>
    <col min="6" max="6" width="9" style="537" bestFit="1" customWidth="1"/>
    <col min="7" max="7" width="10" style="700" bestFit="1" customWidth="1"/>
  </cols>
  <sheetData>
    <row r="1" spans="1:7" ht="18.75" thickBot="1" x14ac:dyDescent="0.3">
      <c r="A1" s="838" t="s">
        <v>237</v>
      </c>
      <c r="B1" s="837" t="s">
        <v>749</v>
      </c>
      <c r="C1" s="393">
        <v>2019</v>
      </c>
      <c r="D1" s="393">
        <v>2019</v>
      </c>
      <c r="E1" s="673">
        <v>2019</v>
      </c>
      <c r="F1" s="835" t="s">
        <v>743</v>
      </c>
    </row>
    <row r="2" spans="1:7" ht="18.75" thickBot="1" x14ac:dyDescent="0.3">
      <c r="A2" s="838"/>
      <c r="B2" s="837"/>
      <c r="C2" s="674" t="s">
        <v>64</v>
      </c>
      <c r="D2" s="394" t="s">
        <v>566</v>
      </c>
      <c r="E2" s="394" t="s">
        <v>567</v>
      </c>
      <c r="F2" s="836"/>
    </row>
    <row r="3" spans="1:7" ht="14.25" x14ac:dyDescent="0.2">
      <c r="A3" s="306" t="s">
        <v>117</v>
      </c>
      <c r="B3" s="628" t="s">
        <v>118</v>
      </c>
      <c r="C3" s="647">
        <v>37626303</v>
      </c>
      <c r="D3" s="308">
        <f>C3-14950</f>
        <v>37611353</v>
      </c>
      <c r="E3" s="614">
        <v>17863066</v>
      </c>
      <c r="F3" s="661">
        <f>E3/D3</f>
        <v>0.47493813902413984</v>
      </c>
      <c r="G3" s="700">
        <f>D3-C3</f>
        <v>-14950</v>
      </c>
    </row>
    <row r="4" spans="1:7" ht="14.25" hidden="1" x14ac:dyDescent="0.2">
      <c r="A4" s="307" t="s">
        <v>117</v>
      </c>
      <c r="B4" s="629" t="s">
        <v>696</v>
      </c>
      <c r="C4" s="648"/>
      <c r="D4" s="309">
        <f t="shared" ref="D4:D14" si="0">C4</f>
        <v>0</v>
      </c>
      <c r="E4" s="615"/>
      <c r="F4" s="662"/>
      <c r="G4" s="700">
        <f t="shared" ref="G4:G67" si="1">D4-C4</f>
        <v>0</v>
      </c>
    </row>
    <row r="5" spans="1:7" ht="14.25" x14ac:dyDescent="0.2">
      <c r="A5" s="307" t="s">
        <v>119</v>
      </c>
      <c r="B5" s="629" t="s">
        <v>120</v>
      </c>
      <c r="C5" s="648">
        <v>2809905</v>
      </c>
      <c r="D5" s="309">
        <f t="shared" si="0"/>
        <v>2809905</v>
      </c>
      <c r="E5" s="615"/>
      <c r="F5" s="662">
        <f t="shared" ref="F5:F62" si="2">E5/D5</f>
        <v>0</v>
      </c>
      <c r="G5" s="700">
        <f t="shared" si="1"/>
        <v>0</v>
      </c>
    </row>
    <row r="6" spans="1:7" ht="14.25" hidden="1" x14ac:dyDescent="0.2">
      <c r="A6" s="307" t="s">
        <v>119</v>
      </c>
      <c r="B6" s="629" t="s">
        <v>697</v>
      </c>
      <c r="C6" s="648"/>
      <c r="D6" s="309">
        <f t="shared" si="0"/>
        <v>0</v>
      </c>
      <c r="E6" s="615"/>
      <c r="F6" s="662"/>
      <c r="G6" s="700">
        <f t="shared" si="1"/>
        <v>0</v>
      </c>
    </row>
    <row r="7" spans="1:7" ht="14.25" hidden="1" x14ac:dyDescent="0.2">
      <c r="A7" s="307" t="s">
        <v>121</v>
      </c>
      <c r="B7" s="629" t="s">
        <v>122</v>
      </c>
      <c r="C7" s="648"/>
      <c r="D7" s="309">
        <f t="shared" si="0"/>
        <v>0</v>
      </c>
      <c r="E7" s="615"/>
      <c r="F7" s="662"/>
      <c r="G7" s="700">
        <f t="shared" si="1"/>
        <v>0</v>
      </c>
    </row>
    <row r="8" spans="1:7" ht="14.25" x14ac:dyDescent="0.2">
      <c r="A8" s="307" t="s">
        <v>123</v>
      </c>
      <c r="B8" s="629" t="s">
        <v>124</v>
      </c>
      <c r="C8" s="648">
        <v>450000</v>
      </c>
      <c r="D8" s="309">
        <f t="shared" si="0"/>
        <v>450000</v>
      </c>
      <c r="E8" s="615"/>
      <c r="F8" s="662">
        <f t="shared" si="2"/>
        <v>0</v>
      </c>
      <c r="G8" s="700">
        <f t="shared" si="1"/>
        <v>0</v>
      </c>
    </row>
    <row r="9" spans="1:7" ht="14.25" x14ac:dyDescent="0.2">
      <c r="A9" s="307" t="s">
        <v>125</v>
      </c>
      <c r="B9" s="629" t="s">
        <v>126</v>
      </c>
      <c r="C9" s="648">
        <v>2804445</v>
      </c>
      <c r="D9" s="309">
        <f t="shared" si="0"/>
        <v>2804445</v>
      </c>
      <c r="E9" s="615"/>
      <c r="F9" s="662">
        <f t="shared" si="2"/>
        <v>0</v>
      </c>
      <c r="G9" s="700">
        <f t="shared" si="1"/>
        <v>0</v>
      </c>
    </row>
    <row r="10" spans="1:7" ht="14.25" x14ac:dyDescent="0.2">
      <c r="A10" s="307" t="s">
        <v>127</v>
      </c>
      <c r="B10" s="629" t="s">
        <v>128</v>
      </c>
      <c r="C10" s="648">
        <v>1561340</v>
      </c>
      <c r="D10" s="309">
        <f t="shared" si="0"/>
        <v>1561340</v>
      </c>
      <c r="E10" s="615">
        <v>1536555</v>
      </c>
      <c r="F10" s="662">
        <f t="shared" si="2"/>
        <v>0.9841258150050598</v>
      </c>
      <c r="G10" s="700">
        <f t="shared" si="1"/>
        <v>0</v>
      </c>
    </row>
    <row r="11" spans="1:7" ht="14.25" hidden="1" x14ac:dyDescent="0.2">
      <c r="A11" s="307" t="s">
        <v>127</v>
      </c>
      <c r="B11" s="629" t="s">
        <v>466</v>
      </c>
      <c r="C11" s="648"/>
      <c r="D11" s="309">
        <f t="shared" si="0"/>
        <v>0</v>
      </c>
      <c r="E11" s="615"/>
      <c r="F11" s="662"/>
      <c r="G11" s="700">
        <f t="shared" si="1"/>
        <v>0</v>
      </c>
    </row>
    <row r="12" spans="1:7" ht="14.25" hidden="1" x14ac:dyDescent="0.2">
      <c r="A12" s="307" t="s">
        <v>129</v>
      </c>
      <c r="B12" s="629" t="s">
        <v>395</v>
      </c>
      <c r="C12" s="648"/>
      <c r="D12" s="309">
        <f t="shared" si="0"/>
        <v>0</v>
      </c>
      <c r="E12" s="615"/>
      <c r="F12" s="662"/>
      <c r="G12" s="700">
        <f t="shared" si="1"/>
        <v>0</v>
      </c>
    </row>
    <row r="13" spans="1:7" ht="14.25" x14ac:dyDescent="0.2">
      <c r="A13" s="307" t="s">
        <v>131</v>
      </c>
      <c r="B13" s="629" t="s">
        <v>132</v>
      </c>
      <c r="C13" s="648">
        <v>380000</v>
      </c>
      <c r="D13" s="309">
        <f t="shared" si="0"/>
        <v>380000</v>
      </c>
      <c r="E13" s="615">
        <v>117948</v>
      </c>
      <c r="F13" s="662">
        <f t="shared" si="2"/>
        <v>0.31038947368421055</v>
      </c>
      <c r="G13" s="700">
        <f t="shared" si="1"/>
        <v>0</v>
      </c>
    </row>
    <row r="14" spans="1:7" ht="14.25" hidden="1" x14ac:dyDescent="0.2">
      <c r="A14" s="307" t="s">
        <v>133</v>
      </c>
      <c r="B14" s="629" t="s">
        <v>134</v>
      </c>
      <c r="C14" s="648"/>
      <c r="D14" s="309">
        <f t="shared" si="0"/>
        <v>0</v>
      </c>
      <c r="E14" s="615"/>
      <c r="F14" s="662"/>
      <c r="G14" s="700">
        <f t="shared" si="1"/>
        <v>0</v>
      </c>
    </row>
    <row r="15" spans="1:7" ht="14.25" x14ac:dyDescent="0.2">
      <c r="A15" s="307" t="s">
        <v>135</v>
      </c>
      <c r="B15" s="629" t="s">
        <v>166</v>
      </c>
      <c r="C15" s="648">
        <v>0</v>
      </c>
      <c r="D15" s="309">
        <f>C15+15600+14950</f>
        <v>30550</v>
      </c>
      <c r="E15" s="615">
        <v>30550</v>
      </c>
      <c r="F15" s="662">
        <f t="shared" si="2"/>
        <v>1</v>
      </c>
      <c r="G15" s="700">
        <f t="shared" si="1"/>
        <v>30550</v>
      </c>
    </row>
    <row r="16" spans="1:7" ht="16.5" x14ac:dyDescent="0.25">
      <c r="A16" s="302" t="s">
        <v>141</v>
      </c>
      <c r="B16" s="630" t="s">
        <v>631</v>
      </c>
      <c r="C16" s="645">
        <f>SUM(C3:C15)</f>
        <v>45631993</v>
      </c>
      <c r="D16" s="303">
        <f t="shared" ref="D16:E16" si="3">SUM(D3:D15)</f>
        <v>45647593</v>
      </c>
      <c r="E16" s="616">
        <f t="shared" si="3"/>
        <v>19548119</v>
      </c>
      <c r="F16" s="669">
        <f t="shared" si="2"/>
        <v>0.42823986360025601</v>
      </c>
      <c r="G16" s="700">
        <f t="shared" si="1"/>
        <v>15600</v>
      </c>
    </row>
    <row r="17" spans="1:7" ht="15" hidden="1" x14ac:dyDescent="0.2">
      <c r="A17" s="317" t="s">
        <v>136</v>
      </c>
      <c r="B17" s="631" t="s">
        <v>139</v>
      </c>
      <c r="C17" s="649"/>
      <c r="D17" s="320">
        <f t="shared" ref="D17:D19" si="4">C17</f>
        <v>0</v>
      </c>
      <c r="E17" s="617"/>
      <c r="F17" s="662"/>
      <c r="G17" s="700">
        <f t="shared" si="1"/>
        <v>0</v>
      </c>
    </row>
    <row r="18" spans="1:7" ht="15" x14ac:dyDescent="0.2">
      <c r="A18" s="317" t="s">
        <v>137</v>
      </c>
      <c r="B18" s="631" t="s">
        <v>140</v>
      </c>
      <c r="C18" s="649">
        <v>576000</v>
      </c>
      <c r="D18" s="320">
        <f t="shared" si="4"/>
        <v>576000</v>
      </c>
      <c r="E18" s="617">
        <v>228000</v>
      </c>
      <c r="F18" s="662">
        <f t="shared" si="2"/>
        <v>0.39583333333333331</v>
      </c>
      <c r="G18" s="700">
        <f t="shared" si="1"/>
        <v>0</v>
      </c>
    </row>
    <row r="19" spans="1:7" ht="15" hidden="1" x14ac:dyDescent="0.2">
      <c r="A19" s="317" t="s">
        <v>138</v>
      </c>
      <c r="B19" s="631" t="s">
        <v>167</v>
      </c>
      <c r="C19" s="649"/>
      <c r="D19" s="320">
        <f t="shared" si="4"/>
        <v>0</v>
      </c>
      <c r="E19" s="617"/>
      <c r="F19" s="662"/>
      <c r="G19" s="700">
        <f t="shared" si="1"/>
        <v>0</v>
      </c>
    </row>
    <row r="20" spans="1:7" ht="16.5" x14ac:dyDescent="0.25">
      <c r="A20" s="302" t="s">
        <v>142</v>
      </c>
      <c r="B20" s="630" t="s">
        <v>633</v>
      </c>
      <c r="C20" s="645">
        <f>SUM(C17:C19)</f>
        <v>576000</v>
      </c>
      <c r="D20" s="303">
        <f t="shared" ref="D20:E20" si="5">SUM(D17:D19)</f>
        <v>576000</v>
      </c>
      <c r="E20" s="616">
        <f t="shared" si="5"/>
        <v>228000</v>
      </c>
      <c r="F20" s="669">
        <f t="shared" si="2"/>
        <v>0.39583333333333331</v>
      </c>
      <c r="G20" s="700">
        <f t="shared" si="1"/>
        <v>0</v>
      </c>
    </row>
    <row r="21" spans="1:7" ht="18" x14ac:dyDescent="0.25">
      <c r="A21" s="313" t="s">
        <v>143</v>
      </c>
      <c r="B21" s="632" t="s">
        <v>150</v>
      </c>
      <c r="C21" s="646">
        <f>SUM(C20,C16)</f>
        <v>46207993</v>
      </c>
      <c r="D21" s="314">
        <f t="shared" ref="D21:E21" si="6">SUM(D20,D16)</f>
        <v>46223593</v>
      </c>
      <c r="E21" s="418">
        <f t="shared" si="6"/>
        <v>19776119</v>
      </c>
      <c r="F21" s="671">
        <f t="shared" si="2"/>
        <v>0.42783604035281292</v>
      </c>
      <c r="G21" s="700">
        <f t="shared" si="1"/>
        <v>15600</v>
      </c>
    </row>
    <row r="22" spans="1:7" ht="16.5" x14ac:dyDescent="0.25">
      <c r="A22" s="310" t="s">
        <v>144</v>
      </c>
      <c r="B22" s="633" t="s">
        <v>65</v>
      </c>
      <c r="C22" s="650">
        <v>8936459</v>
      </c>
      <c r="D22" s="312">
        <f>C22+3041</f>
        <v>8939500</v>
      </c>
      <c r="E22" s="417">
        <v>3828683</v>
      </c>
      <c r="F22" s="662">
        <f t="shared" si="2"/>
        <v>0.4282882711561049</v>
      </c>
      <c r="G22" s="700">
        <f t="shared" si="1"/>
        <v>3041</v>
      </c>
    </row>
    <row r="23" spans="1:7" ht="16.5" x14ac:dyDescent="0.25">
      <c r="A23" s="310" t="s">
        <v>698</v>
      </c>
      <c r="B23" s="633" t="s">
        <v>699</v>
      </c>
      <c r="C23" s="650"/>
      <c r="D23" s="312">
        <f t="shared" ref="D23:D26" si="7">C23</f>
        <v>0</v>
      </c>
      <c r="E23" s="417">
        <v>215</v>
      </c>
      <c r="F23" s="662"/>
      <c r="G23" s="700">
        <f t="shared" si="1"/>
        <v>0</v>
      </c>
    </row>
    <row r="24" spans="1:7" ht="16.5" x14ac:dyDescent="0.25">
      <c r="A24" s="310" t="s">
        <v>145</v>
      </c>
      <c r="B24" s="633" t="s">
        <v>66</v>
      </c>
      <c r="C24" s="650"/>
      <c r="D24" s="312">
        <f t="shared" si="7"/>
        <v>0</v>
      </c>
      <c r="E24" s="417">
        <v>11016</v>
      </c>
      <c r="F24" s="662"/>
      <c r="G24" s="700">
        <f t="shared" si="1"/>
        <v>0</v>
      </c>
    </row>
    <row r="25" spans="1:7" ht="16.5" x14ac:dyDescent="0.25">
      <c r="A25" s="310" t="s">
        <v>146</v>
      </c>
      <c r="B25" s="633" t="s">
        <v>396</v>
      </c>
      <c r="C25" s="650"/>
      <c r="D25" s="312">
        <f t="shared" si="7"/>
        <v>0</v>
      </c>
      <c r="E25" s="417">
        <v>16835</v>
      </c>
      <c r="F25" s="662"/>
      <c r="G25" s="700">
        <f t="shared" si="1"/>
        <v>0</v>
      </c>
    </row>
    <row r="26" spans="1:7" ht="16.5" x14ac:dyDescent="0.25">
      <c r="A26" s="310" t="s">
        <v>147</v>
      </c>
      <c r="B26" s="633" t="s">
        <v>63</v>
      </c>
      <c r="C26" s="650">
        <v>234201</v>
      </c>
      <c r="D26" s="312">
        <f t="shared" si="7"/>
        <v>234201</v>
      </c>
      <c r="E26" s="417">
        <v>242284</v>
      </c>
      <c r="F26" s="662">
        <f t="shared" si="2"/>
        <v>1.034513089184077</v>
      </c>
      <c r="G26" s="700">
        <f t="shared" si="1"/>
        <v>0</v>
      </c>
    </row>
    <row r="27" spans="1:7" ht="18" x14ac:dyDescent="0.25">
      <c r="A27" s="313" t="s">
        <v>148</v>
      </c>
      <c r="B27" s="632" t="s">
        <v>149</v>
      </c>
      <c r="C27" s="646">
        <f>SUM(C22:C26)</f>
        <v>9170660</v>
      </c>
      <c r="D27" s="314">
        <f t="shared" ref="D27:E27" si="8">SUM(D22:D26)</f>
        <v>9173701</v>
      </c>
      <c r="E27" s="418">
        <f t="shared" si="8"/>
        <v>4099033</v>
      </c>
      <c r="F27" s="671">
        <f t="shared" si="2"/>
        <v>0.4468243514803894</v>
      </c>
      <c r="G27" s="700">
        <f t="shared" si="1"/>
        <v>3041</v>
      </c>
    </row>
    <row r="28" spans="1:7" ht="14.25" x14ac:dyDescent="0.2">
      <c r="A28" s="275" t="s">
        <v>152</v>
      </c>
      <c r="B28" s="634" t="s">
        <v>82</v>
      </c>
      <c r="C28" s="648">
        <v>19685</v>
      </c>
      <c r="D28" s="309">
        <f t="shared" ref="D28:D31" si="9">C28</f>
        <v>19685</v>
      </c>
      <c r="E28" s="615"/>
      <c r="F28" s="662">
        <f t="shared" si="2"/>
        <v>0</v>
      </c>
      <c r="G28" s="700">
        <f t="shared" si="1"/>
        <v>0</v>
      </c>
    </row>
    <row r="29" spans="1:7" ht="14.25" x14ac:dyDescent="0.2">
      <c r="A29" s="275" t="s">
        <v>153</v>
      </c>
      <c r="B29" s="634" t="s">
        <v>154</v>
      </c>
      <c r="C29" s="648">
        <v>236220</v>
      </c>
      <c r="D29" s="309">
        <f t="shared" si="9"/>
        <v>236220</v>
      </c>
      <c r="E29" s="615">
        <v>55383</v>
      </c>
      <c r="F29" s="662">
        <f t="shared" si="2"/>
        <v>0.23445516891033782</v>
      </c>
      <c r="G29" s="700">
        <f t="shared" si="1"/>
        <v>0</v>
      </c>
    </row>
    <row r="30" spans="1:7" ht="14.25" x14ac:dyDescent="0.2">
      <c r="A30" s="275" t="s">
        <v>477</v>
      </c>
      <c r="B30" s="634" t="s">
        <v>701</v>
      </c>
      <c r="C30" s="648">
        <v>118110</v>
      </c>
      <c r="D30" s="309">
        <f t="shared" si="9"/>
        <v>118110</v>
      </c>
      <c r="E30" s="615">
        <v>9987</v>
      </c>
      <c r="F30" s="662">
        <f t="shared" si="2"/>
        <v>8.4556769113538224E-2</v>
      </c>
      <c r="G30" s="700">
        <f t="shared" si="1"/>
        <v>0</v>
      </c>
    </row>
    <row r="31" spans="1:7" ht="14.25" x14ac:dyDescent="0.2">
      <c r="A31" s="275" t="s">
        <v>700</v>
      </c>
      <c r="B31" s="634" t="s">
        <v>529</v>
      </c>
      <c r="C31" s="648">
        <v>196850</v>
      </c>
      <c r="D31" s="309">
        <f t="shared" si="9"/>
        <v>196850</v>
      </c>
      <c r="E31" s="615"/>
      <c r="F31" s="662">
        <f t="shared" si="2"/>
        <v>0</v>
      </c>
      <c r="G31" s="700">
        <f t="shared" si="1"/>
        <v>0</v>
      </c>
    </row>
    <row r="32" spans="1:7" ht="15" x14ac:dyDescent="0.2">
      <c r="A32" s="315" t="s">
        <v>155</v>
      </c>
      <c r="B32" s="635" t="s">
        <v>637</v>
      </c>
      <c r="C32" s="651">
        <f>SUM(C28:C31)</f>
        <v>570865</v>
      </c>
      <c r="D32" s="316">
        <f t="shared" ref="D32:E32" si="10">SUM(D28:D31)</f>
        <v>570865</v>
      </c>
      <c r="E32" s="618">
        <f t="shared" si="10"/>
        <v>65370</v>
      </c>
      <c r="F32" s="676">
        <f t="shared" si="2"/>
        <v>0.11451043591742356</v>
      </c>
      <c r="G32" s="700">
        <f t="shared" si="1"/>
        <v>0</v>
      </c>
    </row>
    <row r="33" spans="1:7" ht="14.25" hidden="1" x14ac:dyDescent="0.2">
      <c r="A33" s="275" t="s">
        <v>159</v>
      </c>
      <c r="B33" s="634" t="s">
        <v>60</v>
      </c>
      <c r="C33" s="648"/>
      <c r="D33" s="309">
        <f>C33</f>
        <v>0</v>
      </c>
      <c r="E33" s="615"/>
      <c r="F33" s="662"/>
      <c r="G33" s="700">
        <f t="shared" si="1"/>
        <v>0</v>
      </c>
    </row>
    <row r="34" spans="1:7" ht="14.25" x14ac:dyDescent="0.2">
      <c r="A34" s="275" t="s">
        <v>160</v>
      </c>
      <c r="B34" s="634" t="s">
        <v>156</v>
      </c>
      <c r="C34" s="648">
        <v>166102</v>
      </c>
      <c r="D34" s="309">
        <f t="shared" ref="D34:D38" si="11">C34</f>
        <v>166102</v>
      </c>
      <c r="E34" s="615"/>
      <c r="F34" s="662">
        <f t="shared" si="2"/>
        <v>0</v>
      </c>
      <c r="G34" s="700">
        <f t="shared" si="1"/>
        <v>0</v>
      </c>
    </row>
    <row r="35" spans="1:7" ht="14.25" hidden="1" x14ac:dyDescent="0.2">
      <c r="A35" s="275" t="s">
        <v>161</v>
      </c>
      <c r="B35" s="634" t="s">
        <v>157</v>
      </c>
      <c r="C35" s="648">
        <v>0</v>
      </c>
      <c r="D35" s="309">
        <f t="shared" si="11"/>
        <v>0</v>
      </c>
      <c r="E35" s="615"/>
      <c r="F35" s="662"/>
      <c r="G35" s="700">
        <f t="shared" si="1"/>
        <v>0</v>
      </c>
    </row>
    <row r="36" spans="1:7" ht="14.25" hidden="1" x14ac:dyDescent="0.2">
      <c r="A36" s="275" t="s">
        <v>162</v>
      </c>
      <c r="B36" s="634" t="s">
        <v>61</v>
      </c>
      <c r="C36" s="648"/>
      <c r="D36" s="309">
        <f t="shared" si="11"/>
        <v>0</v>
      </c>
      <c r="E36" s="615"/>
      <c r="F36" s="662"/>
      <c r="G36" s="700">
        <f t="shared" si="1"/>
        <v>0</v>
      </c>
    </row>
    <row r="37" spans="1:7" ht="14.25" x14ac:dyDescent="0.2">
      <c r="A37" s="275" t="s">
        <v>163</v>
      </c>
      <c r="B37" s="634" t="s">
        <v>67</v>
      </c>
      <c r="C37" s="648">
        <v>206692</v>
      </c>
      <c r="D37" s="309">
        <f t="shared" si="11"/>
        <v>206692</v>
      </c>
      <c r="E37" s="615">
        <v>39310</v>
      </c>
      <c r="F37" s="662">
        <f t="shared" si="2"/>
        <v>0.19018636425212393</v>
      </c>
      <c r="G37" s="700">
        <f t="shared" si="1"/>
        <v>0</v>
      </c>
    </row>
    <row r="38" spans="1:7" ht="14.25" x14ac:dyDescent="0.2">
      <c r="A38" s="275" t="s">
        <v>164</v>
      </c>
      <c r="B38" s="634" t="s">
        <v>158</v>
      </c>
      <c r="C38" s="648">
        <v>683463</v>
      </c>
      <c r="D38" s="309">
        <f t="shared" si="11"/>
        <v>683463</v>
      </c>
      <c r="E38" s="615">
        <v>98411</v>
      </c>
      <c r="F38" s="662">
        <f t="shared" si="2"/>
        <v>0.14398877481297451</v>
      </c>
      <c r="G38" s="700">
        <f t="shared" si="1"/>
        <v>0</v>
      </c>
    </row>
    <row r="39" spans="1:7" ht="15" x14ac:dyDescent="0.2">
      <c r="A39" s="315" t="s">
        <v>165</v>
      </c>
      <c r="B39" s="635" t="s">
        <v>638</v>
      </c>
      <c r="C39" s="651">
        <f>SUM(C33:C38)</f>
        <v>1056257</v>
      </c>
      <c r="D39" s="316">
        <f t="shared" ref="D39:E39" si="12">SUM(D33:D38)</f>
        <v>1056257</v>
      </c>
      <c r="E39" s="618">
        <f t="shared" si="12"/>
        <v>137721</v>
      </c>
      <c r="F39" s="676">
        <f t="shared" si="2"/>
        <v>0.13038588146634769</v>
      </c>
      <c r="G39" s="700">
        <f t="shared" si="1"/>
        <v>0</v>
      </c>
    </row>
    <row r="40" spans="1:7" ht="16.5" x14ac:dyDescent="0.25">
      <c r="A40" s="302" t="s">
        <v>151</v>
      </c>
      <c r="B40" s="630" t="s">
        <v>639</v>
      </c>
      <c r="C40" s="645">
        <f>SUM(C39,C32)</f>
        <v>1627122</v>
      </c>
      <c r="D40" s="303">
        <f t="shared" ref="D40:E40" si="13">SUM(D39,D32)</f>
        <v>1627122</v>
      </c>
      <c r="E40" s="616">
        <f t="shared" si="13"/>
        <v>203091</v>
      </c>
      <c r="F40" s="667">
        <f t="shared" si="2"/>
        <v>0.12481608631682198</v>
      </c>
      <c r="G40" s="700">
        <f t="shared" si="1"/>
        <v>0</v>
      </c>
    </row>
    <row r="41" spans="1:7" ht="15" hidden="1" x14ac:dyDescent="0.2">
      <c r="A41" s="317" t="s">
        <v>168</v>
      </c>
      <c r="B41" s="631" t="s">
        <v>169</v>
      </c>
      <c r="C41" s="649"/>
      <c r="D41" s="320">
        <f t="shared" ref="D41:D42" si="14">C41</f>
        <v>0</v>
      </c>
      <c r="E41" s="617"/>
      <c r="F41" s="662"/>
      <c r="G41" s="700">
        <f t="shared" si="1"/>
        <v>0</v>
      </c>
    </row>
    <row r="42" spans="1:7" ht="15" x14ac:dyDescent="0.2">
      <c r="A42" s="317" t="s">
        <v>170</v>
      </c>
      <c r="B42" s="631" t="s">
        <v>368</v>
      </c>
      <c r="C42" s="649">
        <v>102362</v>
      </c>
      <c r="D42" s="320">
        <f t="shared" si="14"/>
        <v>102362</v>
      </c>
      <c r="E42" s="617">
        <v>73000</v>
      </c>
      <c r="F42" s="662">
        <f t="shared" si="2"/>
        <v>0.71315527246439103</v>
      </c>
      <c r="G42" s="700">
        <f t="shared" si="1"/>
        <v>0</v>
      </c>
    </row>
    <row r="43" spans="1:7" ht="16.5" x14ac:dyDescent="0.25">
      <c r="A43" s="302" t="s">
        <v>171</v>
      </c>
      <c r="B43" s="630" t="s">
        <v>640</v>
      </c>
      <c r="C43" s="645">
        <f>SUM(C41:C42)</f>
        <v>102362</v>
      </c>
      <c r="D43" s="303">
        <f t="shared" ref="D43:E43" si="15">SUM(D41:D42)</f>
        <v>102362</v>
      </c>
      <c r="E43" s="616">
        <f t="shared" si="15"/>
        <v>73000</v>
      </c>
      <c r="F43" s="667">
        <f t="shared" si="2"/>
        <v>0.71315527246439103</v>
      </c>
      <c r="G43" s="700">
        <f t="shared" si="1"/>
        <v>0</v>
      </c>
    </row>
    <row r="44" spans="1:7" ht="15" x14ac:dyDescent="0.2">
      <c r="A44" s="333" t="s">
        <v>172</v>
      </c>
      <c r="B44" s="642" t="s">
        <v>369</v>
      </c>
      <c r="C44" s="657">
        <v>1062721</v>
      </c>
      <c r="D44" s="335">
        <f t="shared" ref="D44:D48" si="16">C44</f>
        <v>1062721</v>
      </c>
      <c r="E44" s="624">
        <v>329247</v>
      </c>
      <c r="F44" s="664">
        <f t="shared" si="2"/>
        <v>0.30981508787348699</v>
      </c>
      <c r="G44" s="700">
        <f t="shared" si="1"/>
        <v>0</v>
      </c>
    </row>
    <row r="45" spans="1:7" ht="15" x14ac:dyDescent="0.2">
      <c r="A45" s="333" t="s">
        <v>642</v>
      </c>
      <c r="B45" s="642" t="s">
        <v>182</v>
      </c>
      <c r="C45" s="657">
        <v>6864000</v>
      </c>
      <c r="D45" s="335">
        <f t="shared" si="16"/>
        <v>6864000</v>
      </c>
      <c r="E45" s="624">
        <v>3974400</v>
      </c>
      <c r="F45" s="664">
        <f t="shared" si="2"/>
        <v>0.57902097902097904</v>
      </c>
      <c r="G45" s="700">
        <f t="shared" si="1"/>
        <v>0</v>
      </c>
    </row>
    <row r="46" spans="1:7" ht="15" hidden="1" x14ac:dyDescent="0.2">
      <c r="A46" s="333" t="s">
        <v>173</v>
      </c>
      <c r="B46" s="642" t="s">
        <v>174</v>
      </c>
      <c r="C46" s="657"/>
      <c r="D46" s="335">
        <f t="shared" si="16"/>
        <v>0</v>
      </c>
      <c r="E46" s="624"/>
      <c r="F46" s="664"/>
      <c r="G46" s="700">
        <f t="shared" si="1"/>
        <v>0</v>
      </c>
    </row>
    <row r="47" spans="1:7" ht="15" x14ac:dyDescent="0.2">
      <c r="A47" s="333" t="s">
        <v>175</v>
      </c>
      <c r="B47" s="642" t="s">
        <v>176</v>
      </c>
      <c r="C47" s="657">
        <v>1102360</v>
      </c>
      <c r="D47" s="335">
        <f t="shared" si="16"/>
        <v>1102360</v>
      </c>
      <c r="E47" s="624"/>
      <c r="F47" s="664">
        <f t="shared" si="2"/>
        <v>0</v>
      </c>
      <c r="G47" s="700">
        <f t="shared" si="1"/>
        <v>0</v>
      </c>
    </row>
    <row r="48" spans="1:7" ht="15" hidden="1" x14ac:dyDescent="0.2">
      <c r="A48" s="333" t="s">
        <v>177</v>
      </c>
      <c r="B48" s="642" t="s">
        <v>178</v>
      </c>
      <c r="C48" s="657"/>
      <c r="D48" s="335">
        <f t="shared" si="16"/>
        <v>0</v>
      </c>
      <c r="E48" s="624"/>
      <c r="F48" s="664"/>
      <c r="G48" s="700">
        <f t="shared" si="1"/>
        <v>0</v>
      </c>
    </row>
    <row r="49" spans="1:7" ht="15" x14ac:dyDescent="0.2">
      <c r="A49" s="333" t="s">
        <v>179</v>
      </c>
      <c r="B49" s="642" t="s">
        <v>393</v>
      </c>
      <c r="C49" s="657"/>
      <c r="D49" s="335">
        <f>C49+245500</f>
        <v>245500</v>
      </c>
      <c r="E49" s="624">
        <v>225500</v>
      </c>
      <c r="F49" s="664">
        <f t="shared" si="2"/>
        <v>0.91853360488798375</v>
      </c>
      <c r="G49" s="700">
        <f t="shared" si="1"/>
        <v>245500</v>
      </c>
    </row>
    <row r="50" spans="1:7" ht="15" x14ac:dyDescent="0.2">
      <c r="A50" s="333" t="s">
        <v>180</v>
      </c>
      <c r="B50" s="642" t="s">
        <v>394</v>
      </c>
      <c r="C50" s="657">
        <v>1056101</v>
      </c>
      <c r="D50" s="335">
        <f>C50-245500-8000+77550</f>
        <v>880151</v>
      </c>
      <c r="E50" s="624">
        <v>156009</v>
      </c>
      <c r="F50" s="664">
        <f t="shared" si="2"/>
        <v>0.17725253962104229</v>
      </c>
      <c r="G50" s="700">
        <f t="shared" si="1"/>
        <v>-175950</v>
      </c>
    </row>
    <row r="51" spans="1:7" ht="16.5" x14ac:dyDescent="0.25">
      <c r="A51" s="302" t="s">
        <v>181</v>
      </c>
      <c r="B51" s="630" t="s">
        <v>646</v>
      </c>
      <c r="C51" s="645">
        <f>SUM(C44:C50)</f>
        <v>10085182</v>
      </c>
      <c r="D51" s="303">
        <f t="shared" ref="D51:E51" si="17">SUM(D44:D50)</f>
        <v>10154732</v>
      </c>
      <c r="E51" s="616">
        <f t="shared" si="17"/>
        <v>4685156</v>
      </c>
      <c r="F51" s="667">
        <f t="shared" si="2"/>
        <v>0.46137662717243549</v>
      </c>
      <c r="G51" s="700">
        <f t="shared" si="1"/>
        <v>69550</v>
      </c>
    </row>
    <row r="52" spans="1:7" ht="15" x14ac:dyDescent="0.2">
      <c r="A52" s="333" t="s">
        <v>183</v>
      </c>
      <c r="B52" s="642" t="s">
        <v>186</v>
      </c>
      <c r="C52" s="657">
        <v>50000</v>
      </c>
      <c r="D52" s="335">
        <f t="shared" ref="D52:D54" si="18">C52</f>
        <v>50000</v>
      </c>
      <c r="E52" s="624"/>
      <c r="F52" s="664">
        <f t="shared" si="2"/>
        <v>0</v>
      </c>
      <c r="G52" s="700">
        <f t="shared" si="1"/>
        <v>0</v>
      </c>
    </row>
    <row r="53" spans="1:7" ht="15" hidden="1" x14ac:dyDescent="0.2">
      <c r="A53" s="333" t="s">
        <v>184</v>
      </c>
      <c r="B53" s="642" t="s">
        <v>187</v>
      </c>
      <c r="C53" s="657"/>
      <c r="D53" s="335">
        <f t="shared" si="18"/>
        <v>0</v>
      </c>
      <c r="E53" s="624"/>
      <c r="F53" s="664"/>
      <c r="G53" s="700">
        <f t="shared" si="1"/>
        <v>0</v>
      </c>
    </row>
    <row r="54" spans="1:7" ht="15" hidden="1" x14ac:dyDescent="0.2">
      <c r="A54" s="333" t="s">
        <v>185</v>
      </c>
      <c r="B54" s="642" t="s">
        <v>62</v>
      </c>
      <c r="C54" s="657"/>
      <c r="D54" s="335">
        <f t="shared" si="18"/>
        <v>0</v>
      </c>
      <c r="E54" s="624"/>
      <c r="F54" s="664"/>
      <c r="G54" s="700">
        <f t="shared" si="1"/>
        <v>0</v>
      </c>
    </row>
    <row r="55" spans="1:7" ht="16.5" x14ac:dyDescent="0.25">
      <c r="A55" s="302" t="s">
        <v>188</v>
      </c>
      <c r="B55" s="630" t="s">
        <v>647</v>
      </c>
      <c r="C55" s="645">
        <f>SUM(C52:C54)</f>
        <v>50000</v>
      </c>
      <c r="D55" s="303">
        <f t="shared" ref="D55:E55" si="19">SUM(D52:D54)</f>
        <v>50000</v>
      </c>
      <c r="E55" s="616">
        <f t="shared" si="19"/>
        <v>0</v>
      </c>
      <c r="F55" s="669">
        <f t="shared" si="2"/>
        <v>0</v>
      </c>
      <c r="G55" s="700">
        <f t="shared" si="1"/>
        <v>0</v>
      </c>
    </row>
    <row r="56" spans="1:7" ht="15" x14ac:dyDescent="0.2">
      <c r="A56" s="333" t="s">
        <v>189</v>
      </c>
      <c r="B56" s="642" t="s">
        <v>194</v>
      </c>
      <c r="C56" s="657">
        <v>3093115</v>
      </c>
      <c r="D56" s="335">
        <f t="shared" ref="D56:D59" si="20">C56</f>
        <v>3093115</v>
      </c>
      <c r="E56" s="624">
        <v>1230404</v>
      </c>
      <c r="F56" s="664">
        <f t="shared" si="2"/>
        <v>0.39778799042389307</v>
      </c>
      <c r="G56" s="700">
        <f t="shared" si="1"/>
        <v>0</v>
      </c>
    </row>
    <row r="57" spans="1:7" ht="15" hidden="1" x14ac:dyDescent="0.2">
      <c r="A57" s="333" t="s">
        <v>190</v>
      </c>
      <c r="B57" s="642" t="s">
        <v>195</v>
      </c>
      <c r="C57" s="657"/>
      <c r="D57" s="335">
        <f t="shared" si="20"/>
        <v>0</v>
      </c>
      <c r="E57" s="624"/>
      <c r="F57" s="664"/>
      <c r="G57" s="700">
        <f t="shared" si="1"/>
        <v>0</v>
      </c>
    </row>
    <row r="58" spans="1:7" ht="15" hidden="1" x14ac:dyDescent="0.2">
      <c r="A58" s="333" t="s">
        <v>191</v>
      </c>
      <c r="B58" s="642" t="s">
        <v>196</v>
      </c>
      <c r="C58" s="657"/>
      <c r="D58" s="335">
        <f t="shared" si="20"/>
        <v>0</v>
      </c>
      <c r="E58" s="624"/>
      <c r="F58" s="664"/>
      <c r="G58" s="700">
        <f t="shared" si="1"/>
        <v>0</v>
      </c>
    </row>
    <row r="59" spans="1:7" ht="15" hidden="1" x14ac:dyDescent="0.2">
      <c r="A59" s="333" t="s">
        <v>192</v>
      </c>
      <c r="B59" s="642" t="s">
        <v>197</v>
      </c>
      <c r="C59" s="657"/>
      <c r="D59" s="335">
        <f t="shared" si="20"/>
        <v>0</v>
      </c>
      <c r="E59" s="624"/>
      <c r="F59" s="664"/>
      <c r="G59" s="700">
        <f t="shared" si="1"/>
        <v>0</v>
      </c>
    </row>
    <row r="60" spans="1:7" ht="15" x14ac:dyDescent="0.2">
      <c r="A60" s="333" t="s">
        <v>193</v>
      </c>
      <c r="B60" s="642" t="s">
        <v>198</v>
      </c>
      <c r="C60" s="657"/>
      <c r="D60" s="335">
        <f>C60+8000</f>
        <v>8000</v>
      </c>
      <c r="E60" s="624">
        <v>1022</v>
      </c>
      <c r="F60" s="664">
        <f t="shared" si="2"/>
        <v>0.12775</v>
      </c>
      <c r="G60" s="700">
        <f t="shared" si="1"/>
        <v>8000</v>
      </c>
    </row>
    <row r="61" spans="1:7" ht="16.5" x14ac:dyDescent="0.25">
      <c r="A61" s="302" t="s">
        <v>199</v>
      </c>
      <c r="B61" s="630" t="s">
        <v>648</v>
      </c>
      <c r="C61" s="645">
        <f>SUM(C56:C60)</f>
        <v>3093115</v>
      </c>
      <c r="D61" s="303">
        <f t="shared" ref="D61:E61" si="21">SUM(D56:D60)</f>
        <v>3101115</v>
      </c>
      <c r="E61" s="616">
        <f t="shared" si="21"/>
        <v>1231426</v>
      </c>
      <c r="F61" s="669">
        <f t="shared" si="2"/>
        <v>0.39709136874962714</v>
      </c>
      <c r="G61" s="700">
        <f t="shared" si="1"/>
        <v>8000</v>
      </c>
    </row>
    <row r="62" spans="1:7" ht="18" x14ac:dyDescent="0.25">
      <c r="A62" s="313" t="s">
        <v>200</v>
      </c>
      <c r="B62" s="632" t="s">
        <v>201</v>
      </c>
      <c r="C62" s="646">
        <f>SUM(C61,C55,C51,C43,C40)</f>
        <v>14957781</v>
      </c>
      <c r="D62" s="314">
        <f t="shared" ref="D62:E62" si="22">SUM(D61,D55,D51,D43,D40)</f>
        <v>15035331</v>
      </c>
      <c r="E62" s="418">
        <f t="shared" si="22"/>
        <v>6192673</v>
      </c>
      <c r="F62" s="671">
        <f t="shared" si="2"/>
        <v>0.41187473691134568</v>
      </c>
      <c r="G62" s="700">
        <f t="shared" si="1"/>
        <v>77550</v>
      </c>
    </row>
    <row r="63" spans="1:7" ht="18" x14ac:dyDescent="0.25">
      <c r="A63" s="313" t="s">
        <v>217</v>
      </c>
      <c r="B63" s="632" t="s">
        <v>255</v>
      </c>
      <c r="C63" s="646">
        <v>0</v>
      </c>
      <c r="D63" s="314">
        <v>0</v>
      </c>
      <c r="E63" s="418">
        <v>0</v>
      </c>
      <c r="F63" s="670"/>
      <c r="G63" s="700">
        <f t="shared" si="1"/>
        <v>0</v>
      </c>
    </row>
    <row r="64" spans="1:7" ht="15" hidden="1" x14ac:dyDescent="0.2">
      <c r="A64" s="333" t="s">
        <v>218</v>
      </c>
      <c r="B64" s="642" t="s">
        <v>219</v>
      </c>
      <c r="C64" s="657">
        <v>0</v>
      </c>
      <c r="D64" s="335">
        <f>C64</f>
        <v>0</v>
      </c>
      <c r="E64" s="624"/>
      <c r="F64" s="664"/>
      <c r="G64" s="700">
        <f t="shared" si="1"/>
        <v>0</v>
      </c>
    </row>
    <row r="65" spans="1:7" s="299" customFormat="1" ht="15" hidden="1" x14ac:dyDescent="0.2">
      <c r="A65" s="323" t="s">
        <v>220</v>
      </c>
      <c r="B65" s="637" t="s">
        <v>252</v>
      </c>
      <c r="C65" s="653">
        <v>0</v>
      </c>
      <c r="D65" s="328">
        <f>C65</f>
        <v>0</v>
      </c>
      <c r="E65" s="620"/>
      <c r="F65" s="664"/>
      <c r="G65" s="700">
        <f t="shared" si="1"/>
        <v>0</v>
      </c>
    </row>
    <row r="66" spans="1:7" ht="15" hidden="1" x14ac:dyDescent="0.2">
      <c r="A66" s="333" t="s">
        <v>222</v>
      </c>
      <c r="B66" s="642" t="s">
        <v>253</v>
      </c>
      <c r="C66" s="657"/>
      <c r="D66" s="335">
        <f t="shared" ref="D66:D68" si="23">C66</f>
        <v>0</v>
      </c>
      <c r="E66" s="624"/>
      <c r="F66" s="664"/>
      <c r="G66" s="700">
        <f t="shared" si="1"/>
        <v>0</v>
      </c>
    </row>
    <row r="67" spans="1:7" ht="15" hidden="1" x14ac:dyDescent="0.2">
      <c r="A67" s="333" t="s">
        <v>225</v>
      </c>
      <c r="B67" s="642" t="s">
        <v>254</v>
      </c>
      <c r="C67" s="657"/>
      <c r="D67" s="335">
        <f t="shared" si="23"/>
        <v>0</v>
      </c>
      <c r="E67" s="624"/>
      <c r="F67" s="664"/>
      <c r="G67" s="700">
        <f t="shared" si="1"/>
        <v>0</v>
      </c>
    </row>
    <row r="68" spans="1:7" ht="15" hidden="1" x14ac:dyDescent="0.2">
      <c r="A68" s="333" t="s">
        <v>623</v>
      </c>
      <c r="B68" s="642" t="s">
        <v>226</v>
      </c>
      <c r="C68" s="657"/>
      <c r="D68" s="335">
        <f t="shared" si="23"/>
        <v>0</v>
      </c>
      <c r="E68" s="624"/>
      <c r="F68" s="664"/>
      <c r="G68" s="700">
        <f t="shared" ref="G68:G131" si="24">D68-C68</f>
        <v>0</v>
      </c>
    </row>
    <row r="69" spans="1:7" ht="18" x14ac:dyDescent="0.25">
      <c r="A69" s="313" t="s">
        <v>227</v>
      </c>
      <c r="B69" s="632" t="s">
        <v>228</v>
      </c>
      <c r="C69" s="646">
        <f>SUM(C64:C68)</f>
        <v>0</v>
      </c>
      <c r="D69" s="314">
        <f>SUM(D64:D68)</f>
        <v>0</v>
      </c>
      <c r="E69" s="418">
        <f>SUM(E64:E68)</f>
        <v>0</v>
      </c>
      <c r="F69" s="671"/>
      <c r="G69" s="700">
        <f t="shared" si="24"/>
        <v>0</v>
      </c>
    </row>
    <row r="70" spans="1:7" ht="18" x14ac:dyDescent="0.25">
      <c r="A70" s="313" t="s">
        <v>208</v>
      </c>
      <c r="B70" s="632" t="s">
        <v>256</v>
      </c>
      <c r="C70" s="646">
        <v>289999</v>
      </c>
      <c r="D70" s="314">
        <f>C70</f>
        <v>289999</v>
      </c>
      <c r="E70" s="418">
        <v>32639</v>
      </c>
      <c r="F70" s="670">
        <f t="shared" ref="F70:F131" si="25">E70/D70</f>
        <v>0.11254866396091021</v>
      </c>
      <c r="G70" s="700">
        <f t="shared" si="24"/>
        <v>0</v>
      </c>
    </row>
    <row r="71" spans="1:7" ht="18" x14ac:dyDescent="0.25">
      <c r="A71" s="313" t="s">
        <v>211</v>
      </c>
      <c r="B71" s="632" t="s">
        <v>257</v>
      </c>
      <c r="C71" s="646">
        <v>0</v>
      </c>
      <c r="D71" s="314">
        <v>0</v>
      </c>
      <c r="E71" s="418">
        <v>0</v>
      </c>
      <c r="F71" s="670"/>
      <c r="G71" s="700">
        <f t="shared" si="24"/>
        <v>0</v>
      </c>
    </row>
    <row r="72" spans="1:7" ht="16.5" hidden="1" x14ac:dyDescent="0.25">
      <c r="A72" s="310" t="s">
        <v>212</v>
      </c>
      <c r="B72" s="633" t="s">
        <v>259</v>
      </c>
      <c r="C72" s="650"/>
      <c r="D72" s="312">
        <f t="shared" ref="D72:D74" si="26">C72</f>
        <v>0</v>
      </c>
      <c r="E72" s="417"/>
      <c r="F72" s="662"/>
      <c r="G72" s="700">
        <f t="shared" si="24"/>
        <v>0</v>
      </c>
    </row>
    <row r="73" spans="1:7" ht="16.5" hidden="1" x14ac:dyDescent="0.25">
      <c r="A73" s="310" t="s">
        <v>213</v>
      </c>
      <c r="B73" s="633" t="s">
        <v>260</v>
      </c>
      <c r="C73" s="650"/>
      <c r="D73" s="312">
        <f t="shared" si="26"/>
        <v>0</v>
      </c>
      <c r="E73" s="417"/>
      <c r="F73" s="662"/>
      <c r="G73" s="700">
        <f t="shared" si="24"/>
        <v>0</v>
      </c>
    </row>
    <row r="74" spans="1:7" ht="16.5" hidden="1" x14ac:dyDescent="0.25">
      <c r="A74" s="310" t="s">
        <v>214</v>
      </c>
      <c r="B74" s="633" t="s">
        <v>261</v>
      </c>
      <c r="C74" s="650"/>
      <c r="D74" s="312">
        <f t="shared" si="26"/>
        <v>0</v>
      </c>
      <c r="E74" s="417"/>
      <c r="F74" s="662"/>
      <c r="G74" s="700">
        <f t="shared" si="24"/>
        <v>0</v>
      </c>
    </row>
    <row r="75" spans="1:7" ht="18" x14ac:dyDescent="0.25">
      <c r="A75" s="313" t="s">
        <v>215</v>
      </c>
      <c r="B75" s="632" t="s">
        <v>258</v>
      </c>
      <c r="C75" s="646">
        <f>SUM(C72:C74)</f>
        <v>0</v>
      </c>
      <c r="D75" s="314">
        <v>0</v>
      </c>
      <c r="E75" s="418">
        <v>0</v>
      </c>
      <c r="F75" s="670"/>
      <c r="G75" s="700">
        <f t="shared" si="24"/>
        <v>0</v>
      </c>
    </row>
    <row r="76" spans="1:7" ht="18.75" x14ac:dyDescent="0.25">
      <c r="A76" s="326"/>
      <c r="B76" s="548" t="s">
        <v>652</v>
      </c>
      <c r="C76" s="544">
        <f>SUM(C21,C27,C62,C63,C69,C70,C71,C75)</f>
        <v>70626433</v>
      </c>
      <c r="D76" s="327">
        <f>SUM(D21,D27,D62,D63,D69,D70,D71,D75)</f>
        <v>70722624</v>
      </c>
      <c r="E76" s="541">
        <f>SUM(E21,E27,E62,E63,E69,E70,E71,E75)</f>
        <v>30100464</v>
      </c>
      <c r="F76" s="672">
        <f t="shared" si="25"/>
        <v>0.42561294105829556</v>
      </c>
      <c r="G76" s="700">
        <f t="shared" si="24"/>
        <v>96191</v>
      </c>
    </row>
    <row r="77" spans="1:7" ht="15" hidden="1" x14ac:dyDescent="0.2">
      <c r="A77" s="333" t="s">
        <v>534</v>
      </c>
      <c r="B77" s="642" t="s">
        <v>535</v>
      </c>
      <c r="C77" s="657"/>
      <c r="D77" s="335">
        <f t="shared" ref="D77:D79" si="27">C77</f>
        <v>0</v>
      </c>
      <c r="E77" s="624"/>
      <c r="F77" s="664"/>
      <c r="G77" s="700">
        <f t="shared" si="24"/>
        <v>0</v>
      </c>
    </row>
    <row r="78" spans="1:7" ht="15" hidden="1" x14ac:dyDescent="0.2">
      <c r="A78" s="333" t="s">
        <v>251</v>
      </c>
      <c r="B78" s="642" t="s">
        <v>68</v>
      </c>
      <c r="C78" s="657"/>
      <c r="D78" s="335">
        <f t="shared" si="27"/>
        <v>0</v>
      </c>
      <c r="E78" s="624"/>
      <c r="F78" s="664"/>
      <c r="G78" s="700">
        <f t="shared" si="24"/>
        <v>0</v>
      </c>
    </row>
    <row r="79" spans="1:7" ht="15" hidden="1" x14ac:dyDescent="0.2">
      <c r="A79" s="333" t="s">
        <v>530</v>
      </c>
      <c r="B79" s="642" t="s">
        <v>531</v>
      </c>
      <c r="C79" s="657"/>
      <c r="D79" s="335">
        <f t="shared" si="27"/>
        <v>0</v>
      </c>
      <c r="E79" s="624"/>
      <c r="F79" s="664"/>
      <c r="G79" s="700">
        <f t="shared" si="24"/>
        <v>0</v>
      </c>
    </row>
    <row r="80" spans="1:7" ht="18.75" x14ac:dyDescent="0.25">
      <c r="A80" s="326"/>
      <c r="B80" s="548" t="s">
        <v>653</v>
      </c>
      <c r="C80" s="544">
        <f>SUM(C76:C79)</f>
        <v>70626433</v>
      </c>
      <c r="D80" s="327">
        <f>SUM(D76:D79)</f>
        <v>70722624</v>
      </c>
      <c r="E80" s="541">
        <f>SUM(E76:E79)</f>
        <v>30100464</v>
      </c>
      <c r="F80" s="672">
        <f t="shared" si="25"/>
        <v>0.42561294105829556</v>
      </c>
      <c r="G80" s="700">
        <f t="shared" si="24"/>
        <v>96191</v>
      </c>
    </row>
    <row r="81" spans="1:7" ht="15" hidden="1" x14ac:dyDescent="0.2">
      <c r="A81" s="333" t="s">
        <v>327</v>
      </c>
      <c r="B81" s="642" t="s">
        <v>333</v>
      </c>
      <c r="C81" s="657"/>
      <c r="D81" s="335">
        <f t="shared" ref="D81:D86" si="28">C81</f>
        <v>0</v>
      </c>
      <c r="E81" s="624"/>
      <c r="F81" s="664"/>
      <c r="G81" s="700">
        <f t="shared" si="24"/>
        <v>0</v>
      </c>
    </row>
    <row r="82" spans="1:7" ht="15" hidden="1" x14ac:dyDescent="0.2">
      <c r="A82" s="333" t="s">
        <v>328</v>
      </c>
      <c r="B82" s="642" t="s">
        <v>334</v>
      </c>
      <c r="C82" s="657"/>
      <c r="D82" s="335">
        <f t="shared" si="28"/>
        <v>0</v>
      </c>
      <c r="E82" s="624"/>
      <c r="F82" s="664"/>
      <c r="G82" s="700">
        <f t="shared" si="24"/>
        <v>0</v>
      </c>
    </row>
    <row r="83" spans="1:7" ht="15" hidden="1" x14ac:dyDescent="0.2">
      <c r="A83" s="333" t="s">
        <v>329</v>
      </c>
      <c r="B83" s="642" t="s">
        <v>335</v>
      </c>
      <c r="C83" s="657"/>
      <c r="D83" s="335">
        <f t="shared" si="28"/>
        <v>0</v>
      </c>
      <c r="E83" s="624"/>
      <c r="F83" s="664"/>
      <c r="G83" s="700">
        <f t="shared" si="24"/>
        <v>0</v>
      </c>
    </row>
    <row r="84" spans="1:7" ht="15" hidden="1" x14ac:dyDescent="0.2">
      <c r="A84" s="333" t="s">
        <v>330</v>
      </c>
      <c r="B84" s="642" t="s">
        <v>336</v>
      </c>
      <c r="C84" s="657"/>
      <c r="D84" s="335">
        <f t="shared" si="28"/>
        <v>0</v>
      </c>
      <c r="E84" s="624"/>
      <c r="F84" s="664"/>
      <c r="G84" s="700">
        <f t="shared" si="24"/>
        <v>0</v>
      </c>
    </row>
    <row r="85" spans="1:7" ht="15" hidden="1" x14ac:dyDescent="0.2">
      <c r="A85" s="333" t="s">
        <v>331</v>
      </c>
      <c r="B85" s="642" t="s">
        <v>337</v>
      </c>
      <c r="C85" s="657"/>
      <c r="D85" s="335">
        <f t="shared" si="28"/>
        <v>0</v>
      </c>
      <c r="E85" s="624"/>
      <c r="F85" s="664"/>
      <c r="G85" s="700">
        <f t="shared" si="24"/>
        <v>0</v>
      </c>
    </row>
    <row r="86" spans="1:7" ht="15" hidden="1" x14ac:dyDescent="0.2">
      <c r="A86" s="333" t="s">
        <v>332</v>
      </c>
      <c r="B86" s="642" t="s">
        <v>338</v>
      </c>
      <c r="C86" s="657"/>
      <c r="D86" s="335">
        <f t="shared" si="28"/>
        <v>0</v>
      </c>
      <c r="E86" s="624"/>
      <c r="F86" s="664"/>
      <c r="G86" s="700">
        <f t="shared" si="24"/>
        <v>0</v>
      </c>
    </row>
    <row r="87" spans="1:7" ht="16.5" hidden="1" x14ac:dyDescent="0.25">
      <c r="A87" s="302" t="s">
        <v>271</v>
      </c>
      <c r="B87" s="630" t="s">
        <v>265</v>
      </c>
      <c r="C87" s="645">
        <f>SUM(C81:C86)</f>
        <v>0</v>
      </c>
      <c r="D87" s="303"/>
      <c r="E87" s="616"/>
      <c r="F87" s="667"/>
      <c r="G87" s="700">
        <f t="shared" si="24"/>
        <v>0</v>
      </c>
    </row>
    <row r="88" spans="1:7" ht="15" hidden="1" x14ac:dyDescent="0.2">
      <c r="A88" s="333"/>
      <c r="C88" s="657"/>
      <c r="D88" s="335">
        <f t="shared" ref="D88" si="29">C88</f>
        <v>0</v>
      </c>
      <c r="E88" s="624"/>
      <c r="F88" s="664"/>
      <c r="G88" s="700">
        <f t="shared" si="24"/>
        <v>0</v>
      </c>
    </row>
    <row r="89" spans="1:7" ht="15" hidden="1" x14ac:dyDescent="0.2">
      <c r="A89" s="333"/>
      <c r="B89" s="642" t="s">
        <v>370</v>
      </c>
      <c r="C89" s="657"/>
      <c r="D89" s="335"/>
      <c r="E89" s="624"/>
      <c r="F89" s="664"/>
      <c r="G89" s="700">
        <f t="shared" si="24"/>
        <v>0</v>
      </c>
    </row>
    <row r="90" spans="1:7" ht="15" hidden="1" x14ac:dyDescent="0.2">
      <c r="A90" s="333"/>
      <c r="B90" s="642"/>
      <c r="C90" s="657"/>
      <c r="D90" s="335"/>
      <c r="E90" s="624"/>
      <c r="F90" s="664"/>
      <c r="G90" s="700">
        <f t="shared" si="24"/>
        <v>0</v>
      </c>
    </row>
    <row r="91" spans="1:7" ht="15" hidden="1" x14ac:dyDescent="0.2">
      <c r="A91" s="333"/>
      <c r="B91" s="642"/>
      <c r="C91" s="657"/>
      <c r="D91" s="335"/>
      <c r="E91" s="624"/>
      <c r="F91" s="664"/>
      <c r="G91" s="700">
        <f t="shared" si="24"/>
        <v>0</v>
      </c>
    </row>
    <row r="92" spans="1:7" ht="15" hidden="1" x14ac:dyDescent="0.2">
      <c r="A92" s="333"/>
      <c r="B92" s="642"/>
      <c r="C92" s="657"/>
      <c r="D92" s="335"/>
      <c r="E92" s="624"/>
      <c r="F92" s="664"/>
      <c r="G92" s="700">
        <f t="shared" si="24"/>
        <v>0</v>
      </c>
    </row>
    <row r="93" spans="1:7" ht="16.5" hidden="1" x14ac:dyDescent="0.25">
      <c r="A93" s="302" t="s">
        <v>272</v>
      </c>
      <c r="B93" s="630" t="s">
        <v>266</v>
      </c>
      <c r="C93" s="645">
        <f>SUM(C88:C92)</f>
        <v>0</v>
      </c>
      <c r="D93" s="303">
        <f t="shared" ref="D93:E93" si="30">SUM(D88:D92)</f>
        <v>0</v>
      </c>
      <c r="E93" s="616">
        <f t="shared" si="30"/>
        <v>0</v>
      </c>
      <c r="F93" s="669"/>
      <c r="G93" s="700">
        <f t="shared" si="24"/>
        <v>0</v>
      </c>
    </row>
    <row r="94" spans="1:7" ht="18" x14ac:dyDescent="0.25">
      <c r="A94" s="313" t="s">
        <v>264</v>
      </c>
      <c r="B94" s="632" t="s">
        <v>694</v>
      </c>
      <c r="C94" s="646">
        <f>SUM(C87,C93)</f>
        <v>0</v>
      </c>
      <c r="D94" s="314"/>
      <c r="E94" s="418"/>
      <c r="F94" s="670"/>
      <c r="G94" s="700">
        <f t="shared" si="24"/>
        <v>0</v>
      </c>
    </row>
    <row r="95" spans="1:7" ht="16.5" hidden="1" x14ac:dyDescent="0.25">
      <c r="A95" s="302" t="s">
        <v>276</v>
      </c>
      <c r="B95" s="630" t="s">
        <v>270</v>
      </c>
      <c r="C95" s="645"/>
      <c r="D95" s="303"/>
      <c r="E95" s="616"/>
      <c r="F95" s="667"/>
      <c r="G95" s="700">
        <f t="shared" si="24"/>
        <v>0</v>
      </c>
    </row>
    <row r="96" spans="1:7" ht="15" hidden="1" x14ac:dyDescent="0.2">
      <c r="A96" s="333"/>
      <c r="B96" s="642"/>
      <c r="C96" s="657"/>
      <c r="D96" s="335">
        <f t="shared" ref="D96" si="31">C96</f>
        <v>0</v>
      </c>
      <c r="E96" s="624"/>
      <c r="F96" s="664"/>
      <c r="G96" s="700">
        <f t="shared" si="24"/>
        <v>0</v>
      </c>
    </row>
    <row r="97" spans="1:7" ht="16.5" hidden="1" x14ac:dyDescent="0.25">
      <c r="A97" s="302" t="s">
        <v>274</v>
      </c>
      <c r="B97" s="630" t="s">
        <v>273</v>
      </c>
      <c r="C97" s="645">
        <f>SUM(C96:C96)</f>
        <v>0</v>
      </c>
      <c r="D97" s="303"/>
      <c r="E97" s="616"/>
      <c r="F97" s="667"/>
      <c r="G97" s="700">
        <f t="shared" si="24"/>
        <v>0</v>
      </c>
    </row>
    <row r="98" spans="1:7" ht="18" x14ac:dyDescent="0.25">
      <c r="A98" s="313" t="s">
        <v>275</v>
      </c>
      <c r="B98" s="632" t="s">
        <v>695</v>
      </c>
      <c r="C98" s="646">
        <f>SUM(C95,C97)</f>
        <v>0</v>
      </c>
      <c r="D98" s="314"/>
      <c r="E98" s="418"/>
      <c r="F98" s="670"/>
      <c r="G98" s="700">
        <f t="shared" si="24"/>
        <v>0</v>
      </c>
    </row>
    <row r="99" spans="1:7" s="300" customFormat="1" ht="16.5" hidden="1" x14ac:dyDescent="0.25">
      <c r="A99" s="302" t="s">
        <v>278</v>
      </c>
      <c r="B99" s="630" t="s">
        <v>666</v>
      </c>
      <c r="C99" s="645">
        <v>0</v>
      </c>
      <c r="D99" s="303">
        <f>C99</f>
        <v>0</v>
      </c>
      <c r="E99" s="616"/>
      <c r="F99" s="669"/>
      <c r="G99" s="700">
        <f t="shared" si="24"/>
        <v>0</v>
      </c>
    </row>
    <row r="100" spans="1:7" s="300" customFormat="1" ht="15" hidden="1" x14ac:dyDescent="0.2">
      <c r="A100" s="338" t="s">
        <v>667</v>
      </c>
      <c r="B100" s="644" t="s">
        <v>481</v>
      </c>
      <c r="C100" s="655">
        <v>0</v>
      </c>
      <c r="D100" s="332">
        <f>C100</f>
        <v>0</v>
      </c>
      <c r="E100" s="622"/>
      <c r="F100" s="664"/>
      <c r="G100" s="700">
        <f t="shared" si="24"/>
        <v>0</v>
      </c>
    </row>
    <row r="101" spans="1:7" s="300" customFormat="1" ht="15" hidden="1" x14ac:dyDescent="0.2">
      <c r="A101" s="338" t="s">
        <v>668</v>
      </c>
      <c r="B101" s="644" t="s">
        <v>669</v>
      </c>
      <c r="C101" s="655">
        <v>0</v>
      </c>
      <c r="D101" s="332">
        <f t="shared" ref="D101:D108" si="32">C101</f>
        <v>0</v>
      </c>
      <c r="E101" s="622"/>
      <c r="F101" s="664"/>
      <c r="G101" s="700">
        <f t="shared" si="24"/>
        <v>0</v>
      </c>
    </row>
    <row r="102" spans="1:7" s="300" customFormat="1" ht="16.5" hidden="1" x14ac:dyDescent="0.25">
      <c r="A102" s="302" t="s">
        <v>279</v>
      </c>
      <c r="B102" s="630" t="s">
        <v>679</v>
      </c>
      <c r="C102" s="645">
        <f>SUM(C100:C101)</f>
        <v>0</v>
      </c>
      <c r="D102" s="303">
        <f t="shared" ref="D102:E102" si="33">SUM(D100:D101)</f>
        <v>0</v>
      </c>
      <c r="E102" s="616">
        <f t="shared" si="33"/>
        <v>0</v>
      </c>
      <c r="F102" s="669"/>
      <c r="G102" s="700">
        <f t="shared" si="24"/>
        <v>0</v>
      </c>
    </row>
    <row r="103" spans="1:7" s="300" customFormat="1" ht="15" hidden="1" x14ac:dyDescent="0.2">
      <c r="A103" s="338" t="s">
        <v>280</v>
      </c>
      <c r="B103" s="644" t="s">
        <v>485</v>
      </c>
      <c r="C103" s="655">
        <v>0</v>
      </c>
      <c r="D103" s="332">
        <f t="shared" si="32"/>
        <v>0</v>
      </c>
      <c r="E103" s="622"/>
      <c r="F103" s="664"/>
      <c r="G103" s="700">
        <f t="shared" si="24"/>
        <v>0</v>
      </c>
    </row>
    <row r="104" spans="1:7" s="300" customFormat="1" ht="15" hidden="1" x14ac:dyDescent="0.2">
      <c r="A104" s="338" t="s">
        <v>281</v>
      </c>
      <c r="B104" s="644" t="s">
        <v>283</v>
      </c>
      <c r="C104" s="655">
        <v>0</v>
      </c>
      <c r="D104" s="332">
        <f>C104</f>
        <v>0</v>
      </c>
      <c r="E104" s="622"/>
      <c r="F104" s="664"/>
      <c r="G104" s="700">
        <f t="shared" si="24"/>
        <v>0</v>
      </c>
    </row>
    <row r="105" spans="1:7" s="300" customFormat="1" ht="15" hidden="1" x14ac:dyDescent="0.2">
      <c r="A105" s="338" t="s">
        <v>282</v>
      </c>
      <c r="B105" s="644" t="s">
        <v>480</v>
      </c>
      <c r="C105" s="655">
        <v>0</v>
      </c>
      <c r="D105" s="332">
        <f t="shared" si="32"/>
        <v>0</v>
      </c>
      <c r="E105" s="622"/>
      <c r="F105" s="664"/>
      <c r="G105" s="700">
        <f t="shared" si="24"/>
        <v>0</v>
      </c>
    </row>
    <row r="106" spans="1:7" s="300" customFormat="1" ht="16.5" hidden="1" x14ac:dyDescent="0.25">
      <c r="A106" s="302" t="s">
        <v>672</v>
      </c>
      <c r="B106" s="630" t="s">
        <v>673</v>
      </c>
      <c r="C106" s="645">
        <f>SUM(C103:C105)</f>
        <v>0</v>
      </c>
      <c r="D106" s="303">
        <f t="shared" ref="D106:E106" si="34">SUM(D103:D105)</f>
        <v>0</v>
      </c>
      <c r="E106" s="616">
        <f t="shared" si="34"/>
        <v>0</v>
      </c>
      <c r="F106" s="669"/>
      <c r="G106" s="700">
        <f t="shared" si="24"/>
        <v>0</v>
      </c>
    </row>
    <row r="107" spans="1:7" s="300" customFormat="1" ht="15" hidden="1" x14ac:dyDescent="0.2">
      <c r="A107" s="338" t="s">
        <v>677</v>
      </c>
      <c r="B107" s="644" t="s">
        <v>670</v>
      </c>
      <c r="C107" s="655">
        <v>0</v>
      </c>
      <c r="D107" s="332">
        <f t="shared" si="32"/>
        <v>0</v>
      </c>
      <c r="E107" s="622"/>
      <c r="F107" s="664"/>
      <c r="G107" s="700">
        <f t="shared" si="24"/>
        <v>0</v>
      </c>
    </row>
    <row r="108" spans="1:7" s="300" customFormat="1" ht="15" hidden="1" x14ac:dyDescent="0.2">
      <c r="A108" s="338" t="s">
        <v>678</v>
      </c>
      <c r="B108" s="644" t="s">
        <v>550</v>
      </c>
      <c r="C108" s="655">
        <v>0</v>
      </c>
      <c r="D108" s="332">
        <f t="shared" si="32"/>
        <v>0</v>
      </c>
      <c r="E108" s="622"/>
      <c r="F108" s="664"/>
      <c r="G108" s="700">
        <f t="shared" si="24"/>
        <v>0</v>
      </c>
    </row>
    <row r="109" spans="1:7" s="300" customFormat="1" ht="15" hidden="1" x14ac:dyDescent="0.2">
      <c r="A109" s="338" t="s">
        <v>676</v>
      </c>
      <c r="B109" s="644" t="s">
        <v>675</v>
      </c>
      <c r="C109" s="655">
        <v>0</v>
      </c>
      <c r="D109" s="332">
        <f>C109</f>
        <v>0</v>
      </c>
      <c r="E109" s="622"/>
      <c r="F109" s="664"/>
      <c r="G109" s="700">
        <f t="shared" si="24"/>
        <v>0</v>
      </c>
    </row>
    <row r="110" spans="1:7" s="300" customFormat="1" ht="16.5" hidden="1" x14ac:dyDescent="0.25">
      <c r="A110" s="302" t="s">
        <v>671</v>
      </c>
      <c r="B110" s="630" t="s">
        <v>674</v>
      </c>
      <c r="C110" s="645">
        <f>SUM(C107:C109)</f>
        <v>0</v>
      </c>
      <c r="D110" s="303">
        <f t="shared" ref="D110:E110" si="35">SUM(D107:D109)</f>
        <v>0</v>
      </c>
      <c r="E110" s="616">
        <f t="shared" si="35"/>
        <v>0</v>
      </c>
      <c r="F110" s="669"/>
      <c r="G110" s="700">
        <f t="shared" si="24"/>
        <v>0</v>
      </c>
    </row>
    <row r="111" spans="1:7" ht="18" x14ac:dyDescent="0.25">
      <c r="A111" s="313" t="s">
        <v>284</v>
      </c>
      <c r="B111" s="632" t="s">
        <v>285</v>
      </c>
      <c r="C111" s="646">
        <f>SUM(C110,C106,C102,C99)</f>
        <v>0</v>
      </c>
      <c r="D111" s="314">
        <f t="shared" ref="D111:E111" si="36">SUM(D110,D106,D102,D99)</f>
        <v>0</v>
      </c>
      <c r="E111" s="418">
        <f t="shared" si="36"/>
        <v>0</v>
      </c>
      <c r="F111" s="671"/>
      <c r="G111" s="700">
        <f t="shared" si="24"/>
        <v>0</v>
      </c>
    </row>
    <row r="112" spans="1:7" ht="15" hidden="1" x14ac:dyDescent="0.2">
      <c r="A112" s="333" t="s">
        <v>288</v>
      </c>
      <c r="B112" s="642" t="s">
        <v>714</v>
      </c>
      <c r="C112" s="657"/>
      <c r="D112" s="335">
        <f t="shared" ref="D112:D120" si="37">C112</f>
        <v>0</v>
      </c>
      <c r="E112" s="624"/>
      <c r="F112" s="664"/>
      <c r="G112" s="700">
        <f t="shared" si="24"/>
        <v>0</v>
      </c>
    </row>
    <row r="113" spans="1:7" ht="15" hidden="1" x14ac:dyDescent="0.2">
      <c r="A113" s="333" t="s">
        <v>289</v>
      </c>
      <c r="B113" s="642" t="s">
        <v>484</v>
      </c>
      <c r="C113" s="657"/>
      <c r="D113" s="335">
        <f t="shared" si="37"/>
        <v>0</v>
      </c>
      <c r="E113" s="624"/>
      <c r="F113" s="664"/>
      <c r="G113" s="700">
        <f t="shared" si="24"/>
        <v>0</v>
      </c>
    </row>
    <row r="114" spans="1:7" ht="15" hidden="1" x14ac:dyDescent="0.2">
      <c r="A114" s="333" t="s">
        <v>290</v>
      </c>
      <c r="B114" s="642" t="s">
        <v>715</v>
      </c>
      <c r="C114" s="657"/>
      <c r="D114" s="335">
        <f t="shared" si="37"/>
        <v>0</v>
      </c>
      <c r="E114" s="624"/>
      <c r="F114" s="664"/>
      <c r="G114" s="700">
        <f t="shared" si="24"/>
        <v>0</v>
      </c>
    </row>
    <row r="115" spans="1:7" ht="15" hidden="1" x14ac:dyDescent="0.2">
      <c r="A115" s="333" t="s">
        <v>291</v>
      </c>
      <c r="B115" s="642" t="s">
        <v>716</v>
      </c>
      <c r="C115" s="657"/>
      <c r="D115" s="335">
        <f t="shared" si="37"/>
        <v>0</v>
      </c>
      <c r="E115" s="624"/>
      <c r="F115" s="664"/>
      <c r="G115" s="700">
        <f t="shared" si="24"/>
        <v>0</v>
      </c>
    </row>
    <row r="116" spans="1:7" ht="15" x14ac:dyDescent="0.2">
      <c r="A116" s="333" t="s">
        <v>292</v>
      </c>
      <c r="B116" s="642" t="s">
        <v>296</v>
      </c>
      <c r="C116" s="657">
        <v>1443200</v>
      </c>
      <c r="D116" s="335">
        <f t="shared" si="37"/>
        <v>1443200</v>
      </c>
      <c r="E116" s="624">
        <v>901180</v>
      </c>
      <c r="F116" s="664">
        <f t="shared" si="25"/>
        <v>0.62443181818181814</v>
      </c>
      <c r="G116" s="700">
        <f t="shared" si="24"/>
        <v>0</v>
      </c>
    </row>
    <row r="117" spans="1:7" ht="15" hidden="1" x14ac:dyDescent="0.2">
      <c r="A117" s="333" t="s">
        <v>293</v>
      </c>
      <c r="B117" s="642" t="s">
        <v>339</v>
      </c>
      <c r="C117" s="657">
        <v>0</v>
      </c>
      <c r="D117" s="335">
        <f t="shared" si="37"/>
        <v>0</v>
      </c>
      <c r="E117" s="624"/>
      <c r="F117" s="664"/>
      <c r="G117" s="700">
        <f t="shared" si="24"/>
        <v>0</v>
      </c>
    </row>
    <row r="118" spans="1:7" ht="15" hidden="1" x14ac:dyDescent="0.2">
      <c r="A118" s="333" t="s">
        <v>297</v>
      </c>
      <c r="B118" s="642" t="s">
        <v>717</v>
      </c>
      <c r="C118" s="657"/>
      <c r="D118" s="335">
        <f t="shared" si="37"/>
        <v>0</v>
      </c>
      <c r="E118" s="624"/>
      <c r="F118" s="664"/>
      <c r="G118" s="700">
        <f t="shared" si="24"/>
        <v>0</v>
      </c>
    </row>
    <row r="119" spans="1:7" ht="15" hidden="1" x14ac:dyDescent="0.2">
      <c r="A119" s="333" t="s">
        <v>299</v>
      </c>
      <c r="B119" s="642" t="s">
        <v>718</v>
      </c>
      <c r="C119" s="657"/>
      <c r="D119" s="335">
        <f t="shared" si="37"/>
        <v>0</v>
      </c>
      <c r="E119" s="624"/>
      <c r="F119" s="664"/>
      <c r="G119" s="700">
        <f t="shared" si="24"/>
        <v>0</v>
      </c>
    </row>
    <row r="120" spans="1:7" ht="15" x14ac:dyDescent="0.2">
      <c r="A120" s="333" t="s">
        <v>681</v>
      </c>
      <c r="B120" s="642" t="s">
        <v>301</v>
      </c>
      <c r="C120" s="657">
        <v>0</v>
      </c>
      <c r="D120" s="335">
        <f t="shared" si="37"/>
        <v>0</v>
      </c>
      <c r="E120" s="624">
        <v>2868</v>
      </c>
      <c r="F120" s="664"/>
      <c r="G120" s="700">
        <f t="shared" si="24"/>
        <v>0</v>
      </c>
    </row>
    <row r="121" spans="1:7" ht="18" x14ac:dyDescent="0.25">
      <c r="A121" s="313" t="s">
        <v>286</v>
      </c>
      <c r="B121" s="632" t="s">
        <v>287</v>
      </c>
      <c r="C121" s="646">
        <f>SUM(C112:C120)</f>
        <v>1443200</v>
      </c>
      <c r="D121" s="314">
        <f>SUM(D112:D120)</f>
        <v>1443200</v>
      </c>
      <c r="E121" s="418">
        <f>SUM(E112:E120)</f>
        <v>904048</v>
      </c>
      <c r="F121" s="671">
        <f t="shared" si="25"/>
        <v>0.62641906873614195</v>
      </c>
      <c r="G121" s="700">
        <f t="shared" si="24"/>
        <v>0</v>
      </c>
    </row>
    <row r="122" spans="1:7" ht="16.5" hidden="1" x14ac:dyDescent="0.25">
      <c r="A122" s="310" t="s">
        <v>302</v>
      </c>
      <c r="B122" s="633" t="s">
        <v>304</v>
      </c>
      <c r="C122" s="650"/>
      <c r="D122" s="312">
        <f t="shared" ref="D122:D123" si="38">C122</f>
        <v>0</v>
      </c>
      <c r="E122" s="417"/>
      <c r="F122" s="662"/>
      <c r="G122" s="700">
        <f t="shared" si="24"/>
        <v>0</v>
      </c>
    </row>
    <row r="123" spans="1:7" ht="16.5" hidden="1" x14ac:dyDescent="0.25">
      <c r="A123" s="310" t="s">
        <v>303</v>
      </c>
      <c r="B123" s="633" t="s">
        <v>305</v>
      </c>
      <c r="C123" s="650"/>
      <c r="D123" s="312">
        <f t="shared" si="38"/>
        <v>0</v>
      </c>
      <c r="E123" s="417"/>
      <c r="F123" s="662"/>
      <c r="G123" s="700">
        <f t="shared" si="24"/>
        <v>0</v>
      </c>
    </row>
    <row r="124" spans="1:7" ht="18" x14ac:dyDescent="0.25">
      <c r="A124" s="313" t="s">
        <v>306</v>
      </c>
      <c r="B124" s="632" t="s">
        <v>307</v>
      </c>
      <c r="C124" s="646">
        <f>SUM(C122:C123)</f>
        <v>0</v>
      </c>
      <c r="D124" s="314"/>
      <c r="E124" s="418"/>
      <c r="F124" s="670"/>
      <c r="G124" s="700">
        <f t="shared" si="24"/>
        <v>0</v>
      </c>
    </row>
    <row r="125" spans="1:7" ht="16.5" hidden="1" x14ac:dyDescent="0.25">
      <c r="A125" s="310" t="s">
        <v>308</v>
      </c>
      <c r="B125" s="633" t="s">
        <v>309</v>
      </c>
      <c r="C125" s="650"/>
      <c r="D125" s="312">
        <f t="shared" ref="D125:D126" si="39">C125</f>
        <v>0</v>
      </c>
      <c r="E125" s="417"/>
      <c r="F125" s="662"/>
      <c r="G125" s="700">
        <f t="shared" si="24"/>
        <v>0</v>
      </c>
    </row>
    <row r="126" spans="1:7" ht="16.5" hidden="1" x14ac:dyDescent="0.25">
      <c r="A126" s="310" t="s">
        <v>683</v>
      </c>
      <c r="B126" s="633" t="s">
        <v>310</v>
      </c>
      <c r="C126" s="650"/>
      <c r="D126" s="312">
        <f t="shared" si="39"/>
        <v>0</v>
      </c>
      <c r="E126" s="417"/>
      <c r="F126" s="662"/>
      <c r="G126" s="700">
        <f t="shared" si="24"/>
        <v>0</v>
      </c>
    </row>
    <row r="127" spans="1:7" ht="18" x14ac:dyDescent="0.25">
      <c r="A127" s="313" t="s">
        <v>311</v>
      </c>
      <c r="B127" s="632" t="s">
        <v>682</v>
      </c>
      <c r="C127" s="646">
        <f>SUM(C125:C126)</f>
        <v>0</v>
      </c>
      <c r="D127" s="314"/>
      <c r="E127" s="418"/>
      <c r="F127" s="670"/>
      <c r="G127" s="700">
        <f t="shared" si="24"/>
        <v>0</v>
      </c>
    </row>
    <row r="128" spans="1:7" ht="16.5" hidden="1" x14ac:dyDescent="0.25">
      <c r="A128" s="310" t="s">
        <v>315</v>
      </c>
      <c r="B128" s="633" t="s">
        <v>316</v>
      </c>
      <c r="C128" s="650"/>
      <c r="D128" s="312">
        <f t="shared" ref="D128:D129" si="40">C128</f>
        <v>0</v>
      </c>
      <c r="E128" s="417"/>
      <c r="F128" s="662"/>
      <c r="G128" s="700">
        <f t="shared" si="24"/>
        <v>0</v>
      </c>
    </row>
    <row r="129" spans="1:7" ht="16.5" hidden="1" x14ac:dyDescent="0.25">
      <c r="A129" s="310" t="s">
        <v>686</v>
      </c>
      <c r="B129" s="633" t="s">
        <v>317</v>
      </c>
      <c r="C129" s="650"/>
      <c r="D129" s="312">
        <f t="shared" si="40"/>
        <v>0</v>
      </c>
      <c r="E129" s="417"/>
      <c r="F129" s="662"/>
      <c r="G129" s="700">
        <f t="shared" si="24"/>
        <v>0</v>
      </c>
    </row>
    <row r="130" spans="1:7" ht="18" x14ac:dyDescent="0.25">
      <c r="A130" s="313" t="s">
        <v>312</v>
      </c>
      <c r="B130" s="632" t="s">
        <v>693</v>
      </c>
      <c r="C130" s="646">
        <f>SUM(C128:C129)</f>
        <v>0</v>
      </c>
      <c r="D130" s="314"/>
      <c r="E130" s="418"/>
      <c r="F130" s="670"/>
      <c r="G130" s="700">
        <f t="shared" si="24"/>
        <v>0</v>
      </c>
    </row>
    <row r="131" spans="1:7" ht="18.75" x14ac:dyDescent="0.25">
      <c r="A131" s="326"/>
      <c r="B131" s="548" t="s">
        <v>687</v>
      </c>
      <c r="C131" s="544">
        <f>SUM(C94,C98,C111,C121,C124,C127,C130)</f>
        <v>1443200</v>
      </c>
      <c r="D131" s="327">
        <f>SUM(D94,D98,D111,D121,D124,D127,D130)</f>
        <v>1443200</v>
      </c>
      <c r="E131" s="541">
        <f>SUM(E94,E98,E111,E121,E124,E127,E130)</f>
        <v>904048</v>
      </c>
      <c r="F131" s="672">
        <f t="shared" si="25"/>
        <v>0.62641906873614195</v>
      </c>
      <c r="G131" s="700">
        <f t="shared" si="24"/>
        <v>0</v>
      </c>
    </row>
    <row r="132" spans="1:7" ht="15" hidden="1" x14ac:dyDescent="0.2">
      <c r="A132" s="333" t="s">
        <v>319</v>
      </c>
      <c r="B132" s="642" t="s">
        <v>318</v>
      </c>
      <c r="C132" s="657"/>
      <c r="D132" s="335">
        <f t="shared" ref="D132:D135" si="41">C132</f>
        <v>0</v>
      </c>
      <c r="E132" s="624"/>
      <c r="F132" s="664"/>
      <c r="G132" s="700">
        <f t="shared" ref="G132:G137" si="42">D132-C132</f>
        <v>0</v>
      </c>
    </row>
    <row r="133" spans="1:7" ht="15" x14ac:dyDescent="0.2">
      <c r="A133" s="333" t="s">
        <v>320</v>
      </c>
      <c r="B133" s="642" t="s">
        <v>321</v>
      </c>
      <c r="C133" s="657"/>
      <c r="D133" s="335">
        <f>C133+77550</f>
        <v>77550</v>
      </c>
      <c r="E133" s="624">
        <v>77550</v>
      </c>
      <c r="F133" s="664">
        <f t="shared" ref="F133:F137" si="43">E133/D133</f>
        <v>1</v>
      </c>
      <c r="G133" s="700">
        <f t="shared" si="42"/>
        <v>77550</v>
      </c>
    </row>
    <row r="134" spans="1:7" ht="15" x14ac:dyDescent="0.2">
      <c r="A134" s="333" t="s">
        <v>322</v>
      </c>
      <c r="B134" s="642" t="s">
        <v>68</v>
      </c>
      <c r="C134" s="657">
        <v>69183233</v>
      </c>
      <c r="D134" s="335">
        <f>C134+18641</f>
        <v>69201874</v>
      </c>
      <c r="E134" s="624">
        <v>30592654</v>
      </c>
      <c r="F134" s="664">
        <f t="shared" si="43"/>
        <v>0.442078403830509</v>
      </c>
      <c r="G134" s="700">
        <f t="shared" si="42"/>
        <v>18641</v>
      </c>
    </row>
    <row r="135" spans="1:7" ht="15" hidden="1" x14ac:dyDescent="0.2">
      <c r="A135" s="333" t="s">
        <v>323</v>
      </c>
      <c r="B135" s="642" t="s">
        <v>324</v>
      </c>
      <c r="C135" s="657"/>
      <c r="D135" s="335">
        <f t="shared" si="41"/>
        <v>0</v>
      </c>
      <c r="E135" s="624"/>
      <c r="F135" s="664"/>
      <c r="G135" s="700">
        <f t="shared" si="42"/>
        <v>0</v>
      </c>
    </row>
    <row r="136" spans="1:7" ht="18" x14ac:dyDescent="0.25">
      <c r="A136" s="313" t="s">
        <v>362</v>
      </c>
      <c r="B136" s="632" t="s">
        <v>688</v>
      </c>
      <c r="C136" s="646">
        <f>SUM(C132:C135)</f>
        <v>69183233</v>
      </c>
      <c r="D136" s="314">
        <f t="shared" ref="D136:E136" si="44">SUM(D132:D135)</f>
        <v>69279424</v>
      </c>
      <c r="E136" s="418">
        <f t="shared" si="44"/>
        <v>30670204</v>
      </c>
      <c r="F136" s="671">
        <f t="shared" si="43"/>
        <v>0.44270293009364514</v>
      </c>
      <c r="G136" s="700">
        <f t="shared" si="42"/>
        <v>96191</v>
      </c>
    </row>
    <row r="137" spans="1:7" ht="18.75" x14ac:dyDescent="0.25">
      <c r="A137" s="326"/>
      <c r="B137" s="548" t="s">
        <v>690</v>
      </c>
      <c r="C137" s="544">
        <f>SUM(C136,C131)</f>
        <v>70626433</v>
      </c>
      <c r="D137" s="327">
        <f t="shared" ref="D137:E137" si="45">SUM(D136,D131)</f>
        <v>70722624</v>
      </c>
      <c r="E137" s="541">
        <f t="shared" si="45"/>
        <v>31574252</v>
      </c>
      <c r="F137" s="672">
        <f t="shared" si="43"/>
        <v>0.44645193029036934</v>
      </c>
      <c r="G137" s="700">
        <f t="shared" si="42"/>
        <v>96191</v>
      </c>
    </row>
    <row r="138" spans="1:7" ht="14.25" x14ac:dyDescent="0.2">
      <c r="F138" s="675"/>
    </row>
    <row r="139" spans="1:7" ht="14.25" x14ac:dyDescent="0.2">
      <c r="F139" s="675"/>
    </row>
    <row r="140" spans="1:7" ht="18" x14ac:dyDescent="0.25">
      <c r="A140" s="677"/>
      <c r="B140" s="678" t="s">
        <v>115</v>
      </c>
      <c r="C140" s="826">
        <v>11</v>
      </c>
      <c r="D140" s="826"/>
      <c r="E140" s="826"/>
      <c r="F140"/>
    </row>
  </sheetData>
  <mergeCells count="4">
    <mergeCell ref="F1:F2"/>
    <mergeCell ref="B1:B2"/>
    <mergeCell ref="A1:A2"/>
    <mergeCell ref="C140:E140"/>
  </mergeCells>
  <phoneticPr fontId="2" type="noConversion"/>
  <printOptions horizontalCentered="1"/>
  <pageMargins left="0.59055118110236227" right="0.59055118110236227" top="1.18" bottom="0.8" header="0.5" footer="0.52"/>
  <pageSetup paperSize="9" scale="64" orientation="portrait" r:id="rId1"/>
  <headerFooter>
    <oddHeader>&amp;L&amp;"Arial,Normál"Levél Község    Önkormányzata&amp;C&amp;"Arial,Félkövér"&amp;12Óvoda
2019. év&amp;R&amp;"Arial,Normál"&amp;8 10. 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5"/>
  <dimension ref="A1:O4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44" customWidth="1"/>
    <col min="2" max="2" width="12.28515625" customWidth="1"/>
    <col min="3" max="3" width="13.42578125" customWidth="1"/>
    <col min="4" max="4" width="11.7109375" customWidth="1"/>
    <col min="5" max="5" width="12.5703125" customWidth="1"/>
    <col min="6" max="6" width="13.28515625" customWidth="1"/>
    <col min="7" max="7" width="15" customWidth="1"/>
    <col min="8" max="8" width="13.5703125" customWidth="1"/>
    <col min="9" max="9" width="13.7109375" customWidth="1"/>
    <col min="10" max="10" width="14.5703125" customWidth="1"/>
    <col min="11" max="11" width="15.140625" customWidth="1"/>
    <col min="12" max="12" width="13.5703125" customWidth="1"/>
    <col min="13" max="13" width="13.140625" customWidth="1"/>
    <col min="14" max="14" width="13.5703125" customWidth="1"/>
    <col min="15" max="15" width="11" customWidth="1"/>
  </cols>
  <sheetData>
    <row r="1" spans="1:15" ht="15" thickBot="1" x14ac:dyDescent="0.25">
      <c r="A1" s="41" t="s">
        <v>80</v>
      </c>
      <c r="B1" s="41" t="s">
        <v>86</v>
      </c>
      <c r="C1" s="41" t="s">
        <v>87</v>
      </c>
      <c r="D1" s="41" t="s">
        <v>88</v>
      </c>
      <c r="E1" s="41" t="s">
        <v>89</v>
      </c>
      <c r="F1" s="41" t="s">
        <v>90</v>
      </c>
      <c r="G1" s="41" t="s">
        <v>91</v>
      </c>
      <c r="H1" s="41" t="s">
        <v>92</v>
      </c>
      <c r="I1" s="41" t="s">
        <v>93</v>
      </c>
      <c r="J1" s="41" t="s">
        <v>94</v>
      </c>
      <c r="K1" s="41" t="s">
        <v>95</v>
      </c>
      <c r="L1" s="41" t="s">
        <v>96</v>
      </c>
      <c r="M1" s="41" t="s">
        <v>97</v>
      </c>
      <c r="N1" s="42" t="s">
        <v>85</v>
      </c>
    </row>
    <row r="2" spans="1:15" ht="15" thickBot="1" x14ac:dyDescent="0.25">
      <c r="A2" s="839" t="s">
        <v>83</v>
      </c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1"/>
    </row>
    <row r="3" spans="1:15" s="149" customFormat="1" ht="14.25" x14ac:dyDescent="0.2">
      <c r="A3" s="189" t="s">
        <v>512</v>
      </c>
      <c r="B3" s="190">
        <v>6167156</v>
      </c>
      <c r="C3" s="190">
        <f>N3/12</f>
        <v>6468810.75</v>
      </c>
      <c r="D3" s="190">
        <f>N3/12</f>
        <v>6468810.75</v>
      </c>
      <c r="E3" s="190">
        <v>6167156</v>
      </c>
      <c r="F3" s="190">
        <v>6167156</v>
      </c>
      <c r="G3" s="190">
        <v>6167156</v>
      </c>
      <c r="H3" s="190">
        <v>6167156</v>
      </c>
      <c r="I3" s="190">
        <v>6167156</v>
      </c>
      <c r="J3" s="190">
        <v>6167156</v>
      </c>
      <c r="K3" s="190">
        <v>6167156</v>
      </c>
      <c r="L3" s="190">
        <v>6167156</v>
      </c>
      <c r="M3" s="190">
        <v>6167156</v>
      </c>
      <c r="N3" s="227">
        <f>gördülő!B6</f>
        <v>77625729</v>
      </c>
    </row>
    <row r="4" spans="1:15" ht="14.25" x14ac:dyDescent="0.2">
      <c r="A4" s="43" t="s">
        <v>513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28"/>
    </row>
    <row r="5" spans="1:15" ht="14.25" x14ac:dyDescent="0.2">
      <c r="A5" s="46" t="s">
        <v>514</v>
      </c>
      <c r="B5" s="44">
        <v>166666</v>
      </c>
      <c r="C5" s="44">
        <v>166666</v>
      </c>
      <c r="D5" s="44">
        <v>166666</v>
      </c>
      <c r="E5" s="44">
        <v>166666</v>
      </c>
      <c r="F5" s="44">
        <v>166666</v>
      </c>
      <c r="G5" s="44">
        <v>166666</v>
      </c>
      <c r="H5" s="44">
        <v>166666</v>
      </c>
      <c r="I5" s="44">
        <v>166666</v>
      </c>
      <c r="J5" s="44">
        <v>166666</v>
      </c>
      <c r="K5" s="44">
        <v>166666</v>
      </c>
      <c r="L5" s="44">
        <v>166640</v>
      </c>
      <c r="M5" s="44">
        <v>166700</v>
      </c>
      <c r="N5" s="229">
        <f>gördülő!B15</f>
        <v>2500000</v>
      </c>
      <c r="O5" s="188"/>
    </row>
    <row r="6" spans="1:15" ht="14.25" x14ac:dyDescent="0.2">
      <c r="A6" s="43" t="s">
        <v>515</v>
      </c>
      <c r="B6" s="44">
        <f>N6/12</f>
        <v>541666.66666666663</v>
      </c>
      <c r="C6" s="44">
        <v>583333</v>
      </c>
      <c r="D6" s="44">
        <v>583333</v>
      </c>
      <c r="E6" s="44">
        <v>583333</v>
      </c>
      <c r="F6" s="44">
        <v>583333</v>
      </c>
      <c r="G6" s="44">
        <v>583333</v>
      </c>
      <c r="H6" s="44">
        <v>583333</v>
      </c>
      <c r="I6" s="44">
        <v>583333</v>
      </c>
      <c r="J6" s="44">
        <v>583333</v>
      </c>
      <c r="K6" s="44">
        <v>583333</v>
      </c>
      <c r="L6" s="44">
        <v>583333</v>
      </c>
      <c r="M6" s="44">
        <v>583337</v>
      </c>
      <c r="N6" s="229">
        <f>gördülő!B16</f>
        <v>6500000</v>
      </c>
      <c r="O6" s="188"/>
    </row>
    <row r="7" spans="1:15" ht="14.25" x14ac:dyDescent="0.2">
      <c r="A7" s="43" t="s">
        <v>76</v>
      </c>
      <c r="B7" s="44">
        <v>3100000</v>
      </c>
      <c r="C7" s="44">
        <v>3100000</v>
      </c>
      <c r="D7" s="44">
        <v>50000000</v>
      </c>
      <c r="E7" s="44">
        <v>3100000</v>
      </c>
      <c r="F7" s="44">
        <v>3100000</v>
      </c>
      <c r="G7" s="44">
        <v>3100000</v>
      </c>
      <c r="H7" s="44">
        <v>3100000</v>
      </c>
      <c r="I7" s="44">
        <v>3100000</v>
      </c>
      <c r="J7" s="44">
        <v>31100000</v>
      </c>
      <c r="K7" s="44">
        <v>31000000</v>
      </c>
      <c r="L7" s="44">
        <v>3100000</v>
      </c>
      <c r="M7" s="44">
        <v>3100000</v>
      </c>
      <c r="N7" s="229">
        <f>gördülő!B17</f>
        <v>150000000</v>
      </c>
      <c r="O7" s="188"/>
    </row>
    <row r="8" spans="1:15" ht="14.25" x14ac:dyDescent="0.2">
      <c r="A8" s="43" t="s">
        <v>481</v>
      </c>
      <c r="B8" s="44">
        <v>100000</v>
      </c>
      <c r="C8" s="44">
        <v>100000</v>
      </c>
      <c r="D8" s="44">
        <v>1600000</v>
      </c>
      <c r="E8" s="44">
        <v>100000</v>
      </c>
      <c r="F8" s="44">
        <v>100000</v>
      </c>
      <c r="G8" s="44">
        <v>100000</v>
      </c>
      <c r="H8" s="44">
        <v>100000</v>
      </c>
      <c r="I8" s="44">
        <v>100000</v>
      </c>
      <c r="J8" s="44">
        <v>1600000</v>
      </c>
      <c r="K8" s="44">
        <v>100000</v>
      </c>
      <c r="L8" s="44">
        <v>100000</v>
      </c>
      <c r="M8" s="44">
        <v>100000</v>
      </c>
      <c r="N8" s="229">
        <f>gördülő!B18</f>
        <v>4200000</v>
      </c>
      <c r="O8" s="188"/>
    </row>
    <row r="9" spans="1:15" ht="14.25" x14ac:dyDescent="0.2">
      <c r="A9" s="43" t="s">
        <v>480</v>
      </c>
      <c r="B9" s="44">
        <v>125000</v>
      </c>
      <c r="C9" s="44">
        <v>125000</v>
      </c>
      <c r="D9" s="44">
        <v>125000</v>
      </c>
      <c r="E9" s="44">
        <v>125000</v>
      </c>
      <c r="F9" s="44">
        <v>125000</v>
      </c>
      <c r="G9" s="44">
        <v>125000</v>
      </c>
      <c r="H9" s="44">
        <v>125000</v>
      </c>
      <c r="I9" s="44">
        <v>125000</v>
      </c>
      <c r="J9" s="44">
        <v>125000</v>
      </c>
      <c r="K9" s="44">
        <v>125000</v>
      </c>
      <c r="L9" s="44">
        <v>125000</v>
      </c>
      <c r="M9" s="44">
        <v>125000</v>
      </c>
      <c r="N9" s="229">
        <f>gördülő!B19</f>
        <v>2000000</v>
      </c>
      <c r="O9" s="188"/>
    </row>
    <row r="10" spans="1:15" ht="14.25" x14ac:dyDescent="0.2">
      <c r="A10" s="43" t="s">
        <v>516</v>
      </c>
      <c r="B10" s="44">
        <v>100000</v>
      </c>
      <c r="C10" s="44">
        <v>100000</v>
      </c>
      <c r="D10" s="44">
        <v>2500000</v>
      </c>
      <c r="E10" s="44">
        <v>100000</v>
      </c>
      <c r="F10" s="44">
        <v>100000</v>
      </c>
      <c r="G10" s="44">
        <v>100000</v>
      </c>
      <c r="H10" s="44">
        <v>100000</v>
      </c>
      <c r="I10" s="44">
        <v>100000</v>
      </c>
      <c r="J10" s="44">
        <v>2500000</v>
      </c>
      <c r="K10" s="44">
        <v>100000</v>
      </c>
      <c r="L10" s="44">
        <v>100000</v>
      </c>
      <c r="M10" s="44">
        <v>100000</v>
      </c>
      <c r="N10" s="229">
        <f>gördülő!B20</f>
        <v>6000000</v>
      </c>
      <c r="O10" s="188"/>
    </row>
    <row r="11" spans="1:15" ht="14.25" x14ac:dyDescent="0.2">
      <c r="A11" s="43" t="s">
        <v>412</v>
      </c>
      <c r="B11" s="44">
        <v>10000</v>
      </c>
      <c r="C11" s="44">
        <v>10000</v>
      </c>
      <c r="D11" s="44">
        <v>50000</v>
      </c>
      <c r="E11" s="44">
        <v>10000</v>
      </c>
      <c r="F11" s="44">
        <v>10000</v>
      </c>
      <c r="G11" s="44">
        <v>10000</v>
      </c>
      <c r="H11" s="44">
        <v>10000</v>
      </c>
      <c r="I11" s="44">
        <v>10000</v>
      </c>
      <c r="J11" s="44">
        <v>50000</v>
      </c>
      <c r="K11" s="44">
        <v>10000</v>
      </c>
      <c r="L11" s="44">
        <v>10000</v>
      </c>
      <c r="M11" s="44">
        <v>10000</v>
      </c>
      <c r="N11" s="229">
        <f>gördülő!B21</f>
        <v>50000</v>
      </c>
      <c r="O11" s="188"/>
    </row>
    <row r="12" spans="1:15" ht="14.25" x14ac:dyDescent="0.2">
      <c r="A12" s="43" t="s">
        <v>552</v>
      </c>
      <c r="B12" s="44">
        <v>1000</v>
      </c>
      <c r="C12" s="44">
        <v>1000</v>
      </c>
      <c r="D12" s="44">
        <v>1000</v>
      </c>
      <c r="E12" s="44">
        <v>2000</v>
      </c>
      <c r="F12" s="44">
        <v>1000</v>
      </c>
      <c r="G12" s="44">
        <v>2000</v>
      </c>
      <c r="H12" s="44">
        <v>1000</v>
      </c>
      <c r="I12" s="44">
        <v>1000</v>
      </c>
      <c r="J12" s="44">
        <v>1000</v>
      </c>
      <c r="K12" s="44">
        <v>1000</v>
      </c>
      <c r="L12" s="44">
        <v>1000</v>
      </c>
      <c r="M12" s="44">
        <v>2000</v>
      </c>
      <c r="N12" s="237">
        <v>15000</v>
      </c>
      <c r="O12" s="188"/>
    </row>
    <row r="13" spans="1:15" ht="14.25" x14ac:dyDescent="0.2">
      <c r="A13" s="43" t="s">
        <v>98</v>
      </c>
      <c r="B13" s="44">
        <v>1294790</v>
      </c>
      <c r="C13" s="44">
        <v>1294790</v>
      </c>
      <c r="D13" s="44">
        <v>1294790</v>
      </c>
      <c r="E13" s="44">
        <v>1294790</v>
      </c>
      <c r="F13" s="44">
        <v>1294790</v>
      </c>
      <c r="G13" s="44">
        <v>1294790</v>
      </c>
      <c r="H13" s="44">
        <v>1294790</v>
      </c>
      <c r="I13" s="44">
        <v>1294790</v>
      </c>
      <c r="J13" s="44">
        <v>1294790</v>
      </c>
      <c r="K13" s="44">
        <v>1294790</v>
      </c>
      <c r="L13" s="44">
        <v>1294790</v>
      </c>
      <c r="M13" s="44">
        <v>1294794</v>
      </c>
      <c r="N13" s="228">
        <f>gördülő!B7</f>
        <v>13851807</v>
      </c>
      <c r="O13" s="188"/>
    </row>
    <row r="14" spans="1:15" ht="14.25" x14ac:dyDescent="0.2">
      <c r="A14" s="49" t="s">
        <v>347</v>
      </c>
      <c r="B14" s="50">
        <v>342067</v>
      </c>
      <c r="C14" s="50">
        <v>342067</v>
      </c>
      <c r="D14" s="50">
        <v>342067</v>
      </c>
      <c r="E14" s="50">
        <v>342067</v>
      </c>
      <c r="F14" s="50">
        <v>342067</v>
      </c>
      <c r="G14" s="50">
        <v>342067</v>
      </c>
      <c r="H14" s="50">
        <v>342067</v>
      </c>
      <c r="I14" s="50">
        <v>342067</v>
      </c>
      <c r="J14" s="50">
        <v>342067</v>
      </c>
      <c r="K14" s="50">
        <v>342067</v>
      </c>
      <c r="L14" s="50">
        <v>342067</v>
      </c>
      <c r="M14" s="50">
        <v>342067</v>
      </c>
      <c r="N14" s="228">
        <f>'Bevétel össz. - 3. mell.'!C18</f>
        <v>0</v>
      </c>
      <c r="O14" s="188"/>
    </row>
    <row r="15" spans="1:15" ht="14.25" x14ac:dyDescent="0.2">
      <c r="A15" s="49" t="s">
        <v>316</v>
      </c>
      <c r="B15" s="50">
        <v>0</v>
      </c>
      <c r="C15" s="50">
        <v>382500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228" t="e">
        <f>'Bevétel össz. - 3. mell.'!#REF!</f>
        <v>#REF!</v>
      </c>
      <c r="O15" s="188"/>
    </row>
    <row r="16" spans="1:15" ht="14.25" customHeight="1" x14ac:dyDescent="0.2">
      <c r="A16" s="49" t="s">
        <v>517</v>
      </c>
      <c r="B16" s="50">
        <v>240550</v>
      </c>
      <c r="C16" s="50">
        <v>240550</v>
      </c>
      <c r="D16" s="50">
        <v>240550</v>
      </c>
      <c r="E16" s="50">
        <v>240550</v>
      </c>
      <c r="F16" s="50">
        <v>240550</v>
      </c>
      <c r="G16" s="50">
        <v>240550</v>
      </c>
      <c r="H16" s="50">
        <v>240550</v>
      </c>
      <c r="I16" s="50">
        <v>240550</v>
      </c>
      <c r="J16" s="50">
        <v>240550</v>
      </c>
      <c r="K16" s="50">
        <v>240550</v>
      </c>
      <c r="L16" s="50">
        <v>240550</v>
      </c>
      <c r="M16" s="50">
        <v>240550</v>
      </c>
      <c r="N16" s="228" t="e">
        <f>'Bevétel össz. - 3. mell.'!#REF!</f>
        <v>#REF!</v>
      </c>
      <c r="O16" s="188"/>
    </row>
    <row r="17" spans="1:15" ht="14.25" x14ac:dyDescent="0.2">
      <c r="A17" s="238" t="s">
        <v>68</v>
      </c>
      <c r="B17" s="239">
        <v>5244795</v>
      </c>
      <c r="C17" s="239">
        <v>5244795</v>
      </c>
      <c r="D17" s="239">
        <v>5244795</v>
      </c>
      <c r="E17" s="239">
        <v>5244795</v>
      </c>
      <c r="F17" s="239">
        <v>5244795</v>
      </c>
      <c r="G17" s="239">
        <v>5244795</v>
      </c>
      <c r="H17" s="239">
        <v>5244795</v>
      </c>
      <c r="I17" s="239">
        <v>5244795</v>
      </c>
      <c r="J17" s="239">
        <v>5244795</v>
      </c>
      <c r="K17" s="239">
        <v>5244795</v>
      </c>
      <c r="L17" s="239">
        <v>5244795</v>
      </c>
      <c r="M17" s="239">
        <v>5244805</v>
      </c>
      <c r="N17" s="240">
        <f>'Bevétel össz. - 3. mell.'!G54</f>
        <v>69183233</v>
      </c>
      <c r="O17" s="188"/>
    </row>
    <row r="18" spans="1:15" ht="15" thickBot="1" x14ac:dyDescent="0.25">
      <c r="A18" s="238" t="s">
        <v>564</v>
      </c>
      <c r="B18" s="239">
        <v>7881305</v>
      </c>
      <c r="C18" s="239">
        <v>13705174</v>
      </c>
      <c r="D18" s="239">
        <v>14212860</v>
      </c>
      <c r="E18" s="239">
        <v>13959665</v>
      </c>
      <c r="F18" s="239">
        <v>20039321</v>
      </c>
      <c r="G18" s="239">
        <v>13959665</v>
      </c>
      <c r="H18" s="239">
        <v>13959665</v>
      </c>
      <c r="I18" s="239">
        <v>13959664</v>
      </c>
      <c r="J18" s="239">
        <v>13959664</v>
      </c>
      <c r="K18" s="239">
        <v>13959664</v>
      </c>
      <c r="L18" s="239">
        <v>13959664</v>
      </c>
      <c r="M18" s="239">
        <v>13959666</v>
      </c>
      <c r="N18" s="240">
        <f>'Bevétel össz. - 3. mell.'!C53</f>
        <v>164147292</v>
      </c>
      <c r="O18" s="188"/>
    </row>
    <row r="19" spans="1:15" ht="15" thickBot="1" x14ac:dyDescent="0.25">
      <c r="A19" s="51" t="s">
        <v>99</v>
      </c>
      <c r="B19" s="52">
        <f>SUM(B3:B18)</f>
        <v>25314995.666666668</v>
      </c>
      <c r="C19" s="52">
        <f t="shared" ref="C19:N19" si="0">SUM(C3:C18)</f>
        <v>31864685.75</v>
      </c>
      <c r="D19" s="52">
        <f t="shared" si="0"/>
        <v>82829871.75</v>
      </c>
      <c r="E19" s="52">
        <f t="shared" si="0"/>
        <v>31436022</v>
      </c>
      <c r="F19" s="52">
        <f t="shared" si="0"/>
        <v>37514678</v>
      </c>
      <c r="G19" s="52">
        <f t="shared" si="0"/>
        <v>31436022</v>
      </c>
      <c r="H19" s="52">
        <f t="shared" si="0"/>
        <v>31435022</v>
      </c>
      <c r="I19" s="52">
        <f t="shared" si="0"/>
        <v>31435021</v>
      </c>
      <c r="J19" s="52">
        <f t="shared" si="0"/>
        <v>63375021</v>
      </c>
      <c r="K19" s="52">
        <f t="shared" si="0"/>
        <v>59335021</v>
      </c>
      <c r="L19" s="52">
        <f t="shared" si="0"/>
        <v>31434995</v>
      </c>
      <c r="M19" s="52">
        <f t="shared" si="0"/>
        <v>31436075</v>
      </c>
      <c r="N19" s="52" t="e">
        <f t="shared" si="0"/>
        <v>#REF!</v>
      </c>
    </row>
    <row r="20" spans="1:15" ht="15" thickBot="1" x14ac:dyDescent="0.25">
      <c r="A20" s="839" t="s">
        <v>58</v>
      </c>
      <c r="B20" s="840"/>
      <c r="C20" s="840"/>
      <c r="D20" s="840"/>
      <c r="E20" s="840"/>
      <c r="F20" s="840"/>
      <c r="G20" s="840"/>
      <c r="H20" s="840"/>
      <c r="I20" s="840"/>
      <c r="J20" s="840"/>
      <c r="K20" s="840"/>
      <c r="L20" s="840"/>
      <c r="M20" s="840"/>
      <c r="N20" s="841"/>
    </row>
    <row r="21" spans="1:15" ht="14.25" x14ac:dyDescent="0.2">
      <c r="A21" s="46" t="s">
        <v>0</v>
      </c>
      <c r="B21" s="47">
        <v>6416645</v>
      </c>
      <c r="C21" s="47">
        <v>6416645</v>
      </c>
      <c r="D21" s="47">
        <v>6416645</v>
      </c>
      <c r="E21" s="47">
        <v>6416645</v>
      </c>
      <c r="F21" s="47">
        <v>6416645</v>
      </c>
      <c r="G21" s="47">
        <v>6416645</v>
      </c>
      <c r="H21" s="47">
        <v>6416645</v>
      </c>
      <c r="I21" s="47">
        <v>6416645</v>
      </c>
      <c r="J21" s="47">
        <v>6416645</v>
      </c>
      <c r="K21" s="47">
        <v>6416645</v>
      </c>
      <c r="L21" s="47">
        <v>6416645</v>
      </c>
      <c r="M21" s="47">
        <v>6416640</v>
      </c>
      <c r="N21" s="48">
        <f>'Kiadás össz. - 4. mell.'!M4</f>
        <v>39865893</v>
      </c>
    </row>
    <row r="22" spans="1:15" ht="14.25" x14ac:dyDescent="0.2">
      <c r="A22" s="43" t="s">
        <v>100</v>
      </c>
      <c r="B22" s="44">
        <v>1311169</v>
      </c>
      <c r="C22" s="44">
        <v>1311169</v>
      </c>
      <c r="D22" s="44">
        <v>1311169</v>
      </c>
      <c r="E22" s="44">
        <v>1311169</v>
      </c>
      <c r="F22" s="44">
        <v>1311169</v>
      </c>
      <c r="G22" s="44">
        <v>1311169</v>
      </c>
      <c r="H22" s="44">
        <v>1311169</v>
      </c>
      <c r="I22" s="44">
        <v>1311169</v>
      </c>
      <c r="J22" s="44">
        <v>1311169</v>
      </c>
      <c r="K22" s="44">
        <v>1311169</v>
      </c>
      <c r="L22" s="44">
        <v>1311169</v>
      </c>
      <c r="M22" s="44">
        <v>1311172</v>
      </c>
      <c r="N22" s="48">
        <f>'Kiadás össz. - 4. mell.'!M5</f>
        <v>8143550</v>
      </c>
    </row>
    <row r="23" spans="1:15" ht="14.25" x14ac:dyDescent="0.2">
      <c r="A23" s="43" t="s">
        <v>101</v>
      </c>
      <c r="B23" s="44">
        <v>7008887</v>
      </c>
      <c r="C23" s="44">
        <v>7008887</v>
      </c>
      <c r="D23" s="44">
        <v>7008887</v>
      </c>
      <c r="E23" s="44">
        <v>7008887</v>
      </c>
      <c r="F23" s="44">
        <v>7008887</v>
      </c>
      <c r="G23" s="44">
        <v>7008887</v>
      </c>
      <c r="H23" s="44">
        <v>7008887</v>
      </c>
      <c r="I23" s="44">
        <v>7008887</v>
      </c>
      <c r="J23" s="44">
        <v>7008887</v>
      </c>
      <c r="K23" s="44">
        <v>7008887</v>
      </c>
      <c r="L23" s="44">
        <v>7008887</v>
      </c>
      <c r="M23" s="44">
        <v>7008893</v>
      </c>
      <c r="N23" s="48">
        <f>'Kiadás össz. - 4. mell.'!M6</f>
        <v>41124197</v>
      </c>
    </row>
    <row r="24" spans="1:15" ht="14.25" x14ac:dyDescent="0.2">
      <c r="A24" s="43" t="s">
        <v>102</v>
      </c>
      <c r="B24" s="44">
        <v>0</v>
      </c>
      <c r="C24" s="44">
        <v>0</v>
      </c>
      <c r="D24" s="44">
        <v>7422741</v>
      </c>
      <c r="E24" s="44">
        <v>2474247</v>
      </c>
      <c r="F24" s="44">
        <v>2474247</v>
      </c>
      <c r="G24" s="44">
        <v>2474247</v>
      </c>
      <c r="H24" s="44">
        <v>2474246</v>
      </c>
      <c r="I24" s="44">
        <v>2474246</v>
      </c>
      <c r="J24" s="44">
        <v>2474246</v>
      </c>
      <c r="K24" s="44">
        <v>2474246</v>
      </c>
      <c r="L24" s="44">
        <v>2474246</v>
      </c>
      <c r="M24" s="44">
        <v>2474248</v>
      </c>
      <c r="N24" s="48">
        <f>'Kiadás össz. - 4. mell.'!M13</f>
        <v>30720090</v>
      </c>
    </row>
    <row r="25" spans="1:15" ht="14.25" x14ac:dyDescent="0.2">
      <c r="A25" s="43" t="s">
        <v>103</v>
      </c>
      <c r="B25" s="44">
        <v>0</v>
      </c>
      <c r="C25" s="44">
        <v>0</v>
      </c>
      <c r="D25" s="44">
        <v>18052824</v>
      </c>
      <c r="E25" s="44">
        <v>6017608</v>
      </c>
      <c r="F25" s="44">
        <v>6017608</v>
      </c>
      <c r="G25" s="44">
        <v>6017608</v>
      </c>
      <c r="H25" s="44">
        <v>6017608</v>
      </c>
      <c r="I25" s="44">
        <v>6017608</v>
      </c>
      <c r="J25" s="44">
        <v>6017608</v>
      </c>
      <c r="K25" s="44">
        <v>6017608</v>
      </c>
      <c r="L25" s="44">
        <v>6017608</v>
      </c>
      <c r="M25" s="44">
        <v>6017610</v>
      </c>
      <c r="N25" s="48">
        <f>'Kiadás össz. - 4. mell.'!M14</f>
        <v>8193054</v>
      </c>
    </row>
    <row r="26" spans="1:15" ht="14.25" x14ac:dyDescent="0.2">
      <c r="A26" s="43" t="s">
        <v>104</v>
      </c>
      <c r="B26" s="44">
        <v>2413044</v>
      </c>
      <c r="C26" s="44">
        <v>2413044</v>
      </c>
      <c r="D26" s="44">
        <v>2413044</v>
      </c>
      <c r="E26" s="44">
        <v>2413044</v>
      </c>
      <c r="F26" s="44">
        <v>2413045</v>
      </c>
      <c r="G26" s="44">
        <v>2413045</v>
      </c>
      <c r="H26" s="44">
        <v>2413045</v>
      </c>
      <c r="I26" s="44">
        <v>2413045</v>
      </c>
      <c r="J26" s="44">
        <v>2413044</v>
      </c>
      <c r="K26" s="44">
        <v>2413045</v>
      </c>
      <c r="L26" s="44">
        <v>2413044</v>
      </c>
      <c r="M26" s="44">
        <v>2413044</v>
      </c>
      <c r="N26" s="48" t="e">
        <f>'Kiadás össz. - 4. mell.'!M9+'Kiadás össz. - 4. mell.'!#REF!</f>
        <v>#REF!</v>
      </c>
    </row>
    <row r="27" spans="1:15" ht="14.25" x14ac:dyDescent="0.2">
      <c r="A27" s="43" t="s">
        <v>81</v>
      </c>
      <c r="B27" s="44">
        <v>394733</v>
      </c>
      <c r="C27" s="44">
        <v>394733</v>
      </c>
      <c r="D27" s="44">
        <v>394733</v>
      </c>
      <c r="E27" s="44">
        <v>394733</v>
      </c>
      <c r="F27" s="44">
        <v>394733</v>
      </c>
      <c r="G27" s="44">
        <v>394733</v>
      </c>
      <c r="H27" s="44">
        <v>394733</v>
      </c>
      <c r="I27" s="44">
        <v>394733</v>
      </c>
      <c r="J27" s="44">
        <v>394733</v>
      </c>
      <c r="K27" s="44">
        <v>394733</v>
      </c>
      <c r="L27" s="44">
        <v>394733</v>
      </c>
      <c r="M27" s="44">
        <v>394737</v>
      </c>
      <c r="N27" s="48">
        <f>'Kiadás össz. - 4. mell.'!M7</f>
        <v>2106550</v>
      </c>
    </row>
    <row r="28" spans="1:15" ht="14.25" hidden="1" x14ac:dyDescent="0.2">
      <c r="A28" s="43" t="s">
        <v>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8" t="e">
        <f>'Kiadás össz. - 4. mell.'!#REF!</f>
        <v>#REF!</v>
      </c>
    </row>
    <row r="29" spans="1:15" ht="14.25" hidden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8">
        <f>'Kiadás össz. - 4. mell.'!M12</f>
        <v>115818264</v>
      </c>
    </row>
    <row r="30" spans="1:15" ht="14.25" x14ac:dyDescent="0.2">
      <c r="A30" s="43" t="s">
        <v>553</v>
      </c>
      <c r="B30" s="44">
        <v>879629</v>
      </c>
      <c r="C30" s="44">
        <v>879629</v>
      </c>
      <c r="D30" s="44">
        <v>879629</v>
      </c>
      <c r="E30" s="44">
        <v>879629</v>
      </c>
      <c r="F30" s="44">
        <v>879629</v>
      </c>
      <c r="G30" s="44">
        <v>879629</v>
      </c>
      <c r="H30" s="44">
        <v>879629</v>
      </c>
      <c r="I30" s="44">
        <v>879629</v>
      </c>
      <c r="J30" s="44">
        <v>879629</v>
      </c>
      <c r="K30" s="44">
        <v>879629</v>
      </c>
      <c r="L30" s="44">
        <v>879629</v>
      </c>
      <c r="M30" s="44">
        <v>879632</v>
      </c>
      <c r="N30" s="48">
        <f>'Kiadás össz. - 4. mell.'!M8</f>
        <v>10014389</v>
      </c>
    </row>
    <row r="31" spans="1:15" ht="14.25" x14ac:dyDescent="0.2">
      <c r="A31" s="43" t="s">
        <v>543</v>
      </c>
      <c r="B31" s="44">
        <v>109125</v>
      </c>
      <c r="C31" s="44">
        <v>109125</v>
      </c>
      <c r="D31" s="44">
        <v>109126</v>
      </c>
      <c r="E31" s="44">
        <v>109126</v>
      </c>
      <c r="F31" s="44">
        <v>109125</v>
      </c>
      <c r="G31" s="44">
        <v>109126</v>
      </c>
      <c r="H31" s="44">
        <v>109125</v>
      </c>
      <c r="I31" s="44">
        <v>109126</v>
      </c>
      <c r="J31" s="44">
        <v>109125</v>
      </c>
      <c r="K31" s="44">
        <v>109125</v>
      </c>
      <c r="L31" s="44">
        <v>109125</v>
      </c>
      <c r="M31" s="44">
        <v>109125</v>
      </c>
      <c r="N31" s="48">
        <f>'Kiadás össz. - 4. mell.'!M21</f>
        <v>524833</v>
      </c>
    </row>
    <row r="32" spans="1:15" ht="14.25" x14ac:dyDescent="0.2">
      <c r="A32" s="43" t="s">
        <v>545</v>
      </c>
      <c r="B32" s="44">
        <v>1578635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8">
        <f>'Kiadás össz. - 4. mell.'!M23</f>
        <v>85163</v>
      </c>
    </row>
    <row r="33" spans="1:14" ht="14.25" x14ac:dyDescent="0.2">
      <c r="A33" s="43" t="s">
        <v>68</v>
      </c>
      <c r="B33" s="239">
        <v>5244795</v>
      </c>
      <c r="C33" s="239">
        <v>5244795</v>
      </c>
      <c r="D33" s="239">
        <v>5244795</v>
      </c>
      <c r="E33" s="239">
        <v>5244795</v>
      </c>
      <c r="F33" s="239">
        <v>5244795</v>
      </c>
      <c r="G33" s="239">
        <v>5244795</v>
      </c>
      <c r="H33" s="239">
        <v>5244795</v>
      </c>
      <c r="I33" s="239">
        <v>5244795</v>
      </c>
      <c r="J33" s="239">
        <v>5244795</v>
      </c>
      <c r="K33" s="239">
        <v>5244795</v>
      </c>
      <c r="L33" s="239">
        <v>5244795</v>
      </c>
      <c r="M33" s="239">
        <v>5244805</v>
      </c>
      <c r="N33" s="45">
        <f>'Kiadás össz. - 4. mell.'!K22</f>
        <v>69183233</v>
      </c>
    </row>
    <row r="34" spans="1:14" ht="15" thickBot="1" x14ac:dyDescent="0.25">
      <c r="A34" s="43" t="s">
        <v>53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>
        <f>'Kiadás össz. - 4. mell.'!M19</f>
        <v>0</v>
      </c>
    </row>
    <row r="35" spans="1:14" ht="15" thickBot="1" x14ac:dyDescent="0.25">
      <c r="A35" s="51" t="s">
        <v>105</v>
      </c>
      <c r="B35" s="52">
        <f t="shared" ref="B35:M35" si="1">SUM(B21:B34)</f>
        <v>25356662</v>
      </c>
      <c r="C35" s="52">
        <f t="shared" si="1"/>
        <v>23778027</v>
      </c>
      <c r="D35" s="52">
        <f t="shared" si="1"/>
        <v>49253593</v>
      </c>
      <c r="E35" s="52">
        <f t="shared" si="1"/>
        <v>32269883</v>
      </c>
      <c r="F35" s="52">
        <f t="shared" si="1"/>
        <v>32269883</v>
      </c>
      <c r="G35" s="52">
        <f t="shared" si="1"/>
        <v>32269884</v>
      </c>
      <c r="H35" s="52">
        <f t="shared" si="1"/>
        <v>32269882</v>
      </c>
      <c r="I35" s="52">
        <f t="shared" si="1"/>
        <v>32269883</v>
      </c>
      <c r="J35" s="52">
        <f t="shared" si="1"/>
        <v>32269881</v>
      </c>
      <c r="K35" s="52">
        <f t="shared" si="1"/>
        <v>32269882</v>
      </c>
      <c r="L35" s="52">
        <f t="shared" si="1"/>
        <v>32269881</v>
      </c>
      <c r="M35" s="52">
        <f t="shared" si="1"/>
        <v>32269906</v>
      </c>
      <c r="N35" s="53" t="e">
        <f>N21+N22+N23+N24+N25+N26+N27+N30+N31+N32+N33+N34</f>
        <v>#REF!</v>
      </c>
    </row>
    <row r="36" spans="1:14" ht="15" thickBot="1" x14ac:dyDescent="0.25">
      <c r="A36" s="54" t="s">
        <v>106</v>
      </c>
      <c r="B36" s="55">
        <f>(B19-B35)</f>
        <v>-41666.333333332092</v>
      </c>
      <c r="C36" s="55">
        <f t="shared" ref="C36:N36" si="2">B36+C19-C35</f>
        <v>8044992.4166666679</v>
      </c>
      <c r="D36" s="55">
        <f t="shared" si="2"/>
        <v>41621271.166666672</v>
      </c>
      <c r="E36" s="55">
        <f t="shared" si="2"/>
        <v>40787410.166666672</v>
      </c>
      <c r="F36" s="55">
        <f t="shared" si="2"/>
        <v>46032205.166666672</v>
      </c>
      <c r="G36" s="55">
        <f t="shared" si="2"/>
        <v>45198343.166666672</v>
      </c>
      <c r="H36" s="55">
        <f t="shared" si="2"/>
        <v>44363483.166666672</v>
      </c>
      <c r="I36" s="55">
        <f t="shared" si="2"/>
        <v>43528621.166666672</v>
      </c>
      <c r="J36" s="55">
        <f t="shared" si="2"/>
        <v>74633761.166666672</v>
      </c>
      <c r="K36" s="55">
        <f t="shared" si="2"/>
        <v>101698900.16666667</v>
      </c>
      <c r="L36" s="55">
        <f t="shared" si="2"/>
        <v>100864014.16666667</v>
      </c>
      <c r="M36" s="55">
        <f t="shared" si="2"/>
        <v>100030183.16666667</v>
      </c>
      <c r="N36" s="55" t="e">
        <f t="shared" si="2"/>
        <v>#REF!</v>
      </c>
    </row>
    <row r="41" spans="1:14" x14ac:dyDescent="0.2">
      <c r="E41" s="188"/>
    </row>
  </sheetData>
  <mergeCells count="2">
    <mergeCell ref="A2:N2"/>
    <mergeCell ref="A20:N20"/>
  </mergeCells>
  <phoneticPr fontId="2" type="noConversion"/>
  <pageMargins left="0.75" right="0.75" top="1" bottom="1" header="0.5" footer="0.5"/>
  <pageSetup paperSize="9" scale="55" orientation="landscape" r:id="rId1"/>
  <headerFooter alignWithMargins="0">
    <oddHeader>&amp;L&amp;"Times New Roman,Félkövér"&amp;14Levél Községi Önkormányzat&amp;C&amp;"Times,Félkövér"&amp;14Előirányzat felhasználási terv 2019.&amp;R&amp;12 13.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7"/>
  <dimension ref="A1:M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" x14ac:dyDescent="0.2">
      <c r="A1" s="11"/>
      <c r="B1" s="842" t="s">
        <v>12</v>
      </c>
      <c r="C1" s="843"/>
      <c r="D1" s="843"/>
      <c r="E1" s="843"/>
      <c r="F1" s="843"/>
      <c r="G1" s="844"/>
      <c r="H1" s="845">
        <v>2019</v>
      </c>
      <c r="I1" s="846"/>
      <c r="J1" s="846"/>
      <c r="K1" s="846"/>
      <c r="L1" s="846"/>
      <c r="M1" s="847"/>
    </row>
    <row r="2" spans="1:13" ht="15" x14ac:dyDescent="0.2">
      <c r="A2" s="11"/>
      <c r="B2" s="12"/>
      <c r="C2" s="13"/>
      <c r="D2" s="13"/>
      <c r="E2" s="13"/>
      <c r="F2" s="13"/>
      <c r="G2" s="14"/>
      <c r="H2" s="848" t="s">
        <v>64</v>
      </c>
      <c r="I2" s="849"/>
      <c r="J2" s="849"/>
      <c r="K2" s="849"/>
      <c r="L2" s="849"/>
      <c r="M2" s="850"/>
    </row>
    <row r="3" spans="1:13" ht="15" x14ac:dyDescent="0.2">
      <c r="A3" s="15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6" t="s">
        <v>57</v>
      </c>
      <c r="H3" s="7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5" t="s">
        <v>57</v>
      </c>
    </row>
    <row r="4" spans="1:13" ht="15" x14ac:dyDescent="0.2">
      <c r="A4" s="1" t="s">
        <v>554</v>
      </c>
      <c r="B4" s="17"/>
      <c r="C4" s="1"/>
      <c r="D4" s="1"/>
      <c r="E4" s="25">
        <f>B4*C4*D4</f>
        <v>0</v>
      </c>
      <c r="F4" s="25">
        <f>E4*0.27</f>
        <v>0</v>
      </c>
      <c r="G4" s="3">
        <f>SUM(E4:F4)</f>
        <v>0</v>
      </c>
      <c r="H4" s="17">
        <v>17</v>
      </c>
      <c r="I4" s="1">
        <v>220</v>
      </c>
      <c r="J4" s="1">
        <v>550</v>
      </c>
      <c r="K4" s="25">
        <v>2055503</v>
      </c>
      <c r="L4" s="25">
        <v>554986</v>
      </c>
      <c r="M4" s="3">
        <f>SUM(K4:L4)</f>
        <v>2610489</v>
      </c>
    </row>
    <row r="5" spans="1:13" ht="15" x14ac:dyDescent="0.2">
      <c r="A5" s="1" t="s">
        <v>492</v>
      </c>
      <c r="B5" s="17"/>
      <c r="C5" s="1"/>
      <c r="D5" s="1"/>
      <c r="E5" s="25">
        <f>B5*C5*D5</f>
        <v>0</v>
      </c>
      <c r="F5" s="25">
        <f>E5*0.27</f>
        <v>0</v>
      </c>
      <c r="G5" s="3">
        <f>SUM(E5:F5)</f>
        <v>0</v>
      </c>
      <c r="H5" s="17"/>
      <c r="I5" s="1"/>
      <c r="J5" s="1"/>
      <c r="K5" s="25">
        <f>H5*I5*J5</f>
        <v>0</v>
      </c>
      <c r="L5" s="25"/>
      <c r="M5" s="3">
        <f>SUM(K5:L5)</f>
        <v>0</v>
      </c>
    </row>
    <row r="6" spans="1:13" ht="15" x14ac:dyDescent="0.2">
      <c r="A6" s="1" t="s">
        <v>491</v>
      </c>
      <c r="B6" s="17"/>
      <c r="C6" s="1"/>
      <c r="D6" s="1"/>
      <c r="E6" s="25">
        <f>B6*C6*D6</f>
        <v>0</v>
      </c>
      <c r="F6" s="25">
        <f>E6*0.27</f>
        <v>0</v>
      </c>
      <c r="G6" s="3">
        <f>SUM(E6:F6)</f>
        <v>0</v>
      </c>
      <c r="H6" s="17">
        <v>37</v>
      </c>
      <c r="I6" s="1">
        <v>220</v>
      </c>
      <c r="J6" s="1">
        <v>550</v>
      </c>
      <c r="K6" s="25">
        <f>H6*I6*J6</f>
        <v>4477000</v>
      </c>
      <c r="L6" s="25">
        <f>K6*0.27</f>
        <v>1208790</v>
      </c>
      <c r="M6" s="3">
        <f>SUM(K6:L6)</f>
        <v>5685790</v>
      </c>
    </row>
    <row r="7" spans="1:13" ht="15" x14ac:dyDescent="0.2">
      <c r="A7" s="18" t="s">
        <v>30</v>
      </c>
      <c r="B7" s="10">
        <f>SUM(B4:B6)</f>
        <v>0</v>
      </c>
      <c r="C7" s="18"/>
      <c r="D7" s="18"/>
      <c r="E7" s="26">
        <f>SUM(E4:E6)</f>
        <v>0</v>
      </c>
      <c r="F7" s="26">
        <f>SUM(F4:F6)</f>
        <v>0</v>
      </c>
      <c r="G7" s="2">
        <f>SUM(G4:G6)</f>
        <v>0</v>
      </c>
      <c r="H7" s="10">
        <f>SUM(H4:H6)</f>
        <v>54</v>
      </c>
      <c r="I7" s="18"/>
      <c r="J7" s="18"/>
      <c r="K7" s="26">
        <f>SUM(K4:K6)</f>
        <v>6532503</v>
      </c>
      <c r="L7" s="26">
        <v>1763776</v>
      </c>
      <c r="M7" s="2">
        <f>SUM(M4:M6)</f>
        <v>8296279</v>
      </c>
    </row>
    <row r="8" spans="1:13" ht="15" x14ac:dyDescent="0.2">
      <c r="A8" s="1"/>
      <c r="B8" s="17"/>
      <c r="C8" s="1"/>
      <c r="D8" s="1"/>
      <c r="E8" s="1"/>
      <c r="F8" s="1"/>
      <c r="G8" s="3"/>
      <c r="H8" s="17"/>
      <c r="I8" s="1"/>
      <c r="J8" s="1"/>
      <c r="K8" s="1"/>
      <c r="L8" s="1"/>
      <c r="M8" s="3"/>
    </row>
    <row r="9" spans="1:13" ht="15" x14ac:dyDescent="0.2">
      <c r="A9" s="1" t="s">
        <v>493</v>
      </c>
      <c r="B9" s="17"/>
      <c r="C9" s="1"/>
      <c r="D9" s="1"/>
      <c r="E9" s="25">
        <f>B9*C9*D9</f>
        <v>0</v>
      </c>
      <c r="F9" s="25">
        <f>E9*0.27</f>
        <v>0</v>
      </c>
      <c r="G9" s="3">
        <f>SUM(E9:F9)</f>
        <v>0</v>
      </c>
      <c r="H9" s="17">
        <v>38</v>
      </c>
      <c r="I9" s="1">
        <v>185</v>
      </c>
      <c r="J9" s="1">
        <v>567</v>
      </c>
      <c r="K9" s="25">
        <v>3985663</v>
      </c>
      <c r="L9" s="25">
        <f>K9*0.27</f>
        <v>1076129.01</v>
      </c>
      <c r="M9" s="3">
        <f>SUM(K9:L9)</f>
        <v>5061792.01</v>
      </c>
    </row>
    <row r="10" spans="1:13" ht="15" x14ac:dyDescent="0.2">
      <c r="A10" s="1" t="s">
        <v>494</v>
      </c>
      <c r="B10" s="17"/>
      <c r="C10" s="1"/>
      <c r="D10" s="1"/>
      <c r="E10" s="25">
        <f>B10*C10*D10</f>
        <v>0</v>
      </c>
      <c r="F10" s="25">
        <f>E10*0.27</f>
        <v>0</v>
      </c>
      <c r="G10" s="3">
        <f>SUM(E10:F10)</f>
        <v>0</v>
      </c>
      <c r="H10" s="17">
        <v>50</v>
      </c>
      <c r="I10" s="1">
        <v>185</v>
      </c>
      <c r="J10" s="1">
        <v>470</v>
      </c>
      <c r="K10" s="25">
        <f>H10*I10*J10</f>
        <v>4347500</v>
      </c>
      <c r="L10" s="25">
        <f>K10*0.27</f>
        <v>1173825</v>
      </c>
      <c r="M10" s="3">
        <f>SUM(K10:L10)</f>
        <v>5521325</v>
      </c>
    </row>
    <row r="11" spans="1:13" ht="15" x14ac:dyDescent="0.2">
      <c r="A11" s="1" t="s">
        <v>31</v>
      </c>
      <c r="B11" s="17"/>
      <c r="C11" s="1"/>
      <c r="D11" s="1"/>
      <c r="E11" s="25">
        <f>B11*C11*D11</f>
        <v>0</v>
      </c>
      <c r="F11" s="25">
        <f>E11*0.27</f>
        <v>0</v>
      </c>
      <c r="G11" s="3">
        <f>SUM(E11:F11)</f>
        <v>0</v>
      </c>
      <c r="H11" s="17"/>
      <c r="I11" s="1"/>
      <c r="J11" s="1"/>
      <c r="K11" s="25">
        <f>H11*I11*J11</f>
        <v>0</v>
      </c>
      <c r="L11" s="25">
        <f>K11*0.27</f>
        <v>0</v>
      </c>
      <c r="M11" s="3">
        <f>SUM(K11:L11)</f>
        <v>0</v>
      </c>
    </row>
    <row r="12" spans="1:13" ht="15" x14ac:dyDescent="0.2">
      <c r="A12" s="1" t="s">
        <v>32</v>
      </c>
      <c r="B12" s="17"/>
      <c r="C12" s="1"/>
      <c r="D12" s="1"/>
      <c r="E12" s="25">
        <f>B12*C12*D12</f>
        <v>0</v>
      </c>
      <c r="F12" s="25">
        <f>E12*0.27</f>
        <v>0</v>
      </c>
      <c r="G12" s="3">
        <f>SUM(E12:F12)</f>
        <v>0</v>
      </c>
      <c r="H12" s="17"/>
      <c r="I12" s="1"/>
      <c r="J12" s="1"/>
      <c r="K12" s="25">
        <f>H12*I12*J12</f>
        <v>0</v>
      </c>
      <c r="L12" s="25">
        <f>K12*0.27</f>
        <v>0</v>
      </c>
      <c r="M12" s="3">
        <f>SUM(K12:L12)</f>
        <v>0</v>
      </c>
    </row>
    <row r="13" spans="1:13" ht="15" x14ac:dyDescent="0.2">
      <c r="A13" s="18" t="s">
        <v>33</v>
      </c>
      <c r="B13" s="10">
        <f>SUM(B9:B12)</f>
        <v>0</v>
      </c>
      <c r="C13" s="18"/>
      <c r="D13" s="18"/>
      <c r="E13" s="26">
        <f>SUM(E9:E12)</f>
        <v>0</v>
      </c>
      <c r="F13" s="26">
        <f>SUM(F9:F12)</f>
        <v>0</v>
      </c>
      <c r="G13" s="2">
        <f>SUM(G9:G12)</f>
        <v>0</v>
      </c>
      <c r="H13" s="10">
        <f>SUM(H9:H12)</f>
        <v>88</v>
      </c>
      <c r="I13" s="18"/>
      <c r="J13" s="18"/>
      <c r="K13" s="26">
        <f>SUM(K9:K12)</f>
        <v>8333163</v>
      </c>
      <c r="L13" s="26">
        <f>SUM(L9:L12)</f>
        <v>2249954.0099999998</v>
      </c>
      <c r="M13" s="2">
        <f>SUM(M9:M12)</f>
        <v>10583117.01</v>
      </c>
    </row>
    <row r="14" spans="1:13" ht="15" x14ac:dyDescent="0.2">
      <c r="A14" s="1"/>
      <c r="B14" s="17"/>
      <c r="C14" s="1"/>
      <c r="D14" s="1"/>
      <c r="E14" s="1"/>
      <c r="F14" s="1"/>
      <c r="G14" s="3"/>
      <c r="H14" s="17"/>
      <c r="I14" s="1"/>
      <c r="J14" s="1"/>
      <c r="K14" s="1"/>
      <c r="L14" s="1"/>
      <c r="M14" s="3"/>
    </row>
    <row r="15" spans="1:13" ht="15" hidden="1" x14ac:dyDescent="0.2">
      <c r="A15" s="1" t="s">
        <v>51</v>
      </c>
      <c r="B15" s="17"/>
      <c r="C15" s="1"/>
      <c r="D15" s="1"/>
      <c r="E15" s="25">
        <f>B15*C15*D15</f>
        <v>0</v>
      </c>
      <c r="F15" s="25">
        <f>E15*0.27</f>
        <v>0</v>
      </c>
      <c r="G15" s="3">
        <f>SUM(E15:F15)</f>
        <v>0</v>
      </c>
      <c r="H15" s="17"/>
      <c r="I15" s="1"/>
      <c r="J15" s="1"/>
      <c r="K15" s="25">
        <f>H15*I15*J15</f>
        <v>0</v>
      </c>
      <c r="L15" s="25">
        <f>K15*0.27</f>
        <v>0</v>
      </c>
      <c r="M15" s="3">
        <f>SUM(K15:L15)</f>
        <v>0</v>
      </c>
    </row>
    <row r="16" spans="1:13" ht="15" hidden="1" x14ac:dyDescent="0.2">
      <c r="A16" s="18" t="s">
        <v>52</v>
      </c>
      <c r="B16" s="10">
        <f>SUM(B15)</f>
        <v>0</v>
      </c>
      <c r="C16" s="10">
        <f>SUM(C15)</f>
        <v>0</v>
      </c>
      <c r="D16" s="10">
        <f>SUM(D15)</f>
        <v>0</v>
      </c>
      <c r="E16" s="8">
        <f>SUM(E15)</f>
        <v>0</v>
      </c>
      <c r="F16" s="8">
        <f>SUM(F15)</f>
        <v>0</v>
      </c>
      <c r="G16" s="2">
        <f>SUM(E16:F16)</f>
        <v>0</v>
      </c>
      <c r="H16" s="10">
        <f>SUM(H15)</f>
        <v>0</v>
      </c>
      <c r="I16" s="10">
        <f>SUM(I15)</f>
        <v>0</v>
      </c>
      <c r="J16" s="10">
        <f>SUM(J15)</f>
        <v>0</v>
      </c>
      <c r="K16" s="4">
        <f>SUM(K15)</f>
        <v>0</v>
      </c>
      <c r="L16" s="8">
        <f>SUM(L15)</f>
        <v>0</v>
      </c>
      <c r="M16" s="2">
        <f>SUM(K16:L16)</f>
        <v>0</v>
      </c>
    </row>
    <row r="17" spans="1:13" ht="15" hidden="1" x14ac:dyDescent="0.2">
      <c r="A17" s="1"/>
      <c r="B17" s="17"/>
      <c r="C17" s="1"/>
      <c r="D17" s="1"/>
      <c r="E17" s="1"/>
      <c r="F17" s="1"/>
      <c r="G17" s="3"/>
      <c r="H17" s="17"/>
      <c r="I17" s="1"/>
      <c r="J17" s="1"/>
      <c r="K17" s="1"/>
      <c r="L17" s="1"/>
      <c r="M17" s="3"/>
    </row>
    <row r="18" spans="1:13" ht="15" hidden="1" x14ac:dyDescent="0.2">
      <c r="A18" s="19" t="s">
        <v>34</v>
      </c>
      <c r="B18" s="17"/>
      <c r="C18" s="1"/>
      <c r="D18" s="1"/>
      <c r="E18" s="1"/>
      <c r="F18" s="1"/>
      <c r="G18" s="3"/>
      <c r="H18" s="17"/>
      <c r="I18" s="1"/>
      <c r="J18" s="1"/>
      <c r="K18" s="1"/>
      <c r="L18" s="1"/>
      <c r="M18" s="3"/>
    </row>
    <row r="19" spans="1:13" ht="15" hidden="1" x14ac:dyDescent="0.2">
      <c r="A19" s="1" t="s">
        <v>35</v>
      </c>
      <c r="B19" s="17"/>
      <c r="C19" s="35"/>
      <c r="D19" s="1"/>
      <c r="E19" s="25">
        <f>B19*C19*D19</f>
        <v>0</v>
      </c>
      <c r="F19" s="25">
        <f>E19*0.27</f>
        <v>0</v>
      </c>
      <c r="G19" s="3">
        <f>SUM(E19:F19)</f>
        <v>0</v>
      </c>
      <c r="H19" s="17"/>
      <c r="I19" s="35"/>
      <c r="J19" s="1"/>
      <c r="K19" s="25">
        <f>H19*I19*J19</f>
        <v>0</v>
      </c>
      <c r="L19" s="25">
        <f>K19*0.27</f>
        <v>0</v>
      </c>
      <c r="M19" s="3">
        <f>SUM(K19:L19)</f>
        <v>0</v>
      </c>
    </row>
    <row r="20" spans="1:13" ht="15" hidden="1" x14ac:dyDescent="0.2">
      <c r="A20" s="1" t="s">
        <v>36</v>
      </c>
      <c r="B20" s="17"/>
      <c r="C20" s="1"/>
      <c r="D20" s="1"/>
      <c r="E20" s="25">
        <f>B20*C20*D20</f>
        <v>0</v>
      </c>
      <c r="F20" s="25">
        <f>E20*0.27</f>
        <v>0</v>
      </c>
      <c r="G20" s="3">
        <f>SUM(E20:F20)</f>
        <v>0</v>
      </c>
      <c r="H20" s="17"/>
      <c r="I20" s="1"/>
      <c r="J20" s="1"/>
      <c r="K20" s="25">
        <f>H20*I20*J20</f>
        <v>0</v>
      </c>
      <c r="L20" s="25">
        <f>K20*0.27</f>
        <v>0</v>
      </c>
      <c r="M20" s="3">
        <f>SUM(K20:L20)</f>
        <v>0</v>
      </c>
    </row>
    <row r="21" spans="1:13" ht="15" hidden="1" x14ac:dyDescent="0.2">
      <c r="A21" s="18" t="s">
        <v>37</v>
      </c>
      <c r="B21" s="10">
        <f>SUM(B19:B20)</f>
        <v>0</v>
      </c>
      <c r="C21" s="18"/>
      <c r="D21" s="18"/>
      <c r="E21" s="26">
        <f>SUM(E19:E20)</f>
        <v>0</v>
      </c>
      <c r="F21" s="26">
        <f>SUM(F19:F20)</f>
        <v>0</v>
      </c>
      <c r="G21" s="2">
        <f>SUM(E21:F21)</f>
        <v>0</v>
      </c>
      <c r="H21" s="10">
        <f>SUM(H19:H20)</f>
        <v>0</v>
      </c>
      <c r="I21" s="18"/>
      <c r="J21" s="18"/>
      <c r="K21" s="26">
        <f>SUM(K19:K20)</f>
        <v>0</v>
      </c>
      <c r="L21" s="26">
        <f>SUM(L19:L20)</f>
        <v>0</v>
      </c>
      <c r="M21" s="2">
        <f>SUM(K21:L21)</f>
        <v>0</v>
      </c>
    </row>
    <row r="22" spans="1:13" ht="15" hidden="1" x14ac:dyDescent="0.2">
      <c r="A22" s="20"/>
      <c r="B22" s="21"/>
      <c r="C22" s="20"/>
      <c r="D22" s="20"/>
      <c r="E22" s="27"/>
      <c r="F22" s="27"/>
      <c r="G22" s="22"/>
      <c r="H22" s="21"/>
      <c r="I22" s="20"/>
      <c r="J22" s="20"/>
      <c r="K22" s="27"/>
      <c r="L22" s="27"/>
      <c r="M22" s="22"/>
    </row>
    <row r="23" spans="1:13" ht="15" hidden="1" x14ac:dyDescent="0.2">
      <c r="A23" s="18" t="s">
        <v>5</v>
      </c>
      <c r="B23" s="10">
        <v>0</v>
      </c>
      <c r="C23" s="18">
        <v>0</v>
      </c>
      <c r="D23" s="18">
        <v>0</v>
      </c>
      <c r="E23" s="26">
        <f>B23*C23*D23</f>
        <v>0</v>
      </c>
      <c r="F23" s="26">
        <f>E23*0.2</f>
        <v>0</v>
      </c>
      <c r="G23" s="2">
        <f>SUM(E23:F23)</f>
        <v>0</v>
      </c>
      <c r="H23" s="10"/>
      <c r="I23" s="18"/>
      <c r="J23" s="18"/>
      <c r="K23" s="26">
        <f>H23*I23*J23</f>
        <v>0</v>
      </c>
      <c r="L23" s="26">
        <f>K23*0.2</f>
        <v>0</v>
      </c>
      <c r="M23" s="2">
        <f>SUM(K23:L23)</f>
        <v>0</v>
      </c>
    </row>
    <row r="24" spans="1:13" ht="15" x14ac:dyDescent="0.2">
      <c r="A24" s="174" t="s">
        <v>38</v>
      </c>
      <c r="B24" s="2">
        <f>SUM(B7,B13,B21,B23,B16)</f>
        <v>0</v>
      </c>
      <c r="C24" s="2"/>
      <c r="D24" s="2"/>
      <c r="E24" s="2">
        <f>SUM(E7,E13,E21,E23,E16)</f>
        <v>0</v>
      </c>
      <c r="F24" s="2">
        <f>SUM(F7,F13,F21,F23,F16)</f>
        <v>0</v>
      </c>
      <c r="G24" s="2">
        <f>SUM(G7,G13,G21,G23,G16)</f>
        <v>0</v>
      </c>
      <c r="H24" s="2">
        <f>SUM(H7,H13,H21,H23,H16)</f>
        <v>142</v>
      </c>
      <c r="I24" s="2"/>
      <c r="J24" s="2"/>
      <c r="K24" s="2">
        <f>SUM(K7,K13,K21,K23,K16)</f>
        <v>14865666</v>
      </c>
      <c r="L24" s="2">
        <f>SUM(L7,L13,L21,L23,L16)</f>
        <v>4013730.01</v>
      </c>
      <c r="M24" s="2">
        <f>SUM(M7,M13,M21,M23,M16)</f>
        <v>18879396.009999998</v>
      </c>
    </row>
    <row r="25" spans="1:13" ht="15" x14ac:dyDescent="0.2">
      <c r="A25" s="1"/>
      <c r="B25" s="17"/>
      <c r="C25" s="1"/>
      <c r="D25" s="1"/>
      <c r="E25" s="1"/>
      <c r="F25" s="1"/>
      <c r="G25" s="3"/>
      <c r="H25" s="170" t="s">
        <v>70</v>
      </c>
      <c r="I25" s="171" t="s">
        <v>496</v>
      </c>
      <c r="J25" s="171" t="s">
        <v>9</v>
      </c>
      <c r="K25" s="171" t="s">
        <v>71</v>
      </c>
      <c r="L25" s="171"/>
      <c r="M25" s="172"/>
    </row>
    <row r="26" spans="1:13" ht="15" x14ac:dyDescent="0.2">
      <c r="A26" s="19" t="s">
        <v>555</v>
      </c>
      <c r="B26" s="17"/>
      <c r="C26" s="1"/>
      <c r="D26" s="1"/>
      <c r="E26" s="1"/>
      <c r="F26" s="1"/>
      <c r="G26" s="3"/>
      <c r="H26" s="17"/>
      <c r="I26" s="1"/>
      <c r="J26" s="1"/>
      <c r="K26" s="1"/>
      <c r="L26" s="1"/>
      <c r="M26" s="3"/>
    </row>
    <row r="27" spans="1:13" ht="15" x14ac:dyDescent="0.2">
      <c r="A27" s="1" t="s">
        <v>495</v>
      </c>
      <c r="B27" s="17"/>
      <c r="C27" s="1"/>
      <c r="D27" s="1"/>
      <c r="E27" s="25">
        <f>B27*C27*D27</f>
        <v>0</v>
      </c>
      <c r="F27" s="25">
        <f t="shared" ref="F27:F32" si="0">E27*0.27</f>
        <v>0</v>
      </c>
      <c r="G27" s="3">
        <f t="shared" ref="G27:G33" si="1">SUM(E27:F27)</f>
        <v>0</v>
      </c>
      <c r="H27" s="17">
        <v>17</v>
      </c>
      <c r="I27" s="1">
        <v>220</v>
      </c>
      <c r="J27" s="1">
        <v>390</v>
      </c>
      <c r="K27" s="25">
        <v>1462938</v>
      </c>
      <c r="L27" s="25"/>
      <c r="M27" s="3">
        <v>1462938</v>
      </c>
    </row>
    <row r="28" spans="1:13" ht="15" x14ac:dyDescent="0.2">
      <c r="A28" s="23" t="s">
        <v>546</v>
      </c>
      <c r="B28" s="17"/>
      <c r="C28" s="1"/>
      <c r="D28" s="1"/>
      <c r="E28" s="25">
        <f>B28*C28*D28</f>
        <v>0</v>
      </c>
      <c r="F28" s="25">
        <f t="shared" si="0"/>
        <v>0</v>
      </c>
      <c r="G28" s="3">
        <f t="shared" si="1"/>
        <v>0</v>
      </c>
      <c r="H28" s="17">
        <v>37</v>
      </c>
      <c r="I28" s="1">
        <v>220</v>
      </c>
      <c r="J28" s="1">
        <v>0</v>
      </c>
      <c r="K28" s="25">
        <f>H28*I28*J28</f>
        <v>0</v>
      </c>
      <c r="L28" s="25"/>
      <c r="M28" s="3">
        <f>K28*0.8</f>
        <v>0</v>
      </c>
    </row>
    <row r="29" spans="1:13" ht="15" hidden="1" x14ac:dyDescent="0.2">
      <c r="A29" s="23" t="s">
        <v>43</v>
      </c>
      <c r="B29" s="17"/>
      <c r="C29" s="1"/>
      <c r="D29" s="1"/>
      <c r="E29" s="25">
        <f>B29*C29*D29</f>
        <v>0</v>
      </c>
      <c r="F29" s="25">
        <f t="shared" si="0"/>
        <v>0</v>
      </c>
      <c r="G29" s="3">
        <f t="shared" si="1"/>
        <v>0</v>
      </c>
      <c r="H29" s="17"/>
      <c r="I29" s="1"/>
      <c r="J29" s="1"/>
      <c r="K29" s="25"/>
      <c r="L29" s="25"/>
      <c r="M29" s="3"/>
    </row>
    <row r="30" spans="1:13" ht="15" hidden="1" x14ac:dyDescent="0.2">
      <c r="A30" s="23" t="s">
        <v>44</v>
      </c>
      <c r="B30" s="17"/>
      <c r="C30" s="1"/>
      <c r="D30" s="1"/>
      <c r="E30" s="25">
        <f>B30*C30*D30</f>
        <v>0</v>
      </c>
      <c r="F30" s="25">
        <f t="shared" si="0"/>
        <v>0</v>
      </c>
      <c r="G30" s="3">
        <f t="shared" si="1"/>
        <v>0</v>
      </c>
      <c r="H30" s="17"/>
      <c r="I30" s="1"/>
      <c r="J30" s="1"/>
      <c r="K30" s="25"/>
      <c r="L30" s="25"/>
      <c r="M30" s="3"/>
    </row>
    <row r="31" spans="1:13" ht="15" hidden="1" x14ac:dyDescent="0.2">
      <c r="A31" s="23"/>
      <c r="B31" s="17"/>
      <c r="C31" s="1"/>
      <c r="D31" s="1"/>
      <c r="E31" s="25">
        <f>B31*C31*D31</f>
        <v>0</v>
      </c>
      <c r="F31" s="25">
        <f t="shared" si="0"/>
        <v>0</v>
      </c>
      <c r="G31" s="3">
        <f t="shared" si="1"/>
        <v>0</v>
      </c>
      <c r="H31" s="17"/>
      <c r="I31" s="1"/>
      <c r="J31" s="1"/>
      <c r="K31" s="25"/>
      <c r="L31" s="25"/>
      <c r="M31" s="3"/>
    </row>
    <row r="32" spans="1:13" ht="15" hidden="1" x14ac:dyDescent="0.2">
      <c r="A32" s="1" t="s">
        <v>46</v>
      </c>
      <c r="B32" s="17"/>
      <c r="C32" s="1"/>
      <c r="D32" s="1"/>
      <c r="E32" s="25"/>
      <c r="F32" s="25">
        <f t="shared" si="0"/>
        <v>0</v>
      </c>
      <c r="G32" s="3">
        <f t="shared" si="1"/>
        <v>0</v>
      </c>
      <c r="H32" s="17"/>
      <c r="I32" s="1"/>
      <c r="J32" s="1"/>
      <c r="K32" s="25"/>
      <c r="L32" s="25"/>
      <c r="M32" s="3"/>
    </row>
    <row r="33" spans="1:13" ht="15" hidden="1" x14ac:dyDescent="0.2">
      <c r="A33" s="1" t="s">
        <v>45</v>
      </c>
      <c r="B33" s="17"/>
      <c r="C33" s="1"/>
      <c r="D33" s="1"/>
      <c r="E33" s="25"/>
      <c r="F33" s="25">
        <f>B33*C33*D33*0.25</f>
        <v>0</v>
      </c>
      <c r="G33" s="3">
        <f t="shared" si="1"/>
        <v>0</v>
      </c>
      <c r="H33" s="17"/>
      <c r="I33" s="1"/>
      <c r="J33" s="1"/>
      <c r="K33" s="25"/>
      <c r="L33" s="25"/>
      <c r="M33" s="3"/>
    </row>
    <row r="34" spans="1:13" ht="15" x14ac:dyDescent="0.2">
      <c r="A34" s="1" t="s">
        <v>39</v>
      </c>
      <c r="B34" s="10">
        <f>SUM(B27:B33)</f>
        <v>0</v>
      </c>
      <c r="C34" s="18"/>
      <c r="D34" s="18"/>
      <c r="E34" s="28">
        <f>SUM(E27:E33)</f>
        <v>0</v>
      </c>
      <c r="F34" s="28">
        <f>SUM(F27:F33)</f>
        <v>0</v>
      </c>
      <c r="G34" s="2">
        <f>SUM(G27:G33)</f>
        <v>0</v>
      </c>
      <c r="H34" s="10">
        <f>SUM(H27:H33)</f>
        <v>54</v>
      </c>
      <c r="I34" s="18"/>
      <c r="J34" s="18"/>
      <c r="K34" s="28">
        <f>SUM(K27:K33)</f>
        <v>1462938</v>
      </c>
      <c r="L34" s="28"/>
      <c r="M34" s="2">
        <f>SUM(M27:M33)</f>
        <v>1462938</v>
      </c>
    </row>
    <row r="35" spans="1:13" ht="15" x14ac:dyDescent="0.2">
      <c r="A35" s="19" t="s">
        <v>556</v>
      </c>
      <c r="B35" s="17"/>
      <c r="C35" s="1"/>
      <c r="D35" s="1"/>
      <c r="E35" s="25"/>
      <c r="F35" s="25"/>
      <c r="G35" s="3"/>
      <c r="H35" s="17"/>
      <c r="I35" s="1"/>
      <c r="J35" s="1"/>
      <c r="K35" s="25"/>
      <c r="L35" s="25"/>
      <c r="M35" s="3"/>
    </row>
    <row r="36" spans="1:13" ht="15" x14ac:dyDescent="0.2">
      <c r="A36" s="1" t="s">
        <v>497</v>
      </c>
      <c r="B36" s="17"/>
      <c r="C36" s="1"/>
      <c r="D36" s="1"/>
      <c r="E36" s="25">
        <f t="shared" ref="E36:E43" si="2">B36*C36*D36</f>
        <v>0</v>
      </c>
      <c r="F36" s="25">
        <f t="shared" ref="F36:F43" si="3">E36*0.27</f>
        <v>0</v>
      </c>
      <c r="G36" s="3">
        <f t="shared" ref="G36:G44" si="4">SUM(E36:F36)</f>
        <v>0</v>
      </c>
      <c r="H36" s="17"/>
      <c r="I36" s="1"/>
      <c r="J36" s="1"/>
      <c r="K36" s="25"/>
      <c r="L36" s="25"/>
      <c r="M36" s="3">
        <f t="shared" ref="M36:M44" si="5">SUM(K36:L36)</f>
        <v>0</v>
      </c>
    </row>
    <row r="37" spans="1:13" ht="15" x14ac:dyDescent="0.2">
      <c r="A37" s="1" t="s">
        <v>498</v>
      </c>
      <c r="B37" s="17"/>
      <c r="C37" s="1"/>
      <c r="D37" s="1"/>
      <c r="E37" s="25">
        <f t="shared" si="2"/>
        <v>0</v>
      </c>
      <c r="F37" s="25">
        <f t="shared" si="3"/>
        <v>0</v>
      </c>
      <c r="G37" s="3">
        <f t="shared" si="4"/>
        <v>0</v>
      </c>
      <c r="H37" s="17">
        <v>29</v>
      </c>
      <c r="I37" s="1">
        <v>185</v>
      </c>
      <c r="J37" s="1">
        <v>337</v>
      </c>
      <c r="K37" s="25">
        <v>1810423</v>
      </c>
      <c r="L37" s="25">
        <v>488814</v>
      </c>
      <c r="M37" s="3">
        <v>2299237</v>
      </c>
    </row>
    <row r="38" spans="1:13" ht="15" x14ac:dyDescent="0.2">
      <c r="A38" s="1" t="s">
        <v>499</v>
      </c>
      <c r="B38" s="17"/>
      <c r="C38" s="1"/>
      <c r="D38" s="1"/>
      <c r="E38" s="25">
        <f t="shared" si="2"/>
        <v>0</v>
      </c>
      <c r="F38" s="25">
        <f t="shared" si="3"/>
        <v>0</v>
      </c>
      <c r="G38" s="3">
        <f t="shared" si="4"/>
        <v>0</v>
      </c>
      <c r="H38" s="17">
        <v>4</v>
      </c>
      <c r="I38" s="1">
        <v>185</v>
      </c>
      <c r="J38" s="1">
        <v>169</v>
      </c>
      <c r="K38" s="25">
        <v>124693</v>
      </c>
      <c r="L38" s="25">
        <v>33667</v>
      </c>
      <c r="M38" s="3">
        <v>158360</v>
      </c>
    </row>
    <row r="39" spans="1:13" ht="15" x14ac:dyDescent="0.2">
      <c r="A39" s="1" t="s">
        <v>500</v>
      </c>
      <c r="B39" s="17"/>
      <c r="C39" s="1"/>
      <c r="D39" s="1"/>
      <c r="E39" s="25">
        <f t="shared" si="2"/>
        <v>0</v>
      </c>
      <c r="F39" s="25">
        <f t="shared" si="3"/>
        <v>0</v>
      </c>
      <c r="G39" s="3">
        <f t="shared" si="4"/>
        <v>0</v>
      </c>
      <c r="H39" s="17">
        <v>5</v>
      </c>
      <c r="I39" s="1">
        <v>185</v>
      </c>
      <c r="J39" s="1">
        <v>0</v>
      </c>
      <c r="K39" s="25">
        <f>H39*I39*J39</f>
        <v>0</v>
      </c>
      <c r="L39" s="25"/>
      <c r="M39" s="3">
        <f t="shared" si="5"/>
        <v>0</v>
      </c>
    </row>
    <row r="40" spans="1:13" ht="15" x14ac:dyDescent="0.2">
      <c r="A40" s="1"/>
      <c r="B40" s="17"/>
      <c r="C40" s="1"/>
      <c r="D40" s="1"/>
      <c r="E40" s="25">
        <f t="shared" si="2"/>
        <v>0</v>
      </c>
      <c r="F40" s="25">
        <f t="shared" si="3"/>
        <v>0</v>
      </c>
      <c r="G40" s="3">
        <f t="shared" si="4"/>
        <v>0</v>
      </c>
      <c r="H40" s="17"/>
      <c r="I40" s="1"/>
      <c r="J40" s="1"/>
      <c r="K40" s="25"/>
      <c r="L40" s="25"/>
      <c r="M40" s="3"/>
    </row>
    <row r="41" spans="1:13" ht="15" x14ac:dyDescent="0.2">
      <c r="A41" s="1" t="s">
        <v>501</v>
      </c>
      <c r="B41" s="17"/>
      <c r="C41" s="1"/>
      <c r="D41" s="1"/>
      <c r="E41" s="25">
        <f t="shared" si="2"/>
        <v>0</v>
      </c>
      <c r="F41" s="25">
        <f t="shared" si="3"/>
        <v>0</v>
      </c>
      <c r="G41" s="3">
        <f t="shared" si="4"/>
        <v>0</v>
      </c>
      <c r="H41" s="17"/>
      <c r="I41" s="1"/>
      <c r="J41" s="1"/>
      <c r="K41" s="25"/>
      <c r="L41" s="25"/>
      <c r="M41" s="3">
        <f t="shared" si="5"/>
        <v>0</v>
      </c>
    </row>
    <row r="42" spans="1:13" ht="15" x14ac:dyDescent="0.2">
      <c r="A42" s="1" t="s">
        <v>502</v>
      </c>
      <c r="B42" s="17"/>
      <c r="C42" s="1"/>
      <c r="D42" s="1"/>
      <c r="E42" s="25">
        <f t="shared" si="2"/>
        <v>0</v>
      </c>
      <c r="F42" s="25">
        <f t="shared" si="3"/>
        <v>0</v>
      </c>
      <c r="G42" s="3">
        <f t="shared" si="4"/>
        <v>0</v>
      </c>
      <c r="H42" s="17">
        <v>36</v>
      </c>
      <c r="I42" s="1">
        <v>185</v>
      </c>
      <c r="J42" s="1">
        <v>255</v>
      </c>
      <c r="K42" s="25">
        <v>1701505</v>
      </c>
      <c r="L42" s="25">
        <v>459406</v>
      </c>
      <c r="M42" s="3">
        <v>2160911</v>
      </c>
    </row>
    <row r="43" spans="1:13" ht="15" x14ac:dyDescent="0.2">
      <c r="A43" s="173" t="s">
        <v>503</v>
      </c>
      <c r="B43" s="17"/>
      <c r="C43" s="1"/>
      <c r="D43" s="1"/>
      <c r="E43" s="25">
        <f t="shared" si="2"/>
        <v>0</v>
      </c>
      <c r="F43" s="25">
        <f t="shared" si="3"/>
        <v>0</v>
      </c>
      <c r="G43" s="3">
        <f t="shared" si="4"/>
        <v>0</v>
      </c>
      <c r="H43" s="17">
        <v>10</v>
      </c>
      <c r="I43" s="1">
        <v>185</v>
      </c>
      <c r="J43" s="1">
        <v>128</v>
      </c>
      <c r="K43" s="25">
        <v>235984</v>
      </c>
      <c r="L43" s="25">
        <v>63716</v>
      </c>
      <c r="M43" s="3">
        <v>299700</v>
      </c>
    </row>
    <row r="44" spans="1:13" ht="15" x14ac:dyDescent="0.2">
      <c r="A44" s="1" t="s">
        <v>504</v>
      </c>
      <c r="B44" s="17"/>
      <c r="C44" s="1"/>
      <c r="D44" s="1"/>
      <c r="E44" s="25"/>
      <c r="F44" s="25"/>
      <c r="G44" s="3">
        <f t="shared" si="4"/>
        <v>0</v>
      </c>
      <c r="H44" s="17">
        <v>4</v>
      </c>
      <c r="I44" s="1">
        <v>185</v>
      </c>
      <c r="J44" s="1">
        <v>0</v>
      </c>
      <c r="K44" s="25"/>
      <c r="L44" s="25"/>
      <c r="M44" s="3">
        <f t="shared" si="5"/>
        <v>0</v>
      </c>
    </row>
    <row r="45" spans="1:13" ht="15" x14ac:dyDescent="0.2">
      <c r="A45" s="18" t="s">
        <v>40</v>
      </c>
      <c r="B45" s="10">
        <f>SUM(B36:B44)</f>
        <v>0</v>
      </c>
      <c r="C45" s="18"/>
      <c r="D45" s="18"/>
      <c r="E45" s="26">
        <f>SUM(E36:E44)</f>
        <v>0</v>
      </c>
      <c r="F45" s="26">
        <f>SUM(F36:F44)</f>
        <v>0</v>
      </c>
      <c r="G45" s="2">
        <f>SUM(G36:G44)</f>
        <v>0</v>
      </c>
      <c r="H45" s="10">
        <f>SUM(H36:H44)</f>
        <v>88</v>
      </c>
      <c r="I45" s="18"/>
      <c r="J45" s="18"/>
      <c r="K45" s="26">
        <f>SUM(K36:K44)</f>
        <v>3872605</v>
      </c>
      <c r="L45" s="26">
        <f>SUM(L36:L44)</f>
        <v>1045603</v>
      </c>
      <c r="M45" s="2">
        <f>SUM(M36:M44)</f>
        <v>4918208</v>
      </c>
    </row>
    <row r="46" spans="1:13" ht="15" x14ac:dyDescent="0.2">
      <c r="A46" s="1"/>
      <c r="B46" s="17"/>
      <c r="C46" s="1"/>
      <c r="D46" s="1"/>
      <c r="E46" s="1"/>
      <c r="F46" s="1"/>
      <c r="G46" s="3"/>
      <c r="H46" s="17"/>
      <c r="I46" s="1"/>
      <c r="J46" s="1"/>
      <c r="K46" s="1"/>
      <c r="L46" s="1"/>
      <c r="M46" s="3"/>
    </row>
    <row r="47" spans="1:13" ht="15" hidden="1" x14ac:dyDescent="0.2">
      <c r="A47" s="1" t="s">
        <v>51</v>
      </c>
      <c r="B47" s="17"/>
      <c r="C47" s="1"/>
      <c r="D47" s="1"/>
      <c r="E47" s="25">
        <f>B47*C47*D47</f>
        <v>0</v>
      </c>
      <c r="F47" s="25">
        <f>E47*0.27</f>
        <v>0</v>
      </c>
      <c r="G47" s="3">
        <f t="shared" ref="G47:G52" si="6">SUM(E47:F47)</f>
        <v>0</v>
      </c>
      <c r="H47" s="17"/>
      <c r="I47" s="1"/>
      <c r="J47" s="1"/>
      <c r="K47" s="25">
        <f>H47*I47*J47</f>
        <v>0</v>
      </c>
      <c r="L47" s="25">
        <f>K47*0.27</f>
        <v>0</v>
      </c>
      <c r="M47" s="3">
        <f t="shared" ref="M47:M52" si="7">SUM(K47:L47)</f>
        <v>0</v>
      </c>
    </row>
    <row r="48" spans="1:13" ht="15" hidden="1" x14ac:dyDescent="0.2">
      <c r="A48" s="18" t="s">
        <v>49</v>
      </c>
      <c r="B48" s="10">
        <f>SUM(B47)</f>
        <v>0</v>
      </c>
      <c r="C48" s="10">
        <f>SUM(C47)</f>
        <v>0</v>
      </c>
      <c r="D48" s="10">
        <f>SUM(D47)</f>
        <v>0</v>
      </c>
      <c r="E48" s="8">
        <f>SUM(E47)</f>
        <v>0</v>
      </c>
      <c r="F48" s="8">
        <f>SUM(F47)</f>
        <v>0</v>
      </c>
      <c r="G48" s="2">
        <f t="shared" si="6"/>
        <v>0</v>
      </c>
      <c r="H48" s="10"/>
      <c r="I48" s="10">
        <f>SUM(I47)</f>
        <v>0</v>
      </c>
      <c r="J48" s="10">
        <f>SUM(J47)</f>
        <v>0</v>
      </c>
      <c r="K48" s="4">
        <f>SUM(K47)</f>
        <v>0</v>
      </c>
      <c r="L48" s="4">
        <f>SUM(L47)</f>
        <v>0</v>
      </c>
      <c r="M48" s="2">
        <f t="shared" si="7"/>
        <v>0</v>
      </c>
    </row>
    <row r="49" spans="1:13" ht="15" hidden="1" x14ac:dyDescent="0.2">
      <c r="A49" s="1"/>
      <c r="B49" s="17"/>
      <c r="C49" s="1"/>
      <c r="D49" s="1"/>
      <c r="E49" s="1"/>
      <c r="F49" s="1"/>
      <c r="G49" s="3">
        <f t="shared" si="6"/>
        <v>0</v>
      </c>
      <c r="H49" s="17"/>
      <c r="I49" s="1"/>
      <c r="J49" s="1"/>
      <c r="K49" s="1"/>
      <c r="L49" s="1"/>
      <c r="M49" s="3">
        <f t="shared" si="7"/>
        <v>0</v>
      </c>
    </row>
    <row r="50" spans="1:13" ht="15" hidden="1" x14ac:dyDescent="0.2">
      <c r="A50" s="19" t="s">
        <v>34</v>
      </c>
      <c r="B50" s="17"/>
      <c r="C50" s="1"/>
      <c r="D50" s="1"/>
      <c r="E50" s="1"/>
      <c r="F50" s="1"/>
      <c r="G50" s="3">
        <f t="shared" si="6"/>
        <v>0</v>
      </c>
      <c r="H50" s="17"/>
      <c r="I50" s="1"/>
      <c r="J50" s="1"/>
      <c r="K50" s="25">
        <f>H50*I50*J50</f>
        <v>0</v>
      </c>
      <c r="L50" s="25">
        <f>K50*0.27</f>
        <v>0</v>
      </c>
      <c r="M50" s="3">
        <f t="shared" si="7"/>
        <v>0</v>
      </c>
    </row>
    <row r="51" spans="1:13" ht="15" hidden="1" x14ac:dyDescent="0.2">
      <c r="A51" s="1" t="s">
        <v>35</v>
      </c>
      <c r="B51" s="17"/>
      <c r="C51" s="35"/>
      <c r="D51" s="1"/>
      <c r="E51" s="25">
        <f>B51*C51*D51</f>
        <v>0</v>
      </c>
      <c r="F51" s="25">
        <f>E51*0.27</f>
        <v>0</v>
      </c>
      <c r="G51" s="3">
        <f t="shared" si="6"/>
        <v>0</v>
      </c>
      <c r="H51" s="17"/>
      <c r="I51" s="29"/>
      <c r="J51" s="1"/>
      <c r="K51" s="25">
        <f>H51*I51*J51</f>
        <v>0</v>
      </c>
      <c r="L51" s="25">
        <f>K51*0.27</f>
        <v>0</v>
      </c>
      <c r="M51" s="3">
        <f t="shared" si="7"/>
        <v>0</v>
      </c>
    </row>
    <row r="52" spans="1:13" ht="15" hidden="1" x14ac:dyDescent="0.2">
      <c r="A52" s="1" t="s">
        <v>36</v>
      </c>
      <c r="B52" s="17"/>
      <c r="C52" s="1"/>
      <c r="D52" s="1"/>
      <c r="E52" s="25">
        <f>B52*C52*D52</f>
        <v>0</v>
      </c>
      <c r="F52" s="25">
        <f>E52*0.27</f>
        <v>0</v>
      </c>
      <c r="G52" s="3">
        <f t="shared" si="6"/>
        <v>0</v>
      </c>
      <c r="H52" s="17"/>
      <c r="I52" s="1"/>
      <c r="J52" s="1"/>
      <c r="K52" s="25">
        <f>H52*I52*J52</f>
        <v>0</v>
      </c>
      <c r="L52" s="25">
        <f>K52*0.27</f>
        <v>0</v>
      </c>
      <c r="M52" s="3">
        <f t="shared" si="7"/>
        <v>0</v>
      </c>
    </row>
    <row r="53" spans="1:13" ht="15" hidden="1" x14ac:dyDescent="0.2">
      <c r="A53" s="24" t="s">
        <v>41</v>
      </c>
      <c r="B53" s="10">
        <f>SUM(B51:B52)</f>
        <v>0</v>
      </c>
      <c r="C53" s="18"/>
      <c r="D53" s="18"/>
      <c r="E53" s="26">
        <f>SUM(E51:E52)</f>
        <v>0</v>
      </c>
      <c r="F53" s="26">
        <f>SUM(F51:F52)</f>
        <v>0</v>
      </c>
      <c r="G53" s="2">
        <f>SUM(G51:G52)</f>
        <v>0</v>
      </c>
      <c r="H53" s="10">
        <f>SUM(H51:H52)</f>
        <v>0</v>
      </c>
      <c r="I53" s="18"/>
      <c r="J53" s="18"/>
      <c r="K53" s="26">
        <f>SUM(K50:K52)</f>
        <v>0</v>
      </c>
      <c r="L53" s="26">
        <f>SUM(L50:L52)</f>
        <v>0</v>
      </c>
      <c r="M53" s="2">
        <f>SUM(M51:M52)</f>
        <v>0</v>
      </c>
    </row>
    <row r="54" spans="1:13" ht="15" hidden="1" x14ac:dyDescent="0.2">
      <c r="A54" s="24"/>
      <c r="B54" s="10"/>
      <c r="C54" s="18"/>
      <c r="D54" s="18"/>
      <c r="E54" s="26"/>
      <c r="F54" s="26"/>
      <c r="G54" s="2"/>
      <c r="H54" s="10"/>
      <c r="I54" s="18"/>
      <c r="J54" s="18"/>
      <c r="K54" s="26"/>
      <c r="L54" s="26"/>
      <c r="M54" s="2"/>
    </row>
    <row r="55" spans="1:13" ht="15" hidden="1" x14ac:dyDescent="0.2">
      <c r="A55" s="1"/>
      <c r="B55" s="17"/>
      <c r="C55" s="1"/>
      <c r="D55" s="1"/>
      <c r="E55" s="25">
        <f>B55*C55*D55</f>
        <v>0</v>
      </c>
      <c r="F55" s="25">
        <f>E55*0.27</f>
        <v>0</v>
      </c>
      <c r="G55" s="2">
        <f>SUM(E55+F55)</f>
        <v>0</v>
      </c>
      <c r="H55" s="17"/>
      <c r="I55" s="1"/>
      <c r="J55" s="1"/>
      <c r="K55" s="25">
        <f>H55*I55*J55</f>
        <v>0</v>
      </c>
      <c r="L55" s="25">
        <f>K55*0.27</f>
        <v>0</v>
      </c>
      <c r="M55" s="2">
        <f>SUM(K55+L55)</f>
        <v>0</v>
      </c>
    </row>
    <row r="56" spans="1:13" ht="15" hidden="1" x14ac:dyDescent="0.2">
      <c r="A56" s="18"/>
      <c r="B56" s="10"/>
      <c r="C56" s="18"/>
      <c r="D56" s="18"/>
      <c r="E56" s="26">
        <f>B56*C56*D56</f>
        <v>0</v>
      </c>
      <c r="F56" s="26">
        <f>E56*0.27</f>
        <v>0</v>
      </c>
      <c r="G56" s="2">
        <f>SUM(E56+F56)</f>
        <v>0</v>
      </c>
      <c r="H56" s="10"/>
      <c r="I56" s="18"/>
      <c r="J56" s="18"/>
      <c r="K56" s="26">
        <f>H56*I56*J56</f>
        <v>0</v>
      </c>
      <c r="L56" s="26">
        <f>K56*0.27</f>
        <v>0</v>
      </c>
      <c r="M56" s="2">
        <f>SUM(K56+L56)</f>
        <v>0</v>
      </c>
    </row>
    <row r="57" spans="1:13" ht="15" hidden="1" x14ac:dyDescent="0.2">
      <c r="A57" s="18"/>
      <c r="B57" s="10"/>
      <c r="C57" s="18"/>
      <c r="D57" s="18"/>
      <c r="E57" s="26"/>
      <c r="F57" s="26"/>
      <c r="G57" s="2"/>
      <c r="H57" s="10"/>
      <c r="I57" s="18"/>
      <c r="J57" s="18"/>
      <c r="K57" s="26"/>
      <c r="L57" s="26"/>
      <c r="M57" s="2"/>
    </row>
    <row r="58" spans="1:13" ht="15" x14ac:dyDescent="0.2">
      <c r="A58" s="174" t="s">
        <v>42</v>
      </c>
      <c r="B58" s="174">
        <f>SUM(B34,B45,B53,B56,B48,B55)</f>
        <v>0</v>
      </c>
      <c r="C58" s="174"/>
      <c r="D58" s="174"/>
      <c r="E58" s="174">
        <f>SUM(E34,E45,E53,E56,E48,E55)</f>
        <v>0</v>
      </c>
      <c r="F58" s="175">
        <f>SUM(F34,F45,F53,F56,F48,F55)</f>
        <v>0</v>
      </c>
      <c r="G58" s="176">
        <f>SUM(G34,G45,G53,G56,G48,G55)</f>
        <v>0</v>
      </c>
      <c r="H58" s="174">
        <f>SUM(H34,H45,H53,H56,H48,H55)</f>
        <v>142</v>
      </c>
      <c r="I58" s="174"/>
      <c r="J58" s="174"/>
      <c r="K58" s="2">
        <f>SUM(K34,K45,K53,K56,K48,K55)</f>
        <v>5335543</v>
      </c>
      <c r="L58" s="2">
        <f>SUM(L34,L45,L53,L56,L48,L55)</f>
        <v>1045603</v>
      </c>
      <c r="M58" s="2">
        <f>SUM(M34,M45,M53,M56,M48,M55)</f>
        <v>6381146</v>
      </c>
    </row>
  </sheetData>
  <mergeCells count="3">
    <mergeCell ref="B1:G1"/>
    <mergeCell ref="H1:M1"/>
    <mergeCell ref="H2:M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&amp;L&amp;"Times,Félkövér"&amp;14Levél Község  Önkormányzat&amp;C&amp;"Times,Félkövér"&amp;14Élelmezési kiadások és bevételek - 2019. évi terv&amp;R&amp;"Times,Normál"&amp;12 11. mellékletAdatok: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5"/>
  <sheetViews>
    <sheetView workbookViewId="0">
      <selection activeCell="C6" sqref="C6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3" x14ac:dyDescent="0.2">
      <c r="A1" s="853" t="s">
        <v>573</v>
      </c>
      <c r="B1" s="854"/>
      <c r="C1" s="855"/>
    </row>
    <row r="2" spans="1:3" x14ac:dyDescent="0.2">
      <c r="A2" s="856"/>
      <c r="B2" s="857"/>
      <c r="C2" s="858"/>
    </row>
    <row r="3" spans="1:3" ht="13.5" thickBot="1" x14ac:dyDescent="0.25">
      <c r="A3" s="859"/>
      <c r="B3" s="860"/>
      <c r="C3" s="861"/>
    </row>
    <row r="4" spans="1:3" ht="15.75" thickBot="1" x14ac:dyDescent="0.3">
      <c r="A4" s="214" t="s">
        <v>523</v>
      </c>
      <c r="B4" s="214" t="s">
        <v>524</v>
      </c>
      <c r="C4" s="214" t="s">
        <v>560</v>
      </c>
    </row>
    <row r="5" spans="1:3" ht="15" x14ac:dyDescent="0.25">
      <c r="A5" s="215" t="s">
        <v>525</v>
      </c>
      <c r="B5" s="216" t="s">
        <v>505</v>
      </c>
      <c r="C5" s="217">
        <f>SUM(C6:C7)</f>
        <v>504419661</v>
      </c>
    </row>
    <row r="6" spans="1:3" ht="14.25" x14ac:dyDescent="0.2">
      <c r="A6" s="218" t="s">
        <v>526</v>
      </c>
      <c r="B6" s="219" t="s">
        <v>505</v>
      </c>
      <c r="C6" s="220">
        <f>'Bevétel össz. - 3. mell.'!C56</f>
        <v>433793228</v>
      </c>
    </row>
    <row r="7" spans="1:3" ht="15" thickBot="1" x14ac:dyDescent="0.25">
      <c r="A7" s="221" t="s">
        <v>527</v>
      </c>
      <c r="B7" s="222" t="s">
        <v>511</v>
      </c>
      <c r="C7" s="223">
        <f>'Bevétel össz. - 3. mell.'!G56</f>
        <v>70626433</v>
      </c>
    </row>
    <row r="8" spans="1:3" ht="16.5" thickBot="1" x14ac:dyDescent="0.3">
      <c r="A8" s="851" t="s">
        <v>528</v>
      </c>
      <c r="B8" s="852"/>
      <c r="C8" s="224">
        <f>SUM(C6:C7)</f>
        <v>504419661</v>
      </c>
    </row>
    <row r="9" spans="1:3" ht="15.75" x14ac:dyDescent="0.25">
      <c r="A9" s="179"/>
      <c r="B9" s="180"/>
      <c r="C9" s="181"/>
    </row>
    <row r="10" spans="1:3" ht="15.75" x14ac:dyDescent="0.25">
      <c r="A10" s="179"/>
      <c r="B10" s="180"/>
      <c r="C10" s="181"/>
    </row>
    <row r="11" spans="1:3" ht="15.75" x14ac:dyDescent="0.25">
      <c r="A11" s="179"/>
      <c r="B11" s="182"/>
      <c r="C11" s="181"/>
    </row>
    <row r="12" spans="1:3" ht="15" x14ac:dyDescent="0.25">
      <c r="A12" s="179"/>
      <c r="B12" s="177"/>
      <c r="C12" s="178"/>
    </row>
    <row r="13" spans="1:3" ht="15" x14ac:dyDescent="0.25">
      <c r="A13" s="177"/>
      <c r="B13" s="183"/>
      <c r="C13" s="181"/>
    </row>
    <row r="14" spans="1:3" ht="14.25" x14ac:dyDescent="0.2">
      <c r="A14" s="179"/>
      <c r="B14" s="179"/>
      <c r="C14" s="181"/>
    </row>
    <row r="15" spans="1:3" ht="14.25" x14ac:dyDescent="0.2">
      <c r="A15" s="179"/>
      <c r="B15" s="179"/>
      <c r="C15" s="181"/>
    </row>
    <row r="16" spans="1:3" ht="14.25" x14ac:dyDescent="0.2">
      <c r="A16" s="179"/>
      <c r="B16" s="179"/>
      <c r="C16" s="181"/>
    </row>
    <row r="17" spans="1:3" ht="14.25" x14ac:dyDescent="0.2">
      <c r="A17" s="179"/>
      <c r="B17" s="179"/>
      <c r="C17" s="181"/>
    </row>
    <row r="18" spans="1:3" ht="14.25" x14ac:dyDescent="0.2">
      <c r="A18" s="179"/>
      <c r="B18" s="179"/>
      <c r="C18" s="181"/>
    </row>
    <row r="19" spans="1:3" ht="14.25" x14ac:dyDescent="0.2">
      <c r="A19" s="179"/>
      <c r="B19" s="179"/>
      <c r="C19" s="181"/>
    </row>
    <row r="20" spans="1:3" ht="14.25" x14ac:dyDescent="0.2">
      <c r="A20" s="179"/>
      <c r="B20" s="179"/>
      <c r="C20" s="181"/>
    </row>
    <row r="21" spans="1:3" ht="14.25" x14ac:dyDescent="0.2">
      <c r="A21" s="179"/>
      <c r="B21" s="179"/>
      <c r="C21" s="181"/>
    </row>
    <row r="22" spans="1:3" ht="14.25" x14ac:dyDescent="0.2">
      <c r="A22" s="179"/>
      <c r="B22" s="179"/>
      <c r="C22" s="181"/>
    </row>
    <row r="23" spans="1:3" ht="14.25" x14ac:dyDescent="0.2">
      <c r="A23" s="179"/>
      <c r="B23" s="179"/>
      <c r="C23" s="181"/>
    </row>
    <row r="24" spans="1:3" ht="14.25" x14ac:dyDescent="0.2">
      <c r="A24" s="179"/>
      <c r="B24" s="179"/>
      <c r="C24" s="181"/>
    </row>
    <row r="25" spans="1:3" ht="14.25" x14ac:dyDescent="0.2">
      <c r="A25" s="179"/>
      <c r="B25" s="179"/>
      <c r="C25" s="181"/>
    </row>
    <row r="26" spans="1:3" ht="14.25" x14ac:dyDescent="0.2">
      <c r="A26" s="179"/>
      <c r="B26" s="179"/>
      <c r="C26" s="181"/>
    </row>
    <row r="27" spans="1:3" ht="15" x14ac:dyDescent="0.25">
      <c r="A27" s="179"/>
      <c r="B27" s="177"/>
      <c r="C27" s="178"/>
    </row>
    <row r="28" spans="1:3" ht="14.25" x14ac:dyDescent="0.2">
      <c r="A28" s="179"/>
      <c r="B28" s="179"/>
      <c r="C28" s="181"/>
    </row>
    <row r="29" spans="1:3" ht="14.25" x14ac:dyDescent="0.2">
      <c r="A29" s="179"/>
      <c r="B29" s="179"/>
      <c r="C29" s="181"/>
    </row>
    <row r="30" spans="1:3" ht="14.25" x14ac:dyDescent="0.2">
      <c r="A30" s="179"/>
      <c r="B30" s="179"/>
      <c r="C30" s="181"/>
    </row>
    <row r="31" spans="1:3" ht="15" x14ac:dyDescent="0.25">
      <c r="A31" s="179"/>
      <c r="B31" s="177"/>
      <c r="C31" s="178"/>
    </row>
    <row r="32" spans="1:3" ht="15" x14ac:dyDescent="0.25">
      <c r="A32" s="179"/>
      <c r="B32" s="179"/>
      <c r="C32" s="178"/>
    </row>
    <row r="33" spans="1:3" ht="15" x14ac:dyDescent="0.25">
      <c r="A33" s="177"/>
      <c r="B33" s="179"/>
      <c r="C33" s="178"/>
    </row>
    <row r="34" spans="1:3" ht="15" x14ac:dyDescent="0.25">
      <c r="A34" s="177"/>
      <c r="B34" s="179"/>
      <c r="C34" s="178"/>
    </row>
    <row r="35" spans="1:3" ht="15.75" x14ac:dyDescent="0.25">
      <c r="A35" s="184"/>
      <c r="B35" s="185"/>
      <c r="C35" s="186"/>
    </row>
  </sheetData>
  <mergeCells count="2">
    <mergeCell ref="A8:B8"/>
    <mergeCell ref="A1:C3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Önkormányzat&amp;C2019. évi költségvetési előirányzat költségvetési szervenként&amp;R14.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2"/>
  <sheetViews>
    <sheetView tabSelected="1" workbookViewId="0">
      <selection activeCell="B39" sqref="B39"/>
    </sheetView>
  </sheetViews>
  <sheetFormatPr defaultRowHeight="12.75" x14ac:dyDescent="0.2"/>
  <cols>
    <col min="1" max="1" width="33.28515625" customWidth="1"/>
    <col min="2" max="2" width="13" customWidth="1"/>
    <col min="3" max="3" width="12.28515625" customWidth="1"/>
  </cols>
  <sheetData>
    <row r="1" spans="1:5" x14ac:dyDescent="0.2">
      <c r="A1" s="867" t="s">
        <v>574</v>
      </c>
      <c r="B1" s="867"/>
      <c r="C1" s="867"/>
      <c r="D1" s="867"/>
      <c r="E1" s="82"/>
    </row>
    <row r="2" spans="1:5" ht="13.5" thickBot="1" x14ac:dyDescent="0.25">
      <c r="A2" s="81"/>
      <c r="B2" s="82"/>
      <c r="C2" s="83"/>
      <c r="D2" s="82"/>
      <c r="E2" s="82"/>
    </row>
    <row r="3" spans="1:5" ht="13.5" thickBot="1" x14ac:dyDescent="0.25">
      <c r="A3" s="862"/>
      <c r="B3" s="864" t="s">
        <v>248</v>
      </c>
      <c r="C3" s="864"/>
      <c r="D3" s="864"/>
      <c r="E3" s="84"/>
    </row>
    <row r="4" spans="1:5" ht="13.5" thickBot="1" x14ac:dyDescent="0.25">
      <c r="A4" s="863"/>
      <c r="B4" s="865" t="s">
        <v>54</v>
      </c>
      <c r="C4" s="866"/>
      <c r="D4" s="85" t="s">
        <v>402</v>
      </c>
      <c r="E4" s="86"/>
    </row>
    <row r="5" spans="1:5" ht="39" x14ac:dyDescent="0.25">
      <c r="A5" s="87"/>
      <c r="B5" s="88" t="s">
        <v>575</v>
      </c>
      <c r="C5" s="256" t="s">
        <v>576</v>
      </c>
      <c r="D5" s="89"/>
      <c r="E5" s="86"/>
    </row>
    <row r="6" spans="1:5" ht="15.75" x14ac:dyDescent="0.25">
      <c r="A6" s="97" t="s">
        <v>505</v>
      </c>
      <c r="B6" s="97">
        <v>10</v>
      </c>
      <c r="C6" s="95"/>
      <c r="D6" s="96">
        <v>10</v>
      </c>
      <c r="E6" s="93"/>
    </row>
    <row r="7" spans="1:5" ht="15.75" x14ac:dyDescent="0.25">
      <c r="A7" s="90" t="s">
        <v>508</v>
      </c>
      <c r="B7" s="90">
        <v>1</v>
      </c>
      <c r="C7" s="91"/>
      <c r="D7" s="92">
        <v>1</v>
      </c>
      <c r="E7" s="93"/>
    </row>
    <row r="8" spans="1:5" ht="15.75" x14ac:dyDescent="0.25">
      <c r="A8" s="90" t="s">
        <v>506</v>
      </c>
      <c r="B8" s="91">
        <v>1.5</v>
      </c>
      <c r="C8" s="91"/>
      <c r="D8" s="92">
        <v>1.5</v>
      </c>
      <c r="E8" s="93"/>
    </row>
    <row r="9" spans="1:5" ht="15.75" x14ac:dyDescent="0.25">
      <c r="A9" s="90" t="s">
        <v>507</v>
      </c>
      <c r="B9" s="91">
        <v>3</v>
      </c>
      <c r="C9" s="91"/>
      <c r="D9" s="92">
        <v>3</v>
      </c>
      <c r="E9" s="93"/>
    </row>
    <row r="10" spans="1:5" ht="15.75" x14ac:dyDescent="0.25">
      <c r="A10" s="90" t="s">
        <v>509</v>
      </c>
      <c r="B10" s="91">
        <v>3</v>
      </c>
      <c r="C10" s="91"/>
      <c r="D10" s="92">
        <v>3</v>
      </c>
      <c r="E10" s="93"/>
    </row>
    <row r="11" spans="1:5" ht="15.75" x14ac:dyDescent="0.25">
      <c r="A11" s="90" t="s">
        <v>510</v>
      </c>
      <c r="B11" s="91">
        <v>1</v>
      </c>
      <c r="C11" s="91"/>
      <c r="D11" s="92">
        <v>1</v>
      </c>
      <c r="E11" s="93"/>
    </row>
    <row r="12" spans="1:5" ht="15.75" x14ac:dyDescent="0.25">
      <c r="A12" s="90"/>
      <c r="B12" s="91"/>
      <c r="C12" s="91"/>
      <c r="D12" s="92"/>
      <c r="E12" s="93"/>
    </row>
    <row r="13" spans="1:5" ht="34.5" customHeight="1" thickBot="1" x14ac:dyDescent="0.3">
      <c r="A13" s="94" t="s">
        <v>511</v>
      </c>
      <c r="B13" s="95">
        <v>11</v>
      </c>
      <c r="C13" s="95"/>
      <c r="D13" s="96">
        <v>11</v>
      </c>
      <c r="E13" s="93"/>
    </row>
    <row r="14" spans="1:5" ht="16.5" hidden="1" thickBot="1" x14ac:dyDescent="0.3">
      <c r="A14" s="90"/>
      <c r="B14" s="90"/>
      <c r="C14" s="91"/>
      <c r="D14" s="92"/>
      <c r="E14" s="93"/>
    </row>
    <row r="15" spans="1:5" ht="16.5" hidden="1" thickBot="1" x14ac:dyDescent="0.3">
      <c r="A15" s="90"/>
      <c r="B15" s="91"/>
      <c r="C15" s="91"/>
      <c r="D15" s="92"/>
      <c r="E15" s="93"/>
    </row>
    <row r="16" spans="1:5" ht="16.5" hidden="1" thickBot="1" x14ac:dyDescent="0.3">
      <c r="A16" s="90"/>
      <c r="B16" s="90"/>
      <c r="C16" s="91"/>
      <c r="D16" s="92"/>
      <c r="E16" s="93"/>
    </row>
    <row r="17" spans="1:5" ht="16.5" hidden="1" thickBot="1" x14ac:dyDescent="0.3">
      <c r="A17" s="90"/>
      <c r="B17" s="90"/>
      <c r="C17" s="91"/>
      <c r="D17" s="92"/>
      <c r="E17" s="93"/>
    </row>
    <row r="18" spans="1:5" ht="16.5" hidden="1" thickBot="1" x14ac:dyDescent="0.3">
      <c r="A18" s="90"/>
      <c r="B18" s="91"/>
      <c r="C18" s="91"/>
      <c r="D18" s="92"/>
      <c r="E18" s="93"/>
    </row>
    <row r="19" spans="1:5" ht="16.5" hidden="1" thickBot="1" x14ac:dyDescent="0.3">
      <c r="A19" s="90"/>
      <c r="B19" s="91"/>
      <c r="C19" s="91"/>
      <c r="D19" s="92"/>
      <c r="E19" s="93"/>
    </row>
    <row r="20" spans="1:5" ht="16.5" hidden="1" thickBot="1" x14ac:dyDescent="0.3">
      <c r="A20" s="90"/>
      <c r="B20" s="90"/>
      <c r="C20" s="91"/>
      <c r="D20" s="92"/>
      <c r="E20" s="93"/>
    </row>
    <row r="21" spans="1:5" ht="16.5" hidden="1" thickBot="1" x14ac:dyDescent="0.3">
      <c r="A21" s="90"/>
      <c r="B21" s="91"/>
      <c r="C21" s="91"/>
      <c r="D21" s="92"/>
      <c r="E21" s="93"/>
    </row>
    <row r="22" spans="1:5" ht="16.5" hidden="1" thickBot="1" x14ac:dyDescent="0.3">
      <c r="A22" s="90"/>
      <c r="B22" s="90"/>
      <c r="C22" s="91"/>
      <c r="D22" s="92"/>
      <c r="E22" s="93"/>
    </row>
    <row r="23" spans="1:5" ht="16.5" hidden="1" thickBot="1" x14ac:dyDescent="0.3">
      <c r="A23" s="90"/>
      <c r="B23" s="91"/>
      <c r="C23" s="91"/>
      <c r="D23" s="92"/>
      <c r="E23" s="93"/>
    </row>
    <row r="24" spans="1:5" ht="16.5" hidden="1" thickBot="1" x14ac:dyDescent="0.3">
      <c r="A24" s="90"/>
      <c r="B24" s="91"/>
      <c r="C24" s="91"/>
      <c r="D24" s="92"/>
      <c r="E24" s="93"/>
    </row>
    <row r="25" spans="1:5" ht="16.5" hidden="1" thickBot="1" x14ac:dyDescent="0.3">
      <c r="A25" s="90"/>
      <c r="B25" s="91"/>
      <c r="C25" s="91"/>
      <c r="D25" s="92"/>
      <c r="E25" s="93"/>
    </row>
    <row r="26" spans="1:5" ht="16.5" hidden="1" thickBot="1" x14ac:dyDescent="0.3">
      <c r="A26" s="90"/>
      <c r="B26" s="91"/>
      <c r="C26" s="91"/>
      <c r="D26" s="92"/>
      <c r="E26" s="93"/>
    </row>
    <row r="27" spans="1:5" ht="16.5" hidden="1" thickBot="1" x14ac:dyDescent="0.3">
      <c r="A27" s="94"/>
      <c r="B27" s="95"/>
      <c r="C27" s="91"/>
      <c r="D27" s="96"/>
      <c r="E27" s="93"/>
    </row>
    <row r="28" spans="1:5" ht="16.5" hidden="1" thickBot="1" x14ac:dyDescent="0.3">
      <c r="A28" s="97"/>
      <c r="B28" s="91"/>
      <c r="C28" s="91"/>
      <c r="D28" s="92"/>
      <c r="E28" s="93"/>
    </row>
    <row r="29" spans="1:5" ht="16.5" hidden="1" thickBot="1" x14ac:dyDescent="0.3">
      <c r="A29" s="90"/>
      <c r="B29" s="91"/>
      <c r="C29" s="91"/>
      <c r="D29" s="92"/>
      <c r="E29" s="93"/>
    </row>
    <row r="30" spans="1:5" ht="16.5" hidden="1" thickBot="1" x14ac:dyDescent="0.3">
      <c r="A30" s="90"/>
      <c r="B30" s="90"/>
      <c r="C30" s="90"/>
      <c r="D30" s="92"/>
      <c r="E30" s="93"/>
    </row>
    <row r="31" spans="1:5" ht="16.5" hidden="1" thickBot="1" x14ac:dyDescent="0.3">
      <c r="A31" s="98"/>
      <c r="B31" s="98"/>
      <c r="C31" s="98"/>
      <c r="D31" s="92"/>
      <c r="E31" s="93"/>
    </row>
    <row r="32" spans="1:5" ht="16.5" hidden="1" thickBot="1" x14ac:dyDescent="0.3">
      <c r="A32" s="98"/>
      <c r="B32" s="98"/>
      <c r="C32" s="98"/>
      <c r="D32" s="92"/>
      <c r="E32" s="93"/>
    </row>
    <row r="33" spans="1:5" ht="16.5" hidden="1" thickBot="1" x14ac:dyDescent="0.3">
      <c r="A33" s="90"/>
      <c r="B33" s="91"/>
      <c r="C33" s="91"/>
      <c r="D33" s="92"/>
      <c r="E33" s="93"/>
    </row>
    <row r="34" spans="1:5" ht="16.5" hidden="1" thickBot="1" x14ac:dyDescent="0.3">
      <c r="A34" s="90"/>
      <c r="B34" s="90"/>
      <c r="C34" s="90"/>
      <c r="D34" s="92"/>
      <c r="E34" s="93"/>
    </row>
    <row r="35" spans="1:5" ht="16.5" hidden="1" thickBot="1" x14ac:dyDescent="0.3">
      <c r="A35" s="98"/>
      <c r="B35" s="98"/>
      <c r="C35" s="98"/>
      <c r="D35" s="92"/>
      <c r="E35" s="93"/>
    </row>
    <row r="36" spans="1:5" ht="22.5" hidden="1" customHeight="1" thickBot="1" x14ac:dyDescent="0.3">
      <c r="A36" s="99"/>
      <c r="B36" s="99"/>
      <c r="C36" s="99"/>
      <c r="D36" s="92"/>
      <c r="E36" s="93"/>
    </row>
    <row r="37" spans="1:5" ht="13.5" thickBot="1" x14ac:dyDescent="0.25">
      <c r="A37" s="100" t="s">
        <v>85</v>
      </c>
      <c r="B37" s="85">
        <v>21</v>
      </c>
      <c r="C37" s="85">
        <v>0</v>
      </c>
      <c r="D37" s="85">
        <v>21</v>
      </c>
      <c r="E37" s="86"/>
    </row>
    <row r="38" spans="1:5" x14ac:dyDescent="0.2">
      <c r="A38" s="81"/>
      <c r="B38" s="82"/>
      <c r="C38" s="82"/>
      <c r="D38" s="82"/>
      <c r="E38" s="82"/>
    </row>
    <row r="39" spans="1:5" x14ac:dyDescent="0.2">
      <c r="A39" s="82"/>
      <c r="B39" s="82"/>
      <c r="C39" s="82"/>
      <c r="D39" s="82"/>
      <c r="E39" s="82"/>
    </row>
    <row r="40" spans="1:5" x14ac:dyDescent="0.2">
      <c r="A40" s="82"/>
      <c r="B40" s="82"/>
      <c r="C40" s="82"/>
      <c r="D40" s="82"/>
      <c r="E40" s="82"/>
    </row>
    <row r="41" spans="1:5" x14ac:dyDescent="0.2">
      <c r="A41" s="82"/>
      <c r="B41" s="82"/>
      <c r="C41" s="82"/>
      <c r="D41" s="82"/>
      <c r="E41" s="82"/>
    </row>
    <row r="42" spans="1:5" x14ac:dyDescent="0.2">
      <c r="A42" s="187"/>
      <c r="B42" s="187"/>
      <c r="C42" s="187"/>
      <c r="D42" s="187"/>
      <c r="E42" s="187"/>
    </row>
  </sheetData>
  <mergeCells count="4">
    <mergeCell ref="A3:A4"/>
    <mergeCell ref="B3:D3"/>
    <mergeCell ref="B4:C4"/>
    <mergeCell ref="A1:D1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Önkormányzat&amp;CKöltségvetési engedélyezett létszámhely 2019. év&amp;R12.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workbookViewId="0">
      <selection sqref="A1:F1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868" t="s">
        <v>559</v>
      </c>
      <c r="B1" s="868"/>
      <c r="C1" s="868"/>
      <c r="D1" s="868"/>
      <c r="E1" s="868"/>
      <c r="F1" s="868"/>
    </row>
    <row r="2" spans="1:6" x14ac:dyDescent="0.2">
      <c r="A2" s="868" t="s">
        <v>403</v>
      </c>
      <c r="B2" s="868"/>
      <c r="C2" s="868"/>
      <c r="D2" s="868"/>
      <c r="E2" s="868"/>
      <c r="F2" s="868"/>
    </row>
    <row r="3" spans="1:6" x14ac:dyDescent="0.2">
      <c r="E3" s="101"/>
      <c r="F3" s="101"/>
    </row>
    <row r="4" spans="1:6" ht="13.5" thickBot="1" x14ac:dyDescent="0.25">
      <c r="F4" s="101"/>
    </row>
    <row r="5" spans="1:6" ht="13.5" thickBot="1" x14ac:dyDescent="0.25">
      <c r="A5" s="102"/>
      <c r="B5" s="103">
        <v>2018</v>
      </c>
      <c r="C5" s="103">
        <v>2019</v>
      </c>
      <c r="D5" s="103">
        <v>2020</v>
      </c>
      <c r="E5" s="103">
        <v>2021</v>
      </c>
    </row>
    <row r="6" spans="1:6" x14ac:dyDescent="0.2">
      <c r="A6" s="104" t="s">
        <v>521</v>
      </c>
      <c r="B6" s="105">
        <f>'Bevétel össz. - 3. mell.'!K17</f>
        <v>77625729</v>
      </c>
      <c r="C6" s="105">
        <v>69000000</v>
      </c>
      <c r="D6" s="105">
        <v>70000000</v>
      </c>
      <c r="E6" s="105">
        <v>71000000</v>
      </c>
    </row>
    <row r="7" spans="1:6" x14ac:dyDescent="0.2">
      <c r="A7" s="106" t="s">
        <v>98</v>
      </c>
      <c r="B7" s="107">
        <f>'Önkormányzat - 9. mell.'!C120+'Bevétel össz. - 3. mell.'!G41</f>
        <v>13851807</v>
      </c>
      <c r="C7" s="107">
        <v>15000000</v>
      </c>
      <c r="D7" s="107">
        <v>16000000</v>
      </c>
      <c r="E7" s="107">
        <v>17000000</v>
      </c>
    </row>
    <row r="8" spans="1:6" ht="13.5" thickBot="1" x14ac:dyDescent="0.25">
      <c r="A8" s="106" t="s">
        <v>522</v>
      </c>
      <c r="B8" s="107">
        <v>0</v>
      </c>
      <c r="C8" s="107">
        <v>0</v>
      </c>
      <c r="D8" s="107">
        <v>0</v>
      </c>
      <c r="E8" s="107">
        <v>0</v>
      </c>
    </row>
    <row r="9" spans="1:6" ht="13.5" thickBot="1" x14ac:dyDescent="0.25">
      <c r="A9" s="109" t="s">
        <v>404</v>
      </c>
      <c r="B9" s="110">
        <f>SUM(B6:B8)</f>
        <v>91477536</v>
      </c>
      <c r="C9" s="110">
        <f>SUM(C6:C8)</f>
        <v>84000000</v>
      </c>
      <c r="D9" s="110">
        <f>SUM(D6:D8)</f>
        <v>86000000</v>
      </c>
      <c r="E9" s="110">
        <f>SUM(E6:E8)</f>
        <v>88000000</v>
      </c>
    </row>
    <row r="10" spans="1:6" x14ac:dyDescent="0.2">
      <c r="A10" s="106" t="s">
        <v>513</v>
      </c>
      <c r="B10" s="107">
        <f>'Bevétel össz. - 3. mell.'!K21</f>
        <v>0</v>
      </c>
      <c r="C10" s="107"/>
      <c r="D10" s="107"/>
      <c r="E10" s="107"/>
    </row>
    <row r="11" spans="1:6" x14ac:dyDescent="0.2">
      <c r="A11" s="106" t="s">
        <v>405</v>
      </c>
      <c r="B11" s="107">
        <f>'Önkormányzat - 9. mell.'!C129</f>
        <v>2886600</v>
      </c>
      <c r="C11" s="107">
        <v>3500000</v>
      </c>
      <c r="D11" s="107">
        <v>3780000</v>
      </c>
      <c r="E11" s="107">
        <v>3900000</v>
      </c>
    </row>
    <row r="12" spans="1:6" ht="13.5" thickBot="1" x14ac:dyDescent="0.25">
      <c r="A12" s="111" t="s">
        <v>406</v>
      </c>
      <c r="B12" s="112">
        <f>'Önkormányzat - 9. mell.'!C123</f>
        <v>460000</v>
      </c>
      <c r="C12" s="112"/>
      <c r="D12" s="112"/>
      <c r="E12" s="112"/>
    </row>
    <row r="13" spans="1:6" ht="13.5" thickBot="1" x14ac:dyDescent="0.25">
      <c r="A13" s="109" t="s">
        <v>407</v>
      </c>
      <c r="B13" s="110">
        <f>SUM(B10:B12)</f>
        <v>3346600</v>
      </c>
      <c r="C13" s="110">
        <f>SUM(C10:C12)</f>
        <v>3500000</v>
      </c>
      <c r="D13" s="110">
        <f>SUM(D10:D12)</f>
        <v>3780000</v>
      </c>
      <c r="E13" s="110">
        <f>SUM(E10:E12)</f>
        <v>3900000</v>
      </c>
    </row>
    <row r="14" spans="1:6" x14ac:dyDescent="0.2">
      <c r="A14" s="104" t="s">
        <v>408</v>
      </c>
      <c r="B14" s="105">
        <f>'Önkormányzat - 9. mell.'!C110</f>
        <v>171265000</v>
      </c>
      <c r="C14" s="105">
        <f>SUM(C15:C24)</f>
        <v>161415000</v>
      </c>
      <c r="D14" s="105">
        <f t="shared" ref="D14:E14" si="0">SUM(D15:D24)</f>
        <v>164565000</v>
      </c>
      <c r="E14" s="105">
        <f t="shared" si="0"/>
        <v>174200000</v>
      </c>
    </row>
    <row r="15" spans="1:6" x14ac:dyDescent="0.2">
      <c r="A15" s="106" t="s">
        <v>520</v>
      </c>
      <c r="B15" s="107">
        <f>'Önkormányzat - 9. mell.'!C98</f>
        <v>2500000</v>
      </c>
      <c r="C15" s="107">
        <v>2300000</v>
      </c>
      <c r="D15" s="107">
        <v>3000000</v>
      </c>
      <c r="E15" s="107">
        <v>5480000</v>
      </c>
    </row>
    <row r="16" spans="1:6" x14ac:dyDescent="0.2">
      <c r="A16" s="106" t="s">
        <v>411</v>
      </c>
      <c r="B16" s="107">
        <f>'Önkormányzat - 9. mell.'!C100</f>
        <v>6500000</v>
      </c>
      <c r="C16" s="107">
        <v>7500000</v>
      </c>
      <c r="D16" s="107">
        <v>8000000</v>
      </c>
      <c r="E16" s="107">
        <v>8540000</v>
      </c>
    </row>
    <row r="17" spans="1:5" x14ac:dyDescent="0.2">
      <c r="A17" s="106" t="s">
        <v>409</v>
      </c>
      <c r="B17" s="107">
        <f>'Önkormányzat - 9. mell.'!C102</f>
        <v>150000000</v>
      </c>
      <c r="C17" s="107">
        <v>140000000</v>
      </c>
      <c r="D17" s="107">
        <v>140000000</v>
      </c>
      <c r="E17" s="107">
        <v>145000000</v>
      </c>
    </row>
    <row r="18" spans="1:5" x14ac:dyDescent="0.2">
      <c r="A18" s="111" t="s">
        <v>518</v>
      </c>
      <c r="B18" s="107">
        <f>'Önkormányzat - 9. mell.'!C99</f>
        <v>4200000</v>
      </c>
      <c r="C18" s="112">
        <v>4200000</v>
      </c>
      <c r="D18" s="112">
        <v>6000000</v>
      </c>
      <c r="E18" s="112">
        <v>7000000</v>
      </c>
    </row>
    <row r="19" spans="1:5" x14ac:dyDescent="0.2">
      <c r="A19" s="111" t="s">
        <v>410</v>
      </c>
      <c r="B19" s="107">
        <f>'Önkormányzat - 9. mell.'!C104</f>
        <v>2000000</v>
      </c>
      <c r="C19" s="112">
        <v>1700000</v>
      </c>
      <c r="D19" s="112">
        <v>1750000</v>
      </c>
      <c r="E19" s="112">
        <v>1800000</v>
      </c>
    </row>
    <row r="20" spans="1:5" x14ac:dyDescent="0.2">
      <c r="A20" s="111" t="s">
        <v>77</v>
      </c>
      <c r="B20" s="107">
        <f>'Önkormányzat - 9. mell.'!C103</f>
        <v>6000000</v>
      </c>
      <c r="C20" s="112">
        <v>5500000</v>
      </c>
      <c r="D20" s="112">
        <v>5500000</v>
      </c>
      <c r="E20" s="112">
        <v>6000000</v>
      </c>
    </row>
    <row r="21" spans="1:5" x14ac:dyDescent="0.2">
      <c r="A21" s="111" t="s">
        <v>412</v>
      </c>
      <c r="B21" s="107">
        <f>'Önkormányzat - 9. mell.'!C106</f>
        <v>50000</v>
      </c>
      <c r="C21" s="112">
        <v>200000</v>
      </c>
      <c r="D21" s="112">
        <v>300000</v>
      </c>
      <c r="E21" s="112">
        <v>300000</v>
      </c>
    </row>
    <row r="22" spans="1:5" hidden="1" x14ac:dyDescent="0.2">
      <c r="A22" s="111" t="s">
        <v>79</v>
      </c>
      <c r="B22" s="107">
        <f>'Önkormányzat - 9. mell.'!C107</f>
        <v>15000</v>
      </c>
      <c r="C22" s="112"/>
      <c r="D22" s="112"/>
      <c r="E22" s="112"/>
    </row>
    <row r="23" spans="1:5" ht="13.5" hidden="1" thickBot="1" x14ac:dyDescent="0.25">
      <c r="A23" s="111" t="s">
        <v>413</v>
      </c>
      <c r="B23" s="107">
        <f>'Önkormányzat - 9. mell.'!C110</f>
        <v>171265000</v>
      </c>
      <c r="C23" s="108"/>
      <c r="D23" s="108"/>
      <c r="E23" s="108"/>
    </row>
    <row r="24" spans="1:5" ht="13.5" thickBot="1" x14ac:dyDescent="0.25">
      <c r="A24" s="235" t="s">
        <v>550</v>
      </c>
      <c r="B24" s="107">
        <f>'Önkormányzat - 9. mell.'!C107</f>
        <v>15000</v>
      </c>
      <c r="C24" s="236">
        <v>15000</v>
      </c>
      <c r="D24" s="236">
        <v>15000</v>
      </c>
      <c r="E24" s="236">
        <v>80000</v>
      </c>
    </row>
    <row r="25" spans="1:5" ht="13.5" thickBot="1" x14ac:dyDescent="0.25">
      <c r="A25" s="109" t="s">
        <v>414</v>
      </c>
      <c r="B25" s="110">
        <f>B14</f>
        <v>171265000</v>
      </c>
      <c r="C25" s="110">
        <f>C14</f>
        <v>161415000</v>
      </c>
      <c r="D25" s="110">
        <f>D14</f>
        <v>164565000</v>
      </c>
      <c r="E25" s="110">
        <f>E14</f>
        <v>174200000</v>
      </c>
    </row>
    <row r="26" spans="1:5" ht="13.5" thickBot="1" x14ac:dyDescent="0.25">
      <c r="A26" s="109" t="s">
        <v>68</v>
      </c>
      <c r="B26" s="113">
        <f>'Bevétel össz. - 3. mell.'!G54</f>
        <v>69183233</v>
      </c>
      <c r="C26" s="113">
        <v>63000000</v>
      </c>
      <c r="D26" s="113">
        <v>64000000</v>
      </c>
      <c r="E26" s="113">
        <v>66000000</v>
      </c>
    </row>
    <row r="27" spans="1:5" ht="13.5" thickBot="1" x14ac:dyDescent="0.25">
      <c r="A27" s="109" t="s">
        <v>565</v>
      </c>
      <c r="B27" s="113" t="e">
        <f>'Bevétel össz. - 3. mell.'!#REF!</f>
        <v>#REF!</v>
      </c>
      <c r="C27" s="113"/>
      <c r="D27" s="113"/>
      <c r="E27" s="113"/>
    </row>
    <row r="28" spans="1:5" ht="13.5" thickBot="1" x14ac:dyDescent="0.25">
      <c r="A28" s="109" t="s">
        <v>415</v>
      </c>
      <c r="B28" s="113" t="e">
        <f>SUM(B9+B13+B25)+B26+B27</f>
        <v>#REF!</v>
      </c>
      <c r="C28" s="113">
        <f>SUM(C9+C13+C25)+C26</f>
        <v>311915000</v>
      </c>
      <c r="D28" s="113">
        <f>SUM(D9+D13+D25)+D26</f>
        <v>318345000</v>
      </c>
      <c r="E28" s="113">
        <f>SUM(E9+E13+E25)+E26</f>
        <v>332100000</v>
      </c>
    </row>
    <row r="29" spans="1:5" ht="13.5" thickBot="1" x14ac:dyDescent="0.25">
      <c r="A29" s="114"/>
      <c r="B29" s="115"/>
      <c r="C29" s="115"/>
      <c r="D29" s="115"/>
      <c r="E29" s="115"/>
    </row>
    <row r="30" spans="1:5" ht="13.5" thickBot="1" x14ac:dyDescent="0.25">
      <c r="A30" s="102" t="s">
        <v>58</v>
      </c>
      <c r="B30" s="103">
        <v>2018</v>
      </c>
      <c r="C30" s="103">
        <v>2019</v>
      </c>
      <c r="D30" s="103">
        <v>2020</v>
      </c>
      <c r="E30" s="103">
        <v>2021</v>
      </c>
    </row>
    <row r="31" spans="1:5" x14ac:dyDescent="0.2">
      <c r="A31" s="116" t="s">
        <v>0</v>
      </c>
      <c r="B31" s="117">
        <f>'Önkormányzat - 9. mell.'!C23+'Kiadás össz. - 4. mell.'!L4</f>
        <v>128006895</v>
      </c>
      <c r="C31" s="117">
        <v>77521008</v>
      </c>
      <c r="D31" s="117">
        <v>78500000</v>
      </c>
      <c r="E31" s="117">
        <v>79000000</v>
      </c>
    </row>
    <row r="32" spans="1:5" x14ac:dyDescent="0.2">
      <c r="A32" s="118" t="s">
        <v>100</v>
      </c>
      <c r="B32" s="119">
        <f>'Önkormányzat - 9. mell.'!C28+'Kiadás össz. - 4. mell.'!L5</f>
        <v>25644837</v>
      </c>
      <c r="C32" s="119">
        <v>15900000</v>
      </c>
      <c r="D32" s="119">
        <v>16500000</v>
      </c>
      <c r="E32" s="119">
        <v>17000000</v>
      </c>
    </row>
    <row r="33" spans="1:5" x14ac:dyDescent="0.2">
      <c r="A33" s="118" t="s">
        <v>416</v>
      </c>
      <c r="B33" s="119">
        <f>'Önkormányzat - 9. mell.'!C61+'Kiadás össz. - 4. mell.'!L6</f>
        <v>152940323</v>
      </c>
      <c r="C33" s="119">
        <v>85000000</v>
      </c>
      <c r="D33" s="119">
        <v>87500000</v>
      </c>
      <c r="E33" s="119">
        <v>83000000</v>
      </c>
    </row>
    <row r="34" spans="1:5" x14ac:dyDescent="0.2">
      <c r="A34" s="120" t="s">
        <v>417</v>
      </c>
      <c r="B34" s="119">
        <f>'Önkormányzat - 9. mell.'!C62</f>
        <v>7000800</v>
      </c>
      <c r="C34" s="119">
        <v>5000000</v>
      </c>
      <c r="D34" s="119">
        <v>6000000</v>
      </c>
      <c r="E34" s="119">
        <v>6100000</v>
      </c>
    </row>
    <row r="35" spans="1:5" x14ac:dyDescent="0.2">
      <c r="A35" s="120" t="s">
        <v>351</v>
      </c>
      <c r="B35" s="119">
        <f>'Önkormányzat - 9. mell.'!C68-B36</f>
        <v>54562855</v>
      </c>
      <c r="C35" s="119">
        <v>28000000</v>
      </c>
      <c r="D35" s="119">
        <v>28500000</v>
      </c>
      <c r="E35" s="119">
        <v>28500000</v>
      </c>
    </row>
    <row r="36" spans="1:5" x14ac:dyDescent="0.2">
      <c r="A36" s="120" t="s">
        <v>53</v>
      </c>
      <c r="B36" s="119">
        <f>'Önkormányzat - 9. mell.'!C67</f>
        <v>52314000</v>
      </c>
      <c r="C36" s="119">
        <v>2000000</v>
      </c>
      <c r="D36" s="119">
        <v>4345000</v>
      </c>
      <c r="E36" s="119">
        <v>10000000</v>
      </c>
    </row>
    <row r="37" spans="1:5" x14ac:dyDescent="0.2">
      <c r="A37" s="120" t="s">
        <v>102</v>
      </c>
      <c r="B37" s="119">
        <f>'Önkormányzat - 9. mell.'!C69+'Kiadás össz. - 4. mell.'!L18</f>
        <v>254778053</v>
      </c>
      <c r="C37" s="119">
        <v>13404452</v>
      </c>
      <c r="D37" s="119">
        <v>13000000</v>
      </c>
      <c r="E37" s="119">
        <v>13500000</v>
      </c>
    </row>
    <row r="38" spans="1:5" x14ac:dyDescent="0.2">
      <c r="A38" s="120" t="s">
        <v>519</v>
      </c>
      <c r="B38" s="119">
        <f>'Önkormányzat - 9. mell.'!C70</f>
        <v>37310978</v>
      </c>
      <c r="C38" s="119">
        <v>22089540</v>
      </c>
      <c r="D38" s="119">
        <v>20000000</v>
      </c>
      <c r="E38" s="119">
        <v>29000000</v>
      </c>
    </row>
    <row r="39" spans="1:5" hidden="1" x14ac:dyDescent="0.2">
      <c r="A39" s="120"/>
      <c r="B39" s="119"/>
      <c r="C39" s="119"/>
      <c r="D39" s="119"/>
      <c r="E39" s="119"/>
    </row>
    <row r="40" spans="1:5" ht="13.5" hidden="1" thickBot="1" x14ac:dyDescent="0.25">
      <c r="A40" s="120"/>
      <c r="B40" s="119"/>
      <c r="C40" s="119"/>
      <c r="D40" s="119"/>
      <c r="E40" s="119"/>
    </row>
    <row r="41" spans="1:5" x14ac:dyDescent="0.2">
      <c r="A41" s="230" t="s">
        <v>543</v>
      </c>
      <c r="B41" s="231">
        <f>'Önkormányzat - 9. mell.'!C76</f>
        <v>524833</v>
      </c>
      <c r="C41" s="231"/>
      <c r="D41" s="231"/>
      <c r="E41" s="231"/>
    </row>
    <row r="42" spans="1:5" x14ac:dyDescent="0.2">
      <c r="A42" s="230" t="s">
        <v>545</v>
      </c>
      <c r="B42" s="231">
        <f>'Önkormányzat - 9. mell.'!C78</f>
        <v>332434</v>
      </c>
      <c r="C42" s="231"/>
      <c r="D42" s="231"/>
      <c r="E42" s="231"/>
    </row>
    <row r="43" spans="1:5" ht="13.5" thickBot="1" x14ac:dyDescent="0.25">
      <c r="A43" s="230" t="s">
        <v>551</v>
      </c>
      <c r="B43" s="231">
        <f>'Kiadás össz. - 4. mell.'!K22</f>
        <v>69183233</v>
      </c>
      <c r="C43" s="231">
        <v>63000000</v>
      </c>
      <c r="D43" s="231">
        <v>64000000</v>
      </c>
      <c r="E43" s="231">
        <v>66000000</v>
      </c>
    </row>
    <row r="44" spans="1:5" ht="13.5" thickBot="1" x14ac:dyDescent="0.25">
      <c r="A44" s="113" t="s">
        <v>418</v>
      </c>
      <c r="B44" s="113">
        <f>SUM(B31:B43)</f>
        <v>782599241</v>
      </c>
      <c r="C44" s="113">
        <f>SUM(C31:C43)</f>
        <v>311915000</v>
      </c>
      <c r="D44" s="113">
        <f>SUM(D31:D43)</f>
        <v>318345000</v>
      </c>
      <c r="E44" s="113">
        <f>SUM(E31:E43)</f>
        <v>332100000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workbookViewId="0">
      <selection sqref="A1:J1"/>
    </sheetView>
  </sheetViews>
  <sheetFormatPr defaultRowHeight="12.75" x14ac:dyDescent="0.2"/>
  <cols>
    <col min="1" max="1" width="31.7109375" customWidth="1"/>
    <col min="2" max="2" width="16" customWidth="1"/>
    <col min="3" max="3" width="14.5703125" customWidth="1"/>
    <col min="4" max="4" width="15.28515625" customWidth="1"/>
    <col min="5" max="5" width="14.7109375" customWidth="1"/>
    <col min="6" max="6" width="14.85546875" customWidth="1"/>
    <col min="7" max="7" width="13.28515625" customWidth="1"/>
    <col min="8" max="8" width="13.85546875" customWidth="1"/>
    <col min="9" max="9" width="14.7109375" customWidth="1"/>
    <col min="10" max="10" width="13.85546875" customWidth="1"/>
  </cols>
  <sheetData>
    <row r="1" spans="1:10" x14ac:dyDescent="0.2">
      <c r="A1" s="868" t="s">
        <v>419</v>
      </c>
      <c r="B1" s="868"/>
      <c r="C1" s="868"/>
      <c r="D1" s="868"/>
      <c r="E1" s="868"/>
      <c r="F1" s="868"/>
      <c r="G1" s="868"/>
      <c r="H1" s="868"/>
      <c r="I1" s="868"/>
      <c r="J1" s="868"/>
    </row>
    <row r="2" spans="1:10" x14ac:dyDescent="0.2">
      <c r="A2" s="868" t="s">
        <v>557</v>
      </c>
      <c r="B2" s="868"/>
      <c r="C2" s="868"/>
      <c r="D2" s="868"/>
      <c r="E2" s="868"/>
      <c r="F2" s="868"/>
      <c r="G2" s="868"/>
      <c r="H2" s="868"/>
      <c r="I2" s="868"/>
      <c r="J2" s="868"/>
    </row>
    <row r="3" spans="1:10" x14ac:dyDescent="0.2">
      <c r="A3" s="868" t="s">
        <v>420</v>
      </c>
      <c r="B3" s="868"/>
      <c r="C3" s="868"/>
      <c r="D3" s="868"/>
      <c r="E3" s="868"/>
      <c r="F3" s="868"/>
      <c r="G3" s="868"/>
      <c r="H3" s="868"/>
      <c r="I3" s="868"/>
      <c r="J3" s="868"/>
    </row>
    <row r="4" spans="1:10" x14ac:dyDescent="0.2">
      <c r="A4" s="121"/>
    </row>
    <row r="5" spans="1:10" x14ac:dyDescent="0.2">
      <c r="B5" s="101"/>
      <c r="I5" s="871"/>
      <c r="J5" s="871"/>
    </row>
    <row r="6" spans="1:10" ht="15.75" x14ac:dyDescent="0.25">
      <c r="A6" s="869" t="s">
        <v>80</v>
      </c>
      <c r="B6" s="122">
        <v>2018</v>
      </c>
      <c r="C6" s="123">
        <v>2019</v>
      </c>
      <c r="D6" s="123">
        <v>2020</v>
      </c>
      <c r="E6" s="123">
        <v>2021</v>
      </c>
      <c r="F6" s="123">
        <v>2022</v>
      </c>
      <c r="G6" s="123">
        <v>2023</v>
      </c>
      <c r="H6" s="123">
        <v>2024</v>
      </c>
      <c r="I6" s="123">
        <v>2025</v>
      </c>
      <c r="J6" s="123" t="s">
        <v>558</v>
      </c>
    </row>
    <row r="7" spans="1:10" ht="15.75" x14ac:dyDescent="0.25">
      <c r="A7" s="870"/>
      <c r="B7" s="122" t="s">
        <v>421</v>
      </c>
      <c r="C7" s="122" t="s">
        <v>421</v>
      </c>
      <c r="D7" s="122" t="s">
        <v>421</v>
      </c>
      <c r="E7" s="122" t="s">
        <v>421</v>
      </c>
      <c r="F7" s="122" t="s">
        <v>421</v>
      </c>
      <c r="G7" s="122" t="s">
        <v>421</v>
      </c>
      <c r="H7" s="122" t="s">
        <v>421</v>
      </c>
      <c r="I7" s="122" t="s">
        <v>421</v>
      </c>
      <c r="J7" s="122" t="s">
        <v>421</v>
      </c>
    </row>
    <row r="8" spans="1:10" ht="15.75" x14ac:dyDescent="0.25">
      <c r="A8" s="124" t="s">
        <v>408</v>
      </c>
      <c r="B8" s="125">
        <f>'Önkormányzat - 9. mell.'!C110</f>
        <v>171265000</v>
      </c>
      <c r="C8" s="125">
        <v>161415000</v>
      </c>
      <c r="D8" s="125">
        <v>164565000</v>
      </c>
      <c r="E8" s="125">
        <v>174200000</v>
      </c>
      <c r="F8" s="125">
        <v>175000000</v>
      </c>
      <c r="G8" s="125">
        <v>176000000</v>
      </c>
      <c r="H8" s="125">
        <v>177500000</v>
      </c>
      <c r="I8" s="125">
        <v>178000000</v>
      </c>
      <c r="J8" s="125">
        <v>179000000</v>
      </c>
    </row>
    <row r="9" spans="1:10" ht="15.75" x14ac:dyDescent="0.25">
      <c r="A9" s="126" t="s">
        <v>422</v>
      </c>
      <c r="B9" s="127"/>
      <c r="C9" s="127"/>
      <c r="D9" s="127"/>
      <c r="E9" s="127"/>
      <c r="F9" s="127"/>
      <c r="G9" s="127"/>
      <c r="H9" s="127"/>
      <c r="I9" s="127"/>
      <c r="J9" s="125"/>
    </row>
    <row r="10" spans="1:10" ht="15.75" x14ac:dyDescent="0.25">
      <c r="A10" s="126" t="s">
        <v>423</v>
      </c>
      <c r="B10" s="127"/>
      <c r="C10" s="127"/>
      <c r="D10" s="127"/>
      <c r="E10" s="127"/>
      <c r="F10" s="127"/>
      <c r="G10" s="127"/>
      <c r="H10" s="127"/>
      <c r="I10" s="127"/>
      <c r="J10" s="125"/>
    </row>
    <row r="11" spans="1:10" ht="69.75" customHeight="1" x14ac:dyDescent="0.25">
      <c r="A11" s="128" t="s">
        <v>424</v>
      </c>
      <c r="B11" s="129">
        <f>'Önkormányzat - 9. mell.'!C121</f>
        <v>460000</v>
      </c>
      <c r="C11" s="129"/>
      <c r="D11" s="129"/>
      <c r="E11" s="129"/>
      <c r="F11" s="129"/>
      <c r="G11" s="129"/>
      <c r="H11" s="129"/>
      <c r="I11" s="129"/>
      <c r="J11" s="125"/>
    </row>
    <row r="12" spans="1:10" ht="37.5" customHeight="1" x14ac:dyDescent="0.25">
      <c r="A12" s="130" t="s">
        <v>425</v>
      </c>
      <c r="B12" s="129"/>
      <c r="C12" s="129"/>
      <c r="D12" s="129"/>
      <c r="E12" s="129"/>
      <c r="F12" s="129"/>
      <c r="G12" s="129"/>
      <c r="H12" s="129"/>
      <c r="I12" s="129"/>
      <c r="J12" s="125"/>
    </row>
    <row r="13" spans="1:10" ht="39" customHeight="1" x14ac:dyDescent="0.25">
      <c r="A13" s="130" t="s">
        <v>426</v>
      </c>
      <c r="B13" s="129"/>
      <c r="C13" s="129"/>
      <c r="D13" s="129"/>
      <c r="E13" s="129"/>
      <c r="F13" s="129"/>
      <c r="G13" s="129"/>
      <c r="H13" s="129"/>
      <c r="I13" s="129"/>
      <c r="J13" s="125"/>
    </row>
    <row r="14" spans="1:10" ht="15.75" x14ac:dyDescent="0.25">
      <c r="A14" s="131" t="s">
        <v>427</v>
      </c>
      <c r="B14" s="132"/>
      <c r="C14" s="132"/>
      <c r="D14" s="132"/>
      <c r="E14" s="132"/>
      <c r="F14" s="132"/>
      <c r="G14" s="132"/>
      <c r="H14" s="132"/>
      <c r="I14" s="132"/>
      <c r="J14" s="125"/>
    </row>
    <row r="15" spans="1:10" ht="15.75" x14ac:dyDescent="0.25">
      <c r="A15" s="133" t="s">
        <v>428</v>
      </c>
      <c r="B15" s="134">
        <f>SUM(B8:B14)</f>
        <v>171725000</v>
      </c>
      <c r="C15" s="134">
        <f t="shared" ref="C15:J15" si="0">SUM(C8:C14)</f>
        <v>161415000</v>
      </c>
      <c r="D15" s="134">
        <f t="shared" si="0"/>
        <v>164565000</v>
      </c>
      <c r="E15" s="134">
        <f t="shared" si="0"/>
        <v>174200000</v>
      </c>
      <c r="F15" s="134">
        <f t="shared" si="0"/>
        <v>175000000</v>
      </c>
      <c r="G15" s="134">
        <f t="shared" si="0"/>
        <v>176000000</v>
      </c>
      <c r="H15" s="134">
        <f t="shared" si="0"/>
        <v>177500000</v>
      </c>
      <c r="I15" s="134">
        <f t="shared" si="0"/>
        <v>178000000</v>
      </c>
      <c r="J15" s="134">
        <f t="shared" si="0"/>
        <v>179000000</v>
      </c>
    </row>
    <row r="16" spans="1:10" ht="15.75" x14ac:dyDescent="0.25">
      <c r="A16" s="133" t="s">
        <v>429</v>
      </c>
      <c r="B16" s="134">
        <f>B15/2</f>
        <v>85862500</v>
      </c>
      <c r="C16" s="134">
        <f t="shared" ref="C16:J16" si="1">C15/2</f>
        <v>80707500</v>
      </c>
      <c r="D16" s="134">
        <f t="shared" si="1"/>
        <v>82282500</v>
      </c>
      <c r="E16" s="134">
        <f t="shared" si="1"/>
        <v>87100000</v>
      </c>
      <c r="F16" s="134">
        <f t="shared" si="1"/>
        <v>87500000</v>
      </c>
      <c r="G16" s="134">
        <f t="shared" si="1"/>
        <v>88000000</v>
      </c>
      <c r="H16" s="134">
        <f t="shared" si="1"/>
        <v>88750000</v>
      </c>
      <c r="I16" s="134">
        <f t="shared" si="1"/>
        <v>89000000</v>
      </c>
      <c r="J16" s="134">
        <f t="shared" si="1"/>
        <v>89500000</v>
      </c>
    </row>
  </sheetData>
  <mergeCells count="5">
    <mergeCell ref="A6:A7"/>
    <mergeCell ref="A1:J1"/>
    <mergeCell ref="A2:J2"/>
    <mergeCell ref="A3:J3"/>
    <mergeCell ref="I5:J5"/>
  </mergeCells>
  <phoneticPr fontId="2" type="noConversion"/>
  <pageMargins left="0.7" right="0.7" top="0.75" bottom="0.75" header="0.3" footer="0.3"/>
  <pageSetup paperSize="9" scale="54" orientation="portrait" horizontalDpi="120" verticalDpi="72" r:id="rId1"/>
  <headerFooter>
    <oddHeader>&amp;LLevél Községi Önkormányzat&amp;R16.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F0"/>
    <pageSetUpPr fitToPage="1"/>
  </sheetPr>
  <dimension ref="A1:J31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7109375" bestFit="1" customWidth="1"/>
    <col min="2" max="2" width="60.85546875" bestFit="1" customWidth="1"/>
    <col min="3" max="3" width="21" bestFit="1" customWidth="1"/>
    <col min="4" max="4" width="21.140625" bestFit="1" customWidth="1"/>
    <col min="5" max="5" width="8.42578125" bestFit="1" customWidth="1"/>
    <col min="6" max="6" width="7.42578125" bestFit="1" customWidth="1"/>
    <col min="7" max="7" width="56" bestFit="1" customWidth="1"/>
    <col min="8" max="8" width="21.28515625" bestFit="1" customWidth="1"/>
    <col min="9" max="9" width="21.140625" bestFit="1" customWidth="1"/>
    <col min="10" max="10" width="9.140625" bestFit="1" customWidth="1"/>
  </cols>
  <sheetData>
    <row r="1" spans="1:10" ht="20.100000000000001" customHeight="1" x14ac:dyDescent="0.2">
      <c r="A1" s="738"/>
      <c r="B1" s="745" t="s">
        <v>83</v>
      </c>
      <c r="C1" s="360"/>
      <c r="D1" s="415"/>
      <c r="E1" s="735" t="s">
        <v>742</v>
      </c>
      <c r="F1" s="740"/>
      <c r="G1" s="742" t="s">
        <v>58</v>
      </c>
      <c r="H1" s="360"/>
      <c r="I1" s="415"/>
      <c r="J1" s="735" t="s">
        <v>742</v>
      </c>
    </row>
    <row r="2" spans="1:10" ht="15" customHeight="1" x14ac:dyDescent="0.2">
      <c r="A2" s="738"/>
      <c r="B2" s="745"/>
      <c r="C2" s="361">
        <v>2019</v>
      </c>
      <c r="D2" s="416">
        <v>2019</v>
      </c>
      <c r="E2" s="736"/>
      <c r="F2" s="740"/>
      <c r="G2" s="743"/>
      <c r="H2" s="361">
        <v>2019</v>
      </c>
      <c r="I2" s="416">
        <v>2019</v>
      </c>
      <c r="J2" s="736"/>
    </row>
    <row r="3" spans="1:10" ht="40.5" customHeight="1" thickBot="1" x14ac:dyDescent="0.25">
      <c r="A3" s="739"/>
      <c r="B3" s="746"/>
      <c r="C3" s="362" t="s">
        <v>64</v>
      </c>
      <c r="D3" s="414" t="s">
        <v>570</v>
      </c>
      <c r="E3" s="737"/>
      <c r="F3" s="741"/>
      <c r="G3" s="744"/>
      <c r="H3" s="362" t="s">
        <v>64</v>
      </c>
      <c r="I3" s="414" t="s">
        <v>570</v>
      </c>
      <c r="J3" s="737"/>
    </row>
    <row r="4" spans="1:10" ht="20.100000000000001" customHeight="1" x14ac:dyDescent="0.25">
      <c r="A4" s="310" t="s">
        <v>271</v>
      </c>
      <c r="B4" s="363" t="s">
        <v>265</v>
      </c>
      <c r="C4" s="312">
        <f>'Ktvetési mérleg - 1. mell.'!C3</f>
        <v>56512929</v>
      </c>
      <c r="D4" s="417">
        <f>'Ktvetési mérleg - 1. mell.'!D3</f>
        <v>56845378</v>
      </c>
      <c r="E4" s="428">
        <f>D4/C4-1</f>
        <v>5.8827069465821058E-3</v>
      </c>
      <c r="F4" s="376" t="s">
        <v>143</v>
      </c>
      <c r="G4" s="358" t="s">
        <v>0</v>
      </c>
      <c r="H4" s="314">
        <f>'Kiadás össz. - 4. mell.'!K4</f>
        <v>86983644</v>
      </c>
      <c r="I4" s="418">
        <f>'Kiadás össz. - 4. mell.'!L4</f>
        <v>87231244</v>
      </c>
      <c r="J4" s="434">
        <f t="shared" ref="J4:J31" si="0">I4/H4-1</f>
        <v>2.8465121557794681E-3</v>
      </c>
    </row>
    <row r="5" spans="1:10" ht="20.100000000000001" customHeight="1" x14ac:dyDescent="0.25">
      <c r="A5" s="310" t="s">
        <v>272</v>
      </c>
      <c r="B5" s="363" t="s">
        <v>341</v>
      </c>
      <c r="C5" s="312">
        <f>'Ktvetési mérleg - 1. mell.'!C4</f>
        <v>21112800</v>
      </c>
      <c r="D5" s="417">
        <f>'Ktvetési mérleg - 1. mell.'!D4</f>
        <v>21112800</v>
      </c>
      <c r="E5" s="429">
        <f t="shared" ref="E5:E31" si="1">D5/C5-1</f>
        <v>0</v>
      </c>
      <c r="F5" s="376" t="s">
        <v>148</v>
      </c>
      <c r="G5" s="358" t="s">
        <v>50</v>
      </c>
      <c r="H5" s="314">
        <f>'Kiadás össz. - 4. mell.'!K5</f>
        <v>17383608</v>
      </c>
      <c r="I5" s="418">
        <f>'Kiadás össz. - 4. mell.'!L5</f>
        <v>17431889</v>
      </c>
      <c r="J5" s="434">
        <f t="shared" si="0"/>
        <v>2.7773866046680862E-3</v>
      </c>
    </row>
    <row r="6" spans="1:10" ht="20.100000000000001" customHeight="1" x14ac:dyDescent="0.25">
      <c r="A6" s="313" t="s">
        <v>264</v>
      </c>
      <c r="B6" s="358" t="s">
        <v>356</v>
      </c>
      <c r="C6" s="314">
        <f>SUM(C4:C5)</f>
        <v>77625729</v>
      </c>
      <c r="D6" s="418">
        <f>SUM(D4:D5)</f>
        <v>77958178</v>
      </c>
      <c r="E6" s="430">
        <f t="shared" si="1"/>
        <v>4.2827166235051006E-3</v>
      </c>
      <c r="F6" s="376" t="s">
        <v>200</v>
      </c>
      <c r="G6" s="358" t="s">
        <v>1</v>
      </c>
      <c r="H6" s="314">
        <f>'Kiadás össz. - 4. mell.'!K6</f>
        <v>79745477</v>
      </c>
      <c r="I6" s="418">
        <f>'Kiadás össz. - 4. mell.'!L6</f>
        <v>88152627</v>
      </c>
      <c r="J6" s="434">
        <f t="shared" si="0"/>
        <v>0.10542478791618493</v>
      </c>
    </row>
    <row r="7" spans="1:10" ht="20.100000000000001" customHeight="1" x14ac:dyDescent="0.25">
      <c r="A7" s="310"/>
      <c r="B7" s="363"/>
      <c r="C7" s="312"/>
      <c r="D7" s="417"/>
      <c r="E7" s="425"/>
      <c r="F7" s="376" t="s">
        <v>217</v>
      </c>
      <c r="G7" s="358" t="s">
        <v>2</v>
      </c>
      <c r="H7" s="314">
        <f>'Kiadás össz. - 4. mell.'!K7</f>
        <v>7000800</v>
      </c>
      <c r="I7" s="418">
        <f>'Kiadás össz. - 4. mell.'!L7</f>
        <v>4696800</v>
      </c>
      <c r="J7" s="434">
        <f t="shared" si="0"/>
        <v>-0.32910524511484407</v>
      </c>
    </row>
    <row r="8" spans="1:10" ht="20.100000000000001" customHeight="1" x14ac:dyDescent="0.25">
      <c r="A8" s="313" t="s">
        <v>284</v>
      </c>
      <c r="B8" s="358" t="s">
        <v>344</v>
      </c>
      <c r="C8" s="314">
        <f>'Ktvetési mérleg - 1. mell.'!C18</f>
        <v>171265000</v>
      </c>
      <c r="D8" s="418">
        <f>'Ktvetési mérleg - 1. mell.'!D18</f>
        <v>171265000</v>
      </c>
      <c r="E8" s="430">
        <f t="shared" si="1"/>
        <v>0</v>
      </c>
      <c r="F8" s="377" t="s">
        <v>218</v>
      </c>
      <c r="G8" s="363" t="s">
        <v>219</v>
      </c>
      <c r="H8" s="312">
        <f>'Kiadás össz. - 4. mell.'!K8</f>
        <v>18163453</v>
      </c>
      <c r="I8" s="417">
        <f>'Kiadás össz. - 4. mell.'!L8</f>
        <v>18163453</v>
      </c>
      <c r="J8" s="433">
        <f t="shared" si="0"/>
        <v>0</v>
      </c>
    </row>
    <row r="9" spans="1:10" ht="20.100000000000001" customHeight="1" x14ac:dyDescent="0.25">
      <c r="A9" s="313" t="s">
        <v>286</v>
      </c>
      <c r="B9" s="358" t="s">
        <v>98</v>
      </c>
      <c r="C9" s="314">
        <f>'Ktvetési mérleg - 1. mell.'!C19</f>
        <v>13851807</v>
      </c>
      <c r="D9" s="418">
        <f>'Ktvetési mérleg - 1. mell.'!D19</f>
        <v>13851807</v>
      </c>
      <c r="E9" s="430">
        <f t="shared" si="1"/>
        <v>0</v>
      </c>
      <c r="F9" s="377" t="s">
        <v>220</v>
      </c>
      <c r="G9" s="363" t="s">
        <v>252</v>
      </c>
      <c r="H9" s="312">
        <f>'Kiadás össz. - 4. mell.'!K9</f>
        <v>21152748</v>
      </c>
      <c r="I9" s="417">
        <f>'Kiadás össz. - 4. mell.'!L9</f>
        <v>21152748</v>
      </c>
      <c r="J9" s="433">
        <f t="shared" si="0"/>
        <v>0</v>
      </c>
    </row>
    <row r="10" spans="1:10" ht="20.100000000000001" customHeight="1" x14ac:dyDescent="0.25">
      <c r="A10" s="310" t="s">
        <v>308</v>
      </c>
      <c r="B10" s="363" t="s">
        <v>357</v>
      </c>
      <c r="C10" s="312">
        <f>'Ktvetési mérleg - 1. mell.'!C21</f>
        <v>0</v>
      </c>
      <c r="D10" s="417">
        <f>'Ktvetési mérleg - 1. mell.'!D21</f>
        <v>0</v>
      </c>
      <c r="E10" s="425"/>
      <c r="F10" s="377" t="s">
        <v>222</v>
      </c>
      <c r="G10" s="363" t="s">
        <v>348</v>
      </c>
      <c r="H10" s="312">
        <f>'Kiadás össz. - 4. mell.'!K10</f>
        <v>0</v>
      </c>
      <c r="I10" s="417">
        <f>'Kiadás össz. - 4. mell.'!L10</f>
        <v>0</v>
      </c>
      <c r="J10" s="433"/>
    </row>
    <row r="11" spans="1:10" ht="20.100000000000001" customHeight="1" x14ac:dyDescent="0.25">
      <c r="A11" s="310" t="s">
        <v>683</v>
      </c>
      <c r="B11" s="363" t="s">
        <v>358</v>
      </c>
      <c r="C11" s="312">
        <f>'Ktvetési mérleg - 1. mell.'!C22</f>
        <v>0</v>
      </c>
      <c r="D11" s="417">
        <f>'Ktvetési mérleg - 1. mell.'!D22</f>
        <v>47560</v>
      </c>
      <c r="E11" s="425"/>
      <c r="F11" s="377" t="s">
        <v>225</v>
      </c>
      <c r="G11" s="363" t="s">
        <v>254</v>
      </c>
      <c r="H11" s="312">
        <f>'Kiadás össz. - 4. mell.'!K11</f>
        <v>15246654</v>
      </c>
      <c r="I11" s="417">
        <f>'Kiadás össz. - 4. mell.'!L11</f>
        <v>14929154</v>
      </c>
      <c r="J11" s="433">
        <f t="shared" si="0"/>
        <v>-2.0824241174489777E-2</v>
      </c>
    </row>
    <row r="12" spans="1:10" ht="20.100000000000001" customHeight="1" x14ac:dyDescent="0.25">
      <c r="A12" s="313" t="s">
        <v>311</v>
      </c>
      <c r="B12" s="358" t="s">
        <v>359</v>
      </c>
      <c r="C12" s="314">
        <f>SUM(C10:C11)</f>
        <v>0</v>
      </c>
      <c r="D12" s="418">
        <f>SUM(D10:D11)</f>
        <v>47560</v>
      </c>
      <c r="E12" s="430"/>
      <c r="F12" s="376" t="s">
        <v>227</v>
      </c>
      <c r="G12" s="358" t="s">
        <v>351</v>
      </c>
      <c r="H12" s="314">
        <f>SUM(H8:H11)</f>
        <v>54562855</v>
      </c>
      <c r="I12" s="418">
        <f>SUM(I8:I11)</f>
        <v>54245355</v>
      </c>
      <c r="J12" s="434">
        <f t="shared" si="0"/>
        <v>-5.8189770311689593E-3</v>
      </c>
    </row>
    <row r="13" spans="1:10" ht="20.100000000000001" customHeight="1" x14ac:dyDescent="0.25">
      <c r="A13" s="310"/>
      <c r="B13" s="363" t="s">
        <v>107</v>
      </c>
      <c r="C13" s="312"/>
      <c r="D13" s="417"/>
      <c r="E13" s="425"/>
      <c r="F13" s="377" t="s">
        <v>623</v>
      </c>
      <c r="G13" s="363" t="s">
        <v>53</v>
      </c>
      <c r="H13" s="312">
        <f>'Kiadás össz. - 4. mell.'!K19</f>
        <v>52314000</v>
      </c>
      <c r="I13" s="417">
        <f>'Kiadás össz. - 4. mell.'!L19</f>
        <v>52491869</v>
      </c>
      <c r="J13" s="433">
        <f t="shared" si="0"/>
        <v>3.4000267614786583E-3</v>
      </c>
    </row>
    <row r="14" spans="1:10" ht="20.100000000000001" customHeight="1" x14ac:dyDescent="0.25">
      <c r="A14" s="310"/>
      <c r="B14" s="363" t="s">
        <v>364</v>
      </c>
      <c r="C14" s="312"/>
      <c r="D14" s="417"/>
      <c r="E14" s="425"/>
      <c r="F14" s="377"/>
      <c r="G14" s="363" t="s">
        <v>55</v>
      </c>
      <c r="H14" s="312"/>
      <c r="I14" s="417"/>
      <c r="J14" s="433"/>
    </row>
    <row r="15" spans="1:10" ht="20.100000000000001" customHeight="1" x14ac:dyDescent="0.25">
      <c r="A15" s="313"/>
      <c r="B15" s="358" t="s">
        <v>704</v>
      </c>
      <c r="C15" s="314">
        <f>SUM(C13:C14)</f>
        <v>0</v>
      </c>
      <c r="D15" s="418">
        <f>SUM(D13:D14)</f>
        <v>0</v>
      </c>
      <c r="E15" s="430"/>
      <c r="F15" s="376"/>
      <c r="G15" s="358" t="s">
        <v>705</v>
      </c>
      <c r="H15" s="314">
        <f t="shared" ref="H15:I15" si="2">SUM(H13:H14)</f>
        <v>52314000</v>
      </c>
      <c r="I15" s="418">
        <f t="shared" si="2"/>
        <v>52491869</v>
      </c>
      <c r="J15" s="434">
        <f t="shared" si="0"/>
        <v>3.4000267614786583E-3</v>
      </c>
    </row>
    <row r="16" spans="1:10" ht="20.100000000000001" customHeight="1" thickBot="1" x14ac:dyDescent="0.3">
      <c r="A16" s="364"/>
      <c r="B16" s="365" t="s">
        <v>108</v>
      </c>
      <c r="C16" s="366">
        <f>SUM(C6:C9,C12,C15)</f>
        <v>262742536</v>
      </c>
      <c r="D16" s="419">
        <f>SUM(D6:D9,D12,D15)</f>
        <v>263122545</v>
      </c>
      <c r="E16" s="431">
        <f t="shared" si="1"/>
        <v>1.4463170135496917E-3</v>
      </c>
      <c r="F16" s="378"/>
      <c r="G16" s="365" t="s">
        <v>109</v>
      </c>
      <c r="H16" s="366">
        <f>SUM(H4:H7,H12,H15)</f>
        <v>297990384</v>
      </c>
      <c r="I16" s="419">
        <f>SUM(I4:I7,I12,I15)</f>
        <v>304249784</v>
      </c>
      <c r="J16" s="435">
        <f t="shared" si="0"/>
        <v>2.1005375797629844E-2</v>
      </c>
    </row>
    <row r="17" spans="1:10" ht="20.100000000000001" customHeight="1" thickBot="1" x14ac:dyDescent="0.25">
      <c r="A17" s="374"/>
      <c r="B17" s="375" t="s">
        <v>110</v>
      </c>
      <c r="C17" s="372"/>
      <c r="D17" s="420"/>
      <c r="E17" s="426"/>
      <c r="F17" s="379"/>
      <c r="G17" s="375" t="s">
        <v>111</v>
      </c>
      <c r="H17" s="373"/>
      <c r="I17" s="423"/>
      <c r="J17" s="427"/>
    </row>
    <row r="18" spans="1:10" ht="20.100000000000001" customHeight="1" x14ac:dyDescent="0.25">
      <c r="A18" s="367" t="s">
        <v>276</v>
      </c>
      <c r="B18" s="368" t="s">
        <v>433</v>
      </c>
      <c r="C18" s="369">
        <f>'Ktvetési mérleg - 1. mell.'!C6</f>
        <v>0</v>
      </c>
      <c r="D18" s="421">
        <f>'Ktvetési mérleg - 1. mell.'!D6</f>
        <v>0</v>
      </c>
      <c r="E18" s="425"/>
      <c r="F18" s="380" t="s">
        <v>208</v>
      </c>
      <c r="G18" s="370" t="s">
        <v>3</v>
      </c>
      <c r="H18" s="371">
        <f>'Kiadás össz. - 4. mell.'!K13</f>
        <v>99077799</v>
      </c>
      <c r="I18" s="424">
        <f>'Kiadás össz. - 4. mell.'!L13</f>
        <v>111823826</v>
      </c>
      <c r="J18" s="436">
        <f t="shared" si="0"/>
        <v>0.12864665069921477</v>
      </c>
    </row>
    <row r="19" spans="1:10" ht="20.100000000000001" customHeight="1" x14ac:dyDescent="0.25">
      <c r="A19" s="310" t="s">
        <v>274</v>
      </c>
      <c r="B19" s="363" t="s">
        <v>343</v>
      </c>
      <c r="C19" s="312">
        <f>'Ktvetési mérleg - 1. mell.'!C7</f>
        <v>0</v>
      </c>
      <c r="D19" s="417">
        <f>'Ktvetési mérleg - 1. mell.'!D7</f>
        <v>0</v>
      </c>
      <c r="E19" s="425"/>
      <c r="F19" s="376" t="s">
        <v>211</v>
      </c>
      <c r="G19" s="358" t="s">
        <v>56</v>
      </c>
      <c r="H19" s="314">
        <f>'Kiadás össz. - 4. mell.'!K14</f>
        <v>37310978</v>
      </c>
      <c r="I19" s="418">
        <f>'Kiadás össz. - 4. mell.'!L14</f>
        <v>44166427</v>
      </c>
      <c r="J19" s="434">
        <f t="shared" si="0"/>
        <v>0.18373812125750222</v>
      </c>
    </row>
    <row r="20" spans="1:10" ht="20.100000000000001" customHeight="1" x14ac:dyDescent="0.25">
      <c r="A20" s="313" t="s">
        <v>275</v>
      </c>
      <c r="B20" s="358" t="s">
        <v>345</v>
      </c>
      <c r="C20" s="314">
        <f>SUM(C18:C19)</f>
        <v>0</v>
      </c>
      <c r="D20" s="418">
        <f>SUM(D18:D19)</f>
        <v>0</v>
      </c>
      <c r="E20" s="430"/>
      <c r="F20" s="377"/>
      <c r="G20" s="363"/>
      <c r="H20" s="312"/>
      <c r="I20" s="417"/>
      <c r="J20" s="433"/>
    </row>
    <row r="21" spans="1:10" ht="20.100000000000001" customHeight="1" x14ac:dyDescent="0.25">
      <c r="A21" s="313" t="s">
        <v>346</v>
      </c>
      <c r="B21" s="358" t="s">
        <v>347</v>
      </c>
      <c r="C21" s="314">
        <f>'Ktvetési mérleg - 1. mell.'!C20</f>
        <v>460000</v>
      </c>
      <c r="D21" s="418">
        <f>'Ktvetési mérleg - 1. mell.'!D20</f>
        <v>460000</v>
      </c>
      <c r="E21" s="430">
        <f t="shared" si="1"/>
        <v>0</v>
      </c>
      <c r="F21" s="377" t="s">
        <v>212</v>
      </c>
      <c r="G21" s="363" t="s">
        <v>259</v>
      </c>
      <c r="H21" s="312">
        <f>'Kiadás össz. - 4. mell.'!K15</f>
        <v>0</v>
      </c>
      <c r="I21" s="417">
        <f>'Kiadás össz. - 4. mell.'!L15</f>
        <v>0</v>
      </c>
      <c r="J21" s="433"/>
    </row>
    <row r="22" spans="1:10" ht="20.100000000000001" customHeight="1" x14ac:dyDescent="0.25">
      <c r="A22" s="310" t="s">
        <v>315</v>
      </c>
      <c r="B22" s="363" t="s">
        <v>316</v>
      </c>
      <c r="C22" s="312">
        <f>'Ktvetési mérleg - 1. mell.'!C24</f>
        <v>0</v>
      </c>
      <c r="D22" s="417">
        <f>'Ktvetési mérleg - 1. mell.'!D24</f>
        <v>0</v>
      </c>
      <c r="E22" s="425"/>
      <c r="F22" s="377" t="s">
        <v>213</v>
      </c>
      <c r="G22" s="363" t="s">
        <v>260</v>
      </c>
      <c r="H22" s="312">
        <f>'Kiadás össz. - 4. mell.'!K16</f>
        <v>0</v>
      </c>
      <c r="I22" s="417">
        <f>'Kiadás össz. - 4. mell.'!L16</f>
        <v>0</v>
      </c>
      <c r="J22" s="433"/>
    </row>
    <row r="23" spans="1:10" ht="20.100000000000001" customHeight="1" x14ac:dyDescent="0.25">
      <c r="A23" s="310" t="s">
        <v>686</v>
      </c>
      <c r="B23" s="363" t="s">
        <v>361</v>
      </c>
      <c r="C23" s="312">
        <f>'Ktvetési mérleg - 1. mell.'!C25</f>
        <v>2886600</v>
      </c>
      <c r="D23" s="417">
        <f>'Ktvetési mérleg - 1. mell.'!D25</f>
        <v>2886600</v>
      </c>
      <c r="E23" s="429">
        <f t="shared" si="1"/>
        <v>0</v>
      </c>
      <c r="F23" s="377" t="s">
        <v>214</v>
      </c>
      <c r="G23" s="363" t="s">
        <v>261</v>
      </c>
      <c r="H23" s="312">
        <f>'Kiadás össz. - 4. mell.'!K17</f>
        <v>0</v>
      </c>
      <c r="I23" s="417">
        <f>'Kiadás össz. - 4. mell.'!L17</f>
        <v>0</v>
      </c>
      <c r="J23" s="433"/>
    </row>
    <row r="24" spans="1:10" ht="20.100000000000001" customHeight="1" x14ac:dyDescent="0.25">
      <c r="A24" s="313" t="s">
        <v>312</v>
      </c>
      <c r="B24" s="358" t="s">
        <v>360</v>
      </c>
      <c r="C24" s="314">
        <f>SUM(C22:C23)</f>
        <v>2886600</v>
      </c>
      <c r="D24" s="418">
        <f>SUM(D22:D23)</f>
        <v>2886600</v>
      </c>
      <c r="E24" s="430">
        <f t="shared" si="1"/>
        <v>0</v>
      </c>
      <c r="F24" s="376" t="s">
        <v>215</v>
      </c>
      <c r="G24" s="358" t="s">
        <v>352</v>
      </c>
      <c r="H24" s="314">
        <f>SUM(H20:H23)</f>
        <v>0</v>
      </c>
      <c r="I24" s="418">
        <f>SUM(I20:I23)</f>
        <v>0</v>
      </c>
      <c r="J24" s="434"/>
    </row>
    <row r="25" spans="1:10" ht="19.5" customHeight="1" x14ac:dyDescent="0.25">
      <c r="A25" s="310" t="s">
        <v>319</v>
      </c>
      <c r="B25" s="363" t="s">
        <v>107</v>
      </c>
      <c r="C25" s="312">
        <f>'Ktvetési mérleg - 1. mell.'!C28-C13</f>
        <v>5000000</v>
      </c>
      <c r="D25" s="417">
        <f>'Ktvetési mérleg - 1. mell.'!D28-D13</f>
        <v>5000000</v>
      </c>
      <c r="E25" s="429">
        <f t="shared" si="1"/>
        <v>0</v>
      </c>
      <c r="F25" s="377" t="s">
        <v>534</v>
      </c>
      <c r="G25" s="363" t="s">
        <v>544</v>
      </c>
      <c r="H25" s="312">
        <f>'Kiadás össz. - 4. mell.'!K21</f>
        <v>524833</v>
      </c>
      <c r="I25" s="417">
        <f>'Kiadás össz. - 4. mell.'!L21</f>
        <v>524833</v>
      </c>
      <c r="J25" s="433">
        <f t="shared" si="0"/>
        <v>0</v>
      </c>
    </row>
    <row r="26" spans="1:10" ht="20.100000000000001" customHeight="1" x14ac:dyDescent="0.25">
      <c r="A26" s="310" t="s">
        <v>320</v>
      </c>
      <c r="B26" s="363" t="s">
        <v>563</v>
      </c>
      <c r="C26" s="312">
        <f>'Ktvetési mérleg - 1. mell.'!C29-C14</f>
        <v>164147292</v>
      </c>
      <c r="D26" s="417">
        <f>'Ktvetési mérleg - 1. mell.'!D29-D14</f>
        <v>189628159</v>
      </c>
      <c r="E26" s="429">
        <f t="shared" si="1"/>
        <v>0.15523172322574785</v>
      </c>
      <c r="F26" s="377" t="s">
        <v>251</v>
      </c>
      <c r="G26" s="363" t="s">
        <v>68</v>
      </c>
      <c r="H26" s="312">
        <f>'Kiadás össz. - 4. mell.'!K22</f>
        <v>69183233</v>
      </c>
      <c r="I26" s="417">
        <f>'Kiadás össz. - 4. mell.'!L22</f>
        <v>69201874</v>
      </c>
      <c r="J26" s="433">
        <f t="shared" si="0"/>
        <v>2.6944389835037441E-4</v>
      </c>
    </row>
    <row r="27" spans="1:10" ht="20.100000000000001" customHeight="1" x14ac:dyDescent="0.25">
      <c r="A27" s="310" t="s">
        <v>322</v>
      </c>
      <c r="B27" s="363" t="s">
        <v>68</v>
      </c>
      <c r="C27" s="312">
        <f>'Ktvetési mérleg - 1. mell.'!C32</f>
        <v>69183233</v>
      </c>
      <c r="D27" s="417">
        <f>'Ktvetési mérleg - 1. mell.'!D32</f>
        <v>69201874</v>
      </c>
      <c r="E27" s="429">
        <f t="shared" si="1"/>
        <v>2.6944389835037441E-4</v>
      </c>
      <c r="F27" s="377" t="s">
        <v>530</v>
      </c>
      <c r="G27" s="363" t="s">
        <v>543</v>
      </c>
      <c r="H27" s="312">
        <f>'Kiadás össz. - 4. mell.'!K23</f>
        <v>332434</v>
      </c>
      <c r="I27" s="417">
        <f>'Kiadás össz. - 4. mell.'!L23</f>
        <v>332434</v>
      </c>
      <c r="J27" s="433">
        <f t="shared" si="0"/>
        <v>0</v>
      </c>
    </row>
    <row r="28" spans="1:10" ht="20.100000000000001" customHeight="1" x14ac:dyDescent="0.25">
      <c r="A28" s="313" t="s">
        <v>362</v>
      </c>
      <c r="B28" s="358" t="s">
        <v>704</v>
      </c>
      <c r="C28" s="314">
        <f>SUM(C25:C27)</f>
        <v>238330525</v>
      </c>
      <c r="D28" s="418">
        <f>SUM(D25:D27)</f>
        <v>263830033</v>
      </c>
      <c r="E28" s="430">
        <f t="shared" si="1"/>
        <v>0.10699220336966908</v>
      </c>
      <c r="F28" s="376" t="s">
        <v>363</v>
      </c>
      <c r="G28" s="358" t="s">
        <v>705</v>
      </c>
      <c r="H28" s="314">
        <f>SUM(H25:H27)</f>
        <v>70040500</v>
      </c>
      <c r="I28" s="418">
        <f>SUM(I25:I27)</f>
        <v>70059141</v>
      </c>
      <c r="J28" s="434">
        <f t="shared" si="0"/>
        <v>2.6614601551955275E-4</v>
      </c>
    </row>
    <row r="29" spans="1:10" ht="20.100000000000001" customHeight="1" thickBot="1" x14ac:dyDescent="0.3">
      <c r="A29" s="364"/>
      <c r="B29" s="365" t="s">
        <v>706</v>
      </c>
      <c r="C29" s="366">
        <f>SUM(C28,C24,C20,C21)</f>
        <v>241677125</v>
      </c>
      <c r="D29" s="419">
        <f>SUM(D28,D24,D20,D21)</f>
        <v>267176633</v>
      </c>
      <c r="E29" s="431">
        <f t="shared" si="1"/>
        <v>0.10551063945336159</v>
      </c>
      <c r="F29" s="378"/>
      <c r="G29" s="365" t="s">
        <v>112</v>
      </c>
      <c r="H29" s="366">
        <f>SUM(H18:H19,H24,H28)</f>
        <v>206429277</v>
      </c>
      <c r="I29" s="419">
        <f>SUM(I18:I19,I24,I28)</f>
        <v>226049394</v>
      </c>
      <c r="J29" s="435">
        <f t="shared" si="0"/>
        <v>9.5045224617048785E-2</v>
      </c>
    </row>
    <row r="30" spans="1:10" ht="20.100000000000001" customHeight="1" thickBot="1" x14ac:dyDescent="0.25">
      <c r="A30" s="374"/>
      <c r="B30" s="375" t="s">
        <v>110</v>
      </c>
      <c r="C30" s="372"/>
      <c r="D30" s="420"/>
      <c r="E30" s="426"/>
      <c r="F30" s="379"/>
      <c r="G30" s="375" t="s">
        <v>111</v>
      </c>
      <c r="H30" s="373"/>
      <c r="I30" s="423"/>
      <c r="J30" s="427"/>
    </row>
    <row r="31" spans="1:10" ht="20.100000000000001" customHeight="1" thickBot="1" x14ac:dyDescent="0.3">
      <c r="A31" s="381"/>
      <c r="B31" s="382" t="s">
        <v>113</v>
      </c>
      <c r="C31" s="383">
        <f>SUM(C16,C29)</f>
        <v>504419661</v>
      </c>
      <c r="D31" s="422">
        <f>SUM(D16,D29)</f>
        <v>530299178</v>
      </c>
      <c r="E31" s="432">
        <f t="shared" si="1"/>
        <v>5.1305527918349636E-2</v>
      </c>
      <c r="F31" s="384"/>
      <c r="G31" s="382" t="s">
        <v>114</v>
      </c>
      <c r="H31" s="383">
        <f>SUM(H16,H29)</f>
        <v>504419661</v>
      </c>
      <c r="I31" s="422">
        <f>SUM(I16,I29)</f>
        <v>530299178</v>
      </c>
      <c r="J31" s="432">
        <f t="shared" si="0"/>
        <v>5.1305527918349636E-2</v>
      </c>
    </row>
  </sheetData>
  <mergeCells count="6">
    <mergeCell ref="J1:J3"/>
    <mergeCell ref="A1:A3"/>
    <mergeCell ref="F1:F3"/>
    <mergeCell ref="G1:G3"/>
    <mergeCell ref="B1:B3"/>
    <mergeCell ref="E1:E3"/>
  </mergeCells>
  <phoneticPr fontId="2" type="noConversion"/>
  <printOptions horizontalCentered="1"/>
  <pageMargins left="0.59055118110236227" right="0.59055118110236227" top="1.4173228346456694" bottom="0.98425196850393704" header="0.6692913385826772" footer="0.51181102362204722"/>
  <pageSetup paperSize="9" scale="58" orientation="landscape" r:id="rId1"/>
  <headerFooter>
    <oddHeader>&amp;LLevél Községi Önkormányzat&amp;C&amp;"Arial CE,Félkövér"&amp;12Működési - felhalmozási mérleg
2019. év&amp;R&amp;8 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rgb="FF00B0F0"/>
    <pageSetUpPr fitToPage="1"/>
  </sheetPr>
  <dimension ref="A1:N56"/>
  <sheetViews>
    <sheetView zoomScale="80" zoomScaleNormal="80" workbookViewId="0">
      <pane ySplit="3" topLeftCell="A25" activePane="bottomLeft" state="frozen"/>
      <selection pane="bottomLeft" activeCell="E56" sqref="E56"/>
    </sheetView>
  </sheetViews>
  <sheetFormatPr defaultRowHeight="12.75" x14ac:dyDescent="0.2"/>
  <cols>
    <col min="1" max="1" width="5.85546875" bestFit="1" customWidth="1"/>
    <col min="2" max="2" width="60.85546875" bestFit="1" customWidth="1"/>
    <col min="3" max="5" width="20.85546875" bestFit="1" customWidth="1"/>
    <col min="6" max="6" width="10.28515625" bestFit="1" customWidth="1"/>
    <col min="7" max="9" width="19.42578125" bestFit="1" customWidth="1"/>
    <col min="10" max="10" width="10.28515625" bestFit="1" customWidth="1"/>
    <col min="11" max="13" width="20.85546875" bestFit="1" customWidth="1"/>
    <col min="14" max="14" width="10.28515625" bestFit="1" customWidth="1"/>
  </cols>
  <sheetData>
    <row r="1" spans="1:14" ht="19.5" customHeight="1" thickBot="1" x14ac:dyDescent="0.25">
      <c r="A1" s="749" t="s">
        <v>237</v>
      </c>
      <c r="B1" s="750" t="s">
        <v>4</v>
      </c>
      <c r="C1" s="751" t="s">
        <v>249</v>
      </c>
      <c r="D1" s="752"/>
      <c r="E1" s="752"/>
      <c r="F1" s="753"/>
      <c r="G1" s="751" t="s">
        <v>48</v>
      </c>
      <c r="H1" s="752"/>
      <c r="I1" s="752"/>
      <c r="J1" s="753"/>
      <c r="K1" s="754" t="s">
        <v>723</v>
      </c>
      <c r="L1" s="755"/>
      <c r="M1" s="755"/>
      <c r="N1" s="756"/>
    </row>
    <row r="2" spans="1:14" ht="21" customHeight="1" thickTop="1" thickBot="1" x14ac:dyDescent="0.25">
      <c r="A2" s="749"/>
      <c r="B2" s="750"/>
      <c r="C2" s="451">
        <v>2019</v>
      </c>
      <c r="D2" s="451">
        <v>2019</v>
      </c>
      <c r="E2" s="452">
        <v>2019</v>
      </c>
      <c r="F2" s="757" t="s">
        <v>743</v>
      </c>
      <c r="G2" s="453">
        <v>2019</v>
      </c>
      <c r="H2" s="451">
        <v>2019</v>
      </c>
      <c r="I2" s="454">
        <v>2019</v>
      </c>
      <c r="J2" s="757" t="s">
        <v>743</v>
      </c>
      <c r="K2" s="451">
        <v>2019</v>
      </c>
      <c r="L2" s="451">
        <v>2019</v>
      </c>
      <c r="M2" s="454">
        <v>2019</v>
      </c>
      <c r="N2" s="757" t="s">
        <v>743</v>
      </c>
    </row>
    <row r="3" spans="1:14" ht="21" customHeight="1" thickBot="1" x14ac:dyDescent="0.25">
      <c r="A3" s="749"/>
      <c r="B3" s="750"/>
      <c r="C3" s="401" t="s">
        <v>64</v>
      </c>
      <c r="D3" s="401" t="s">
        <v>566</v>
      </c>
      <c r="E3" s="437" t="s">
        <v>567</v>
      </c>
      <c r="F3" s="758"/>
      <c r="G3" s="438" t="s">
        <v>64</v>
      </c>
      <c r="H3" s="401" t="s">
        <v>566</v>
      </c>
      <c r="I3" s="401" t="s">
        <v>567</v>
      </c>
      <c r="J3" s="758"/>
      <c r="K3" s="401" t="s">
        <v>64</v>
      </c>
      <c r="L3" s="401" t="s">
        <v>566</v>
      </c>
      <c r="M3" s="401" t="s">
        <v>567</v>
      </c>
      <c r="N3" s="758"/>
    </row>
    <row r="4" spans="1:14" ht="16.5" x14ac:dyDescent="0.25">
      <c r="A4" s="397" t="s">
        <v>327</v>
      </c>
      <c r="B4" s="395" t="s">
        <v>333</v>
      </c>
      <c r="C4" s="407">
        <f>'Önkormányzat - 9. mell.'!C81</f>
        <v>0</v>
      </c>
      <c r="D4" s="405">
        <f>'Önkormányzat - 9. mell.'!D81</f>
        <v>138619</v>
      </c>
      <c r="E4" s="399">
        <f>'Önkormányzat - 9. mell.'!E81</f>
        <v>138619</v>
      </c>
      <c r="F4" s="442">
        <f>E4/D4</f>
        <v>1</v>
      </c>
      <c r="G4" s="440">
        <f>'Óvoda - 10. mell.'!C81</f>
        <v>0</v>
      </c>
      <c r="H4" s="405">
        <f>'Óvoda - 10. mell.'!D81</f>
        <v>0</v>
      </c>
      <c r="I4" s="399">
        <f>'Óvoda - 10. mell.'!E81</f>
        <v>0</v>
      </c>
      <c r="J4" s="442"/>
      <c r="K4" s="409">
        <f>SUM(C4,G4)</f>
        <v>0</v>
      </c>
      <c r="L4" s="412">
        <f>SUM(D4,H4)</f>
        <v>138619</v>
      </c>
      <c r="M4" s="413">
        <f>SUM(E4,I4)</f>
        <v>138619</v>
      </c>
      <c r="N4" s="442">
        <f>M4/L4</f>
        <v>1</v>
      </c>
    </row>
    <row r="5" spans="1:14" ht="16.5" x14ac:dyDescent="0.25">
      <c r="A5" s="397" t="s">
        <v>328</v>
      </c>
      <c r="B5" s="395" t="s">
        <v>334</v>
      </c>
      <c r="C5" s="407">
        <f>'Önkormányzat - 9. mell.'!C82</f>
        <v>43679600</v>
      </c>
      <c r="D5" s="405">
        <f>'Önkormányzat - 9. mell.'!D82</f>
        <v>43679600</v>
      </c>
      <c r="E5" s="399">
        <f>'Önkormányzat - 9. mell.'!E82</f>
        <v>22685041</v>
      </c>
      <c r="F5" s="442">
        <f>E5/D5</f>
        <v>0.51935093270084887</v>
      </c>
      <c r="G5" s="440">
        <f>'Óvoda - 10. mell.'!C82</f>
        <v>0</v>
      </c>
      <c r="H5" s="405">
        <f>'Óvoda - 10. mell.'!D82</f>
        <v>0</v>
      </c>
      <c r="I5" s="399">
        <f>'Óvoda - 10. mell.'!E82</f>
        <v>0</v>
      </c>
      <c r="J5" s="442"/>
      <c r="K5" s="409">
        <f t="shared" ref="K5:K56" si="0">SUM(C5,G5)</f>
        <v>43679600</v>
      </c>
      <c r="L5" s="412">
        <f t="shared" ref="L5:L56" si="1">SUM(D5,H5)</f>
        <v>43679600</v>
      </c>
      <c r="M5" s="413">
        <f t="shared" ref="M5:M56" si="2">SUM(E5,I5)</f>
        <v>22685041</v>
      </c>
      <c r="N5" s="442">
        <f>M5/L5</f>
        <v>0.51935093270084887</v>
      </c>
    </row>
    <row r="6" spans="1:14" ht="16.5" x14ac:dyDescent="0.25">
      <c r="A6" s="397" t="s">
        <v>329</v>
      </c>
      <c r="B6" s="395" t="s">
        <v>335</v>
      </c>
      <c r="C6" s="407">
        <f>'Önkormányzat - 9. mell.'!C83</f>
        <v>10447209</v>
      </c>
      <c r="D6" s="405">
        <f>'Önkormányzat - 9. mell.'!D83</f>
        <v>10447209</v>
      </c>
      <c r="E6" s="399">
        <f>'Önkormányzat - 9. mell.'!E83</f>
        <v>5432550</v>
      </c>
      <c r="F6" s="442">
        <f>E6/D6</f>
        <v>0.52000012634953507</v>
      </c>
      <c r="G6" s="440">
        <f>'Óvoda - 10. mell.'!C83</f>
        <v>0</v>
      </c>
      <c r="H6" s="405">
        <f>'Óvoda - 10. mell.'!D83</f>
        <v>0</v>
      </c>
      <c r="I6" s="399">
        <f>'Óvoda - 10. mell.'!E83</f>
        <v>0</v>
      </c>
      <c r="J6" s="442"/>
      <c r="K6" s="409">
        <f t="shared" si="0"/>
        <v>10447209</v>
      </c>
      <c r="L6" s="412">
        <f t="shared" si="1"/>
        <v>10447209</v>
      </c>
      <c r="M6" s="413">
        <f t="shared" si="2"/>
        <v>5432550</v>
      </c>
      <c r="N6" s="442">
        <f>M6/L6</f>
        <v>0.52000012634953507</v>
      </c>
    </row>
    <row r="7" spans="1:14" ht="16.5" x14ac:dyDescent="0.25">
      <c r="A7" s="397" t="s">
        <v>330</v>
      </c>
      <c r="B7" s="395" t="s">
        <v>336</v>
      </c>
      <c r="C7" s="407">
        <f>'Önkormányzat - 9. mell.'!C84</f>
        <v>2386120</v>
      </c>
      <c r="D7" s="405">
        <f>'Önkormányzat - 9. mell.'!D84</f>
        <v>2579950</v>
      </c>
      <c r="E7" s="399">
        <f>'Önkormányzat - 9. mell.'!E84</f>
        <v>1434614</v>
      </c>
      <c r="F7" s="442">
        <f>E7/D7</f>
        <v>0.55606271439368982</v>
      </c>
      <c r="G7" s="440">
        <f>'Óvoda - 10. mell.'!C84</f>
        <v>0</v>
      </c>
      <c r="H7" s="405">
        <f>'Óvoda - 10. mell.'!D84</f>
        <v>0</v>
      </c>
      <c r="I7" s="399">
        <f>'Óvoda - 10. mell.'!E84</f>
        <v>0</v>
      </c>
      <c r="J7" s="442"/>
      <c r="K7" s="409">
        <f t="shared" si="0"/>
        <v>2386120</v>
      </c>
      <c r="L7" s="412">
        <f t="shared" si="1"/>
        <v>2579950</v>
      </c>
      <c r="M7" s="413">
        <f t="shared" si="2"/>
        <v>1434614</v>
      </c>
      <c r="N7" s="442">
        <f>M7/L7</f>
        <v>0.55606271439368982</v>
      </c>
    </row>
    <row r="8" spans="1:14" ht="16.5" x14ac:dyDescent="0.25">
      <c r="A8" s="397" t="s">
        <v>331</v>
      </c>
      <c r="B8" s="395" t="s">
        <v>337</v>
      </c>
      <c r="C8" s="407">
        <f>'Önkormányzat - 9. mell.'!C85</f>
        <v>0</v>
      </c>
      <c r="D8" s="405">
        <f>'Önkormányzat - 9. mell.'!D85</f>
        <v>0</v>
      </c>
      <c r="E8" s="399">
        <f>'Önkormányzat - 9. mell.'!E85</f>
        <v>0</v>
      </c>
      <c r="F8" s="442"/>
      <c r="G8" s="440">
        <f>'Óvoda - 10. mell.'!C85</f>
        <v>0</v>
      </c>
      <c r="H8" s="405">
        <f>'Óvoda - 10. mell.'!D85</f>
        <v>0</v>
      </c>
      <c r="I8" s="399">
        <f>'Óvoda - 10. mell.'!E85</f>
        <v>0</v>
      </c>
      <c r="J8" s="442"/>
      <c r="K8" s="409">
        <f t="shared" si="0"/>
        <v>0</v>
      </c>
      <c r="L8" s="412">
        <f t="shared" si="1"/>
        <v>0</v>
      </c>
      <c r="M8" s="413">
        <f t="shared" si="2"/>
        <v>0</v>
      </c>
      <c r="N8" s="442"/>
    </row>
    <row r="9" spans="1:14" ht="16.5" x14ac:dyDescent="0.25">
      <c r="A9" s="397" t="s">
        <v>332</v>
      </c>
      <c r="B9" s="395" t="s">
        <v>338</v>
      </c>
      <c r="C9" s="407">
        <f>'Önkormányzat - 9. mell.'!C86</f>
        <v>0</v>
      </c>
      <c r="D9" s="405">
        <f>'Önkormányzat - 9. mell.'!D86</f>
        <v>0</v>
      </c>
      <c r="E9" s="399">
        <f>'Önkormányzat - 9. mell.'!E86</f>
        <v>0</v>
      </c>
      <c r="F9" s="442"/>
      <c r="G9" s="440">
        <f>'Óvoda - 10. mell.'!C86</f>
        <v>0</v>
      </c>
      <c r="H9" s="405">
        <f>'Óvoda - 10. mell.'!D86</f>
        <v>0</v>
      </c>
      <c r="I9" s="399">
        <f>'Óvoda - 10. mell.'!E86</f>
        <v>0</v>
      </c>
      <c r="J9" s="442"/>
      <c r="K9" s="409">
        <f t="shared" si="0"/>
        <v>0</v>
      </c>
      <c r="L9" s="412">
        <f t="shared" si="1"/>
        <v>0</v>
      </c>
      <c r="M9" s="413">
        <f t="shared" si="2"/>
        <v>0</v>
      </c>
      <c r="N9" s="442"/>
    </row>
    <row r="10" spans="1:14" ht="16.5" x14ac:dyDescent="0.25">
      <c r="A10" s="711" t="s">
        <v>271</v>
      </c>
      <c r="B10" s="712" t="s">
        <v>265</v>
      </c>
      <c r="C10" s="443">
        <f>SUM(C4:C9)</f>
        <v>56512929</v>
      </c>
      <c r="D10" s="444">
        <f>SUM(D4:D9)</f>
        <v>56845378</v>
      </c>
      <c r="E10" s="445">
        <f>SUM(E4:E9)</f>
        <v>29690824</v>
      </c>
      <c r="F10" s="449">
        <f>E10/D10</f>
        <v>0.52230849797498047</v>
      </c>
      <c r="G10" s="446">
        <f t="shared" ref="G10" si="3">SUM(G4:G9)</f>
        <v>0</v>
      </c>
      <c r="H10" s="444">
        <f>SUM(H4:H9)</f>
        <v>0</v>
      </c>
      <c r="I10" s="445">
        <f t="shared" ref="I10" si="4">SUM(I4:I9)</f>
        <v>0</v>
      </c>
      <c r="J10" s="449"/>
      <c r="K10" s="443">
        <f t="shared" si="0"/>
        <v>56512929</v>
      </c>
      <c r="L10" s="444">
        <f t="shared" si="1"/>
        <v>56845378</v>
      </c>
      <c r="M10" s="447">
        <f t="shared" si="2"/>
        <v>29690824</v>
      </c>
      <c r="N10" s="449">
        <f>M10/L10</f>
        <v>0.52230849797498047</v>
      </c>
    </row>
    <row r="11" spans="1:14" ht="16.5" x14ac:dyDescent="0.25">
      <c r="A11" s="397"/>
      <c r="B11" s="395" t="s">
        <v>741</v>
      </c>
      <c r="C11" s="407">
        <f>'Önkormányzat - 9. mell.'!C88</f>
        <v>0</v>
      </c>
      <c r="D11" s="405">
        <f>'Önkormányzat - 9. mell.'!D88</f>
        <v>0</v>
      </c>
      <c r="E11" s="399">
        <f>'Önkormányzat - 9. mell.'!E88</f>
        <v>0</v>
      </c>
      <c r="F11" s="442"/>
      <c r="G11" s="440">
        <f>'Óvoda - 10. mell.'!C88</f>
        <v>0</v>
      </c>
      <c r="H11" s="405">
        <f>'Óvoda - 10. mell.'!D88</f>
        <v>0</v>
      </c>
      <c r="I11" s="399">
        <f>'Óvoda - 10. mell.'!E88</f>
        <v>0</v>
      </c>
      <c r="J11" s="442"/>
      <c r="K11" s="409">
        <f t="shared" si="0"/>
        <v>0</v>
      </c>
      <c r="L11" s="412">
        <f t="shared" si="1"/>
        <v>0</v>
      </c>
      <c r="M11" s="413">
        <f t="shared" si="2"/>
        <v>0</v>
      </c>
      <c r="N11" s="442"/>
    </row>
    <row r="12" spans="1:14" ht="16.5" x14ac:dyDescent="0.25">
      <c r="A12" s="397"/>
      <c r="B12" s="395" t="s">
        <v>397</v>
      </c>
      <c r="C12" s="407">
        <f>'Önkormányzat - 9. mell.'!C89</f>
        <v>0</v>
      </c>
      <c r="D12" s="405">
        <f>'Önkormányzat - 9. mell.'!D89</f>
        <v>0</v>
      </c>
      <c r="E12" s="399">
        <f>'Önkormányzat - 9. mell.'!E89</f>
        <v>832152</v>
      </c>
      <c r="F12" s="442"/>
      <c r="G12" s="440">
        <f>'Óvoda - 10. mell.'!C89</f>
        <v>0</v>
      </c>
      <c r="H12" s="405">
        <f>'Óvoda - 10. mell.'!D89</f>
        <v>0</v>
      </c>
      <c r="I12" s="399">
        <f>'Óvoda - 10. mell.'!E89</f>
        <v>0</v>
      </c>
      <c r="J12" s="442"/>
      <c r="K12" s="409">
        <f t="shared" si="0"/>
        <v>0</v>
      </c>
      <c r="L12" s="412">
        <f t="shared" si="1"/>
        <v>0</v>
      </c>
      <c r="M12" s="413">
        <f t="shared" si="2"/>
        <v>832152</v>
      </c>
      <c r="N12" s="442"/>
    </row>
    <row r="13" spans="1:14" ht="16.5" x14ac:dyDescent="0.25">
      <c r="A13" s="397"/>
      <c r="B13" s="395" t="s">
        <v>665</v>
      </c>
      <c r="C13" s="407">
        <f>'Önkormányzat - 9. mell.'!C90</f>
        <v>0</v>
      </c>
      <c r="D13" s="405">
        <f>'Önkormányzat - 9. mell.'!D90</f>
        <v>0</v>
      </c>
      <c r="E13" s="399">
        <f>'Önkormányzat - 9. mell.'!E90</f>
        <v>40000</v>
      </c>
      <c r="F13" s="442"/>
      <c r="G13" s="440">
        <f>'Óvoda - 10. mell.'!C90</f>
        <v>0</v>
      </c>
      <c r="H13" s="405">
        <f>'Óvoda - 10. mell.'!D90</f>
        <v>0</v>
      </c>
      <c r="I13" s="399">
        <f>'Óvoda - 10. mell.'!E90</f>
        <v>0</v>
      </c>
      <c r="J13" s="442"/>
      <c r="K13" s="409">
        <f t="shared" si="0"/>
        <v>0</v>
      </c>
      <c r="L13" s="412">
        <f t="shared" si="1"/>
        <v>0</v>
      </c>
      <c r="M13" s="413">
        <f t="shared" si="2"/>
        <v>40000</v>
      </c>
      <c r="N13" s="442"/>
    </row>
    <row r="14" spans="1:14" ht="16.5" x14ac:dyDescent="0.25">
      <c r="A14" s="397"/>
      <c r="B14" s="395" t="s">
        <v>268</v>
      </c>
      <c r="C14" s="407">
        <f>'Önkormányzat - 9. mell.'!C91</f>
        <v>112800</v>
      </c>
      <c r="D14" s="405">
        <f>'Önkormányzat - 9. mell.'!D91</f>
        <v>112800</v>
      </c>
      <c r="E14" s="399">
        <f>'Önkormányzat - 9. mell.'!E91</f>
        <v>56400</v>
      </c>
      <c r="F14" s="442">
        <f>E14/D14</f>
        <v>0.5</v>
      </c>
      <c r="G14" s="440">
        <f>'Óvoda - 10. mell.'!C91</f>
        <v>0</v>
      </c>
      <c r="H14" s="405">
        <f>'Óvoda - 10. mell.'!D91</f>
        <v>0</v>
      </c>
      <c r="I14" s="399">
        <f>'Óvoda - 10. mell.'!E91</f>
        <v>0</v>
      </c>
      <c r="J14" s="442"/>
      <c r="K14" s="409">
        <f t="shared" si="0"/>
        <v>112800</v>
      </c>
      <c r="L14" s="412">
        <f t="shared" si="1"/>
        <v>112800</v>
      </c>
      <c r="M14" s="413">
        <f t="shared" si="2"/>
        <v>56400</v>
      </c>
      <c r="N14" s="442">
        <f>M14/L14</f>
        <v>0.5</v>
      </c>
    </row>
    <row r="15" spans="1:14" ht="16.5" x14ac:dyDescent="0.25">
      <c r="A15" s="397"/>
      <c r="B15" s="395" t="s">
        <v>267</v>
      </c>
      <c r="C15" s="407">
        <f>'Önkormányzat - 9. mell.'!C92</f>
        <v>21000000</v>
      </c>
      <c r="D15" s="405">
        <f>'Önkormányzat - 9. mell.'!D92</f>
        <v>21000000</v>
      </c>
      <c r="E15" s="399">
        <f>'Önkormányzat - 9. mell.'!E92</f>
        <v>11131600</v>
      </c>
      <c r="F15" s="442">
        <f>E15/D15</f>
        <v>0.53007619047619048</v>
      </c>
      <c r="G15" s="440">
        <f>'Óvoda - 10. mell.'!C92</f>
        <v>0</v>
      </c>
      <c r="H15" s="405">
        <f>'Óvoda - 10. mell.'!D92</f>
        <v>0</v>
      </c>
      <c r="I15" s="399">
        <f>'Óvoda - 10. mell.'!E92</f>
        <v>0</v>
      </c>
      <c r="J15" s="442"/>
      <c r="K15" s="409">
        <f t="shared" si="0"/>
        <v>21000000</v>
      </c>
      <c r="L15" s="412">
        <f t="shared" si="1"/>
        <v>21000000</v>
      </c>
      <c r="M15" s="413">
        <f t="shared" si="2"/>
        <v>11131600</v>
      </c>
      <c r="N15" s="442">
        <f>M15/L15</f>
        <v>0.53007619047619048</v>
      </c>
    </row>
    <row r="16" spans="1:14" ht="16.5" x14ac:dyDescent="0.25">
      <c r="A16" s="711" t="s">
        <v>272</v>
      </c>
      <c r="B16" s="712" t="s">
        <v>266</v>
      </c>
      <c r="C16" s="443">
        <f>SUM(C11:C15)</f>
        <v>21112800</v>
      </c>
      <c r="D16" s="444">
        <f>'Önkormányzat - 9. mell.'!D93</f>
        <v>21112800</v>
      </c>
      <c r="E16" s="445">
        <f>'Önkormányzat - 9. mell.'!E93</f>
        <v>12060152</v>
      </c>
      <c r="F16" s="449">
        <f>E16/D16</f>
        <v>0.57122465992194305</v>
      </c>
      <c r="G16" s="446">
        <f>SUM(G11:G15)</f>
        <v>0</v>
      </c>
      <c r="H16" s="444">
        <f>SUM(H11:H15)</f>
        <v>0</v>
      </c>
      <c r="I16" s="445">
        <f t="shared" ref="I16" si="5">SUM(I11:I15)</f>
        <v>0</v>
      </c>
      <c r="J16" s="449"/>
      <c r="K16" s="443">
        <f t="shared" si="0"/>
        <v>21112800</v>
      </c>
      <c r="L16" s="444">
        <f t="shared" si="1"/>
        <v>21112800</v>
      </c>
      <c r="M16" s="447">
        <f t="shared" si="2"/>
        <v>12060152</v>
      </c>
      <c r="N16" s="449">
        <f>M16/L16</f>
        <v>0.57122465992194305</v>
      </c>
    </row>
    <row r="17" spans="1:14" ht="16.5" x14ac:dyDescent="0.25">
      <c r="A17" s="719" t="s">
        <v>264</v>
      </c>
      <c r="B17" s="720" t="s">
        <v>269</v>
      </c>
      <c r="C17" s="713">
        <f>SUM(C16,C10)</f>
        <v>77625729</v>
      </c>
      <c r="D17" s="714">
        <f>SUM(D16,D10)</f>
        <v>77958178</v>
      </c>
      <c r="E17" s="715">
        <f>SUM(E16,E10)</f>
        <v>41750976</v>
      </c>
      <c r="F17" s="716">
        <f>E17/D17</f>
        <v>0.53555607725978405</v>
      </c>
      <c r="G17" s="717">
        <f t="shared" ref="G17" si="6">SUM(G16,G10)</f>
        <v>0</v>
      </c>
      <c r="H17" s="714">
        <f>SUM(H16,H10)</f>
        <v>0</v>
      </c>
      <c r="I17" s="715">
        <f t="shared" ref="I17" si="7">SUM(I16,I10)</f>
        <v>0</v>
      </c>
      <c r="J17" s="716"/>
      <c r="K17" s="713">
        <f t="shared" si="0"/>
        <v>77625729</v>
      </c>
      <c r="L17" s="714">
        <f t="shared" si="1"/>
        <v>77958178</v>
      </c>
      <c r="M17" s="718">
        <f t="shared" si="2"/>
        <v>41750976</v>
      </c>
      <c r="N17" s="716">
        <f>M17/L17</f>
        <v>0.53555607725978405</v>
      </c>
    </row>
    <row r="18" spans="1:14" ht="16.5" x14ac:dyDescent="0.25">
      <c r="A18" s="711" t="s">
        <v>276</v>
      </c>
      <c r="B18" s="712" t="s">
        <v>270</v>
      </c>
      <c r="C18" s="443">
        <f>'Önkormányzat - 9. mell.'!C95</f>
        <v>0</v>
      </c>
      <c r="D18" s="444">
        <f>'Önkormányzat - 9. mell.'!C95</f>
        <v>0</v>
      </c>
      <c r="E18" s="445">
        <f>'Önkormányzat - 9. mell.'!D95</f>
        <v>0</v>
      </c>
      <c r="F18" s="449"/>
      <c r="G18" s="446">
        <f>'Óvoda - 10. mell.'!C95</f>
        <v>0</v>
      </c>
      <c r="H18" s="444">
        <f>'Óvoda - 10. mell.'!D95</f>
        <v>0</v>
      </c>
      <c r="I18" s="445">
        <f>'Óvoda - 10. mell.'!E95</f>
        <v>0</v>
      </c>
      <c r="J18" s="449"/>
      <c r="K18" s="443">
        <f t="shared" si="0"/>
        <v>0</v>
      </c>
      <c r="L18" s="444">
        <f t="shared" si="1"/>
        <v>0</v>
      </c>
      <c r="M18" s="447">
        <f t="shared" si="2"/>
        <v>0</v>
      </c>
      <c r="N18" s="449"/>
    </row>
    <row r="19" spans="1:14" ht="16.5" x14ac:dyDescent="0.25">
      <c r="A19" s="397"/>
      <c r="B19" s="395" t="s">
        <v>707</v>
      </c>
      <c r="C19" s="407">
        <f>'Önkormányzat - 9. mell.'!C96</f>
        <v>0</v>
      </c>
      <c r="D19" s="405">
        <f>'Önkormányzat - 9. mell.'!C96</f>
        <v>0</v>
      </c>
      <c r="E19" s="399">
        <f>'Önkormányzat - 9. mell.'!D96</f>
        <v>0</v>
      </c>
      <c r="F19" s="442"/>
      <c r="G19" s="440">
        <f>'Óvoda - 10. mell.'!C97</f>
        <v>0</v>
      </c>
      <c r="H19" s="405">
        <f>'Óvoda - 10. mell.'!D97</f>
        <v>0</v>
      </c>
      <c r="I19" s="399">
        <f>'Óvoda - 10. mell.'!E97</f>
        <v>0</v>
      </c>
      <c r="J19" s="442"/>
      <c r="K19" s="409">
        <f t="shared" si="0"/>
        <v>0</v>
      </c>
      <c r="L19" s="412">
        <f t="shared" si="1"/>
        <v>0</v>
      </c>
      <c r="M19" s="413">
        <f t="shared" si="2"/>
        <v>0</v>
      </c>
      <c r="N19" s="442"/>
    </row>
    <row r="20" spans="1:14" ht="16.5" x14ac:dyDescent="0.25">
      <c r="A20" s="711" t="s">
        <v>274</v>
      </c>
      <c r="B20" s="712" t="s">
        <v>273</v>
      </c>
      <c r="C20" s="443">
        <f>SUM(C19:C19)</f>
        <v>0</v>
      </c>
      <c r="D20" s="444">
        <f>SUM(D19:D19)</f>
        <v>0</v>
      </c>
      <c r="E20" s="445">
        <f>'Önkormányzat - 9. mell.'!E96</f>
        <v>1027702</v>
      </c>
      <c r="F20" s="449"/>
      <c r="G20" s="446">
        <f>SUM(G19:G19)</f>
        <v>0</v>
      </c>
      <c r="H20" s="444">
        <f>SUM(H19:H19)</f>
        <v>0</v>
      </c>
      <c r="I20" s="445">
        <f>SUM(I19:I19)</f>
        <v>0</v>
      </c>
      <c r="J20" s="449"/>
      <c r="K20" s="443">
        <f t="shared" si="0"/>
        <v>0</v>
      </c>
      <c r="L20" s="444">
        <f t="shared" si="1"/>
        <v>0</v>
      </c>
      <c r="M20" s="447">
        <f t="shared" si="2"/>
        <v>1027702</v>
      </c>
      <c r="N20" s="449"/>
    </row>
    <row r="21" spans="1:14" ht="16.5" x14ac:dyDescent="0.25">
      <c r="A21" s="719" t="s">
        <v>275</v>
      </c>
      <c r="B21" s="720" t="s">
        <v>277</v>
      </c>
      <c r="C21" s="713">
        <f>SUM(C18,C20)</f>
        <v>0</v>
      </c>
      <c r="D21" s="714">
        <f>SUM(D18,D20)</f>
        <v>0</v>
      </c>
      <c r="E21" s="715">
        <f>SUM(E18,E20)</f>
        <v>1027702</v>
      </c>
      <c r="F21" s="716"/>
      <c r="G21" s="717">
        <f>SUM(G18,G20)</f>
        <v>0</v>
      </c>
      <c r="H21" s="714">
        <f>SUM(H18,H20)</f>
        <v>0</v>
      </c>
      <c r="I21" s="715">
        <f>SUM(I18,I20)</f>
        <v>0</v>
      </c>
      <c r="J21" s="716"/>
      <c r="K21" s="713">
        <f t="shared" si="0"/>
        <v>0</v>
      </c>
      <c r="L21" s="714">
        <f t="shared" si="1"/>
        <v>0</v>
      </c>
      <c r="M21" s="718">
        <f t="shared" si="2"/>
        <v>1027702</v>
      </c>
      <c r="N21" s="716"/>
    </row>
    <row r="22" spans="1:14" ht="16.5" x14ac:dyDescent="0.25">
      <c r="A22" s="397" t="s">
        <v>278</v>
      </c>
      <c r="B22" s="395" t="s">
        <v>708</v>
      </c>
      <c r="C22" s="407">
        <f>'Önkormányzat - 9. mell.'!C98</f>
        <v>2500000</v>
      </c>
      <c r="D22" s="405">
        <f>'Önkormányzat - 9. mell.'!D98</f>
        <v>2500000</v>
      </c>
      <c r="E22" s="399">
        <f>'Önkormányzat - 9. mell.'!E98</f>
        <v>1170962</v>
      </c>
      <c r="F22" s="442">
        <f t="shared" ref="F22:F29" si="8">E22/D22</f>
        <v>0.46838479999999999</v>
      </c>
      <c r="G22" s="440">
        <f>'Óvoda - 10. mell.'!C99</f>
        <v>0</v>
      </c>
      <c r="H22" s="405">
        <f>'Óvoda - 10. mell.'!D99</f>
        <v>0</v>
      </c>
      <c r="I22" s="399">
        <f>'Óvoda - 10. mell.'!E99</f>
        <v>0</v>
      </c>
      <c r="J22" s="442"/>
      <c r="K22" s="409">
        <f t="shared" si="0"/>
        <v>2500000</v>
      </c>
      <c r="L22" s="412">
        <f t="shared" si="1"/>
        <v>2500000</v>
      </c>
      <c r="M22" s="413">
        <f t="shared" si="2"/>
        <v>1170962</v>
      </c>
      <c r="N22" s="442">
        <f t="shared" ref="N22:N29" si="9">M22/L22</f>
        <v>0.46838479999999999</v>
      </c>
    </row>
    <row r="23" spans="1:14" ht="16.5" x14ac:dyDescent="0.25">
      <c r="A23" s="397" t="s">
        <v>667</v>
      </c>
      <c r="B23" s="395" t="s">
        <v>481</v>
      </c>
      <c r="C23" s="407">
        <f>'Önkormányzat - 9. mell.'!C99</f>
        <v>4200000</v>
      </c>
      <c r="D23" s="405">
        <f>'Önkormányzat - 9. mell.'!D99</f>
        <v>4200000</v>
      </c>
      <c r="E23" s="399">
        <f>'Önkormányzat - 9. mell.'!E99</f>
        <v>2947286</v>
      </c>
      <c r="F23" s="442">
        <f t="shared" si="8"/>
        <v>0.70173476190476192</v>
      </c>
      <c r="G23" s="440">
        <f>'Óvoda - 10. mell.'!C100</f>
        <v>0</v>
      </c>
      <c r="H23" s="405">
        <f>'Óvoda - 10. mell.'!D100</f>
        <v>0</v>
      </c>
      <c r="I23" s="399">
        <f>'Óvoda - 10. mell.'!E100</f>
        <v>0</v>
      </c>
      <c r="J23" s="442"/>
      <c r="K23" s="409">
        <f t="shared" si="0"/>
        <v>4200000</v>
      </c>
      <c r="L23" s="412">
        <f t="shared" si="1"/>
        <v>4200000</v>
      </c>
      <c r="M23" s="413">
        <f t="shared" si="2"/>
        <v>2947286</v>
      </c>
      <c r="N23" s="442">
        <f t="shared" si="9"/>
        <v>0.70173476190476192</v>
      </c>
    </row>
    <row r="24" spans="1:14" ht="16.5" x14ac:dyDescent="0.25">
      <c r="A24" s="397" t="s">
        <v>668</v>
      </c>
      <c r="B24" s="395" t="s">
        <v>709</v>
      </c>
      <c r="C24" s="407">
        <f>'Önkormányzat - 9. mell.'!C100</f>
        <v>6500000</v>
      </c>
      <c r="D24" s="405">
        <f>'Önkormányzat - 9. mell.'!D100</f>
        <v>6500000</v>
      </c>
      <c r="E24" s="399">
        <f>'Önkormányzat - 9. mell.'!E100</f>
        <v>2792901</v>
      </c>
      <c r="F24" s="442">
        <f t="shared" si="8"/>
        <v>0.42967707692307694</v>
      </c>
      <c r="G24" s="440">
        <f>'Óvoda - 10. mell.'!C101</f>
        <v>0</v>
      </c>
      <c r="H24" s="405">
        <f>'Óvoda - 10. mell.'!D101</f>
        <v>0</v>
      </c>
      <c r="I24" s="399">
        <f>'Óvoda - 10. mell.'!E101</f>
        <v>0</v>
      </c>
      <c r="J24" s="442"/>
      <c r="K24" s="409">
        <f t="shared" si="0"/>
        <v>6500000</v>
      </c>
      <c r="L24" s="412">
        <f t="shared" si="1"/>
        <v>6500000</v>
      </c>
      <c r="M24" s="413">
        <f t="shared" si="2"/>
        <v>2792901</v>
      </c>
      <c r="N24" s="442">
        <f t="shared" si="9"/>
        <v>0.42967707692307694</v>
      </c>
    </row>
    <row r="25" spans="1:14" ht="16.5" x14ac:dyDescent="0.25">
      <c r="A25" s="397" t="s">
        <v>280</v>
      </c>
      <c r="B25" s="395" t="s">
        <v>710</v>
      </c>
      <c r="C25" s="407">
        <f>'Önkormányzat - 9. mell.'!C102</f>
        <v>150000000</v>
      </c>
      <c r="D25" s="405">
        <f>'Önkormányzat - 9. mell.'!D102</f>
        <v>150000000</v>
      </c>
      <c r="E25" s="399">
        <f>'Önkormányzat - 9. mell.'!E102</f>
        <v>77239005</v>
      </c>
      <c r="F25" s="442">
        <f t="shared" si="8"/>
        <v>0.51492669999999996</v>
      </c>
      <c r="G25" s="440">
        <f>'Óvoda - 10. mell.'!C103</f>
        <v>0</v>
      </c>
      <c r="H25" s="405">
        <f>'Óvoda - 10. mell.'!D103</f>
        <v>0</v>
      </c>
      <c r="I25" s="399">
        <f>'Óvoda - 10. mell.'!E103</f>
        <v>0</v>
      </c>
      <c r="J25" s="442"/>
      <c r="K25" s="409">
        <f t="shared" si="0"/>
        <v>150000000</v>
      </c>
      <c r="L25" s="412">
        <f t="shared" si="1"/>
        <v>150000000</v>
      </c>
      <c r="M25" s="413">
        <f t="shared" si="2"/>
        <v>77239005</v>
      </c>
      <c r="N25" s="442">
        <f t="shared" si="9"/>
        <v>0.51492669999999996</v>
      </c>
    </row>
    <row r="26" spans="1:14" ht="16.5" x14ac:dyDescent="0.25">
      <c r="A26" s="397" t="s">
        <v>281</v>
      </c>
      <c r="B26" s="395" t="s">
        <v>283</v>
      </c>
      <c r="C26" s="407">
        <f>'Önkormányzat - 9. mell.'!C103</f>
        <v>6000000</v>
      </c>
      <c r="D26" s="405">
        <f>'Önkormányzat - 9. mell.'!D103</f>
        <v>6000000</v>
      </c>
      <c r="E26" s="399">
        <f>'Önkormányzat - 9. mell.'!E103</f>
        <v>4151699</v>
      </c>
      <c r="F26" s="442">
        <f t="shared" si="8"/>
        <v>0.69194983333333338</v>
      </c>
      <c r="G26" s="440">
        <f>'Óvoda - 10. mell.'!C104</f>
        <v>0</v>
      </c>
      <c r="H26" s="405">
        <f>'Óvoda - 10. mell.'!D104</f>
        <v>0</v>
      </c>
      <c r="I26" s="399">
        <f>'Óvoda - 10. mell.'!E104</f>
        <v>0</v>
      </c>
      <c r="J26" s="442"/>
      <c r="K26" s="409">
        <f t="shared" si="0"/>
        <v>6000000</v>
      </c>
      <c r="L26" s="412">
        <f t="shared" si="1"/>
        <v>6000000</v>
      </c>
      <c r="M26" s="413">
        <f t="shared" si="2"/>
        <v>4151699</v>
      </c>
      <c r="N26" s="442">
        <f t="shared" si="9"/>
        <v>0.69194983333333338</v>
      </c>
    </row>
    <row r="27" spans="1:14" ht="16.5" x14ac:dyDescent="0.25">
      <c r="A27" s="397" t="s">
        <v>282</v>
      </c>
      <c r="B27" s="395" t="s">
        <v>480</v>
      </c>
      <c r="C27" s="407">
        <f>'Önkormányzat - 9. mell.'!C104</f>
        <v>2000000</v>
      </c>
      <c r="D27" s="405">
        <f>'Önkormányzat - 9. mell.'!D104</f>
        <v>2000000</v>
      </c>
      <c r="E27" s="399">
        <f>'Önkormányzat - 9. mell.'!E104</f>
        <v>801600</v>
      </c>
      <c r="F27" s="442">
        <f t="shared" si="8"/>
        <v>0.40079999999999999</v>
      </c>
      <c r="G27" s="440">
        <f>'Óvoda - 10. mell.'!C105</f>
        <v>0</v>
      </c>
      <c r="H27" s="405">
        <f>'Óvoda - 10. mell.'!D105</f>
        <v>0</v>
      </c>
      <c r="I27" s="399">
        <f>'Óvoda - 10. mell.'!E105</f>
        <v>0</v>
      </c>
      <c r="J27" s="442"/>
      <c r="K27" s="409">
        <f t="shared" si="0"/>
        <v>2000000</v>
      </c>
      <c r="L27" s="412">
        <f t="shared" si="1"/>
        <v>2000000</v>
      </c>
      <c r="M27" s="413">
        <f t="shared" si="2"/>
        <v>801600</v>
      </c>
      <c r="N27" s="442">
        <f t="shared" si="9"/>
        <v>0.40079999999999999</v>
      </c>
    </row>
    <row r="28" spans="1:14" ht="16.5" x14ac:dyDescent="0.25">
      <c r="A28" s="397" t="s">
        <v>671</v>
      </c>
      <c r="B28" s="395" t="s">
        <v>711</v>
      </c>
      <c r="C28" s="407">
        <f>'Önkormányzat - 9. mell.'!C106</f>
        <v>50000</v>
      </c>
      <c r="D28" s="405">
        <f>'Önkormányzat - 9. mell.'!D106</f>
        <v>50000</v>
      </c>
      <c r="E28" s="399">
        <f>'Önkormányzat - 9. mell.'!E106</f>
        <v>63000</v>
      </c>
      <c r="F28" s="442">
        <f t="shared" si="8"/>
        <v>1.26</v>
      </c>
      <c r="G28" s="440">
        <f>'Óvoda - 10. mell.'!C107</f>
        <v>0</v>
      </c>
      <c r="H28" s="405">
        <f>'Óvoda - 10. mell.'!D107</f>
        <v>0</v>
      </c>
      <c r="I28" s="399">
        <f>'Óvoda - 10. mell.'!E107</f>
        <v>0</v>
      </c>
      <c r="J28" s="442"/>
      <c r="K28" s="409">
        <f t="shared" si="0"/>
        <v>50000</v>
      </c>
      <c r="L28" s="412">
        <f t="shared" si="1"/>
        <v>50000</v>
      </c>
      <c r="M28" s="413">
        <f t="shared" si="2"/>
        <v>63000</v>
      </c>
      <c r="N28" s="442">
        <f t="shared" si="9"/>
        <v>1.26</v>
      </c>
    </row>
    <row r="29" spans="1:14" ht="16.5" x14ac:dyDescent="0.25">
      <c r="A29" s="397"/>
      <c r="B29" s="395" t="s">
        <v>712</v>
      </c>
      <c r="C29" s="407">
        <f>'Önkormányzat - 9. mell.'!C107</f>
        <v>15000</v>
      </c>
      <c r="D29" s="405">
        <f>'Önkormányzat - 9. mell.'!D107</f>
        <v>15000</v>
      </c>
      <c r="E29" s="399">
        <f>'Önkormányzat - 9. mell.'!E107</f>
        <v>10341</v>
      </c>
      <c r="F29" s="442">
        <f t="shared" si="8"/>
        <v>0.68940000000000001</v>
      </c>
      <c r="G29" s="440">
        <f>'Óvoda - 10. mell.'!C108</f>
        <v>0</v>
      </c>
      <c r="H29" s="405">
        <f>'Óvoda - 10. mell.'!D108</f>
        <v>0</v>
      </c>
      <c r="I29" s="399">
        <f>'Óvoda - 10. mell.'!E108</f>
        <v>0</v>
      </c>
      <c r="J29" s="442"/>
      <c r="K29" s="409">
        <f t="shared" si="0"/>
        <v>15000</v>
      </c>
      <c r="L29" s="412">
        <f t="shared" si="1"/>
        <v>15000</v>
      </c>
      <c r="M29" s="413">
        <f t="shared" si="2"/>
        <v>10341</v>
      </c>
      <c r="N29" s="442">
        <f t="shared" si="9"/>
        <v>0.68940000000000001</v>
      </c>
    </row>
    <row r="30" spans="1:14" ht="16.5" x14ac:dyDescent="0.25">
      <c r="A30" s="397"/>
      <c r="B30" s="395" t="s">
        <v>713</v>
      </c>
      <c r="C30" s="407">
        <f>'Önkormányzat - 9. mell.'!C108</f>
        <v>0</v>
      </c>
      <c r="D30" s="405">
        <f>'Önkormányzat - 9. mell.'!D108</f>
        <v>0</v>
      </c>
      <c r="E30" s="399">
        <f>'Önkormányzat - 9. mell.'!E108</f>
        <v>5000</v>
      </c>
      <c r="F30" s="442"/>
      <c r="G30" s="440">
        <f>'Óvoda - 10. mell.'!C109</f>
        <v>0</v>
      </c>
      <c r="H30" s="405">
        <f>'Óvoda - 10. mell.'!D109</f>
        <v>0</v>
      </c>
      <c r="I30" s="399">
        <f>'Óvoda - 10. mell.'!E109</f>
        <v>0</v>
      </c>
      <c r="J30" s="442"/>
      <c r="K30" s="409">
        <f t="shared" si="0"/>
        <v>0</v>
      </c>
      <c r="L30" s="412">
        <f t="shared" si="1"/>
        <v>0</v>
      </c>
      <c r="M30" s="413">
        <f t="shared" si="2"/>
        <v>5000</v>
      </c>
      <c r="N30" s="442"/>
    </row>
    <row r="31" spans="1:14" ht="16.5" x14ac:dyDescent="0.25">
      <c r="A31" s="719" t="s">
        <v>284</v>
      </c>
      <c r="B31" s="720" t="s">
        <v>285</v>
      </c>
      <c r="C31" s="713">
        <f>SUM(C22:C30)</f>
        <v>171265000</v>
      </c>
      <c r="D31" s="714">
        <f>SUM(D22:D30)</f>
        <v>171265000</v>
      </c>
      <c r="E31" s="715">
        <f>SUM(E22:E30)</f>
        <v>89181794</v>
      </c>
      <c r="F31" s="716">
        <f>E31/D31</f>
        <v>0.52072398913963736</v>
      </c>
      <c r="G31" s="717">
        <f>SUM(G22:G30)</f>
        <v>0</v>
      </c>
      <c r="H31" s="714">
        <f>SUM(H22:H30)</f>
        <v>0</v>
      </c>
      <c r="I31" s="715">
        <f>SUM(I22:I30)</f>
        <v>0</v>
      </c>
      <c r="J31" s="716"/>
      <c r="K31" s="713">
        <f t="shared" si="0"/>
        <v>171265000</v>
      </c>
      <c r="L31" s="714">
        <f t="shared" si="1"/>
        <v>171265000</v>
      </c>
      <c r="M31" s="718">
        <f t="shared" si="2"/>
        <v>89181794</v>
      </c>
      <c r="N31" s="716">
        <f>M31/L31</f>
        <v>0.52072398913963736</v>
      </c>
    </row>
    <row r="32" spans="1:14" ht="16.5" x14ac:dyDescent="0.25">
      <c r="A32" s="397" t="s">
        <v>288</v>
      </c>
      <c r="B32" s="395" t="s">
        <v>294</v>
      </c>
      <c r="C32" s="407">
        <f>SUM('Önkormányzat - 9. mell.'!C111)</f>
        <v>0</v>
      </c>
      <c r="D32" s="405">
        <f>'Önkormányzat - 9. mell.'!D111</f>
        <v>0</v>
      </c>
      <c r="E32" s="399">
        <f>'Önkormányzat - 9. mell.'!E111</f>
        <v>0</v>
      </c>
      <c r="F32" s="442"/>
      <c r="G32" s="440">
        <f>'Óvoda - 10. mell.'!C112</f>
        <v>0</v>
      </c>
      <c r="H32" s="405">
        <f>'Óvoda - 10. mell.'!D112</f>
        <v>0</v>
      </c>
      <c r="I32" s="399">
        <f>'Óvoda - 10. mell.'!E112</f>
        <v>0</v>
      </c>
      <c r="J32" s="442"/>
      <c r="K32" s="409">
        <f t="shared" si="0"/>
        <v>0</v>
      </c>
      <c r="L32" s="412">
        <f t="shared" si="1"/>
        <v>0</v>
      </c>
      <c r="M32" s="413">
        <f t="shared" si="2"/>
        <v>0</v>
      </c>
      <c r="N32" s="442"/>
    </row>
    <row r="33" spans="1:14" ht="16.5" x14ac:dyDescent="0.25">
      <c r="A33" s="397" t="s">
        <v>289</v>
      </c>
      <c r="B33" s="395" t="s">
        <v>340</v>
      </c>
      <c r="C33" s="407">
        <f>SUM('Önkormányzat - 9. mell.'!C112)</f>
        <v>4208581</v>
      </c>
      <c r="D33" s="405">
        <f>'Önkormányzat - 9. mell.'!D112</f>
        <v>4208581</v>
      </c>
      <c r="E33" s="399">
        <f>'Önkormányzat - 9. mell.'!E112</f>
        <v>2288881</v>
      </c>
      <c r="F33" s="442">
        <f>E33/D33</f>
        <v>0.54386050785288442</v>
      </c>
      <c r="G33" s="440">
        <f>'Óvoda - 10. mell.'!C113</f>
        <v>0</v>
      </c>
      <c r="H33" s="405">
        <f>'Óvoda - 10. mell.'!D113</f>
        <v>0</v>
      </c>
      <c r="I33" s="399">
        <f>'Óvoda - 10. mell.'!E113</f>
        <v>0</v>
      </c>
      <c r="J33" s="442"/>
      <c r="K33" s="409">
        <f t="shared" si="0"/>
        <v>4208581</v>
      </c>
      <c r="L33" s="412">
        <f t="shared" si="1"/>
        <v>4208581</v>
      </c>
      <c r="M33" s="413">
        <f t="shared" si="2"/>
        <v>2288881</v>
      </c>
      <c r="N33" s="442">
        <f>M33/L33</f>
        <v>0.54386050785288442</v>
      </c>
    </row>
    <row r="34" spans="1:14" ht="16.5" x14ac:dyDescent="0.25">
      <c r="A34" s="397" t="s">
        <v>290</v>
      </c>
      <c r="B34" s="395" t="s">
        <v>178</v>
      </c>
      <c r="C34" s="407">
        <f>SUM('Önkormányzat - 9. mell.'!C113)</f>
        <v>3635000</v>
      </c>
      <c r="D34" s="405">
        <f>'Önkormányzat - 9. mell.'!D113</f>
        <v>3635000</v>
      </c>
      <c r="E34" s="399">
        <f>'Önkormányzat - 9. mell.'!E113</f>
        <v>655607</v>
      </c>
      <c r="F34" s="442">
        <f>E34/D34</f>
        <v>0.18035955983493809</v>
      </c>
      <c r="G34" s="440">
        <f>'Óvoda - 10. mell.'!C114</f>
        <v>0</v>
      </c>
      <c r="H34" s="405">
        <f>'Óvoda - 10. mell.'!D114</f>
        <v>0</v>
      </c>
      <c r="I34" s="399">
        <f>'Óvoda - 10. mell.'!E114</f>
        <v>0</v>
      </c>
      <c r="J34" s="442"/>
      <c r="K34" s="409">
        <f t="shared" si="0"/>
        <v>3635000</v>
      </c>
      <c r="L34" s="412">
        <f t="shared" si="1"/>
        <v>3635000</v>
      </c>
      <c r="M34" s="413">
        <f t="shared" si="2"/>
        <v>655607</v>
      </c>
      <c r="N34" s="442">
        <f>M34/L34</f>
        <v>0.18035955983493809</v>
      </c>
    </row>
    <row r="35" spans="1:14" ht="16.5" x14ac:dyDescent="0.25">
      <c r="A35" s="397" t="s">
        <v>291</v>
      </c>
      <c r="B35" s="395" t="s">
        <v>295</v>
      </c>
      <c r="C35" s="407">
        <f>SUM('Önkormányzat - 9. mell.'!C114)</f>
        <v>0</v>
      </c>
      <c r="D35" s="405">
        <f>'Önkormányzat - 9. mell.'!D114</f>
        <v>0</v>
      </c>
      <c r="E35" s="399">
        <f>'Önkormányzat - 9. mell.'!E114</f>
        <v>0</v>
      </c>
      <c r="F35" s="442"/>
      <c r="G35" s="440">
        <f>'Óvoda - 10. mell.'!C115</f>
        <v>0</v>
      </c>
      <c r="H35" s="405">
        <f>'Óvoda - 10. mell.'!D115</f>
        <v>0</v>
      </c>
      <c r="I35" s="399">
        <f>'Óvoda - 10. mell.'!E115</f>
        <v>0</v>
      </c>
      <c r="J35" s="442"/>
      <c r="K35" s="409">
        <f t="shared" si="0"/>
        <v>0</v>
      </c>
      <c r="L35" s="412">
        <f t="shared" si="1"/>
        <v>0</v>
      </c>
      <c r="M35" s="413">
        <f t="shared" si="2"/>
        <v>0</v>
      </c>
      <c r="N35" s="442"/>
    </row>
    <row r="36" spans="1:14" ht="16.5" x14ac:dyDescent="0.25">
      <c r="A36" s="397" t="s">
        <v>292</v>
      </c>
      <c r="B36" s="395" t="s">
        <v>296</v>
      </c>
      <c r="C36" s="407">
        <f>SUM('Önkormányzat - 9. mell.'!C115)</f>
        <v>2789430</v>
      </c>
      <c r="D36" s="405">
        <f>'Önkormányzat - 9. mell.'!D115</f>
        <v>2789430</v>
      </c>
      <c r="E36" s="399">
        <f>'Önkormányzat - 9. mell.'!E115</f>
        <v>1898615</v>
      </c>
      <c r="F36" s="442">
        <f>E36/D36</f>
        <v>0.68064622521447038</v>
      </c>
      <c r="G36" s="440">
        <f>'Óvoda - 10. mell.'!C116</f>
        <v>1443200</v>
      </c>
      <c r="H36" s="405">
        <f>'Óvoda - 10. mell.'!D116</f>
        <v>1443200</v>
      </c>
      <c r="I36" s="399">
        <f>'Óvoda - 10. mell.'!E116</f>
        <v>901180</v>
      </c>
      <c r="J36" s="442">
        <f>I36/H36</f>
        <v>0.62443181818181814</v>
      </c>
      <c r="K36" s="409">
        <f t="shared" si="0"/>
        <v>4232630</v>
      </c>
      <c r="L36" s="412">
        <f t="shared" si="1"/>
        <v>4232630</v>
      </c>
      <c r="M36" s="413">
        <f t="shared" si="2"/>
        <v>2799795</v>
      </c>
      <c r="N36" s="442">
        <f>M36/L36</f>
        <v>0.66147879687097622</v>
      </c>
    </row>
    <row r="37" spans="1:14" ht="16.5" x14ac:dyDescent="0.25">
      <c r="A37" s="397" t="s">
        <v>293</v>
      </c>
      <c r="B37" s="395" t="s">
        <v>339</v>
      </c>
      <c r="C37" s="407">
        <f>SUM('Önkormányzat - 9. mell.'!C116)</f>
        <v>1764596</v>
      </c>
      <c r="D37" s="405">
        <f>'Önkormányzat - 9. mell.'!D116</f>
        <v>1764596</v>
      </c>
      <c r="E37" s="399">
        <f>'Önkormányzat - 9. mell.'!E116</f>
        <v>718779</v>
      </c>
      <c r="F37" s="442">
        <f>E37/D37</f>
        <v>0.40733346329698128</v>
      </c>
      <c r="G37" s="440">
        <f>'Óvoda - 10. mell.'!C117</f>
        <v>0</v>
      </c>
      <c r="H37" s="405">
        <f>'Óvoda - 10. mell.'!D117</f>
        <v>0</v>
      </c>
      <c r="I37" s="399">
        <f>'Óvoda - 10. mell.'!E117</f>
        <v>0</v>
      </c>
      <c r="J37" s="442"/>
      <c r="K37" s="409">
        <f t="shared" si="0"/>
        <v>1764596</v>
      </c>
      <c r="L37" s="412">
        <f t="shared" si="1"/>
        <v>1764596</v>
      </c>
      <c r="M37" s="413">
        <f t="shared" si="2"/>
        <v>718779</v>
      </c>
      <c r="N37" s="442">
        <f>M37/L37</f>
        <v>0.40733346329698128</v>
      </c>
    </row>
    <row r="38" spans="1:14" ht="16.5" x14ac:dyDescent="0.25">
      <c r="A38" s="397" t="s">
        <v>297</v>
      </c>
      <c r="B38" s="395" t="s">
        <v>298</v>
      </c>
      <c r="C38" s="407">
        <f>SUM('Önkormányzat - 9. mell.'!C117)</f>
        <v>0</v>
      </c>
      <c r="D38" s="405">
        <f>'Önkormányzat - 9. mell.'!D117</f>
        <v>0</v>
      </c>
      <c r="E38" s="399">
        <f>'Önkormányzat - 9. mell.'!E117</f>
        <v>794000</v>
      </c>
      <c r="F38" s="442"/>
      <c r="G38" s="440">
        <f>'Óvoda - 10. mell.'!C118</f>
        <v>0</v>
      </c>
      <c r="H38" s="405">
        <f>'Óvoda - 10. mell.'!D118</f>
        <v>0</v>
      </c>
      <c r="I38" s="399">
        <f>'Óvoda - 10. mell.'!E118</f>
        <v>0</v>
      </c>
      <c r="J38" s="442"/>
      <c r="K38" s="409">
        <f t="shared" si="0"/>
        <v>0</v>
      </c>
      <c r="L38" s="412">
        <f t="shared" si="1"/>
        <v>0</v>
      </c>
      <c r="M38" s="413">
        <f t="shared" si="2"/>
        <v>794000</v>
      </c>
      <c r="N38" s="442"/>
    </row>
    <row r="39" spans="1:14" ht="16.5" x14ac:dyDescent="0.25">
      <c r="A39" s="397" t="s">
        <v>299</v>
      </c>
      <c r="B39" s="395" t="s">
        <v>300</v>
      </c>
      <c r="C39" s="407">
        <f>SUM('Önkormányzat - 9. mell.'!C118)</f>
        <v>0</v>
      </c>
      <c r="D39" s="405">
        <f>'Önkormányzat - 9. mell.'!D118</f>
        <v>0</v>
      </c>
      <c r="E39" s="399">
        <f>'Önkormányzat - 9. mell.'!E118</f>
        <v>80</v>
      </c>
      <c r="F39" s="442"/>
      <c r="G39" s="440">
        <f>'Óvoda - 10. mell.'!C119</f>
        <v>0</v>
      </c>
      <c r="H39" s="405">
        <f>'Óvoda - 10. mell.'!D119</f>
        <v>0</v>
      </c>
      <c r="I39" s="399">
        <f>'Óvoda - 10. mell.'!E119</f>
        <v>0</v>
      </c>
      <c r="J39" s="442"/>
      <c r="K39" s="409">
        <f t="shared" si="0"/>
        <v>0</v>
      </c>
      <c r="L39" s="412">
        <f t="shared" si="1"/>
        <v>0</v>
      </c>
      <c r="M39" s="413">
        <f t="shared" si="2"/>
        <v>80</v>
      </c>
      <c r="N39" s="442"/>
    </row>
    <row r="40" spans="1:14" ht="16.5" x14ac:dyDescent="0.25">
      <c r="A40" s="397" t="s">
        <v>681</v>
      </c>
      <c r="B40" s="395" t="s">
        <v>301</v>
      </c>
      <c r="C40" s="407">
        <f>SUM('Önkormányzat - 9. mell.'!C119)</f>
        <v>11000</v>
      </c>
      <c r="D40" s="405">
        <f>'Önkormányzat - 9. mell.'!D119</f>
        <v>11000</v>
      </c>
      <c r="E40" s="399">
        <f>'Önkormányzat - 9. mell.'!E119</f>
        <v>111334</v>
      </c>
      <c r="F40" s="442">
        <f>E40/D40</f>
        <v>10.121272727272727</v>
      </c>
      <c r="G40" s="440">
        <f>'Óvoda - 10. mell.'!C120</f>
        <v>0</v>
      </c>
      <c r="H40" s="405">
        <f>'Óvoda - 10. mell.'!D120</f>
        <v>0</v>
      </c>
      <c r="I40" s="399">
        <f>'Óvoda - 10. mell.'!E120</f>
        <v>2868</v>
      </c>
      <c r="J40" s="442"/>
      <c r="K40" s="409">
        <f t="shared" si="0"/>
        <v>11000</v>
      </c>
      <c r="L40" s="412">
        <f t="shared" si="1"/>
        <v>11000</v>
      </c>
      <c r="M40" s="413">
        <f t="shared" si="2"/>
        <v>114202</v>
      </c>
      <c r="N40" s="442">
        <f>M40/L40</f>
        <v>10.382</v>
      </c>
    </row>
    <row r="41" spans="1:14" ht="16.5" x14ac:dyDescent="0.25">
      <c r="A41" s="719" t="s">
        <v>286</v>
      </c>
      <c r="B41" s="720" t="s">
        <v>287</v>
      </c>
      <c r="C41" s="713">
        <f>SUM(C32:C40)</f>
        <v>12408607</v>
      </c>
      <c r="D41" s="714">
        <f>SUM(D32:D40)</f>
        <v>12408607</v>
      </c>
      <c r="E41" s="715">
        <f>SUM(E32:E40)</f>
        <v>6467296</v>
      </c>
      <c r="F41" s="716">
        <f>E41/D41</f>
        <v>0.52119436130099051</v>
      </c>
      <c r="G41" s="717">
        <f t="shared" ref="G41" si="10">SUM(G32:G40)</f>
        <v>1443200</v>
      </c>
      <c r="H41" s="714">
        <f>SUM(H32:H40)</f>
        <v>1443200</v>
      </c>
      <c r="I41" s="715">
        <f t="shared" ref="I41" si="11">SUM(I32:I40)</f>
        <v>904048</v>
      </c>
      <c r="J41" s="716">
        <f>I41/H41</f>
        <v>0.62641906873614195</v>
      </c>
      <c r="K41" s="713">
        <f t="shared" si="0"/>
        <v>13851807</v>
      </c>
      <c r="L41" s="714">
        <f t="shared" si="1"/>
        <v>13851807</v>
      </c>
      <c r="M41" s="718">
        <f t="shared" si="2"/>
        <v>7371344</v>
      </c>
      <c r="N41" s="716">
        <f>M41/L41</f>
        <v>0.53215757337652769</v>
      </c>
    </row>
    <row r="42" spans="1:14" ht="16.5" x14ac:dyDescent="0.25">
      <c r="A42" s="397" t="s">
        <v>302</v>
      </c>
      <c r="B42" s="395" t="s">
        <v>304</v>
      </c>
      <c r="C42" s="407">
        <f>'Önkormányzat - 9. mell.'!C121</f>
        <v>460000</v>
      </c>
      <c r="D42" s="405">
        <f>'Önkormányzat - 9. mell.'!D121</f>
        <v>460000</v>
      </c>
      <c r="E42" s="399">
        <f>'Önkormányzat - 9. mell.'!E121</f>
        <v>215000</v>
      </c>
      <c r="F42" s="442">
        <f>E42/D42</f>
        <v>0.46739130434782611</v>
      </c>
      <c r="G42" s="440">
        <f>'Óvoda - 10. mell.'!C122</f>
        <v>0</v>
      </c>
      <c r="H42" s="405">
        <f>'Óvoda - 10. mell.'!D122</f>
        <v>0</v>
      </c>
      <c r="I42" s="399">
        <f>'Óvoda - 10. mell.'!E122</f>
        <v>0</v>
      </c>
      <c r="J42" s="442"/>
      <c r="K42" s="409">
        <f t="shared" si="0"/>
        <v>460000</v>
      </c>
      <c r="L42" s="412">
        <f t="shared" si="1"/>
        <v>460000</v>
      </c>
      <c r="M42" s="413">
        <f t="shared" si="2"/>
        <v>215000</v>
      </c>
      <c r="N42" s="442">
        <f>M42/L42</f>
        <v>0.46739130434782611</v>
      </c>
    </row>
    <row r="43" spans="1:14" ht="16.5" x14ac:dyDescent="0.25">
      <c r="A43" s="397" t="s">
        <v>303</v>
      </c>
      <c r="B43" s="395" t="s">
        <v>305</v>
      </c>
      <c r="C43" s="407">
        <f>'Önkormányzat - 9. mell.'!C122</f>
        <v>0</v>
      </c>
      <c r="D43" s="405">
        <f>'Önkormányzat - 9. mell.'!D122</f>
        <v>0</v>
      </c>
      <c r="E43" s="399">
        <f>'Önkormányzat - 9. mell.'!E122</f>
        <v>0</v>
      </c>
      <c r="F43" s="442"/>
      <c r="G43" s="440">
        <f>'Óvoda - 10. mell.'!C123</f>
        <v>0</v>
      </c>
      <c r="H43" s="405">
        <f>'Óvoda - 10. mell.'!D123</f>
        <v>0</v>
      </c>
      <c r="I43" s="399">
        <f>'Óvoda - 10. mell.'!E123</f>
        <v>0</v>
      </c>
      <c r="J43" s="442"/>
      <c r="K43" s="409">
        <f t="shared" si="0"/>
        <v>0</v>
      </c>
      <c r="L43" s="412">
        <f t="shared" si="1"/>
        <v>0</v>
      </c>
      <c r="M43" s="413">
        <f t="shared" si="2"/>
        <v>0</v>
      </c>
      <c r="N43" s="442"/>
    </row>
    <row r="44" spans="1:14" ht="16.5" x14ac:dyDescent="0.25">
      <c r="A44" s="719" t="s">
        <v>306</v>
      </c>
      <c r="B44" s="720" t="s">
        <v>307</v>
      </c>
      <c r="C44" s="713">
        <f>SUM(C42:C43)</f>
        <v>460000</v>
      </c>
      <c r="D44" s="714">
        <f>SUM(D42:D43)</f>
        <v>460000</v>
      </c>
      <c r="E44" s="715">
        <f>SUM(E42:E43)</f>
        <v>215000</v>
      </c>
      <c r="F44" s="716">
        <f>E44/D44</f>
        <v>0.46739130434782611</v>
      </c>
      <c r="G44" s="717">
        <f t="shared" ref="G44" si="12">SUM(G42:G43)</f>
        <v>0</v>
      </c>
      <c r="H44" s="714">
        <f>SUM(H42:H43)</f>
        <v>0</v>
      </c>
      <c r="I44" s="715">
        <f t="shared" ref="I44" si="13">SUM(I42:I43)</f>
        <v>0</v>
      </c>
      <c r="J44" s="716"/>
      <c r="K44" s="713">
        <f t="shared" si="0"/>
        <v>460000</v>
      </c>
      <c r="L44" s="714">
        <f t="shared" si="1"/>
        <v>460000</v>
      </c>
      <c r="M44" s="718">
        <f t="shared" si="2"/>
        <v>215000</v>
      </c>
      <c r="N44" s="716">
        <f>M44/L44</f>
        <v>0.46739130434782611</v>
      </c>
    </row>
    <row r="45" spans="1:14" ht="16.5" x14ac:dyDescent="0.25">
      <c r="A45" s="397" t="s">
        <v>308</v>
      </c>
      <c r="B45" s="395" t="s">
        <v>309</v>
      </c>
      <c r="C45" s="407">
        <f>'Önkormányzat - 9. mell.'!C124</f>
        <v>0</v>
      </c>
      <c r="D45" s="405">
        <f>'Önkormányzat - 9. mell.'!D124</f>
        <v>0</v>
      </c>
      <c r="E45" s="399">
        <f>'Önkormányzat - 9. mell.'!E124</f>
        <v>0</v>
      </c>
      <c r="F45" s="442"/>
      <c r="G45" s="440">
        <f>'Óvoda - 10. mell.'!C125</f>
        <v>0</v>
      </c>
      <c r="H45" s="405">
        <f>'Óvoda - 10. mell.'!D125</f>
        <v>0</v>
      </c>
      <c r="I45" s="399">
        <f>'Óvoda - 10. mell.'!E125</f>
        <v>0</v>
      </c>
      <c r="J45" s="442"/>
      <c r="K45" s="409">
        <f t="shared" si="0"/>
        <v>0</v>
      </c>
      <c r="L45" s="412">
        <f t="shared" si="1"/>
        <v>0</v>
      </c>
      <c r="M45" s="413">
        <f t="shared" si="2"/>
        <v>0</v>
      </c>
      <c r="N45" s="442"/>
    </row>
    <row r="46" spans="1:14" ht="16.5" x14ac:dyDescent="0.25">
      <c r="A46" s="397" t="s">
        <v>683</v>
      </c>
      <c r="B46" s="395" t="s">
        <v>310</v>
      </c>
      <c r="C46" s="407">
        <f>'Önkormányzat - 9. mell.'!C125</f>
        <v>0</v>
      </c>
      <c r="D46" s="405">
        <f>'Önkormányzat - 9. mell.'!D125</f>
        <v>47560</v>
      </c>
      <c r="E46" s="399">
        <f>'Önkormányzat - 9. mell.'!E125</f>
        <v>363560</v>
      </c>
      <c r="F46" s="442">
        <f>E46/D46</f>
        <v>7.6442388561816657</v>
      </c>
      <c r="G46" s="440">
        <f>'Óvoda - 10. mell.'!C126</f>
        <v>0</v>
      </c>
      <c r="H46" s="405">
        <f>'Óvoda - 10. mell.'!D126</f>
        <v>0</v>
      </c>
      <c r="I46" s="399">
        <f>'Óvoda - 10. mell.'!E126</f>
        <v>0</v>
      </c>
      <c r="J46" s="442"/>
      <c r="K46" s="409">
        <f t="shared" si="0"/>
        <v>0</v>
      </c>
      <c r="L46" s="412">
        <f t="shared" si="1"/>
        <v>47560</v>
      </c>
      <c r="M46" s="413">
        <f t="shared" si="2"/>
        <v>363560</v>
      </c>
      <c r="N46" s="442">
        <f>M46/L46</f>
        <v>7.6442388561816657</v>
      </c>
    </row>
    <row r="47" spans="1:14" ht="16.5" x14ac:dyDescent="0.25">
      <c r="A47" s="719" t="s">
        <v>311</v>
      </c>
      <c r="B47" s="720" t="s">
        <v>314</v>
      </c>
      <c r="C47" s="713">
        <f>SUM(C45:C46)</f>
        <v>0</v>
      </c>
      <c r="D47" s="714">
        <f>SUM(D45:D46)</f>
        <v>47560</v>
      </c>
      <c r="E47" s="715">
        <f>SUM(E45:E46)</f>
        <v>363560</v>
      </c>
      <c r="F47" s="716">
        <f>E47/D47</f>
        <v>7.6442388561816657</v>
      </c>
      <c r="G47" s="717">
        <f t="shared" ref="G47" si="14">SUM(G45:G46)</f>
        <v>0</v>
      </c>
      <c r="H47" s="714">
        <f>SUM(H45:H46)</f>
        <v>0</v>
      </c>
      <c r="I47" s="715">
        <f t="shared" ref="I47" si="15">SUM(I45:I46)</f>
        <v>0</v>
      </c>
      <c r="J47" s="716"/>
      <c r="K47" s="713">
        <f t="shared" si="0"/>
        <v>0</v>
      </c>
      <c r="L47" s="714">
        <f t="shared" si="1"/>
        <v>47560</v>
      </c>
      <c r="M47" s="718">
        <f t="shared" si="2"/>
        <v>363560</v>
      </c>
      <c r="N47" s="716">
        <f>M47/L47</f>
        <v>7.6442388561816657</v>
      </c>
    </row>
    <row r="48" spans="1:14" ht="16.5" x14ac:dyDescent="0.25">
      <c r="A48" s="397" t="s">
        <v>315</v>
      </c>
      <c r="B48" s="395" t="s">
        <v>316</v>
      </c>
      <c r="C48" s="407">
        <f>'Önkormányzat - 9. mell.'!C127</f>
        <v>0</v>
      </c>
      <c r="D48" s="405">
        <f>'Önkormányzat - 9. mell.'!D127</f>
        <v>0</v>
      </c>
      <c r="E48" s="399">
        <f>'Önkormányzat - 9. mell.'!E127</f>
        <v>0</v>
      </c>
      <c r="F48" s="442"/>
      <c r="G48" s="440">
        <f>'Óvoda - 10. mell.'!C128</f>
        <v>0</v>
      </c>
      <c r="H48" s="405">
        <f>'Óvoda - 10. mell.'!D128</f>
        <v>0</v>
      </c>
      <c r="I48" s="399">
        <f>'Óvoda - 10. mell.'!E128</f>
        <v>0</v>
      </c>
      <c r="J48" s="442"/>
      <c r="K48" s="409">
        <f t="shared" si="0"/>
        <v>0</v>
      </c>
      <c r="L48" s="412">
        <f t="shared" si="1"/>
        <v>0</v>
      </c>
      <c r="M48" s="413">
        <f t="shared" si="2"/>
        <v>0</v>
      </c>
      <c r="N48" s="442"/>
    </row>
    <row r="49" spans="1:14" ht="16.5" x14ac:dyDescent="0.25">
      <c r="A49" s="397" t="s">
        <v>686</v>
      </c>
      <c r="B49" s="395" t="s">
        <v>317</v>
      </c>
      <c r="C49" s="407">
        <f>'Önkormányzat - 9. mell.'!C128</f>
        <v>2886600</v>
      </c>
      <c r="D49" s="405">
        <f>'Önkormányzat - 9. mell.'!D128</f>
        <v>2886600</v>
      </c>
      <c r="E49" s="399">
        <f>'Önkormányzat - 9. mell.'!E128</f>
        <v>0</v>
      </c>
      <c r="F49" s="442">
        <f>E49/D49</f>
        <v>0</v>
      </c>
      <c r="G49" s="440">
        <f>'Óvoda - 10. mell.'!C129</f>
        <v>0</v>
      </c>
      <c r="H49" s="405">
        <f>'Óvoda - 10. mell.'!D129</f>
        <v>0</v>
      </c>
      <c r="I49" s="399">
        <f>'Óvoda - 10. mell.'!E129</f>
        <v>0</v>
      </c>
      <c r="J49" s="442"/>
      <c r="K49" s="409">
        <f t="shared" si="0"/>
        <v>2886600</v>
      </c>
      <c r="L49" s="412">
        <f t="shared" si="1"/>
        <v>2886600</v>
      </c>
      <c r="M49" s="413">
        <f t="shared" si="2"/>
        <v>0</v>
      </c>
      <c r="N49" s="442">
        <f t="shared" ref="N49:N54" si="16">M49/L49</f>
        <v>0</v>
      </c>
    </row>
    <row r="50" spans="1:14" ht="16.5" x14ac:dyDescent="0.25">
      <c r="A50" s="719" t="s">
        <v>312</v>
      </c>
      <c r="B50" s="720" t="s">
        <v>313</v>
      </c>
      <c r="C50" s="713">
        <f>SUM(C48:C49)</f>
        <v>2886600</v>
      </c>
      <c r="D50" s="714">
        <f>SUM(D48:D49)</f>
        <v>2886600</v>
      </c>
      <c r="E50" s="715">
        <f>SUM(E48:E49)</f>
        <v>0</v>
      </c>
      <c r="F50" s="716">
        <f>E50/D50</f>
        <v>0</v>
      </c>
      <c r="G50" s="717">
        <f t="shared" ref="G50" si="17">SUM(G48:G49)</f>
        <v>0</v>
      </c>
      <c r="H50" s="714">
        <f t="shared" ref="H50" si="18">SUM(H48:H49)</f>
        <v>0</v>
      </c>
      <c r="I50" s="715">
        <f t="shared" ref="I50" si="19">SUM(I48:I49)</f>
        <v>0</v>
      </c>
      <c r="J50" s="716"/>
      <c r="K50" s="713">
        <f t="shared" si="0"/>
        <v>2886600</v>
      </c>
      <c r="L50" s="714">
        <f t="shared" si="1"/>
        <v>2886600</v>
      </c>
      <c r="M50" s="718">
        <f t="shared" si="2"/>
        <v>0</v>
      </c>
      <c r="N50" s="716">
        <f t="shared" si="16"/>
        <v>0</v>
      </c>
    </row>
    <row r="51" spans="1:14" ht="18" x14ac:dyDescent="0.25">
      <c r="A51" s="747" t="s">
        <v>687</v>
      </c>
      <c r="B51" s="748"/>
      <c r="C51" s="721">
        <f>SUM(C17,C21,C31,C41,C44,C47,C50)</f>
        <v>264645936</v>
      </c>
      <c r="D51" s="722">
        <f>SUM(D17,D21,D31,D41,D44,D47,D50)</f>
        <v>265025945</v>
      </c>
      <c r="E51" s="723">
        <f>SUM(E17,E21,E31,E41,E44,E47,E50)</f>
        <v>139006328</v>
      </c>
      <c r="F51" s="724">
        <f>E51/D51</f>
        <v>0.52450082953199162</v>
      </c>
      <c r="G51" s="725">
        <f>SUM(G17,G21,G31,G41,G44,G47,G50)</f>
        <v>1443200</v>
      </c>
      <c r="H51" s="722">
        <f>SUM(H17,H21,H31,H41,H44,H47,H50)</f>
        <v>1443200</v>
      </c>
      <c r="I51" s="723">
        <f>SUM(I17,I21,I31,I41,I44,I47,I50)</f>
        <v>904048</v>
      </c>
      <c r="J51" s="724">
        <f>I51/H51</f>
        <v>0.62641906873614195</v>
      </c>
      <c r="K51" s="721">
        <f t="shared" si="0"/>
        <v>266089136</v>
      </c>
      <c r="L51" s="722">
        <f t="shared" si="1"/>
        <v>266469145</v>
      </c>
      <c r="M51" s="726">
        <f t="shared" si="2"/>
        <v>139910376</v>
      </c>
      <c r="N51" s="724">
        <f t="shared" si="16"/>
        <v>0.52505281990528396</v>
      </c>
    </row>
    <row r="52" spans="1:14" ht="16.5" x14ac:dyDescent="0.25">
      <c r="A52" s="397" t="s">
        <v>319</v>
      </c>
      <c r="B52" s="395" t="s">
        <v>318</v>
      </c>
      <c r="C52" s="407">
        <f>'Önkormányzat - 9. mell.'!C131</f>
        <v>5000000</v>
      </c>
      <c r="D52" s="405">
        <f>'Önkormányzat - 9. mell.'!D131</f>
        <v>5000000</v>
      </c>
      <c r="E52" s="399">
        <f>'Önkormányzat - 9. mell.'!E131</f>
        <v>0</v>
      </c>
      <c r="F52" s="442">
        <f>E52/D52</f>
        <v>0</v>
      </c>
      <c r="G52" s="440">
        <f>'Óvoda - 10. mell.'!C132</f>
        <v>0</v>
      </c>
      <c r="H52" s="405">
        <f>'Óvoda - 10. mell.'!D132</f>
        <v>0</v>
      </c>
      <c r="I52" s="399">
        <f>'Óvoda - 10. mell.'!E132</f>
        <v>0</v>
      </c>
      <c r="J52" s="442"/>
      <c r="K52" s="409">
        <f t="shared" si="0"/>
        <v>5000000</v>
      </c>
      <c r="L52" s="412">
        <f t="shared" si="1"/>
        <v>5000000</v>
      </c>
      <c r="M52" s="413">
        <f t="shared" si="2"/>
        <v>0</v>
      </c>
      <c r="N52" s="442">
        <f t="shared" si="16"/>
        <v>0</v>
      </c>
    </row>
    <row r="53" spans="1:14" ht="16.5" x14ac:dyDescent="0.25">
      <c r="A53" s="397" t="s">
        <v>320</v>
      </c>
      <c r="B53" s="395" t="s">
        <v>321</v>
      </c>
      <c r="C53" s="407">
        <f>'Önkormányzat - 9. mell.'!C132</f>
        <v>164147292</v>
      </c>
      <c r="D53" s="405">
        <f>'Önkormányzat - 9. mell.'!D132</f>
        <v>189550609</v>
      </c>
      <c r="E53" s="399">
        <f>'Önkormányzat - 9. mell.'!E132</f>
        <v>189550609</v>
      </c>
      <c r="F53" s="442">
        <f>E53/D53</f>
        <v>1</v>
      </c>
      <c r="G53" s="440">
        <f>'Óvoda - 10. mell.'!C133</f>
        <v>0</v>
      </c>
      <c r="H53" s="405">
        <f>'Óvoda - 10. mell.'!D133</f>
        <v>77550</v>
      </c>
      <c r="I53" s="399">
        <f>'Óvoda - 10. mell.'!E133</f>
        <v>77550</v>
      </c>
      <c r="J53" s="442">
        <f>I53/H53</f>
        <v>1</v>
      </c>
      <c r="K53" s="409">
        <f t="shared" si="0"/>
        <v>164147292</v>
      </c>
      <c r="L53" s="412">
        <f t="shared" si="1"/>
        <v>189628159</v>
      </c>
      <c r="M53" s="413">
        <f t="shared" si="2"/>
        <v>189628159</v>
      </c>
      <c r="N53" s="442">
        <f t="shared" si="16"/>
        <v>1</v>
      </c>
    </row>
    <row r="54" spans="1:14" ht="16.5" x14ac:dyDescent="0.25">
      <c r="A54" s="397" t="s">
        <v>322</v>
      </c>
      <c r="B54" s="395" t="s">
        <v>68</v>
      </c>
      <c r="C54" s="407">
        <f>'Önkormányzat - 9. mell.'!C133</f>
        <v>0</v>
      </c>
      <c r="D54" s="405">
        <f>'Önkormányzat - 9. mell.'!D133</f>
        <v>0</v>
      </c>
      <c r="E54" s="399">
        <f>'Önkormányzat - 9. mell.'!E133</f>
        <v>0</v>
      </c>
      <c r="F54" s="442"/>
      <c r="G54" s="440">
        <f>'Óvoda - 10. mell.'!C134</f>
        <v>69183233</v>
      </c>
      <c r="H54" s="405">
        <f>'Óvoda - 10. mell.'!D134</f>
        <v>69201874</v>
      </c>
      <c r="I54" s="399">
        <f>'Óvoda - 10. mell.'!E134</f>
        <v>30592654</v>
      </c>
      <c r="J54" s="442">
        <f>I54/H54</f>
        <v>0.442078403830509</v>
      </c>
      <c r="K54" s="409">
        <f t="shared" si="0"/>
        <v>69183233</v>
      </c>
      <c r="L54" s="412">
        <f t="shared" si="1"/>
        <v>69201874</v>
      </c>
      <c r="M54" s="413">
        <f t="shared" si="2"/>
        <v>30592654</v>
      </c>
      <c r="N54" s="442">
        <f t="shared" si="16"/>
        <v>0.442078403830509</v>
      </c>
    </row>
    <row r="55" spans="1:14" ht="16.5" x14ac:dyDescent="0.25">
      <c r="A55" s="397" t="s">
        <v>323</v>
      </c>
      <c r="B55" s="395" t="s">
        <v>324</v>
      </c>
      <c r="C55" s="407">
        <f>'Önkormányzat - 9. mell.'!C134</f>
        <v>0</v>
      </c>
      <c r="D55" s="405">
        <f>'Önkormányzat - 9. mell.'!D134</f>
        <v>0</v>
      </c>
      <c r="E55" s="399">
        <f>'Önkormányzat - 9. mell.'!E134</f>
        <v>0</v>
      </c>
      <c r="F55" s="442"/>
      <c r="G55" s="440">
        <f>'Óvoda - 10. mell.'!C135</f>
        <v>0</v>
      </c>
      <c r="H55" s="405">
        <f>'Óvoda - 10. mell.'!D135</f>
        <v>0</v>
      </c>
      <c r="I55" s="399">
        <f>'Óvoda - 10. mell.'!E135</f>
        <v>0</v>
      </c>
      <c r="J55" s="442"/>
      <c r="K55" s="409">
        <f t="shared" si="0"/>
        <v>0</v>
      </c>
      <c r="L55" s="412">
        <f t="shared" si="1"/>
        <v>0</v>
      </c>
      <c r="M55" s="413">
        <f t="shared" si="2"/>
        <v>0</v>
      </c>
      <c r="N55" s="442"/>
    </row>
    <row r="56" spans="1:14" ht="18" x14ac:dyDescent="0.25">
      <c r="A56" s="747" t="s">
        <v>751</v>
      </c>
      <c r="B56" s="748"/>
      <c r="C56" s="721">
        <f>SUM(C51:C55)</f>
        <v>433793228</v>
      </c>
      <c r="D56" s="722">
        <f>SUM(D51:D55)</f>
        <v>459576554</v>
      </c>
      <c r="E56" s="723">
        <f>SUM(E51:E55)</f>
        <v>328556937</v>
      </c>
      <c r="F56" s="724">
        <f>E56/D56</f>
        <v>0.71491231251975484</v>
      </c>
      <c r="G56" s="725">
        <f t="shared" ref="G56" si="20">SUM(G51:G55)</f>
        <v>70626433</v>
      </c>
      <c r="H56" s="722">
        <f t="shared" ref="H56" si="21">SUM(H51:H55)</f>
        <v>70722624</v>
      </c>
      <c r="I56" s="723">
        <f t="shared" ref="I56" si="22">SUM(I51:I55)</f>
        <v>31574252</v>
      </c>
      <c r="J56" s="724">
        <f>I56/H56</f>
        <v>0.44645193029036934</v>
      </c>
      <c r="K56" s="721">
        <f t="shared" si="0"/>
        <v>504419661</v>
      </c>
      <c r="L56" s="722">
        <f t="shared" si="1"/>
        <v>530299178</v>
      </c>
      <c r="M56" s="726">
        <f t="shared" si="2"/>
        <v>360131189</v>
      </c>
      <c r="N56" s="724">
        <f>M56/L56</f>
        <v>0.67910946111253445</v>
      </c>
    </row>
  </sheetData>
  <mergeCells count="10">
    <mergeCell ref="G1:J1"/>
    <mergeCell ref="K1:N1"/>
    <mergeCell ref="F2:F3"/>
    <mergeCell ref="J2:J3"/>
    <mergeCell ref="N2:N3"/>
    <mergeCell ref="A56:B56"/>
    <mergeCell ref="A51:B51"/>
    <mergeCell ref="A1:A3"/>
    <mergeCell ref="B1:B3"/>
    <mergeCell ref="C1:F1"/>
  </mergeCells>
  <phoneticPr fontId="2" type="noConversion"/>
  <printOptions horizontalCentered="1"/>
  <pageMargins left="0.59055118110236227" right="0.59055118110236227" top="0.9055118110236221" bottom="0.39370078740157483" header="0.39370078740157483" footer="0.31496062992125984"/>
  <pageSetup paperSize="9" scale="48" orientation="landscape" r:id="rId1"/>
  <headerFooter>
    <oddHeader>&amp;LLevél Községi Önkormányzat&amp;C&amp;"Arial CE,Félkövér"&amp;12Bevételek összesen
2019. év&amp;R3. sz. melléklet</oddHeader>
  </headerFooter>
  <ignoredErrors>
    <ignoredError sqref="I25:I30 G18:I18 H19:I19 I22:I24 E32 G32:G35 I32:I35 E35 I37:I39 G38:G39 G42 I42" emptyCellReference="1"/>
    <ignoredError sqref="F17 F31 F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tabColor rgb="FF00B0F0"/>
    <pageSetUpPr fitToPage="1"/>
  </sheetPr>
  <dimension ref="A1:R27"/>
  <sheetViews>
    <sheetView zoomScaleNormal="100" workbookViewId="0">
      <pane ySplit="3" topLeftCell="A4" activePane="bottomLeft" state="frozen"/>
      <selection pane="bottomLeft" activeCell="E24" sqref="E24"/>
    </sheetView>
  </sheetViews>
  <sheetFormatPr defaultRowHeight="12.75" x14ac:dyDescent="0.2"/>
  <cols>
    <col min="1" max="1" width="6.140625" bestFit="1" customWidth="1"/>
    <col min="2" max="2" width="45.5703125" bestFit="1" customWidth="1"/>
    <col min="3" max="5" width="19" bestFit="1" customWidth="1"/>
    <col min="6" max="6" width="9.5703125" style="283" bestFit="1" customWidth="1"/>
    <col min="7" max="9" width="17.7109375" bestFit="1" customWidth="1"/>
    <col min="10" max="10" width="9.5703125" bestFit="1" customWidth="1"/>
    <col min="11" max="13" width="19" bestFit="1" customWidth="1"/>
    <col min="14" max="14" width="9.5703125" bestFit="1" customWidth="1"/>
    <col min="18" max="18" width="14.7109375" bestFit="1" customWidth="1"/>
  </cols>
  <sheetData>
    <row r="1" spans="1:14" ht="22.5" customHeight="1" thickBot="1" x14ac:dyDescent="0.25">
      <c r="A1" s="749" t="s">
        <v>237</v>
      </c>
      <c r="B1" s="750" t="s">
        <v>75</v>
      </c>
      <c r="C1" s="751" t="s">
        <v>249</v>
      </c>
      <c r="D1" s="752"/>
      <c r="E1" s="752"/>
      <c r="F1" s="753"/>
      <c r="G1" s="751" t="s">
        <v>48</v>
      </c>
      <c r="H1" s="752"/>
      <c r="I1" s="752"/>
      <c r="J1" s="753"/>
      <c r="K1" s="754" t="s">
        <v>723</v>
      </c>
      <c r="L1" s="755"/>
      <c r="M1" s="755"/>
      <c r="N1" s="756"/>
    </row>
    <row r="2" spans="1:14" ht="18" thickTop="1" thickBot="1" x14ac:dyDescent="0.25">
      <c r="A2" s="749"/>
      <c r="B2" s="750"/>
      <c r="C2" s="451">
        <v>2019</v>
      </c>
      <c r="D2" s="451">
        <v>2019</v>
      </c>
      <c r="E2" s="452">
        <v>2019</v>
      </c>
      <c r="F2" s="757" t="s">
        <v>743</v>
      </c>
      <c r="G2" s="453">
        <v>2019</v>
      </c>
      <c r="H2" s="451">
        <v>2019</v>
      </c>
      <c r="I2" s="454">
        <v>2019</v>
      </c>
      <c r="J2" s="757" t="s">
        <v>743</v>
      </c>
      <c r="K2" s="451">
        <v>2019</v>
      </c>
      <c r="L2" s="451">
        <v>2019</v>
      </c>
      <c r="M2" s="454">
        <v>2019</v>
      </c>
      <c r="N2" s="757" t="s">
        <v>743</v>
      </c>
    </row>
    <row r="3" spans="1:14" ht="15.75" thickBot="1" x14ac:dyDescent="0.25">
      <c r="A3" s="749"/>
      <c r="B3" s="750"/>
      <c r="C3" s="401" t="s">
        <v>64</v>
      </c>
      <c r="D3" s="401" t="s">
        <v>566</v>
      </c>
      <c r="E3" s="437" t="s">
        <v>567</v>
      </c>
      <c r="F3" s="758"/>
      <c r="G3" s="438" t="s">
        <v>64</v>
      </c>
      <c r="H3" s="401" t="s">
        <v>566</v>
      </c>
      <c r="I3" s="401" t="s">
        <v>567</v>
      </c>
      <c r="J3" s="758"/>
      <c r="K3" s="401" t="s">
        <v>64</v>
      </c>
      <c r="L3" s="401" t="s">
        <v>566</v>
      </c>
      <c r="M3" s="401" t="s">
        <v>567</v>
      </c>
      <c r="N3" s="758"/>
    </row>
    <row r="4" spans="1:14" ht="16.5" x14ac:dyDescent="0.25">
      <c r="A4" s="400" t="s">
        <v>143</v>
      </c>
      <c r="B4" s="402" t="s">
        <v>0</v>
      </c>
      <c r="C4" s="406">
        <f>'Önkormányzat - 9. mell.'!C23</f>
        <v>40775651</v>
      </c>
      <c r="D4" s="404">
        <f>'Önkormányzat - 9. mell.'!D23</f>
        <v>41007651</v>
      </c>
      <c r="E4" s="403">
        <f>'Önkormányzat - 9. mell.'!E23</f>
        <v>20089774</v>
      </c>
      <c r="F4" s="441">
        <f>E4/D4</f>
        <v>0.48990306711301262</v>
      </c>
      <c r="G4" s="439">
        <f>'Óvoda - 10. mell.'!C21</f>
        <v>46207993</v>
      </c>
      <c r="H4" s="404">
        <f>'Óvoda - 10. mell.'!D21</f>
        <v>46223593</v>
      </c>
      <c r="I4" s="403">
        <f>'Óvoda - 10. mell.'!E21</f>
        <v>19776119</v>
      </c>
      <c r="J4" s="441">
        <f>I4/H4</f>
        <v>0.42783604035281292</v>
      </c>
      <c r="K4" s="408">
        <f>C4+G4</f>
        <v>86983644</v>
      </c>
      <c r="L4" s="410">
        <f>D4+H4</f>
        <v>87231244</v>
      </c>
      <c r="M4" s="411">
        <f>E4+I4</f>
        <v>39865893</v>
      </c>
      <c r="N4" s="441">
        <f>M4/L4</f>
        <v>0.45701392267201874</v>
      </c>
    </row>
    <row r="5" spans="1:14" ht="16.5" x14ac:dyDescent="0.25">
      <c r="A5" s="397" t="s">
        <v>148</v>
      </c>
      <c r="B5" s="395" t="s">
        <v>50</v>
      </c>
      <c r="C5" s="407">
        <f>'Önkormányzat - 9. mell.'!C28</f>
        <v>8212948</v>
      </c>
      <c r="D5" s="405">
        <f>'Önkormányzat - 9. mell.'!D28</f>
        <v>8258188</v>
      </c>
      <c r="E5" s="399">
        <f>'Önkormányzat - 9. mell.'!E28</f>
        <v>4044517</v>
      </c>
      <c r="F5" s="442">
        <f t="shared" ref="F5:F24" si="0">E5/D5</f>
        <v>0.48975840705006957</v>
      </c>
      <c r="G5" s="440">
        <f>'Óvoda - 10. mell.'!C27</f>
        <v>9170660</v>
      </c>
      <c r="H5" s="405">
        <f>'Óvoda - 10. mell.'!D27</f>
        <v>9173701</v>
      </c>
      <c r="I5" s="399">
        <f>'Óvoda - 10. mell.'!E27</f>
        <v>4099033</v>
      </c>
      <c r="J5" s="442">
        <f t="shared" ref="J5:J24" si="1">I5/H5</f>
        <v>0.4468243514803894</v>
      </c>
      <c r="K5" s="409">
        <f t="shared" ref="K5:K24" si="2">C5+G5</f>
        <v>17383608</v>
      </c>
      <c r="L5" s="412">
        <f t="shared" ref="L5:L24" si="3">D5+H5</f>
        <v>17431889</v>
      </c>
      <c r="M5" s="413">
        <f t="shared" ref="M5:M24" si="4">E5+I5</f>
        <v>8143550</v>
      </c>
      <c r="N5" s="442">
        <f t="shared" ref="N5:N24" si="5">M5/L5</f>
        <v>0.46716394304713621</v>
      </c>
    </row>
    <row r="6" spans="1:14" ht="16.5" x14ac:dyDescent="0.25">
      <c r="A6" s="397" t="s">
        <v>200</v>
      </c>
      <c r="B6" s="395" t="s">
        <v>1</v>
      </c>
      <c r="C6" s="407">
        <f>'Önkormányzat - 9. mell.'!C61</f>
        <v>64787696</v>
      </c>
      <c r="D6" s="405">
        <f>'Önkormányzat - 9. mell.'!D61</f>
        <v>73117296</v>
      </c>
      <c r="E6" s="399">
        <f>'Önkormányzat - 9. mell.'!E61</f>
        <v>34931524</v>
      </c>
      <c r="F6" s="442">
        <f t="shared" si="0"/>
        <v>0.47774638712022394</v>
      </c>
      <c r="G6" s="440">
        <f>'Óvoda - 10. mell.'!C62</f>
        <v>14957781</v>
      </c>
      <c r="H6" s="405">
        <f>'Óvoda - 10. mell.'!D62</f>
        <v>15035331</v>
      </c>
      <c r="I6" s="399">
        <f>'Óvoda - 10. mell.'!E62</f>
        <v>6192673</v>
      </c>
      <c r="J6" s="442">
        <f t="shared" si="1"/>
        <v>0.41187473691134568</v>
      </c>
      <c r="K6" s="409">
        <f t="shared" si="2"/>
        <v>79745477</v>
      </c>
      <c r="L6" s="412">
        <f t="shared" si="3"/>
        <v>88152627</v>
      </c>
      <c r="M6" s="413">
        <f t="shared" si="4"/>
        <v>41124197</v>
      </c>
      <c r="N6" s="442">
        <f t="shared" si="5"/>
        <v>0.4665113043086056</v>
      </c>
    </row>
    <row r="7" spans="1:14" ht="16.5" x14ac:dyDescent="0.25">
      <c r="A7" s="397" t="s">
        <v>217</v>
      </c>
      <c r="B7" s="395" t="s">
        <v>325</v>
      </c>
      <c r="C7" s="407">
        <f>'Önkormányzat - 9. mell.'!C62</f>
        <v>7000800</v>
      </c>
      <c r="D7" s="405">
        <f>'Önkormányzat - 9. mell.'!D62</f>
        <v>4696800</v>
      </c>
      <c r="E7" s="399">
        <f>'Önkormányzat - 9. mell.'!E62</f>
        <v>2106550</v>
      </c>
      <c r="F7" s="442">
        <f t="shared" si="0"/>
        <v>0.44850749446431615</v>
      </c>
      <c r="G7" s="440">
        <f>'Óvoda - 10. mell.'!C63</f>
        <v>0</v>
      </c>
      <c r="H7" s="405">
        <f>'Óvoda - 10. mell.'!D63</f>
        <v>0</v>
      </c>
      <c r="I7" s="399">
        <f>'Óvoda - 10. mell.'!E63</f>
        <v>0</v>
      </c>
      <c r="J7" s="442"/>
      <c r="K7" s="409">
        <f t="shared" si="2"/>
        <v>7000800</v>
      </c>
      <c r="L7" s="412">
        <f t="shared" si="3"/>
        <v>4696800</v>
      </c>
      <c r="M7" s="413">
        <f t="shared" si="4"/>
        <v>2106550</v>
      </c>
      <c r="N7" s="442">
        <f t="shared" si="5"/>
        <v>0.44850749446431615</v>
      </c>
    </row>
    <row r="8" spans="1:14" ht="16.5" x14ac:dyDescent="0.25">
      <c r="A8" s="397" t="s">
        <v>218</v>
      </c>
      <c r="B8" s="395" t="s">
        <v>219</v>
      </c>
      <c r="C8" s="407">
        <f>'Önkormányzat - 9. mell.'!C63</f>
        <v>18163453</v>
      </c>
      <c r="D8" s="405">
        <f>'Önkormányzat - 9. mell.'!D63</f>
        <v>18163453</v>
      </c>
      <c r="E8" s="399">
        <f>'Önkormányzat - 9. mell.'!E63</f>
        <v>10014389</v>
      </c>
      <c r="F8" s="442">
        <f t="shared" si="0"/>
        <v>0.55134830365129361</v>
      </c>
      <c r="G8" s="440">
        <f>'Óvoda - 10. mell.'!C64</f>
        <v>0</v>
      </c>
      <c r="H8" s="405">
        <f>'Óvoda - 10. mell.'!D64</f>
        <v>0</v>
      </c>
      <c r="I8" s="399">
        <f>'Óvoda - 10. mell.'!E64</f>
        <v>0</v>
      </c>
      <c r="J8" s="442"/>
      <c r="K8" s="409">
        <f t="shared" si="2"/>
        <v>18163453</v>
      </c>
      <c r="L8" s="412">
        <f t="shared" si="3"/>
        <v>18163453</v>
      </c>
      <c r="M8" s="413">
        <f t="shared" si="4"/>
        <v>10014389</v>
      </c>
      <c r="N8" s="442">
        <f t="shared" si="5"/>
        <v>0.55134830365129361</v>
      </c>
    </row>
    <row r="9" spans="1:14" ht="16.5" x14ac:dyDescent="0.25">
      <c r="A9" s="397" t="s">
        <v>220</v>
      </c>
      <c r="B9" s="395" t="s">
        <v>252</v>
      </c>
      <c r="C9" s="407">
        <f>'Önkormányzat - 9. mell.'!C64</f>
        <v>21152748</v>
      </c>
      <c r="D9" s="405">
        <f>'Önkormányzat - 9. mell.'!D64</f>
        <v>21152748</v>
      </c>
      <c r="E9" s="399">
        <f>'Önkormányzat - 9. mell.'!E64</f>
        <v>8101419</v>
      </c>
      <c r="F9" s="442">
        <f t="shared" si="0"/>
        <v>0.3829960532787513</v>
      </c>
      <c r="G9" s="440">
        <f>'Óvoda - 10. mell.'!C65</f>
        <v>0</v>
      </c>
      <c r="H9" s="405">
        <f>'Óvoda - 10. mell.'!D65</f>
        <v>0</v>
      </c>
      <c r="I9" s="399">
        <f>'Óvoda - 10. mell.'!E65</f>
        <v>0</v>
      </c>
      <c r="J9" s="442"/>
      <c r="K9" s="409">
        <f t="shared" si="2"/>
        <v>21152748</v>
      </c>
      <c r="L9" s="412">
        <f t="shared" si="3"/>
        <v>21152748</v>
      </c>
      <c r="M9" s="413">
        <f t="shared" si="4"/>
        <v>8101419</v>
      </c>
      <c r="N9" s="442">
        <f t="shared" si="5"/>
        <v>0.3829960532787513</v>
      </c>
    </row>
    <row r="10" spans="1:14" ht="16.5" x14ac:dyDescent="0.25">
      <c r="A10" s="397" t="s">
        <v>222</v>
      </c>
      <c r="B10" s="395" t="s">
        <v>348</v>
      </c>
      <c r="C10" s="407">
        <f>'Önkormányzat - 9. mell.'!C65</f>
        <v>0</v>
      </c>
      <c r="D10" s="405">
        <f>'Önkormányzat - 9. mell.'!D65</f>
        <v>0</v>
      </c>
      <c r="E10" s="399">
        <f>'Önkormányzat - 9. mell.'!E65</f>
        <v>0</v>
      </c>
      <c r="F10" s="442"/>
      <c r="G10" s="440">
        <f>'Óvoda - 10. mell.'!C66</f>
        <v>0</v>
      </c>
      <c r="H10" s="405">
        <f>'Óvoda - 10. mell.'!D66</f>
        <v>0</v>
      </c>
      <c r="I10" s="399">
        <f>'Óvoda - 10. mell.'!E66</f>
        <v>0</v>
      </c>
      <c r="J10" s="442"/>
      <c r="K10" s="409">
        <f t="shared" si="2"/>
        <v>0</v>
      </c>
      <c r="L10" s="412">
        <f t="shared" si="3"/>
        <v>0</v>
      </c>
      <c r="M10" s="413">
        <f t="shared" si="4"/>
        <v>0</v>
      </c>
      <c r="N10" s="442"/>
    </row>
    <row r="11" spans="1:14" ht="16.5" x14ac:dyDescent="0.25">
      <c r="A11" s="397" t="s">
        <v>225</v>
      </c>
      <c r="B11" s="395" t="s">
        <v>254</v>
      </c>
      <c r="C11" s="407">
        <f>'Önkormányzat - 9. mell.'!C66</f>
        <v>15246654</v>
      </c>
      <c r="D11" s="405">
        <f>'Önkormányzat - 9. mell.'!D66</f>
        <v>14929154</v>
      </c>
      <c r="E11" s="399">
        <f>'Önkormányzat - 9. mell.'!E66</f>
        <v>6462266</v>
      </c>
      <c r="F11" s="442">
        <f t="shared" si="0"/>
        <v>0.43286217022076401</v>
      </c>
      <c r="G11" s="440">
        <f>'Óvoda - 10. mell.'!C67</f>
        <v>0</v>
      </c>
      <c r="H11" s="405">
        <f>'Óvoda - 10. mell.'!D67</f>
        <v>0</v>
      </c>
      <c r="I11" s="399">
        <f>'Óvoda - 10. mell.'!E67</f>
        <v>0</v>
      </c>
      <c r="J11" s="442"/>
      <c r="K11" s="409">
        <f t="shared" si="2"/>
        <v>15246654</v>
      </c>
      <c r="L11" s="412">
        <f t="shared" si="3"/>
        <v>14929154</v>
      </c>
      <c r="M11" s="413">
        <f t="shared" si="4"/>
        <v>6462266</v>
      </c>
      <c r="N11" s="442">
        <f t="shared" si="5"/>
        <v>0.43286217022076401</v>
      </c>
    </row>
    <row r="12" spans="1:14" ht="16.5" x14ac:dyDescent="0.25">
      <c r="A12" s="760" t="s">
        <v>724</v>
      </c>
      <c r="B12" s="761"/>
      <c r="C12" s="443">
        <f t="shared" ref="C12" si="6">SUM(C4:C11)</f>
        <v>175339950</v>
      </c>
      <c r="D12" s="444">
        <f t="shared" ref="D12" si="7">SUM(D4:D11)</f>
        <v>181325290</v>
      </c>
      <c r="E12" s="445">
        <f t="shared" ref="E12" si="8">SUM(E4:E11)</f>
        <v>85750439</v>
      </c>
      <c r="F12" s="449">
        <f t="shared" si="0"/>
        <v>0.47290942703028355</v>
      </c>
      <c r="G12" s="446">
        <f>SUM(G4:G11)</f>
        <v>70336434</v>
      </c>
      <c r="H12" s="444">
        <f t="shared" ref="H12:I12" si="9">SUM(H4:H11)</f>
        <v>70432625</v>
      </c>
      <c r="I12" s="445">
        <f t="shared" si="9"/>
        <v>30067825</v>
      </c>
      <c r="J12" s="449">
        <f t="shared" si="1"/>
        <v>0.4269019506230245</v>
      </c>
      <c r="K12" s="443">
        <f t="shared" si="2"/>
        <v>245676384</v>
      </c>
      <c r="L12" s="444">
        <f t="shared" si="3"/>
        <v>251757915</v>
      </c>
      <c r="M12" s="447">
        <f t="shared" si="4"/>
        <v>115818264</v>
      </c>
      <c r="N12" s="449">
        <f t="shared" si="5"/>
        <v>0.46003822362446878</v>
      </c>
    </row>
    <row r="13" spans="1:14" ht="16.5" x14ac:dyDescent="0.25">
      <c r="A13" s="397" t="s">
        <v>208</v>
      </c>
      <c r="B13" s="395" t="s">
        <v>3</v>
      </c>
      <c r="C13" s="407">
        <f>'Önkormányzat - 9. mell.'!C69</f>
        <v>98787800</v>
      </c>
      <c r="D13" s="405">
        <f>'Önkormányzat - 9. mell.'!D69</f>
        <v>111533827</v>
      </c>
      <c r="E13" s="399">
        <f>'Önkormányzat - 9. mell.'!E69</f>
        <v>30687451</v>
      </c>
      <c r="F13" s="442">
        <f t="shared" si="0"/>
        <v>0.27514030339871687</v>
      </c>
      <c r="G13" s="440">
        <f>'Óvoda - 10. mell.'!C70</f>
        <v>289999</v>
      </c>
      <c r="H13" s="405">
        <f>'Óvoda - 10. mell.'!D70</f>
        <v>289999</v>
      </c>
      <c r="I13" s="399">
        <f>'Óvoda - 10. mell.'!E70</f>
        <v>32639</v>
      </c>
      <c r="J13" s="442">
        <f t="shared" si="1"/>
        <v>0.11254866396091021</v>
      </c>
      <c r="K13" s="409">
        <f t="shared" si="2"/>
        <v>99077799</v>
      </c>
      <c r="L13" s="412">
        <f t="shared" si="3"/>
        <v>111823826</v>
      </c>
      <c r="M13" s="413">
        <f t="shared" si="4"/>
        <v>30720090</v>
      </c>
      <c r="N13" s="442">
        <f t="shared" si="5"/>
        <v>0.27471864538063651</v>
      </c>
    </row>
    <row r="14" spans="1:14" ht="16.5" x14ac:dyDescent="0.25">
      <c r="A14" s="397" t="s">
        <v>211</v>
      </c>
      <c r="B14" s="395" t="s">
        <v>56</v>
      </c>
      <c r="C14" s="407">
        <f>'Önkormányzat - 9. mell.'!C70</f>
        <v>37310978</v>
      </c>
      <c r="D14" s="405">
        <f>'Önkormányzat - 9. mell.'!D70</f>
        <v>44166427</v>
      </c>
      <c r="E14" s="399">
        <f>'Önkormányzat - 9. mell.'!E70</f>
        <v>8193054</v>
      </c>
      <c r="F14" s="442">
        <f t="shared" si="0"/>
        <v>0.18550411605629769</v>
      </c>
      <c r="G14" s="440">
        <f>'Óvoda - 10. mell.'!C71</f>
        <v>0</v>
      </c>
      <c r="H14" s="405">
        <f>'Óvoda - 10. mell.'!D71</f>
        <v>0</v>
      </c>
      <c r="I14" s="399">
        <f>'Óvoda - 10. mell.'!E71</f>
        <v>0</v>
      </c>
      <c r="J14" s="442"/>
      <c r="K14" s="409">
        <f t="shared" si="2"/>
        <v>37310978</v>
      </c>
      <c r="L14" s="412">
        <f t="shared" si="3"/>
        <v>44166427</v>
      </c>
      <c r="M14" s="413">
        <f t="shared" si="4"/>
        <v>8193054</v>
      </c>
      <c r="N14" s="442">
        <f t="shared" si="5"/>
        <v>0.18550411605629769</v>
      </c>
    </row>
    <row r="15" spans="1:14" ht="16.5" x14ac:dyDescent="0.25">
      <c r="A15" s="397" t="s">
        <v>212</v>
      </c>
      <c r="B15" s="395" t="s">
        <v>259</v>
      </c>
      <c r="C15" s="407">
        <f>'Önkormányzat - 9. mell.'!C71</f>
        <v>0</v>
      </c>
      <c r="D15" s="405">
        <f>'Önkormányzat - 9. mell.'!D71</f>
        <v>0</v>
      </c>
      <c r="E15" s="399">
        <f>'Önkormányzat - 9. mell.'!E71</f>
        <v>0</v>
      </c>
      <c r="F15" s="442"/>
      <c r="G15" s="440">
        <f>'Óvoda - 10. mell.'!C72</f>
        <v>0</v>
      </c>
      <c r="H15" s="405">
        <f>'Óvoda - 10. mell.'!D72</f>
        <v>0</v>
      </c>
      <c r="I15" s="399">
        <f>'Óvoda - 10. mell.'!E72</f>
        <v>0</v>
      </c>
      <c r="J15" s="442"/>
      <c r="K15" s="409">
        <f t="shared" si="2"/>
        <v>0</v>
      </c>
      <c r="L15" s="412">
        <f t="shared" si="3"/>
        <v>0</v>
      </c>
      <c r="M15" s="413">
        <f t="shared" si="4"/>
        <v>0</v>
      </c>
      <c r="N15" s="442"/>
    </row>
    <row r="16" spans="1:14" ht="16.5" x14ac:dyDescent="0.25">
      <c r="A16" s="397" t="s">
        <v>213</v>
      </c>
      <c r="B16" s="395" t="s">
        <v>260</v>
      </c>
      <c r="C16" s="407">
        <f>'Önkormányzat - 9. mell.'!C72</f>
        <v>0</v>
      </c>
      <c r="D16" s="405">
        <f>'Önkormányzat - 9. mell.'!D72</f>
        <v>0</v>
      </c>
      <c r="E16" s="399">
        <f>'Önkormányzat - 9. mell.'!E72</f>
        <v>0</v>
      </c>
      <c r="F16" s="442"/>
      <c r="G16" s="440">
        <f>'Óvoda - 10. mell.'!C73</f>
        <v>0</v>
      </c>
      <c r="H16" s="405">
        <f>'Óvoda - 10. mell.'!D73</f>
        <v>0</v>
      </c>
      <c r="I16" s="399">
        <f>'Óvoda - 10. mell.'!E73</f>
        <v>0</v>
      </c>
      <c r="J16" s="442"/>
      <c r="K16" s="409">
        <f t="shared" si="2"/>
        <v>0</v>
      </c>
      <c r="L16" s="412">
        <f t="shared" si="3"/>
        <v>0</v>
      </c>
      <c r="M16" s="413">
        <f t="shared" si="4"/>
        <v>0</v>
      </c>
      <c r="N16" s="442"/>
    </row>
    <row r="17" spans="1:18" ht="16.5" x14ac:dyDescent="0.25">
      <c r="A17" s="397" t="s">
        <v>214</v>
      </c>
      <c r="B17" s="395" t="s">
        <v>261</v>
      </c>
      <c r="C17" s="407">
        <f>'Önkormányzat - 9. mell.'!C73</f>
        <v>0</v>
      </c>
      <c r="D17" s="405">
        <f>'Önkormányzat - 9. mell.'!D73</f>
        <v>0</v>
      </c>
      <c r="E17" s="399">
        <f>'Önkormányzat - 9. mell.'!E73</f>
        <v>0</v>
      </c>
      <c r="F17" s="442"/>
      <c r="G17" s="440">
        <f>'Óvoda - 10. mell.'!C74</f>
        <v>0</v>
      </c>
      <c r="H17" s="405">
        <f>'Óvoda - 10. mell.'!D74</f>
        <v>0</v>
      </c>
      <c r="I17" s="399">
        <f>'Óvoda - 10. mell.'!E74</f>
        <v>0</v>
      </c>
      <c r="J17" s="442"/>
      <c r="K17" s="409">
        <f t="shared" si="2"/>
        <v>0</v>
      </c>
      <c r="L17" s="412">
        <f t="shared" si="3"/>
        <v>0</v>
      </c>
      <c r="M17" s="413">
        <f t="shared" si="4"/>
        <v>0</v>
      </c>
      <c r="N17" s="442"/>
    </row>
    <row r="18" spans="1:18" ht="16.5" x14ac:dyDescent="0.25">
      <c r="A18" s="760" t="s">
        <v>725</v>
      </c>
      <c r="B18" s="761"/>
      <c r="C18" s="443">
        <f>SUM(C13:C17)</f>
        <v>136098778</v>
      </c>
      <c r="D18" s="444">
        <f t="shared" ref="D18:E18" si="10">SUM(D13:D17)</f>
        <v>155700254</v>
      </c>
      <c r="E18" s="445">
        <f t="shared" si="10"/>
        <v>38880505</v>
      </c>
      <c r="F18" s="449">
        <f t="shared" si="0"/>
        <v>0.24971381870706519</v>
      </c>
      <c r="G18" s="446">
        <f>SUM(G13:G17)</f>
        <v>289999</v>
      </c>
      <c r="H18" s="444">
        <f t="shared" ref="H18:I18" si="11">SUM(H13:H17)</f>
        <v>289999</v>
      </c>
      <c r="I18" s="445">
        <f t="shared" si="11"/>
        <v>32639</v>
      </c>
      <c r="J18" s="449">
        <f t="shared" si="1"/>
        <v>0.11254866396091021</v>
      </c>
      <c r="K18" s="443">
        <f t="shared" si="2"/>
        <v>136388777</v>
      </c>
      <c r="L18" s="444">
        <f t="shared" si="3"/>
        <v>155990253</v>
      </c>
      <c r="M18" s="447">
        <f t="shared" si="4"/>
        <v>38913144</v>
      </c>
      <c r="N18" s="449">
        <f t="shared" si="5"/>
        <v>0.24945881714801757</v>
      </c>
    </row>
    <row r="19" spans="1:18" ht="16.5" x14ac:dyDescent="0.25">
      <c r="A19" s="397" t="s">
        <v>623</v>
      </c>
      <c r="B19" s="395" t="s">
        <v>53</v>
      </c>
      <c r="C19" s="407">
        <f>'Önkormányzat - 9. mell.'!C67</f>
        <v>52314000</v>
      </c>
      <c r="D19" s="405">
        <f>'Önkormányzat - 9. mell.'!D67</f>
        <v>52491869</v>
      </c>
      <c r="E19" s="399">
        <f>'Önkormányzat - 9. mell.'!E67</f>
        <v>0</v>
      </c>
      <c r="F19" s="442">
        <f t="shared" si="0"/>
        <v>0</v>
      </c>
      <c r="G19" s="440">
        <f>'Óvoda - 10. mell.'!C68</f>
        <v>0</v>
      </c>
      <c r="H19" s="405">
        <f>'Óvoda - 10. mell.'!D68</f>
        <v>0</v>
      </c>
      <c r="I19" s="399">
        <f>'Óvoda - 10. mell.'!E68</f>
        <v>0</v>
      </c>
      <c r="J19" s="442"/>
      <c r="K19" s="409">
        <f t="shared" si="2"/>
        <v>52314000</v>
      </c>
      <c r="L19" s="412">
        <f t="shared" si="3"/>
        <v>52491869</v>
      </c>
      <c r="M19" s="413">
        <f t="shared" si="4"/>
        <v>0</v>
      </c>
      <c r="N19" s="442">
        <f t="shared" si="5"/>
        <v>0</v>
      </c>
    </row>
    <row r="20" spans="1:18" s="253" customFormat="1" ht="18" x14ac:dyDescent="0.25">
      <c r="A20" s="747" t="s">
        <v>652</v>
      </c>
      <c r="B20" s="748"/>
      <c r="C20" s="455">
        <f>SUM(C19,C18,C12)</f>
        <v>363752728</v>
      </c>
      <c r="D20" s="456">
        <f t="shared" ref="D20:E20" si="12">SUM(D19,D18,D12)</f>
        <v>389517413</v>
      </c>
      <c r="E20" s="457">
        <f t="shared" si="12"/>
        <v>124630944</v>
      </c>
      <c r="F20" s="450">
        <f t="shared" si="0"/>
        <v>0.31996244542731134</v>
      </c>
      <c r="G20" s="458">
        <f>SUM(G19,G18,G12)</f>
        <v>70626433</v>
      </c>
      <c r="H20" s="456">
        <f t="shared" ref="H20:I20" si="13">SUM(H19,H18,H12)</f>
        <v>70722624</v>
      </c>
      <c r="I20" s="457">
        <f t="shared" si="13"/>
        <v>30100464</v>
      </c>
      <c r="J20" s="450">
        <f t="shared" si="1"/>
        <v>0.42561294105829556</v>
      </c>
      <c r="K20" s="455">
        <f t="shared" si="2"/>
        <v>434379161</v>
      </c>
      <c r="L20" s="456">
        <f t="shared" si="3"/>
        <v>460240037</v>
      </c>
      <c r="M20" s="459">
        <f t="shared" si="4"/>
        <v>154731408</v>
      </c>
      <c r="N20" s="450">
        <f t="shared" si="5"/>
        <v>0.33619719181449659</v>
      </c>
      <c r="R20" s="448"/>
    </row>
    <row r="21" spans="1:18" ht="16.5" x14ac:dyDescent="0.25">
      <c r="A21" s="397" t="s">
        <v>534</v>
      </c>
      <c r="B21" s="395" t="s">
        <v>544</v>
      </c>
      <c r="C21" s="407">
        <f>'Önkormányzat - 9. mell.'!C76</f>
        <v>524833</v>
      </c>
      <c r="D21" s="405">
        <f>'Önkormányzat - 9. mell.'!D76</f>
        <v>524833</v>
      </c>
      <c r="E21" s="399">
        <f>'Önkormányzat - 9. mell.'!E76</f>
        <v>524833</v>
      </c>
      <c r="F21" s="442">
        <f t="shared" si="0"/>
        <v>1</v>
      </c>
      <c r="G21" s="440">
        <f>'Óvoda - 10. mell.'!C77</f>
        <v>0</v>
      </c>
      <c r="H21" s="405">
        <f>'Óvoda - 10. mell.'!D77</f>
        <v>0</v>
      </c>
      <c r="I21" s="399">
        <f>'Óvoda - 10. mell.'!E77</f>
        <v>0</v>
      </c>
      <c r="J21" s="442"/>
      <c r="K21" s="409">
        <f t="shared" si="2"/>
        <v>524833</v>
      </c>
      <c r="L21" s="412">
        <f t="shared" si="3"/>
        <v>524833</v>
      </c>
      <c r="M21" s="413">
        <f t="shared" si="4"/>
        <v>524833</v>
      </c>
      <c r="N21" s="442">
        <f t="shared" si="5"/>
        <v>1</v>
      </c>
    </row>
    <row r="22" spans="1:18" ht="16.5" x14ac:dyDescent="0.25">
      <c r="A22" s="398" t="s">
        <v>251</v>
      </c>
      <c r="B22" s="396" t="s">
        <v>68</v>
      </c>
      <c r="C22" s="407">
        <f>'Önkormányzat - 9. mell.'!C77</f>
        <v>69183233</v>
      </c>
      <c r="D22" s="405">
        <f>'Önkormányzat - 9. mell.'!D77</f>
        <v>69201874</v>
      </c>
      <c r="E22" s="399">
        <f>'Önkormányzat - 9. mell.'!E77</f>
        <v>30592654</v>
      </c>
      <c r="F22" s="442">
        <f t="shared" si="0"/>
        <v>0.442078403830509</v>
      </c>
      <c r="G22" s="440">
        <f>'Óvoda - 10. mell.'!C78</f>
        <v>0</v>
      </c>
      <c r="H22" s="405">
        <f>'Óvoda - 10. mell.'!D78</f>
        <v>0</v>
      </c>
      <c r="I22" s="399">
        <f>'Óvoda - 10. mell.'!E78</f>
        <v>0</v>
      </c>
      <c r="J22" s="442"/>
      <c r="K22" s="409">
        <f t="shared" si="2"/>
        <v>69183233</v>
      </c>
      <c r="L22" s="412">
        <f t="shared" si="3"/>
        <v>69201874</v>
      </c>
      <c r="M22" s="413">
        <f t="shared" si="4"/>
        <v>30592654</v>
      </c>
      <c r="N22" s="442">
        <f t="shared" si="5"/>
        <v>0.442078403830509</v>
      </c>
    </row>
    <row r="23" spans="1:18" ht="16.5" x14ac:dyDescent="0.25">
      <c r="A23" s="397" t="s">
        <v>530</v>
      </c>
      <c r="B23" s="395" t="s">
        <v>543</v>
      </c>
      <c r="C23" s="407">
        <f>'Önkormányzat - 9. mell.'!C78</f>
        <v>332434</v>
      </c>
      <c r="D23" s="405">
        <f>'Önkormányzat - 9. mell.'!D78</f>
        <v>332434</v>
      </c>
      <c r="E23" s="399">
        <f>'Önkormányzat - 9. mell.'!E78</f>
        <v>85163</v>
      </c>
      <c r="F23" s="442">
        <f t="shared" si="0"/>
        <v>0.25618017410974808</v>
      </c>
      <c r="G23" s="440">
        <f>'Óvoda - 10. mell.'!C79</f>
        <v>0</v>
      </c>
      <c r="H23" s="405">
        <f>'Óvoda - 10. mell.'!D79</f>
        <v>0</v>
      </c>
      <c r="I23" s="399">
        <f>'Óvoda - 10. mell.'!E79</f>
        <v>0</v>
      </c>
      <c r="J23" s="442"/>
      <c r="K23" s="409">
        <f t="shared" si="2"/>
        <v>332434</v>
      </c>
      <c r="L23" s="412">
        <f t="shared" si="3"/>
        <v>332434</v>
      </c>
      <c r="M23" s="413">
        <f t="shared" si="4"/>
        <v>85163</v>
      </c>
      <c r="N23" s="442">
        <f t="shared" si="5"/>
        <v>0.25618017410974808</v>
      </c>
      <c r="R23" s="40"/>
    </row>
    <row r="24" spans="1:18" s="253" customFormat="1" ht="18" x14ac:dyDescent="0.25">
      <c r="A24" s="747" t="s">
        <v>728</v>
      </c>
      <c r="B24" s="748"/>
      <c r="C24" s="455">
        <f>SUM(C20:C23)</f>
        <v>433793228</v>
      </c>
      <c r="D24" s="456">
        <f t="shared" ref="D24:E24" si="14">SUM(D20:D23)</f>
        <v>459576554</v>
      </c>
      <c r="E24" s="457">
        <f t="shared" si="14"/>
        <v>155833594</v>
      </c>
      <c r="F24" s="450">
        <f t="shared" si="0"/>
        <v>0.33908081829605258</v>
      </c>
      <c r="G24" s="458">
        <f>SUM(G20:G23)</f>
        <v>70626433</v>
      </c>
      <c r="H24" s="456">
        <f t="shared" ref="H24:I24" si="15">SUM(H20:H23)</f>
        <v>70722624</v>
      </c>
      <c r="I24" s="457">
        <f t="shared" si="15"/>
        <v>30100464</v>
      </c>
      <c r="J24" s="450">
        <f t="shared" si="1"/>
        <v>0.42561294105829556</v>
      </c>
      <c r="K24" s="455">
        <f t="shared" si="2"/>
        <v>504419661</v>
      </c>
      <c r="L24" s="456">
        <f t="shared" si="3"/>
        <v>530299178</v>
      </c>
      <c r="M24" s="459">
        <f t="shared" si="4"/>
        <v>185934058</v>
      </c>
      <c r="N24" s="450">
        <f t="shared" si="5"/>
        <v>0.35062105640299523</v>
      </c>
    </row>
    <row r="25" spans="1:18" ht="18" x14ac:dyDescent="0.25">
      <c r="A25" s="64"/>
      <c r="C25" s="253"/>
      <c r="G25" s="253"/>
    </row>
    <row r="26" spans="1:18" ht="18" x14ac:dyDescent="0.25">
      <c r="A26" s="64"/>
      <c r="C26" s="253"/>
      <c r="G26" s="253"/>
    </row>
    <row r="27" spans="1:18" ht="18" x14ac:dyDescent="0.25">
      <c r="B27" s="683" t="s">
        <v>115</v>
      </c>
      <c r="C27" s="759">
        <f>SUM('Óvoda - 10. mell.'!C140)</f>
        <v>11</v>
      </c>
      <c r="D27" s="759"/>
      <c r="E27" s="759"/>
      <c r="F27" s="684"/>
      <c r="G27" s="759">
        <f>SUM('Önkormányzat - 9. mell.'!C139)</f>
        <v>9</v>
      </c>
      <c r="H27" s="759"/>
      <c r="I27" s="759"/>
      <c r="J27" s="685"/>
      <c r="K27" s="759">
        <f>SUM(G27,C27)</f>
        <v>20</v>
      </c>
      <c r="L27" s="759"/>
      <c r="M27" s="759"/>
    </row>
  </sheetData>
  <sortState xmlns:xlrd2="http://schemas.microsoft.com/office/spreadsheetml/2017/richdata2" ref="A21:R23">
    <sortCondition ref="A21:A23"/>
  </sortState>
  <mergeCells count="15">
    <mergeCell ref="K27:M27"/>
    <mergeCell ref="G27:I27"/>
    <mergeCell ref="C27:E27"/>
    <mergeCell ref="B1:B3"/>
    <mergeCell ref="A1:A3"/>
    <mergeCell ref="A24:B24"/>
    <mergeCell ref="A20:B20"/>
    <mergeCell ref="A12:B12"/>
    <mergeCell ref="A18:B18"/>
    <mergeCell ref="C1:F1"/>
    <mergeCell ref="F2:F3"/>
    <mergeCell ref="J2:J3"/>
    <mergeCell ref="G1:J1"/>
    <mergeCell ref="K1:N1"/>
    <mergeCell ref="N2:N3"/>
  </mergeCells>
  <phoneticPr fontId="2" type="noConversion"/>
  <printOptions horizontalCentered="1"/>
  <pageMargins left="0.59055118110236227" right="0.59055118110236227" top="1.4566929133858268" bottom="0.74803149606299213" header="0.62992125984251968" footer="0.31496062992125984"/>
  <pageSetup paperSize="9" scale="55" orientation="landscape" r:id="rId1"/>
  <headerFooter>
    <oddHeader>&amp;L&amp;"Arial,Normál"Levél Községi Önkormányzat&amp;C&amp;"Arial,Félkövér"&amp;14Kiadások összesen
2019. év&amp;R&amp;"Arial,Normál"&amp;12 4.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C00000"/>
    <pageSetUpPr fitToPage="1"/>
  </sheetPr>
  <dimension ref="A1:G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6.42578125" bestFit="1" customWidth="1"/>
    <col min="2" max="2" width="62.85546875" customWidth="1"/>
    <col min="3" max="3" width="17.7109375" bestFit="1" customWidth="1"/>
    <col min="4" max="4" width="19.85546875" bestFit="1" customWidth="1"/>
    <col min="5" max="5" width="17.7109375" bestFit="1" customWidth="1"/>
    <col min="6" max="6" width="10.28515625" style="537" bestFit="1" customWidth="1"/>
  </cols>
  <sheetData>
    <row r="1" spans="1:7" ht="19.5" customHeight="1" thickBot="1" x14ac:dyDescent="0.25">
      <c r="A1" s="762" t="s">
        <v>367</v>
      </c>
      <c r="B1" s="762"/>
      <c r="C1" s="466">
        <v>2019</v>
      </c>
      <c r="D1" s="466">
        <v>2019</v>
      </c>
      <c r="E1" s="467">
        <v>2019</v>
      </c>
      <c r="F1" s="763" t="s">
        <v>743</v>
      </c>
    </row>
    <row r="2" spans="1:7" ht="19.5" customHeight="1" thickBot="1" x14ac:dyDescent="0.25">
      <c r="A2" s="762"/>
      <c r="B2" s="762"/>
      <c r="C2" s="468" t="s">
        <v>64</v>
      </c>
      <c r="D2" s="468" t="s">
        <v>570</v>
      </c>
      <c r="E2" s="468" t="s">
        <v>567</v>
      </c>
      <c r="F2" s="763"/>
    </row>
    <row r="3" spans="1:7" ht="20.100000000000001" customHeight="1" x14ac:dyDescent="0.2">
      <c r="A3" s="465" t="s">
        <v>371</v>
      </c>
      <c r="B3" s="350" t="s">
        <v>388</v>
      </c>
      <c r="C3" s="470"/>
      <c r="D3" s="470"/>
      <c r="E3" s="471"/>
      <c r="F3" s="517"/>
    </row>
    <row r="4" spans="1:7" ht="20.100000000000001" customHeight="1" x14ac:dyDescent="0.2">
      <c r="A4" s="460"/>
      <c r="B4" s="74" t="s">
        <v>384</v>
      </c>
      <c r="C4" s="472"/>
      <c r="D4" s="472"/>
      <c r="E4" s="473"/>
      <c r="F4" s="518"/>
    </row>
    <row r="5" spans="1:7" ht="20.100000000000001" customHeight="1" x14ac:dyDescent="0.2">
      <c r="A5" s="461" t="s">
        <v>382</v>
      </c>
      <c r="B5" s="37" t="s">
        <v>15</v>
      </c>
      <c r="C5" s="474"/>
      <c r="D5" s="474"/>
      <c r="E5" s="475"/>
      <c r="F5" s="519"/>
    </row>
    <row r="6" spans="1:7" ht="20.100000000000001" customHeight="1" x14ac:dyDescent="0.2">
      <c r="A6" s="461" t="s">
        <v>383</v>
      </c>
      <c r="B6" s="37" t="s">
        <v>16</v>
      </c>
      <c r="C6" s="474"/>
      <c r="D6" s="474"/>
      <c r="E6" s="475"/>
      <c r="F6" s="519"/>
    </row>
    <row r="7" spans="1:7" ht="20.100000000000001" customHeight="1" x14ac:dyDescent="0.2">
      <c r="A7" s="461" t="s">
        <v>13</v>
      </c>
      <c r="B7" s="37" t="s">
        <v>379</v>
      </c>
      <c r="C7" s="474"/>
      <c r="D7" s="474"/>
      <c r="E7" s="475"/>
      <c r="F7" s="519"/>
    </row>
    <row r="8" spans="1:7" ht="20.100000000000001" customHeight="1" x14ac:dyDescent="0.2">
      <c r="A8" s="461" t="s">
        <v>14</v>
      </c>
      <c r="B8" s="37" t="s">
        <v>17</v>
      </c>
      <c r="C8" s="474"/>
      <c r="D8" s="474"/>
      <c r="E8" s="475"/>
      <c r="F8" s="519"/>
    </row>
    <row r="9" spans="1:7" ht="20.100000000000001" customHeight="1" x14ac:dyDescent="0.2">
      <c r="A9" s="462" t="s">
        <v>387</v>
      </c>
      <c r="B9" s="38" t="s">
        <v>386</v>
      </c>
      <c r="C9" s="476"/>
      <c r="D9" s="476"/>
      <c r="E9" s="477"/>
      <c r="F9" s="520"/>
      <c r="G9" s="71"/>
    </row>
    <row r="10" spans="1:7" ht="20.100000000000001" customHeight="1" x14ac:dyDescent="0.2">
      <c r="A10" s="461"/>
      <c r="B10" s="74" t="s">
        <v>384</v>
      </c>
      <c r="C10" s="472"/>
      <c r="D10" s="472"/>
      <c r="E10" s="473"/>
      <c r="F10" s="518"/>
    </row>
    <row r="11" spans="1:7" ht="20.100000000000001" customHeight="1" x14ac:dyDescent="0.2">
      <c r="A11" s="461" t="s">
        <v>381</v>
      </c>
      <c r="B11" s="37" t="s">
        <v>380</v>
      </c>
      <c r="C11" s="474"/>
      <c r="D11" s="474"/>
      <c r="E11" s="475"/>
      <c r="F11" s="519"/>
    </row>
    <row r="12" spans="1:7" ht="20.100000000000001" customHeight="1" x14ac:dyDescent="0.2">
      <c r="A12" s="461"/>
      <c r="B12" s="37" t="s">
        <v>384</v>
      </c>
      <c r="C12" s="472"/>
      <c r="D12" s="472"/>
      <c r="E12" s="473"/>
      <c r="F12" s="518"/>
    </row>
    <row r="13" spans="1:7" ht="20.100000000000001" customHeight="1" x14ac:dyDescent="0.2">
      <c r="A13" s="498" t="s">
        <v>372</v>
      </c>
      <c r="B13" s="499" t="s">
        <v>656</v>
      </c>
      <c r="C13" s="500">
        <v>0</v>
      </c>
      <c r="D13" s="500">
        <f>C13+138619</f>
        <v>138619</v>
      </c>
      <c r="E13" s="501">
        <v>138619</v>
      </c>
      <c r="F13" s="521">
        <f>E13/D13</f>
        <v>1</v>
      </c>
      <c r="G13" s="322" t="s">
        <v>657</v>
      </c>
    </row>
    <row r="14" spans="1:7" ht="20.100000000000001" customHeight="1" x14ac:dyDescent="0.2">
      <c r="A14" s="463"/>
      <c r="B14" s="38" t="s">
        <v>72</v>
      </c>
      <c r="C14" s="478"/>
      <c r="D14" s="478"/>
      <c r="E14" s="479"/>
      <c r="F14" s="522"/>
    </row>
    <row r="15" spans="1:7" ht="20.100000000000001" customHeight="1" x14ac:dyDescent="0.2">
      <c r="A15" s="463" t="s">
        <v>18</v>
      </c>
      <c r="B15" s="38" t="s">
        <v>24</v>
      </c>
      <c r="C15" s="480"/>
      <c r="D15" s="480"/>
      <c r="E15" s="481"/>
      <c r="F15" s="523"/>
    </row>
    <row r="16" spans="1:7" ht="20.100000000000001" customHeight="1" x14ac:dyDescent="0.2">
      <c r="A16" s="463" t="s">
        <v>19</v>
      </c>
      <c r="B16" s="37" t="s">
        <v>22</v>
      </c>
      <c r="C16" s="482"/>
      <c r="D16" s="482"/>
      <c r="E16" s="483"/>
      <c r="F16" s="524"/>
    </row>
    <row r="17" spans="1:7" ht="20.100000000000001" customHeight="1" x14ac:dyDescent="0.2">
      <c r="A17" s="463" t="s">
        <v>28</v>
      </c>
      <c r="B17" s="38" t="s">
        <v>26</v>
      </c>
      <c r="C17" s="484"/>
      <c r="D17" s="484"/>
      <c r="E17" s="485"/>
      <c r="F17" s="525"/>
    </row>
    <row r="18" spans="1:7" ht="20.100000000000001" customHeight="1" x14ac:dyDescent="0.2">
      <c r="A18" s="463"/>
      <c r="B18" s="38" t="s">
        <v>541</v>
      </c>
      <c r="C18" s="484"/>
      <c r="D18" s="484"/>
      <c r="E18" s="485"/>
      <c r="F18" s="525"/>
    </row>
    <row r="19" spans="1:7" ht="20.100000000000001" customHeight="1" x14ac:dyDescent="0.2">
      <c r="A19" s="463" t="s">
        <v>20</v>
      </c>
      <c r="B19" s="38" t="s">
        <v>25</v>
      </c>
      <c r="C19" s="486"/>
      <c r="D19" s="486"/>
      <c r="E19" s="487"/>
      <c r="F19" s="526"/>
    </row>
    <row r="20" spans="1:7" ht="20.100000000000001" customHeight="1" x14ac:dyDescent="0.2">
      <c r="A20" s="463" t="s">
        <v>21</v>
      </c>
      <c r="B20" s="39" t="s">
        <v>23</v>
      </c>
      <c r="C20" s="484"/>
      <c r="D20" s="484"/>
      <c r="E20" s="485"/>
      <c r="F20" s="525"/>
    </row>
    <row r="21" spans="1:7" ht="20.100000000000001" customHeight="1" x14ac:dyDescent="0.2">
      <c r="A21" s="463" t="s">
        <v>29</v>
      </c>
      <c r="B21" s="38" t="s">
        <v>27</v>
      </c>
      <c r="C21" s="486"/>
      <c r="D21" s="486"/>
      <c r="E21" s="487"/>
      <c r="F21" s="526"/>
    </row>
    <row r="22" spans="1:7" ht="38.25" customHeight="1" x14ac:dyDescent="0.2">
      <c r="A22" s="463"/>
      <c r="B22" s="38" t="s">
        <v>542</v>
      </c>
      <c r="C22" s="488"/>
      <c r="D22" s="488"/>
      <c r="E22" s="489"/>
      <c r="F22" s="527"/>
    </row>
    <row r="23" spans="1:7" ht="20.100000000000001" customHeight="1" x14ac:dyDescent="0.2">
      <c r="A23" s="498" t="s">
        <v>373</v>
      </c>
      <c r="B23" s="499" t="s">
        <v>658</v>
      </c>
      <c r="C23" s="502">
        <v>43679600</v>
      </c>
      <c r="D23" s="502">
        <f>C23</f>
        <v>43679600</v>
      </c>
      <c r="E23" s="503">
        <v>22685041</v>
      </c>
      <c r="F23" s="528">
        <f>E23/D23</f>
        <v>0.51935093270084887</v>
      </c>
    </row>
    <row r="24" spans="1:7" ht="20.100000000000001" customHeight="1" x14ac:dyDescent="0.2">
      <c r="A24" s="464"/>
      <c r="B24" s="73" t="s">
        <v>385</v>
      </c>
      <c r="C24" s="484"/>
      <c r="D24" s="484"/>
      <c r="E24" s="485"/>
      <c r="F24" s="525"/>
    </row>
    <row r="25" spans="1:7" ht="20.100000000000001" customHeight="1" x14ac:dyDescent="0.2">
      <c r="A25" s="464"/>
      <c r="B25" s="72" t="s">
        <v>430</v>
      </c>
      <c r="C25" s="476"/>
      <c r="D25" s="476"/>
      <c r="E25" s="477"/>
      <c r="F25" s="520"/>
    </row>
    <row r="26" spans="1:7" ht="20.100000000000001" customHeight="1" x14ac:dyDescent="0.2">
      <c r="A26" s="515"/>
      <c r="B26" s="516" t="s">
        <v>659</v>
      </c>
      <c r="C26" s="490">
        <v>10447209</v>
      </c>
      <c r="D26" s="490">
        <f>C26</f>
        <v>10447209</v>
      </c>
      <c r="E26" s="491">
        <v>5432550</v>
      </c>
      <c r="F26" s="529">
        <f>E26/D26</f>
        <v>0.52000012634953507</v>
      </c>
    </row>
    <row r="27" spans="1:7" ht="20.100000000000001" customHeight="1" x14ac:dyDescent="0.2">
      <c r="A27" s="464"/>
      <c r="B27" s="6" t="s">
        <v>374</v>
      </c>
      <c r="C27" s="492"/>
      <c r="D27" s="492"/>
      <c r="E27" s="493"/>
      <c r="F27" s="530"/>
    </row>
    <row r="28" spans="1:7" ht="20.100000000000001" customHeight="1" x14ac:dyDescent="0.2">
      <c r="A28" s="464"/>
      <c r="B28" s="80" t="s">
        <v>400</v>
      </c>
      <c r="C28" s="494"/>
      <c r="D28" s="494"/>
      <c r="E28" s="495"/>
      <c r="F28" s="531"/>
    </row>
    <row r="29" spans="1:7" ht="20.100000000000001" customHeight="1" x14ac:dyDescent="0.2">
      <c r="A29" s="504" t="s">
        <v>375</v>
      </c>
      <c r="B29" s="499" t="s">
        <v>376</v>
      </c>
      <c r="C29" s="505">
        <f>SUM(C26:C28)</f>
        <v>10447209</v>
      </c>
      <c r="D29" s="505">
        <f t="shared" ref="D29:E29" si="0">SUM(D26:D28)</f>
        <v>10447209</v>
      </c>
      <c r="E29" s="506">
        <f t="shared" si="0"/>
        <v>5432550</v>
      </c>
      <c r="F29" s="532">
        <f>E29/D29</f>
        <v>0.52000012634953507</v>
      </c>
    </row>
    <row r="30" spans="1:7" ht="20.100000000000001" customHeight="1" x14ac:dyDescent="0.2">
      <c r="A30" s="464"/>
      <c r="B30" s="6" t="s">
        <v>660</v>
      </c>
      <c r="C30" s="496">
        <v>2386120</v>
      </c>
      <c r="D30" s="496">
        <f>C30+193830</f>
        <v>2579950</v>
      </c>
      <c r="E30" s="497">
        <v>1434614</v>
      </c>
      <c r="F30" s="533">
        <f>E30/D30</f>
        <v>0.55606271439368982</v>
      </c>
      <c r="G30" s="322" t="s">
        <v>661</v>
      </c>
    </row>
    <row r="31" spans="1:7" ht="20.100000000000001" customHeight="1" x14ac:dyDescent="0.2">
      <c r="A31" s="464"/>
      <c r="B31" s="135" t="s">
        <v>431</v>
      </c>
      <c r="C31" s="496"/>
      <c r="D31" s="496"/>
      <c r="E31" s="497"/>
      <c r="F31" s="533"/>
    </row>
    <row r="32" spans="1:7" ht="20.100000000000001" customHeight="1" x14ac:dyDescent="0.2">
      <c r="A32" s="507" t="s">
        <v>377</v>
      </c>
      <c r="B32" s="508" t="s">
        <v>378</v>
      </c>
      <c r="C32" s="509">
        <f>SUM(C30:C31)</f>
        <v>2386120</v>
      </c>
      <c r="D32" s="509">
        <f t="shared" ref="D32:E32" si="1">SUM(D30:D31)</f>
        <v>2579950</v>
      </c>
      <c r="E32" s="510">
        <f t="shared" si="1"/>
        <v>1434614</v>
      </c>
      <c r="F32" s="534">
        <f t="shared" ref="F32:F35" si="2">E32/D32</f>
        <v>0.55606271439368982</v>
      </c>
    </row>
    <row r="33" spans="1:6" ht="20.100000000000001" customHeight="1" x14ac:dyDescent="0.2">
      <c r="A33" s="507" t="s">
        <v>432</v>
      </c>
      <c r="B33" s="508" t="s">
        <v>663</v>
      </c>
      <c r="C33" s="509"/>
      <c r="D33" s="509"/>
      <c r="E33" s="510"/>
      <c r="F33" s="534"/>
    </row>
    <row r="34" spans="1:6" ht="20.100000000000001" customHeight="1" thickBot="1" x14ac:dyDescent="0.25">
      <c r="A34" s="511" t="s">
        <v>744</v>
      </c>
      <c r="B34" s="512" t="s">
        <v>662</v>
      </c>
      <c r="C34" s="513"/>
      <c r="D34" s="513"/>
      <c r="E34" s="514"/>
      <c r="F34" s="535"/>
    </row>
    <row r="35" spans="1:6" ht="20.100000000000001" customHeight="1" thickBot="1" x14ac:dyDescent="0.3">
      <c r="A35" s="764" t="s">
        <v>74</v>
      </c>
      <c r="B35" s="764"/>
      <c r="C35" s="469">
        <f>SUM(C13,C23,C29,C32,C33)</f>
        <v>56512929</v>
      </c>
      <c r="D35" s="469">
        <f t="shared" ref="D35:E35" si="3">SUM(D13,D23,D29,D32,D33)</f>
        <v>56845378</v>
      </c>
      <c r="E35" s="469">
        <f t="shared" si="3"/>
        <v>29690824</v>
      </c>
      <c r="F35" s="536">
        <f t="shared" si="2"/>
        <v>0.52230849797498047</v>
      </c>
    </row>
  </sheetData>
  <mergeCells count="3">
    <mergeCell ref="A1:B2"/>
    <mergeCell ref="F1:F2"/>
    <mergeCell ref="A35:B35"/>
  </mergeCells>
  <phoneticPr fontId="2" type="noConversion"/>
  <printOptions horizontalCentered="1"/>
  <pageMargins left="0.59055118110236227" right="0.59055118110236227" top="1.5354330708661419" bottom="0.74803149606299213" header="0.59055118110236227" footer="0.31496062992125984"/>
  <pageSetup paperSize="9" scale="68" orientation="portrait" r:id="rId1"/>
  <headerFooter>
    <oddHeader>&amp;L&amp;"Arial,Normál"Levél Község  Önkormányzata&amp;C&amp;"Arial,Félkövér"&amp;12Állami támogatások
2019. év&amp;R&amp;"Arial,Normál"&amp;8 5.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rgb="FFC00000"/>
    <pageSetUpPr fitToPage="1"/>
  </sheetPr>
  <dimension ref="A1:G56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5.5703125" style="283" bestFit="1" customWidth="1"/>
    <col min="2" max="2" width="79.140625" bestFit="1" customWidth="1"/>
    <col min="3" max="4" width="21.140625" style="261" bestFit="1" customWidth="1"/>
    <col min="5" max="5" width="19.7109375" style="261" bestFit="1" customWidth="1"/>
    <col min="6" max="6" width="8.85546875" bestFit="1" customWidth="1"/>
    <col min="7" max="7" width="73.28515625" style="257" bestFit="1" customWidth="1"/>
    <col min="8" max="16384" width="9.140625" style="257"/>
  </cols>
  <sheetData>
    <row r="1" spans="1:7" ht="15" customHeight="1" x14ac:dyDescent="0.2">
      <c r="A1" s="765" t="s">
        <v>237</v>
      </c>
      <c r="B1" s="768" t="s">
        <v>216</v>
      </c>
      <c r="C1" s="773">
        <v>2019</v>
      </c>
      <c r="D1" s="773">
        <v>2019</v>
      </c>
      <c r="E1" s="778">
        <v>2019</v>
      </c>
      <c r="F1" s="775" t="s">
        <v>745</v>
      </c>
    </row>
    <row r="2" spans="1:7" x14ac:dyDescent="0.2">
      <c r="A2" s="766"/>
      <c r="B2" s="769"/>
      <c r="C2" s="774"/>
      <c r="D2" s="774"/>
      <c r="E2" s="779"/>
      <c r="F2" s="776"/>
    </row>
    <row r="3" spans="1:7" x14ac:dyDescent="0.2">
      <c r="A3" s="766"/>
      <c r="B3" s="769"/>
      <c r="C3" s="771" t="s">
        <v>571</v>
      </c>
      <c r="D3" s="771" t="s">
        <v>569</v>
      </c>
      <c r="E3" s="771" t="s">
        <v>567</v>
      </c>
      <c r="F3" s="776"/>
    </row>
    <row r="4" spans="1:7" ht="13.5" thickBot="1" x14ac:dyDescent="0.25">
      <c r="A4" s="767"/>
      <c r="B4" s="770"/>
      <c r="C4" s="772"/>
      <c r="D4" s="772"/>
      <c r="E4" s="772"/>
      <c r="F4" s="777"/>
    </row>
    <row r="5" spans="1:7" s="263" customFormat="1" ht="15" x14ac:dyDescent="0.2">
      <c r="A5" s="351"/>
      <c r="B5" s="545" t="s">
        <v>561</v>
      </c>
      <c r="C5" s="549">
        <v>220000</v>
      </c>
      <c r="D5" s="349">
        <v>220000</v>
      </c>
      <c r="E5" s="538"/>
      <c r="F5" s="551">
        <f>E5/D5</f>
        <v>0</v>
      </c>
      <c r="G5" s="262"/>
    </row>
    <row r="6" spans="1:7" ht="16.5" x14ac:dyDescent="0.25">
      <c r="A6" s="352" t="s">
        <v>202</v>
      </c>
      <c r="B6" s="546" t="s">
        <v>587</v>
      </c>
      <c r="C6" s="542">
        <f>SUM(C5:C5)</f>
        <v>220000</v>
      </c>
      <c r="D6" s="268">
        <f>SUM(D5:D5)</f>
        <v>220000</v>
      </c>
      <c r="E6" s="539">
        <f>SUM(E5:E5)</f>
        <v>0</v>
      </c>
      <c r="F6" s="553">
        <f t="shared" ref="F6:F50" si="0">E6/D6</f>
        <v>0</v>
      </c>
    </row>
    <row r="7" spans="1:7" ht="15" x14ac:dyDescent="0.2">
      <c r="A7" s="351"/>
      <c r="B7" s="545" t="s">
        <v>562</v>
      </c>
      <c r="C7" s="550">
        <v>10000000</v>
      </c>
      <c r="D7" s="349">
        <f>C7</f>
        <v>10000000</v>
      </c>
      <c r="E7" s="538"/>
      <c r="F7" s="552">
        <f t="shared" si="0"/>
        <v>0</v>
      </c>
    </row>
    <row r="8" spans="1:7" ht="15" x14ac:dyDescent="0.2">
      <c r="A8" s="351"/>
      <c r="B8" s="545" t="s">
        <v>577</v>
      </c>
      <c r="C8" s="550">
        <v>5200000</v>
      </c>
      <c r="D8" s="349">
        <f>C8+250500</f>
        <v>5450500</v>
      </c>
      <c r="E8" s="538">
        <v>5450500</v>
      </c>
      <c r="F8" s="552">
        <f t="shared" si="0"/>
        <v>1</v>
      </c>
    </row>
    <row r="9" spans="1:7" ht="15" x14ac:dyDescent="0.2">
      <c r="A9" s="351"/>
      <c r="B9" s="545" t="s">
        <v>578</v>
      </c>
      <c r="C9" s="550">
        <v>21000000</v>
      </c>
      <c r="D9" s="349">
        <f>C9</f>
        <v>21000000</v>
      </c>
      <c r="E9" s="538">
        <v>21000000</v>
      </c>
      <c r="F9" s="552">
        <f t="shared" si="0"/>
        <v>1</v>
      </c>
    </row>
    <row r="10" spans="1:7" ht="15" x14ac:dyDescent="0.2">
      <c r="A10" s="351"/>
      <c r="B10" s="545" t="s">
        <v>579</v>
      </c>
      <c r="C10" s="550">
        <v>1900000</v>
      </c>
      <c r="D10" s="349">
        <f>C10</f>
        <v>1900000</v>
      </c>
      <c r="E10" s="538"/>
      <c r="F10" s="552">
        <f t="shared" si="0"/>
        <v>0</v>
      </c>
    </row>
    <row r="11" spans="1:7" ht="15" x14ac:dyDescent="0.2">
      <c r="A11" s="351"/>
      <c r="B11" s="545" t="s">
        <v>580</v>
      </c>
      <c r="C11" s="550">
        <v>30000000</v>
      </c>
      <c r="D11" s="349">
        <f>C11+15947490</f>
        <v>45947490</v>
      </c>
      <c r="E11" s="538"/>
      <c r="F11" s="552">
        <f t="shared" si="0"/>
        <v>0</v>
      </c>
    </row>
    <row r="12" spans="1:7" ht="15" x14ac:dyDescent="0.2">
      <c r="A12" s="351"/>
      <c r="B12" s="545" t="s">
        <v>581</v>
      </c>
      <c r="C12" s="550">
        <v>1100000</v>
      </c>
      <c r="D12" s="349">
        <f>C12</f>
        <v>1100000</v>
      </c>
      <c r="E12" s="538"/>
      <c r="F12" s="552">
        <f t="shared" si="0"/>
        <v>0</v>
      </c>
    </row>
    <row r="13" spans="1:7" ht="15" x14ac:dyDescent="0.2">
      <c r="A13" s="351"/>
      <c r="B13" s="545" t="s">
        <v>582</v>
      </c>
      <c r="C13" s="550">
        <v>2300000</v>
      </c>
      <c r="D13" s="349">
        <f>C13</f>
        <v>2300000</v>
      </c>
      <c r="E13" s="538"/>
      <c r="F13" s="552">
        <f t="shared" si="0"/>
        <v>0</v>
      </c>
    </row>
    <row r="14" spans="1:7" ht="15" x14ac:dyDescent="0.2">
      <c r="A14" s="351"/>
      <c r="B14" s="545" t="s">
        <v>583</v>
      </c>
      <c r="C14" s="550">
        <v>1000000</v>
      </c>
      <c r="D14" s="349">
        <f>C14</f>
        <v>1000000</v>
      </c>
      <c r="E14" s="538"/>
      <c r="F14" s="552">
        <f t="shared" si="0"/>
        <v>0</v>
      </c>
    </row>
    <row r="15" spans="1:7" ht="15" x14ac:dyDescent="0.2">
      <c r="A15" s="351"/>
      <c r="B15" s="545" t="s">
        <v>584</v>
      </c>
      <c r="C15" s="550"/>
      <c r="D15" s="349"/>
      <c r="E15" s="538">
        <v>385000</v>
      </c>
      <c r="F15" s="552"/>
    </row>
    <row r="16" spans="1:7" ht="15" x14ac:dyDescent="0.2">
      <c r="A16" s="351"/>
      <c r="B16" s="545" t="s">
        <v>586</v>
      </c>
      <c r="C16" s="550"/>
      <c r="D16" s="349">
        <v>319000</v>
      </c>
      <c r="E16" s="538">
        <v>319000</v>
      </c>
      <c r="F16" s="552">
        <f t="shared" si="0"/>
        <v>1</v>
      </c>
    </row>
    <row r="17" spans="1:7" ht="15" x14ac:dyDescent="0.2">
      <c r="A17" s="351"/>
      <c r="B17" s="545" t="s">
        <v>585</v>
      </c>
      <c r="C17" s="550"/>
      <c r="D17" s="349">
        <v>260100</v>
      </c>
      <c r="E17" s="538">
        <v>260100</v>
      </c>
      <c r="F17" s="552">
        <f t="shared" si="0"/>
        <v>1</v>
      </c>
    </row>
    <row r="18" spans="1:7" ht="16.5" x14ac:dyDescent="0.25">
      <c r="A18" s="352" t="s">
        <v>203</v>
      </c>
      <c r="B18" s="546" t="s">
        <v>588</v>
      </c>
      <c r="C18" s="542">
        <f>SUM(C7:C17)</f>
        <v>72500000</v>
      </c>
      <c r="D18" s="268">
        <f>SUM(D7:D17)</f>
        <v>89277090</v>
      </c>
      <c r="E18" s="539">
        <f>SUM(E7:E17)</f>
        <v>27414600</v>
      </c>
      <c r="F18" s="553">
        <f t="shared" si="0"/>
        <v>0.30707318081268103</v>
      </c>
    </row>
    <row r="19" spans="1:7" ht="15" x14ac:dyDescent="0.2">
      <c r="A19" s="351"/>
      <c r="B19" s="545" t="s">
        <v>590</v>
      </c>
      <c r="C19" s="550">
        <v>23675</v>
      </c>
      <c r="D19" s="349">
        <f>C19+46340</f>
        <v>70015</v>
      </c>
      <c r="E19" s="538"/>
      <c r="F19" s="552">
        <f t="shared" si="0"/>
        <v>0</v>
      </c>
      <c r="G19" s="258"/>
    </row>
    <row r="20" spans="1:7" ht="15" x14ac:dyDescent="0.2">
      <c r="A20" s="351"/>
      <c r="B20" s="545" t="s">
        <v>591</v>
      </c>
      <c r="C20" s="550"/>
      <c r="D20" s="349"/>
      <c r="E20" s="538">
        <v>23543</v>
      </c>
      <c r="F20" s="552"/>
    </row>
    <row r="21" spans="1:7" ht="16.5" x14ac:dyDescent="0.25">
      <c r="A21" s="352" t="s">
        <v>204</v>
      </c>
      <c r="B21" s="546" t="s">
        <v>589</v>
      </c>
      <c r="C21" s="542">
        <f>SUM(C19:C20)</f>
        <v>23675</v>
      </c>
      <c r="D21" s="268">
        <f t="shared" ref="D21:E21" si="1">SUM(D19:D20)</f>
        <v>70015</v>
      </c>
      <c r="E21" s="539">
        <f t="shared" si="1"/>
        <v>23543</v>
      </c>
      <c r="F21" s="553">
        <f t="shared" si="0"/>
        <v>0.33625651646075838</v>
      </c>
    </row>
    <row r="22" spans="1:7" ht="15" x14ac:dyDescent="0.2">
      <c r="A22" s="351"/>
      <c r="B22" s="545" t="s">
        <v>596</v>
      </c>
      <c r="C22" s="550">
        <v>1265000</v>
      </c>
      <c r="D22" s="349">
        <f>C22</f>
        <v>1265000</v>
      </c>
      <c r="E22" s="538"/>
      <c r="F22" s="552">
        <f t="shared" si="0"/>
        <v>0</v>
      </c>
      <c r="G22" s="258"/>
    </row>
    <row r="23" spans="1:7" ht="15" x14ac:dyDescent="0.2">
      <c r="A23" s="351"/>
      <c r="B23" s="545" t="s">
        <v>597</v>
      </c>
      <c r="C23" s="550">
        <v>120000</v>
      </c>
      <c r="D23" s="349">
        <f t="shared" ref="D23:D30" si="2">C23</f>
        <v>120000</v>
      </c>
      <c r="E23" s="538"/>
      <c r="F23" s="552">
        <f t="shared" si="0"/>
        <v>0</v>
      </c>
      <c r="G23" s="258"/>
    </row>
    <row r="24" spans="1:7" ht="15" x14ac:dyDescent="0.2">
      <c r="A24" s="351"/>
      <c r="B24" s="545" t="s">
        <v>598</v>
      </c>
      <c r="C24" s="550">
        <v>300000</v>
      </c>
      <c r="D24" s="349">
        <f t="shared" si="2"/>
        <v>300000</v>
      </c>
      <c r="E24" s="538"/>
      <c r="F24" s="552">
        <f t="shared" si="0"/>
        <v>0</v>
      </c>
      <c r="G24" s="258"/>
    </row>
    <row r="25" spans="1:7" ht="15" x14ac:dyDescent="0.2">
      <c r="A25" s="351"/>
      <c r="B25" s="545" t="s">
        <v>599</v>
      </c>
      <c r="C25" s="550">
        <v>500000</v>
      </c>
      <c r="D25" s="349">
        <f t="shared" si="2"/>
        <v>500000</v>
      </c>
      <c r="E25" s="538"/>
      <c r="F25" s="552">
        <f t="shared" si="0"/>
        <v>0</v>
      </c>
      <c r="G25" s="258"/>
    </row>
    <row r="26" spans="1:7" ht="15" x14ac:dyDescent="0.2">
      <c r="A26" s="351"/>
      <c r="B26" s="545" t="s">
        <v>600</v>
      </c>
      <c r="C26" s="550">
        <v>1267388</v>
      </c>
      <c r="D26" s="349">
        <f>C26+981271</f>
        <v>2248659</v>
      </c>
      <c r="E26" s="538"/>
      <c r="F26" s="552">
        <f t="shared" si="0"/>
        <v>0</v>
      </c>
      <c r="G26" s="258"/>
    </row>
    <row r="27" spans="1:7" ht="15" x14ac:dyDescent="0.2">
      <c r="A27" s="351"/>
      <c r="B27" s="545" t="s">
        <v>601</v>
      </c>
      <c r="C27" s="550">
        <v>40000</v>
      </c>
      <c r="D27" s="349">
        <f t="shared" si="2"/>
        <v>40000</v>
      </c>
      <c r="E27" s="538"/>
      <c r="F27" s="552">
        <f t="shared" si="0"/>
        <v>0</v>
      </c>
      <c r="G27" s="258"/>
    </row>
    <row r="28" spans="1:7" ht="15" x14ac:dyDescent="0.2">
      <c r="A28" s="351"/>
      <c r="B28" s="545" t="s">
        <v>602</v>
      </c>
      <c r="C28" s="550">
        <v>250000</v>
      </c>
      <c r="D28" s="349">
        <f t="shared" si="2"/>
        <v>250000</v>
      </c>
      <c r="E28" s="538">
        <v>250000</v>
      </c>
      <c r="F28" s="552">
        <f t="shared" si="0"/>
        <v>1</v>
      </c>
      <c r="G28" s="258"/>
    </row>
    <row r="29" spans="1:7" ht="15" x14ac:dyDescent="0.2">
      <c r="A29" s="351"/>
      <c r="B29" s="545" t="s">
        <v>603</v>
      </c>
      <c r="C29" s="550">
        <v>649606</v>
      </c>
      <c r="D29" s="349">
        <f t="shared" si="2"/>
        <v>649606</v>
      </c>
      <c r="E29" s="538">
        <v>644130</v>
      </c>
      <c r="F29" s="552">
        <f t="shared" si="0"/>
        <v>0.9915702749050963</v>
      </c>
      <c r="G29" s="258"/>
    </row>
    <row r="30" spans="1:7" ht="15" x14ac:dyDescent="0.2">
      <c r="A30" s="351"/>
      <c r="B30" s="545" t="s">
        <v>604</v>
      </c>
      <c r="C30" s="550">
        <v>50000</v>
      </c>
      <c r="D30" s="349">
        <f t="shared" si="2"/>
        <v>50000</v>
      </c>
      <c r="E30" s="538"/>
      <c r="F30" s="552">
        <f t="shared" si="0"/>
        <v>0</v>
      </c>
      <c r="G30" s="258"/>
    </row>
    <row r="31" spans="1:7" s="348" customFormat="1" ht="51" x14ac:dyDescent="0.2">
      <c r="A31" s="353"/>
      <c r="B31" s="728" t="s">
        <v>754</v>
      </c>
      <c r="C31" s="550">
        <v>600000</v>
      </c>
      <c r="D31" s="349">
        <f>C31-46340+37449+95410</f>
        <v>686519</v>
      </c>
      <c r="E31" s="538">
        <v>295641</v>
      </c>
      <c r="F31" s="552">
        <f t="shared" si="0"/>
        <v>0.43063775365284862</v>
      </c>
      <c r="G31" s="727" t="s">
        <v>753</v>
      </c>
    </row>
    <row r="32" spans="1:7" ht="16.5" x14ac:dyDescent="0.25">
      <c r="A32" s="352" t="s">
        <v>205</v>
      </c>
      <c r="B32" s="546" t="s">
        <v>592</v>
      </c>
      <c r="C32" s="542">
        <f>SUM(C22:C31)</f>
        <v>5041994</v>
      </c>
      <c r="D32" s="268">
        <f>SUM(D22:D31)</f>
        <v>6109784</v>
      </c>
      <c r="E32" s="539">
        <f>SUM(E22:E31)</f>
        <v>1189771</v>
      </c>
      <c r="F32" s="553">
        <f t="shared" si="0"/>
        <v>0.19473208872850498</v>
      </c>
    </row>
    <row r="33" spans="1:7" ht="16.5" x14ac:dyDescent="0.25">
      <c r="A33" s="352" t="s">
        <v>206</v>
      </c>
      <c r="B33" s="546" t="s">
        <v>593</v>
      </c>
      <c r="C33" s="542">
        <v>0</v>
      </c>
      <c r="D33" s="268">
        <f>C33</f>
        <v>0</v>
      </c>
      <c r="E33" s="539">
        <v>0</v>
      </c>
      <c r="F33" s="553"/>
    </row>
    <row r="34" spans="1:7" ht="16.5" x14ac:dyDescent="0.25">
      <c r="A34" s="352" t="s">
        <v>207</v>
      </c>
      <c r="B34" s="546" t="s">
        <v>594</v>
      </c>
      <c r="C34" s="542">
        <v>21002131</v>
      </c>
      <c r="D34" s="268">
        <v>15856938</v>
      </c>
      <c r="E34" s="539">
        <v>2059537</v>
      </c>
      <c r="F34" s="553">
        <f t="shared" si="0"/>
        <v>0.12988238965177262</v>
      </c>
      <c r="G34" s="259"/>
    </row>
    <row r="35" spans="1:7" ht="18" x14ac:dyDescent="0.25">
      <c r="A35" s="354" t="s">
        <v>208</v>
      </c>
      <c r="B35" s="547" t="s">
        <v>595</v>
      </c>
      <c r="C35" s="543">
        <f>C6+C18+C21+C32+C34+C33</f>
        <v>98787800</v>
      </c>
      <c r="D35" s="270">
        <f>D6+D18+D21+D32+D34+D33</f>
        <v>111533827</v>
      </c>
      <c r="E35" s="540">
        <f>E6+E18+E21+E32+E34+E33</f>
        <v>30687451</v>
      </c>
      <c r="F35" s="554">
        <f t="shared" si="0"/>
        <v>0.27514030339871687</v>
      </c>
    </row>
    <row r="36" spans="1:7" ht="15" x14ac:dyDescent="0.2">
      <c r="A36" s="351"/>
      <c r="B36" s="545" t="s">
        <v>605</v>
      </c>
      <c r="C36" s="550">
        <v>300000</v>
      </c>
      <c r="D36" s="349">
        <f>C36</f>
        <v>300000</v>
      </c>
      <c r="E36" s="538"/>
      <c r="F36" s="552">
        <f t="shared" si="0"/>
        <v>0</v>
      </c>
    </row>
    <row r="37" spans="1:7" ht="15" x14ac:dyDescent="0.2">
      <c r="A37" s="351"/>
      <c r="B37" s="545" t="s">
        <v>611</v>
      </c>
      <c r="C37" s="550">
        <v>7683723</v>
      </c>
      <c r="D37" s="349">
        <f>C37+3373341</f>
        <v>11057064</v>
      </c>
      <c r="E37" s="538">
        <f>62600+5528532</f>
        <v>5591132</v>
      </c>
      <c r="F37" s="552">
        <f t="shared" si="0"/>
        <v>0.50566153908487821</v>
      </c>
    </row>
    <row r="38" spans="1:7" ht="15" x14ac:dyDescent="0.2">
      <c r="A38" s="351"/>
      <c r="B38" s="545" t="s">
        <v>606</v>
      </c>
      <c r="C38" s="550">
        <v>410000</v>
      </c>
      <c r="D38" s="349">
        <f t="shared" ref="D38:D44" si="3">C38</f>
        <v>410000</v>
      </c>
      <c r="E38" s="538">
        <v>410000</v>
      </c>
      <c r="F38" s="552">
        <f t="shared" si="0"/>
        <v>1</v>
      </c>
    </row>
    <row r="39" spans="1:7" ht="15" x14ac:dyDescent="0.2">
      <c r="A39" s="351"/>
      <c r="B39" s="545" t="s">
        <v>609</v>
      </c>
      <c r="C39" s="550">
        <v>385000</v>
      </c>
      <c r="D39" s="349">
        <f t="shared" si="3"/>
        <v>385000</v>
      </c>
      <c r="E39" s="538"/>
      <c r="F39" s="552">
        <f t="shared" si="0"/>
        <v>0</v>
      </c>
    </row>
    <row r="40" spans="1:7" ht="15" x14ac:dyDescent="0.2">
      <c r="A40" s="351"/>
      <c r="B40" s="545" t="s">
        <v>610</v>
      </c>
      <c r="C40" s="550">
        <v>15000000</v>
      </c>
      <c r="D40" s="349">
        <f>C40+2024650</f>
        <v>17024650</v>
      </c>
      <c r="E40" s="538"/>
      <c r="F40" s="552">
        <f t="shared" si="0"/>
        <v>0</v>
      </c>
    </row>
    <row r="41" spans="1:7" ht="15" x14ac:dyDescent="0.2">
      <c r="A41" s="351"/>
      <c r="B41" s="545" t="s">
        <v>607</v>
      </c>
      <c r="C41" s="550">
        <v>3000000</v>
      </c>
      <c r="D41" s="349">
        <f t="shared" si="3"/>
        <v>3000000</v>
      </c>
      <c r="E41" s="538"/>
      <c r="F41" s="552">
        <f t="shared" si="0"/>
        <v>0</v>
      </c>
    </row>
    <row r="42" spans="1:7" ht="15" x14ac:dyDescent="0.2">
      <c r="A42" s="351"/>
      <c r="B42" s="545" t="s">
        <v>608</v>
      </c>
      <c r="C42" s="550">
        <v>600000</v>
      </c>
      <c r="D42" s="349">
        <f t="shared" si="3"/>
        <v>600000</v>
      </c>
      <c r="E42" s="538">
        <v>463400</v>
      </c>
      <c r="F42" s="552">
        <f t="shared" si="0"/>
        <v>0.77233333333333332</v>
      </c>
    </row>
    <row r="43" spans="1:7" ht="16.5" x14ac:dyDescent="0.25">
      <c r="A43" s="352" t="s">
        <v>209</v>
      </c>
      <c r="B43" s="546" t="s">
        <v>614</v>
      </c>
      <c r="C43" s="542">
        <f>SUM(C36:C42)</f>
        <v>27378723</v>
      </c>
      <c r="D43" s="268">
        <f>SUM(D36:D42)</f>
        <v>32776714</v>
      </c>
      <c r="E43" s="539">
        <f>SUM(E36:E42)</f>
        <v>6464532</v>
      </c>
      <c r="F43" s="553">
        <f t="shared" si="0"/>
        <v>0.19722941109959954</v>
      </c>
      <c r="G43" s="259"/>
    </row>
    <row r="44" spans="1:7" ht="15" x14ac:dyDescent="0.2">
      <c r="A44" s="351"/>
      <c r="B44" s="545" t="s">
        <v>615</v>
      </c>
      <c r="C44" s="550">
        <v>2000000</v>
      </c>
      <c r="D44" s="349">
        <f t="shared" si="3"/>
        <v>2000000</v>
      </c>
      <c r="E44" s="538"/>
      <c r="F44" s="552">
        <f t="shared" si="0"/>
        <v>0</v>
      </c>
    </row>
    <row r="45" spans="1:7" ht="16.5" x14ac:dyDescent="0.25">
      <c r="A45" s="352" t="s">
        <v>612</v>
      </c>
      <c r="B45" s="546" t="s">
        <v>613</v>
      </c>
      <c r="C45" s="542">
        <f>SUM(C44)</f>
        <v>2000000</v>
      </c>
      <c r="D45" s="268">
        <f>SUM(D44)</f>
        <v>2000000</v>
      </c>
      <c r="E45" s="539">
        <f>SUM(E44)</f>
        <v>0</v>
      </c>
      <c r="F45" s="553">
        <f t="shared" si="0"/>
        <v>0</v>
      </c>
      <c r="G45" s="259"/>
    </row>
    <row r="46" spans="1:7" ht="16.5" x14ac:dyDescent="0.25">
      <c r="A46" s="352" t="s">
        <v>210</v>
      </c>
      <c r="B46" s="546" t="s">
        <v>616</v>
      </c>
      <c r="C46" s="542">
        <v>7932255</v>
      </c>
      <c r="D46" s="268">
        <v>9389713</v>
      </c>
      <c r="E46" s="539">
        <v>1728522</v>
      </c>
      <c r="F46" s="553">
        <f t="shared" si="0"/>
        <v>0.18408677666718887</v>
      </c>
    </row>
    <row r="47" spans="1:7" ht="18" x14ac:dyDescent="0.25">
      <c r="A47" s="354" t="s">
        <v>211</v>
      </c>
      <c r="B47" s="547" t="s">
        <v>257</v>
      </c>
      <c r="C47" s="543">
        <f>SUM(C46,C45,C43)</f>
        <v>37310978</v>
      </c>
      <c r="D47" s="270">
        <f t="shared" ref="D47:E47" si="4">SUM(D46,D45,D43)</f>
        <v>44166427</v>
      </c>
      <c r="E47" s="540">
        <f t="shared" si="4"/>
        <v>8193054</v>
      </c>
      <c r="F47" s="554">
        <f t="shared" si="0"/>
        <v>0.18550411605629769</v>
      </c>
    </row>
    <row r="48" spans="1:7" ht="16.5" x14ac:dyDescent="0.25">
      <c r="A48" s="352" t="s">
        <v>214</v>
      </c>
      <c r="B48" s="546" t="s">
        <v>752</v>
      </c>
      <c r="C48" s="542"/>
      <c r="D48" s="268"/>
      <c r="E48" s="539"/>
      <c r="F48" s="553"/>
      <c r="G48" s="260"/>
    </row>
    <row r="49" spans="1:7" ht="18" x14ac:dyDescent="0.25">
      <c r="A49" s="354" t="s">
        <v>215</v>
      </c>
      <c r="B49" s="547" t="s">
        <v>617</v>
      </c>
      <c r="C49" s="543">
        <f>SUM(C48)</f>
        <v>0</v>
      </c>
      <c r="D49" s="270">
        <f t="shared" ref="D49:E49" si="5">SUM(D48)</f>
        <v>0</v>
      </c>
      <c r="E49" s="540">
        <f t="shared" si="5"/>
        <v>0</v>
      </c>
      <c r="F49" s="554"/>
      <c r="G49" s="260"/>
    </row>
    <row r="50" spans="1:7" ht="18.75" x14ac:dyDescent="0.25">
      <c r="A50" s="355"/>
      <c r="B50" s="548" t="s">
        <v>216</v>
      </c>
      <c r="C50" s="544">
        <f>SUM(C49,C47,C35)</f>
        <v>136098778</v>
      </c>
      <c r="D50" s="327">
        <f t="shared" ref="D50:E50" si="6">SUM(D49,D47,D35)</f>
        <v>155700254</v>
      </c>
      <c r="E50" s="541">
        <f t="shared" si="6"/>
        <v>38880505</v>
      </c>
      <c r="F50" s="555">
        <f t="shared" si="0"/>
        <v>0.24971381870706519</v>
      </c>
    </row>
    <row r="51" spans="1:7" x14ac:dyDescent="0.2">
      <c r="F51" s="33"/>
    </row>
    <row r="52" spans="1:7" x14ac:dyDescent="0.2">
      <c r="F52" s="32"/>
    </row>
    <row r="53" spans="1:7" x14ac:dyDescent="0.2">
      <c r="F53" s="31"/>
    </row>
    <row r="54" spans="1:7" x14ac:dyDescent="0.2">
      <c r="F54" s="31"/>
    </row>
    <row r="55" spans="1:7" x14ac:dyDescent="0.2">
      <c r="F55" s="31"/>
    </row>
    <row r="56" spans="1:7" x14ac:dyDescent="0.2">
      <c r="F56" s="31"/>
    </row>
  </sheetData>
  <mergeCells count="9">
    <mergeCell ref="A1:A4"/>
    <mergeCell ref="B1:B4"/>
    <mergeCell ref="C3:C4"/>
    <mergeCell ref="C1:C2"/>
    <mergeCell ref="F1:F4"/>
    <mergeCell ref="D3:D4"/>
    <mergeCell ref="D1:D2"/>
    <mergeCell ref="E3:E4"/>
    <mergeCell ref="E1:E2"/>
  </mergeCells>
  <phoneticPr fontId="2" type="noConversion"/>
  <printOptions horizontalCentered="1"/>
  <pageMargins left="0.59055118110236227" right="0.59055118110236227" top="1.299212598425197" bottom="0.82677165354330717" header="0.62992125984251968" footer="0.47244094488188981"/>
  <pageSetup paperSize="9" scale="59" orientation="portrait" r:id="rId1"/>
  <headerFooter>
    <oddHeader>&amp;L&amp;"Arial,Normál"Levél Község Önkormányzata&amp;C&amp;"Arial,Félkövér"&amp;12FELHALMOZÁSI KIADÁSOK
2019. év&amp;R&amp;8 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rgb="FFC00000"/>
    <pageSetUpPr fitToPage="1"/>
  </sheetPr>
  <dimension ref="A1:G37"/>
  <sheetViews>
    <sheetView workbookViewId="0">
      <pane ySplit="2" topLeftCell="A3" activePane="bottomLeft" state="frozen"/>
      <selection pane="bottomLeft" activeCell="A3" sqref="A3"/>
    </sheetView>
  </sheetViews>
  <sheetFormatPr defaultColWidth="7.28515625" defaultRowHeight="12.75" x14ac:dyDescent="0.2"/>
  <cols>
    <col min="1" max="1" width="6.85546875" bestFit="1" customWidth="1"/>
    <col min="2" max="2" width="62.28515625" bestFit="1" customWidth="1"/>
    <col min="3" max="4" width="20.85546875" bestFit="1" customWidth="1"/>
    <col min="5" max="5" width="19.42578125" bestFit="1" customWidth="1"/>
    <col min="6" max="6" width="9.85546875" style="537" bestFit="1" customWidth="1"/>
  </cols>
  <sheetData>
    <row r="1" spans="1:6" ht="18" x14ac:dyDescent="0.25">
      <c r="A1" s="780" t="s">
        <v>237</v>
      </c>
      <c r="B1" s="784" t="s">
        <v>365</v>
      </c>
      <c r="C1" s="556">
        <v>2019</v>
      </c>
      <c r="D1" s="556">
        <v>2019</v>
      </c>
      <c r="E1" s="557">
        <v>2019</v>
      </c>
      <c r="F1" s="782" t="s">
        <v>746</v>
      </c>
    </row>
    <row r="2" spans="1:6" ht="18.75" thickBot="1" x14ac:dyDescent="0.3">
      <c r="A2" s="781"/>
      <c r="B2" s="785"/>
      <c r="C2" s="558" t="s">
        <v>64</v>
      </c>
      <c r="D2" s="558" t="s">
        <v>569</v>
      </c>
      <c r="E2" s="558" t="s">
        <v>567</v>
      </c>
      <c r="F2" s="783"/>
    </row>
    <row r="3" spans="1:6" ht="15" x14ac:dyDescent="0.2">
      <c r="A3" s="273" t="s">
        <v>726</v>
      </c>
      <c r="B3" s="274" t="s">
        <v>568</v>
      </c>
      <c r="C3" s="287">
        <v>1186233</v>
      </c>
      <c r="D3" s="287">
        <f>C3</f>
        <v>1186233</v>
      </c>
      <c r="E3" s="559">
        <v>1186233</v>
      </c>
      <c r="F3" s="563">
        <f t="shared" ref="F3:F37" si="0">E3/D3</f>
        <v>1</v>
      </c>
    </row>
    <row r="4" spans="1:6" ht="15" x14ac:dyDescent="0.2">
      <c r="A4" s="273" t="s">
        <v>727</v>
      </c>
      <c r="B4" s="274" t="s">
        <v>747</v>
      </c>
      <c r="C4" s="287">
        <v>16977220</v>
      </c>
      <c r="D4" s="287">
        <f>C4</f>
        <v>16977220</v>
      </c>
      <c r="E4" s="559">
        <v>8828156</v>
      </c>
      <c r="F4" s="564">
        <f t="shared" si="0"/>
        <v>0.5200000942439339</v>
      </c>
    </row>
    <row r="5" spans="1:6" ht="16.5" x14ac:dyDescent="0.25">
      <c r="A5" s="266" t="s">
        <v>218</v>
      </c>
      <c r="B5" s="277" t="s">
        <v>219</v>
      </c>
      <c r="C5" s="278">
        <v>18163453</v>
      </c>
      <c r="D5" s="278">
        <f>C5</f>
        <v>18163453</v>
      </c>
      <c r="E5" s="560">
        <v>10014389</v>
      </c>
      <c r="F5" s="565">
        <f t="shared" si="0"/>
        <v>0.55134830365129361</v>
      </c>
    </row>
    <row r="6" spans="1:6" ht="15" x14ac:dyDescent="0.2">
      <c r="A6" s="273"/>
      <c r="B6" s="274" t="s">
        <v>618</v>
      </c>
      <c r="C6" s="287">
        <v>3541712</v>
      </c>
      <c r="D6" s="287">
        <f t="shared" ref="D6:D10" si="1">C6</f>
        <v>3541712</v>
      </c>
      <c r="E6" s="559">
        <f>79488+1472238</f>
        <v>1551726</v>
      </c>
      <c r="F6" s="564">
        <f t="shared" si="0"/>
        <v>0.43812879195146304</v>
      </c>
    </row>
    <row r="7" spans="1:6" ht="15" x14ac:dyDescent="0.2">
      <c r="A7" s="273"/>
      <c r="B7" s="274" t="s">
        <v>619</v>
      </c>
      <c r="C7" s="287">
        <v>236640</v>
      </c>
      <c r="D7" s="287">
        <f t="shared" si="1"/>
        <v>236640</v>
      </c>
      <c r="E7" s="559"/>
      <c r="F7" s="564">
        <f t="shared" si="0"/>
        <v>0</v>
      </c>
    </row>
    <row r="8" spans="1:6" ht="15" x14ac:dyDescent="0.2">
      <c r="A8" s="273"/>
      <c r="B8" s="274" t="s">
        <v>537</v>
      </c>
      <c r="C8" s="287">
        <v>429580</v>
      </c>
      <c r="D8" s="287">
        <f t="shared" si="1"/>
        <v>429580</v>
      </c>
      <c r="E8" s="559">
        <f>430460+266220+29025</f>
        <v>725705</v>
      </c>
      <c r="F8" s="564">
        <f t="shared" si="0"/>
        <v>1.6893360957214023</v>
      </c>
    </row>
    <row r="9" spans="1:6" ht="15" x14ac:dyDescent="0.2">
      <c r="A9" s="273"/>
      <c r="B9" s="274" t="s">
        <v>447</v>
      </c>
      <c r="C9" s="287">
        <v>13644816</v>
      </c>
      <c r="D9" s="287">
        <f t="shared" si="1"/>
        <v>13644816</v>
      </c>
      <c r="E9" s="559">
        <v>5823988</v>
      </c>
      <c r="F9" s="564">
        <f t="shared" si="0"/>
        <v>0.42682788833502777</v>
      </c>
    </row>
    <row r="10" spans="1:6" ht="15" x14ac:dyDescent="0.2">
      <c r="A10" s="273"/>
      <c r="B10" s="274" t="s">
        <v>434</v>
      </c>
      <c r="C10" s="287">
        <v>3300000</v>
      </c>
      <c r="D10" s="287">
        <f t="shared" si="1"/>
        <v>3300000</v>
      </c>
      <c r="E10" s="559"/>
      <c r="F10" s="564">
        <f t="shared" si="0"/>
        <v>0</v>
      </c>
    </row>
    <row r="11" spans="1:6" ht="16.5" x14ac:dyDescent="0.25">
      <c r="A11" s="267" t="s">
        <v>220</v>
      </c>
      <c r="B11" s="276" t="s">
        <v>221</v>
      </c>
      <c r="C11" s="268">
        <f>SUM(C6:C10)</f>
        <v>21152748</v>
      </c>
      <c r="D11" s="268">
        <f>SUM(D6:D10)</f>
        <v>21152748</v>
      </c>
      <c r="E11" s="539">
        <f>SUM(E6:E10)</f>
        <v>8101419</v>
      </c>
      <c r="F11" s="566">
        <f t="shared" si="0"/>
        <v>0.3829960532787513</v>
      </c>
    </row>
    <row r="12" spans="1:6" ht="16.5" x14ac:dyDescent="0.25">
      <c r="A12" s="267" t="s">
        <v>222</v>
      </c>
      <c r="B12" s="271" t="s">
        <v>223</v>
      </c>
      <c r="C12" s="268">
        <v>0</v>
      </c>
      <c r="D12" s="268">
        <v>0</v>
      </c>
      <c r="E12" s="539">
        <v>0</v>
      </c>
      <c r="F12" s="566"/>
    </row>
    <row r="13" spans="1:6" ht="15" x14ac:dyDescent="0.2">
      <c r="A13" s="273"/>
      <c r="B13" s="274" t="s">
        <v>435</v>
      </c>
      <c r="C13" s="287">
        <v>7444855</v>
      </c>
      <c r="D13" s="287">
        <f t="shared" ref="D13:D28" si="2">C13</f>
        <v>7444855</v>
      </c>
      <c r="E13" s="559">
        <v>4242266</v>
      </c>
      <c r="F13" s="564">
        <f t="shared" si="0"/>
        <v>0.56982520143105542</v>
      </c>
    </row>
    <row r="14" spans="1:6" ht="15" x14ac:dyDescent="0.2">
      <c r="A14" s="273"/>
      <c r="B14" s="274" t="s">
        <v>624</v>
      </c>
      <c r="C14" s="287">
        <v>1461429</v>
      </c>
      <c r="D14" s="287">
        <f t="shared" si="2"/>
        <v>1461429</v>
      </c>
      <c r="E14" s="559"/>
      <c r="F14" s="564">
        <f t="shared" si="0"/>
        <v>0</v>
      </c>
    </row>
    <row r="15" spans="1:6" ht="15" x14ac:dyDescent="0.2">
      <c r="A15" s="273"/>
      <c r="B15" s="274" t="s">
        <v>436</v>
      </c>
      <c r="C15" s="287">
        <v>886518</v>
      </c>
      <c r="D15" s="287">
        <f t="shared" si="2"/>
        <v>886518</v>
      </c>
      <c r="E15" s="559">
        <v>265000</v>
      </c>
      <c r="F15" s="564">
        <f t="shared" si="0"/>
        <v>0.2989223005060247</v>
      </c>
    </row>
    <row r="16" spans="1:6" ht="15" x14ac:dyDescent="0.2">
      <c r="A16" s="273"/>
      <c r="B16" s="274" t="s">
        <v>437</v>
      </c>
      <c r="C16" s="287">
        <v>778182</v>
      </c>
      <c r="D16" s="287">
        <f t="shared" si="2"/>
        <v>778182</v>
      </c>
      <c r="E16" s="559">
        <v>100000</v>
      </c>
      <c r="F16" s="564">
        <f t="shared" si="0"/>
        <v>0.12850464287274699</v>
      </c>
    </row>
    <row r="17" spans="1:7" ht="15" x14ac:dyDescent="0.2">
      <c r="A17" s="273"/>
      <c r="B17" s="274" t="s">
        <v>438</v>
      </c>
      <c r="C17" s="287">
        <v>0</v>
      </c>
      <c r="D17" s="287">
        <f t="shared" si="2"/>
        <v>0</v>
      </c>
      <c r="E17" s="559"/>
      <c r="F17" s="564"/>
    </row>
    <row r="18" spans="1:7" ht="15" x14ac:dyDescent="0.2">
      <c r="A18" s="273"/>
      <c r="B18" s="274" t="s">
        <v>439</v>
      </c>
      <c r="C18" s="287">
        <v>746795</v>
      </c>
      <c r="D18" s="287">
        <f t="shared" si="2"/>
        <v>746795</v>
      </c>
      <c r="E18" s="559">
        <v>300000</v>
      </c>
      <c r="F18" s="564">
        <f t="shared" si="0"/>
        <v>0.40171666923318983</v>
      </c>
    </row>
    <row r="19" spans="1:7" ht="15" x14ac:dyDescent="0.2">
      <c r="A19" s="273"/>
      <c r="B19" s="274" t="s">
        <v>440</v>
      </c>
      <c r="C19" s="287">
        <v>0</v>
      </c>
      <c r="D19" s="287">
        <f t="shared" si="2"/>
        <v>0</v>
      </c>
      <c r="E19" s="559"/>
      <c r="F19" s="564"/>
    </row>
    <row r="20" spans="1:7" ht="15" x14ac:dyDescent="0.2">
      <c r="A20" s="273"/>
      <c r="B20" s="274" t="s">
        <v>483</v>
      </c>
      <c r="C20" s="287">
        <v>484438</v>
      </c>
      <c r="D20" s="287">
        <f t="shared" si="2"/>
        <v>484438</v>
      </c>
      <c r="E20" s="559"/>
      <c r="F20" s="564">
        <f t="shared" si="0"/>
        <v>0</v>
      </c>
    </row>
    <row r="21" spans="1:7" ht="15" x14ac:dyDescent="0.2">
      <c r="A21" s="273"/>
      <c r="B21" s="274" t="s">
        <v>441</v>
      </c>
      <c r="C21" s="287">
        <v>30000</v>
      </c>
      <c r="D21" s="287">
        <f t="shared" si="2"/>
        <v>30000</v>
      </c>
      <c r="E21" s="559">
        <v>30000</v>
      </c>
      <c r="F21" s="564">
        <f t="shared" si="0"/>
        <v>1</v>
      </c>
    </row>
    <row r="22" spans="1:7" ht="15" x14ac:dyDescent="0.2">
      <c r="A22" s="273"/>
      <c r="B22" s="274" t="s">
        <v>538</v>
      </c>
      <c r="C22" s="287">
        <v>634437</v>
      </c>
      <c r="D22" s="287">
        <f t="shared" si="2"/>
        <v>634437</v>
      </c>
      <c r="E22" s="559">
        <v>300000</v>
      </c>
      <c r="F22" s="564">
        <f t="shared" si="0"/>
        <v>0.4728601894277919</v>
      </c>
    </row>
    <row r="23" spans="1:7" ht="15" x14ac:dyDescent="0.2">
      <c r="A23" s="273"/>
      <c r="B23" s="274" t="s">
        <v>539</v>
      </c>
      <c r="C23" s="287">
        <v>0</v>
      </c>
      <c r="D23" s="287">
        <f t="shared" si="2"/>
        <v>0</v>
      </c>
      <c r="E23" s="559"/>
      <c r="F23" s="564"/>
    </row>
    <row r="24" spans="1:7" ht="15" x14ac:dyDescent="0.2">
      <c r="A24" s="273"/>
      <c r="B24" s="274" t="s">
        <v>540</v>
      </c>
      <c r="C24" s="287">
        <v>75000</v>
      </c>
      <c r="D24" s="287">
        <f t="shared" si="2"/>
        <v>75000</v>
      </c>
      <c r="E24" s="559"/>
      <c r="F24" s="564">
        <f t="shared" si="0"/>
        <v>0</v>
      </c>
    </row>
    <row r="25" spans="1:7" ht="15" x14ac:dyDescent="0.2">
      <c r="A25" s="273"/>
      <c r="B25" s="275" t="s">
        <v>625</v>
      </c>
      <c r="C25" s="288">
        <v>2650000</v>
      </c>
      <c r="D25" s="288">
        <f>C25-317500</f>
        <v>2332500</v>
      </c>
      <c r="E25" s="561">
        <v>1200000</v>
      </c>
      <c r="F25" s="564">
        <f t="shared" si="0"/>
        <v>0.51446945337620575</v>
      </c>
      <c r="G25" s="322" t="s">
        <v>692</v>
      </c>
    </row>
    <row r="26" spans="1:7" ht="15" x14ac:dyDescent="0.2">
      <c r="A26" s="273"/>
      <c r="B26" s="274" t="s">
        <v>620</v>
      </c>
      <c r="C26" s="287">
        <v>10000</v>
      </c>
      <c r="D26" s="287">
        <f t="shared" si="2"/>
        <v>10000</v>
      </c>
      <c r="E26" s="559"/>
      <c r="F26" s="564">
        <f t="shared" si="0"/>
        <v>0</v>
      </c>
    </row>
    <row r="27" spans="1:7" ht="15" x14ac:dyDescent="0.2">
      <c r="A27" s="273"/>
      <c r="B27" s="274" t="s">
        <v>621</v>
      </c>
      <c r="C27" s="287">
        <v>25000</v>
      </c>
      <c r="D27" s="287">
        <f t="shared" si="2"/>
        <v>25000</v>
      </c>
      <c r="E27" s="559">
        <v>25000</v>
      </c>
      <c r="F27" s="564">
        <f t="shared" si="0"/>
        <v>1</v>
      </c>
    </row>
    <row r="28" spans="1:7" ht="15" x14ac:dyDescent="0.2">
      <c r="A28" s="273"/>
      <c r="B28" s="274" t="s">
        <v>622</v>
      </c>
      <c r="C28" s="287">
        <v>20000</v>
      </c>
      <c r="D28" s="287">
        <f t="shared" si="2"/>
        <v>20000</v>
      </c>
      <c r="E28" s="559"/>
      <c r="F28" s="564">
        <f t="shared" si="0"/>
        <v>0</v>
      </c>
    </row>
    <row r="29" spans="1:7" ht="16.5" x14ac:dyDescent="0.25">
      <c r="A29" s="267" t="s">
        <v>225</v>
      </c>
      <c r="B29" s="271" t="s">
        <v>224</v>
      </c>
      <c r="C29" s="268">
        <f>SUM(C13:C28)</f>
        <v>15246654</v>
      </c>
      <c r="D29" s="268">
        <f>SUM(D13:D28)</f>
        <v>14929154</v>
      </c>
      <c r="E29" s="539">
        <f>SUM(E13:E28)</f>
        <v>6462266</v>
      </c>
      <c r="F29" s="566">
        <f t="shared" si="0"/>
        <v>0.43286217022076401</v>
      </c>
    </row>
    <row r="30" spans="1:7" ht="15" x14ac:dyDescent="0.2">
      <c r="A30" s="273"/>
      <c r="B30" s="274" t="s">
        <v>442</v>
      </c>
      <c r="C30" s="289">
        <f>SUM(C31:C32)</f>
        <v>52314000</v>
      </c>
      <c r="D30" s="289">
        <f>SUM(D31:D32)</f>
        <v>52491869</v>
      </c>
      <c r="E30" s="562">
        <f>SUM(E31:E32)</f>
        <v>0</v>
      </c>
      <c r="F30" s="564">
        <f t="shared" si="0"/>
        <v>0</v>
      </c>
    </row>
    <row r="31" spans="1:7" ht="15" x14ac:dyDescent="0.2">
      <c r="A31" s="273"/>
      <c r="B31" s="274" t="s">
        <v>626</v>
      </c>
      <c r="C31" s="287">
        <v>52314000</v>
      </c>
      <c r="D31" s="287">
        <v>52491869</v>
      </c>
      <c r="E31" s="559"/>
      <c r="F31" s="564">
        <f t="shared" si="0"/>
        <v>0</v>
      </c>
    </row>
    <row r="32" spans="1:7" ht="15" x14ac:dyDescent="0.2">
      <c r="A32" s="273"/>
      <c r="B32" s="274" t="s">
        <v>444</v>
      </c>
      <c r="C32" s="287">
        <v>0</v>
      </c>
      <c r="D32" s="287"/>
      <c r="E32" s="559"/>
      <c r="F32" s="564"/>
    </row>
    <row r="33" spans="1:6" ht="15" x14ac:dyDescent="0.2">
      <c r="A33" s="273"/>
      <c r="B33" s="274" t="s">
        <v>445</v>
      </c>
      <c r="C33" s="289">
        <f>SUM(C34:C35)</f>
        <v>0</v>
      </c>
      <c r="D33" s="289">
        <f>SUM(D34:D35)</f>
        <v>0</v>
      </c>
      <c r="E33" s="562">
        <f>SUM(E34:E35)</f>
        <v>0</v>
      </c>
      <c r="F33" s="564"/>
    </row>
    <row r="34" spans="1:6" ht="15" x14ac:dyDescent="0.2">
      <c r="A34" s="273"/>
      <c r="B34" s="274" t="s">
        <v>443</v>
      </c>
      <c r="C34" s="287">
        <v>0</v>
      </c>
      <c r="D34" s="287"/>
      <c r="E34" s="559"/>
      <c r="F34" s="564"/>
    </row>
    <row r="35" spans="1:6" ht="15" x14ac:dyDescent="0.2">
      <c r="A35" s="273"/>
      <c r="B35" s="274" t="s">
        <v>444</v>
      </c>
      <c r="C35" s="287">
        <v>0</v>
      </c>
      <c r="D35" s="287"/>
      <c r="E35" s="559"/>
      <c r="F35" s="564"/>
    </row>
    <row r="36" spans="1:6" ht="16.5" x14ac:dyDescent="0.25">
      <c r="A36" s="267" t="s">
        <v>623</v>
      </c>
      <c r="B36" s="271" t="s">
        <v>226</v>
      </c>
      <c r="C36" s="268">
        <f>C33+C30</f>
        <v>52314000</v>
      </c>
      <c r="D36" s="268">
        <f>D33+D30</f>
        <v>52491869</v>
      </c>
      <c r="E36" s="539">
        <f>E33+E30</f>
        <v>0</v>
      </c>
      <c r="F36" s="566">
        <f t="shared" si="0"/>
        <v>0</v>
      </c>
    </row>
    <row r="37" spans="1:6" ht="18" x14ac:dyDescent="0.25">
      <c r="A37" s="269" t="s">
        <v>227</v>
      </c>
      <c r="B37" s="272" t="s">
        <v>228</v>
      </c>
      <c r="C37" s="270">
        <f>C36+C29+C12+C11+C5</f>
        <v>106876855</v>
      </c>
      <c r="D37" s="270">
        <f>SUM(D36,D29,D12,D11,D5)</f>
        <v>106737224</v>
      </c>
      <c r="E37" s="540">
        <f>SUM(E36,E29,E12,E11,E5)</f>
        <v>24578074</v>
      </c>
      <c r="F37" s="567">
        <f t="shared" si="0"/>
        <v>0.23026712780163741</v>
      </c>
    </row>
  </sheetData>
  <mergeCells count="3">
    <mergeCell ref="A1:A2"/>
    <mergeCell ref="F1:F2"/>
    <mergeCell ref="B1:B2"/>
  </mergeCells>
  <phoneticPr fontId="2" type="noConversion"/>
  <printOptions horizontalCentered="1"/>
  <pageMargins left="0.59055118110236227" right="0.59055118110236227" top="1.6535433070866143" bottom="0.98425196850393704" header="0.86614173228346458" footer="0.51181102362204722"/>
  <pageSetup paperSize="9" scale="65" orientation="portrait" r:id="rId1"/>
  <headerFooter>
    <oddHeader>&amp;L&amp;"Arial,Normál"Levél Község Önkormányzata&amp;C&amp;"Arial,Félkövér"&amp;12Pénzeszköz átadás
2019. év&amp;R&amp;"Arial,Normál"&amp;8 7. 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rgb="FFC00000"/>
    <pageSetUpPr fitToPage="1"/>
  </sheetPr>
  <dimension ref="A1:F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6.85546875" style="283" customWidth="1"/>
    <col min="2" max="2" width="57.28515625" bestFit="1" customWidth="1"/>
    <col min="3" max="5" width="18" style="254" bestFit="1" customWidth="1"/>
    <col min="6" max="6" width="8.85546875" bestFit="1" customWidth="1"/>
  </cols>
  <sheetData>
    <row r="1" spans="1:6" ht="18.75" thickBot="1" x14ac:dyDescent="0.3">
      <c r="A1" s="786" t="s">
        <v>237</v>
      </c>
      <c r="B1" s="787" t="s">
        <v>366</v>
      </c>
      <c r="C1" s="576">
        <v>2019</v>
      </c>
      <c r="D1" s="576">
        <v>2019</v>
      </c>
      <c r="E1" s="577">
        <v>2019</v>
      </c>
      <c r="F1" s="788" t="s">
        <v>743</v>
      </c>
    </row>
    <row r="2" spans="1:6" ht="18.75" thickBot="1" x14ac:dyDescent="0.3">
      <c r="A2" s="786"/>
      <c r="B2" s="787"/>
      <c r="C2" s="578" t="s">
        <v>64</v>
      </c>
      <c r="D2" s="578" t="s">
        <v>569</v>
      </c>
      <c r="E2" s="578" t="s">
        <v>572</v>
      </c>
      <c r="F2" s="788"/>
    </row>
    <row r="3" spans="1:6" ht="18" x14ac:dyDescent="0.25">
      <c r="A3" s="292" t="s">
        <v>234</v>
      </c>
      <c r="B3" s="579" t="s">
        <v>78</v>
      </c>
      <c r="C3" s="590"/>
      <c r="D3" s="356"/>
      <c r="E3" s="568"/>
      <c r="F3" s="598"/>
    </row>
    <row r="4" spans="1:6" ht="18" x14ac:dyDescent="0.25">
      <c r="A4" s="280"/>
      <c r="B4" s="580" t="s">
        <v>247</v>
      </c>
      <c r="C4" s="591"/>
      <c r="D4" s="290"/>
      <c r="E4" s="569"/>
      <c r="F4" s="599"/>
    </row>
    <row r="5" spans="1:6" ht="16.5" x14ac:dyDescent="0.25">
      <c r="A5" s="281" t="s">
        <v>229</v>
      </c>
      <c r="B5" s="581" t="s">
        <v>230</v>
      </c>
      <c r="C5" s="592">
        <f t="shared" ref="C5" si="0">SUM(C3:C4)</f>
        <v>0</v>
      </c>
      <c r="D5" s="279"/>
      <c r="E5" s="570"/>
      <c r="F5" s="603"/>
    </row>
    <row r="6" spans="1:6" ht="18" x14ac:dyDescent="0.25">
      <c r="A6" s="280" t="s">
        <v>235</v>
      </c>
      <c r="B6" s="580" t="s">
        <v>69</v>
      </c>
      <c r="C6" s="593"/>
      <c r="D6" s="290"/>
      <c r="E6" s="569"/>
      <c r="F6" s="599"/>
    </row>
    <row r="7" spans="1:6" ht="18" x14ac:dyDescent="0.25">
      <c r="A7" s="280" t="s">
        <v>236</v>
      </c>
      <c r="B7" s="580" t="s">
        <v>233</v>
      </c>
      <c r="C7" s="591"/>
      <c r="D7" s="290"/>
      <c r="E7" s="569"/>
      <c r="F7" s="599"/>
    </row>
    <row r="8" spans="1:6" ht="16.5" x14ac:dyDescent="0.25">
      <c r="A8" s="281" t="s">
        <v>231</v>
      </c>
      <c r="B8" s="582" t="s">
        <v>232</v>
      </c>
      <c r="C8" s="594">
        <f t="shared" ref="C8" si="1">SUM(C6:C7)</f>
        <v>0</v>
      </c>
      <c r="D8" s="265"/>
      <c r="E8" s="571"/>
      <c r="F8" s="604"/>
    </row>
    <row r="9" spans="1:6" ht="18" x14ac:dyDescent="0.25">
      <c r="A9" s="280"/>
      <c r="B9" s="580" t="s">
        <v>116</v>
      </c>
      <c r="C9" s="591"/>
      <c r="D9" s="290"/>
      <c r="E9" s="569"/>
      <c r="F9" s="599"/>
    </row>
    <row r="10" spans="1:6" ht="16.5" x14ac:dyDescent="0.25">
      <c r="A10" s="281" t="s">
        <v>238</v>
      </c>
      <c r="B10" s="582" t="s">
        <v>239</v>
      </c>
      <c r="C10" s="594">
        <f>SUM(C9:C9)</f>
        <v>0</v>
      </c>
      <c r="D10" s="265"/>
      <c r="E10" s="571"/>
      <c r="F10" s="604"/>
    </row>
    <row r="11" spans="1:6" ht="18" x14ac:dyDescent="0.25">
      <c r="A11" s="280"/>
      <c r="B11" s="580" t="s">
        <v>73</v>
      </c>
      <c r="C11" s="591"/>
      <c r="D11" s="290"/>
      <c r="E11" s="569"/>
      <c r="F11" s="599"/>
    </row>
    <row r="12" spans="1:6" ht="18" x14ac:dyDescent="0.25">
      <c r="A12" s="280"/>
      <c r="B12" s="580" t="s">
        <v>242</v>
      </c>
      <c r="C12" s="591"/>
      <c r="D12" s="290"/>
      <c r="E12" s="569"/>
      <c r="F12" s="599"/>
    </row>
    <row r="13" spans="1:6" ht="18" x14ac:dyDescent="0.25">
      <c r="A13" s="280"/>
      <c r="B13" s="580" t="s">
        <v>250</v>
      </c>
      <c r="C13" s="591"/>
      <c r="D13" s="290"/>
      <c r="E13" s="569"/>
      <c r="F13" s="599"/>
    </row>
    <row r="14" spans="1:6" ht="16.5" x14ac:dyDescent="0.25">
      <c r="A14" s="281" t="s">
        <v>240</v>
      </c>
      <c r="B14" s="582" t="s">
        <v>241</v>
      </c>
      <c r="C14" s="594">
        <f t="shared" ref="C14" si="2">SUM(C11:C13)</f>
        <v>0</v>
      </c>
      <c r="D14" s="265"/>
      <c r="E14" s="571"/>
      <c r="F14" s="604"/>
    </row>
    <row r="15" spans="1:6" ht="18" x14ac:dyDescent="0.25">
      <c r="A15" s="280"/>
      <c r="B15" s="580" t="s">
        <v>389</v>
      </c>
      <c r="C15" s="591"/>
      <c r="D15" s="290">
        <f>C15</f>
        <v>0</v>
      </c>
      <c r="E15" s="569"/>
      <c r="F15" s="599"/>
    </row>
    <row r="16" spans="1:6" ht="18" x14ac:dyDescent="0.25">
      <c r="A16" s="280"/>
      <c r="B16" s="580" t="s">
        <v>392</v>
      </c>
      <c r="C16" s="591"/>
      <c r="D16" s="290">
        <f t="shared" ref="D16:D20" si="3">C16</f>
        <v>0</v>
      </c>
      <c r="E16" s="569"/>
      <c r="F16" s="599"/>
    </row>
    <row r="17" spans="1:6" ht="18" x14ac:dyDescent="0.25">
      <c r="A17" s="280"/>
      <c r="B17" s="580" t="s">
        <v>390</v>
      </c>
      <c r="C17" s="591"/>
      <c r="D17" s="290">
        <f t="shared" si="3"/>
        <v>0</v>
      </c>
      <c r="E17" s="569"/>
      <c r="F17" s="599"/>
    </row>
    <row r="18" spans="1:6" ht="18" x14ac:dyDescent="0.25">
      <c r="A18" s="280"/>
      <c r="B18" s="580" t="s">
        <v>391</v>
      </c>
      <c r="C18" s="591"/>
      <c r="D18" s="290">
        <f t="shared" si="3"/>
        <v>0</v>
      </c>
      <c r="E18" s="569"/>
      <c r="F18" s="599"/>
    </row>
    <row r="19" spans="1:6" ht="18" x14ac:dyDescent="0.25">
      <c r="A19" s="280"/>
      <c r="B19" s="583" t="s">
        <v>629</v>
      </c>
      <c r="C19" s="595">
        <v>360000</v>
      </c>
      <c r="D19" s="290">
        <f t="shared" si="3"/>
        <v>360000</v>
      </c>
      <c r="E19" s="572">
        <v>180000</v>
      </c>
      <c r="F19" s="600">
        <f>E19/D19</f>
        <v>0.5</v>
      </c>
    </row>
    <row r="20" spans="1:6" ht="18" x14ac:dyDescent="0.25">
      <c r="A20" s="280"/>
      <c r="B20" s="584" t="s">
        <v>628</v>
      </c>
      <c r="C20" s="591"/>
      <c r="D20" s="290">
        <f t="shared" si="3"/>
        <v>0</v>
      </c>
      <c r="E20" s="569"/>
      <c r="F20" s="599"/>
    </row>
    <row r="21" spans="1:6" ht="16.5" x14ac:dyDescent="0.25">
      <c r="A21" s="281" t="s">
        <v>243</v>
      </c>
      <c r="B21" s="582" t="s">
        <v>244</v>
      </c>
      <c r="C21" s="542">
        <f>SUM(C15:C20)</f>
        <v>360000</v>
      </c>
      <c r="D21" s="268">
        <f t="shared" ref="D21:E21" si="4">SUM(D15:D20)</f>
        <v>360000</v>
      </c>
      <c r="E21" s="539">
        <f t="shared" si="4"/>
        <v>180000</v>
      </c>
      <c r="F21" s="605">
        <f>E21/D21</f>
        <v>0.5</v>
      </c>
    </row>
    <row r="22" spans="1:6" s="285" customFormat="1" ht="18" x14ac:dyDescent="0.2">
      <c r="A22" s="286"/>
      <c r="B22" s="585" t="s">
        <v>547</v>
      </c>
      <c r="C22" s="596">
        <v>2451800</v>
      </c>
      <c r="D22" s="291">
        <f>C22</f>
        <v>2451800</v>
      </c>
      <c r="E22" s="573">
        <f>437000+100000+854500+120000+75000</f>
        <v>1586500</v>
      </c>
      <c r="F22" s="601">
        <f>E22/D22</f>
        <v>0.64707561791336976</v>
      </c>
    </row>
    <row r="23" spans="1:6" s="285" customFormat="1" ht="18" x14ac:dyDescent="0.2">
      <c r="A23" s="284"/>
      <c r="B23" s="586" t="s">
        <v>446</v>
      </c>
      <c r="C23" s="596">
        <v>1000000</v>
      </c>
      <c r="D23" s="291">
        <f t="shared" ref="D23:D25" si="5">C23</f>
        <v>1000000</v>
      </c>
      <c r="E23" s="573"/>
      <c r="F23" s="601">
        <f>E23/D23</f>
        <v>0</v>
      </c>
    </row>
    <row r="24" spans="1:6" s="285" customFormat="1" ht="18" x14ac:dyDescent="0.2">
      <c r="A24" s="284"/>
      <c r="B24" s="587" t="s">
        <v>548</v>
      </c>
      <c r="C24" s="596">
        <v>200000</v>
      </c>
      <c r="D24" s="291">
        <f t="shared" si="5"/>
        <v>200000</v>
      </c>
      <c r="E24" s="573"/>
      <c r="F24" s="601">
        <f>E24/D24</f>
        <v>0</v>
      </c>
    </row>
    <row r="25" spans="1:6" s="285" customFormat="1" ht="25.5" x14ac:dyDescent="0.2">
      <c r="A25" s="284"/>
      <c r="B25" s="588" t="s">
        <v>627</v>
      </c>
      <c r="C25" s="596">
        <v>685000</v>
      </c>
      <c r="D25" s="291">
        <f t="shared" si="5"/>
        <v>685000</v>
      </c>
      <c r="E25" s="574">
        <f>27750+312300</f>
        <v>340050</v>
      </c>
      <c r="F25" s="602">
        <f>E25/D25</f>
        <v>0.49642335766423357</v>
      </c>
    </row>
    <row r="26" spans="1:6" s="285" customFormat="1" ht="18" x14ac:dyDescent="0.2">
      <c r="A26" s="284"/>
      <c r="B26" s="588" t="s">
        <v>630</v>
      </c>
      <c r="C26" s="596">
        <v>2304000</v>
      </c>
      <c r="D26" s="291">
        <f>C26-2304000</f>
        <v>0</v>
      </c>
      <c r="E26" s="574"/>
      <c r="F26" s="602"/>
    </row>
    <row r="27" spans="1:6" ht="16.5" x14ac:dyDescent="0.25">
      <c r="A27" s="281" t="s">
        <v>245</v>
      </c>
      <c r="B27" s="582" t="s">
        <v>246</v>
      </c>
      <c r="C27" s="594">
        <f>SUM(C22:C26)</f>
        <v>6640800</v>
      </c>
      <c r="D27" s="265">
        <f t="shared" ref="D27:E27" si="6">SUM(D22:D26)</f>
        <v>4336800</v>
      </c>
      <c r="E27" s="571">
        <f t="shared" si="6"/>
        <v>1926550</v>
      </c>
      <c r="F27" s="604">
        <f>E27/D27</f>
        <v>0.44423307507839882</v>
      </c>
    </row>
    <row r="28" spans="1:6" ht="18" x14ac:dyDescent="0.25">
      <c r="A28" s="282" t="s">
        <v>217</v>
      </c>
      <c r="B28" s="589" t="s">
        <v>255</v>
      </c>
      <c r="C28" s="597">
        <f>SUM(C5,C8,C10,C14,C21,C27)</f>
        <v>7000800</v>
      </c>
      <c r="D28" s="264">
        <f>SUM(D5,D8,D10,D14,D21,D27)</f>
        <v>4696800</v>
      </c>
      <c r="E28" s="575">
        <f>SUM(E5,E8,E10,E14,E21,E27)</f>
        <v>2106550</v>
      </c>
      <c r="F28" s="606">
        <f>E28/D28</f>
        <v>0.44850749446431615</v>
      </c>
    </row>
  </sheetData>
  <mergeCells count="3">
    <mergeCell ref="A1:A2"/>
    <mergeCell ref="B1:B2"/>
    <mergeCell ref="F1:F2"/>
  </mergeCells>
  <phoneticPr fontId="2" type="noConversion"/>
  <printOptions horizontalCentered="1"/>
  <pageMargins left="0.59055118110236227" right="0.59055118110236227" top="1.5354330708661419" bottom="0.98425196850393704" header="0.70866141732283472" footer="0.51181102362204722"/>
  <pageSetup paperSize="9" scale="72" orientation="portrait" r:id="rId1"/>
  <headerFooter>
    <oddHeader>&amp;L&amp;"Arial,Normál"Levél Község Önkormányzata&amp;C&amp;"Arial,Félkövér"&amp;12Szociális juttatások
2019. év&amp;R&amp;"Arial,Normál"&amp;8 8. 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>
    <tabColor rgb="FFC00000"/>
  </sheetPr>
  <dimension ref="A1:BK208"/>
  <sheetViews>
    <sheetView zoomScale="90" zoomScaleNormal="90" workbookViewId="0">
      <pane ySplit="4" topLeftCell="A5" activePane="bottomLeft" state="frozen"/>
      <selection pane="bottomLeft" activeCell="C82" sqref="C82"/>
    </sheetView>
  </sheetViews>
  <sheetFormatPr defaultColWidth="9.140625" defaultRowHeight="12.75" x14ac:dyDescent="0.2"/>
  <cols>
    <col min="1" max="1" width="6.7109375" style="142" bestFit="1" customWidth="1"/>
    <col min="2" max="2" width="75.28515625" style="142" bestFit="1" customWidth="1"/>
    <col min="3" max="4" width="21.140625" style="142" bestFit="1" customWidth="1"/>
    <col min="5" max="5" width="21.140625" style="142" customWidth="1"/>
    <col min="6" max="6" width="9.5703125" style="680" bestFit="1" customWidth="1"/>
    <col min="7" max="7" width="7.140625" style="212" hidden="1" customWidth="1"/>
    <col min="8" max="8" width="16.5703125" style="212" hidden="1" customWidth="1"/>
    <col min="9" max="9" width="14.5703125" style="212" hidden="1" customWidth="1"/>
    <col min="10" max="10" width="18" style="212" hidden="1" customWidth="1"/>
    <col min="11" max="11" width="15.140625" style="212" hidden="1" customWidth="1"/>
    <col min="12" max="12" width="21.7109375" style="212" hidden="1" customWidth="1"/>
    <col min="13" max="13" width="24.7109375" style="212" hidden="1" customWidth="1"/>
    <col min="14" max="14" width="58.28515625" style="212" hidden="1" customWidth="1"/>
    <col min="15" max="15" width="15.85546875" style="212" hidden="1" customWidth="1"/>
    <col min="16" max="16" width="16.7109375" style="212" hidden="1" customWidth="1"/>
    <col min="17" max="17" width="28.140625" style="212" hidden="1" customWidth="1"/>
    <col min="18" max="18" width="26.140625" style="212" hidden="1" customWidth="1"/>
    <col min="19" max="19" width="38.42578125" style="212" hidden="1" customWidth="1"/>
    <col min="20" max="20" width="33.5703125" style="212" hidden="1" customWidth="1"/>
    <col min="21" max="21" width="40.5703125" style="212" hidden="1" customWidth="1"/>
    <col min="22" max="22" width="31.5703125" style="212" hidden="1" customWidth="1"/>
    <col min="23" max="23" width="21" style="212" hidden="1" customWidth="1"/>
    <col min="24" max="24" width="49.140625" style="212" hidden="1" customWidth="1"/>
    <col min="25" max="25" width="35.42578125" style="212" hidden="1" customWidth="1"/>
    <col min="26" max="26" width="30.28515625" style="212" hidden="1" customWidth="1"/>
    <col min="27" max="27" width="14.42578125" style="212" hidden="1" customWidth="1"/>
    <col min="28" max="28" width="32.7109375" style="212" hidden="1" customWidth="1"/>
    <col min="29" max="29" width="31.42578125" style="212" hidden="1" customWidth="1"/>
    <col min="30" max="30" width="22.85546875" style="212" hidden="1" customWidth="1"/>
    <col min="31" max="31" width="32.42578125" style="212" hidden="1" customWidth="1"/>
    <col min="32" max="32" width="69.5703125" style="212" hidden="1" customWidth="1"/>
    <col min="33" max="33" width="74" style="212" hidden="1" customWidth="1"/>
    <col min="34" max="34" width="73.7109375" style="212" hidden="1" customWidth="1"/>
    <col min="35" max="35" width="40.85546875" style="212" hidden="1" customWidth="1"/>
    <col min="36" max="36" width="18" style="212" hidden="1" customWidth="1"/>
    <col min="37" max="37" width="39.28515625" style="212" hidden="1" customWidth="1"/>
    <col min="38" max="38" width="36.5703125" style="212" hidden="1" customWidth="1"/>
    <col min="39" max="39" width="41.5703125" style="212" hidden="1" customWidth="1"/>
    <col min="40" max="40" width="22.140625" style="212" hidden="1" customWidth="1"/>
    <col min="41" max="41" width="18.7109375" style="212" hidden="1" customWidth="1"/>
    <col min="42" max="42" width="22.140625" style="212" hidden="1" customWidth="1"/>
    <col min="43" max="43" width="16.5703125" style="212" hidden="1" customWidth="1"/>
    <col min="44" max="44" width="58.5703125" style="212" hidden="1" customWidth="1"/>
    <col min="45" max="45" width="81.7109375" style="300" hidden="1" customWidth="1"/>
    <col min="46" max="62" width="0" style="300" hidden="1" customWidth="1"/>
    <col min="63" max="63" width="14.28515625" style="300" bestFit="1" customWidth="1"/>
    <col min="64" max="16384" width="9.140625" style="300"/>
  </cols>
  <sheetData>
    <row r="1" spans="1:63" s="299" customFormat="1" ht="20.25" customHeight="1" x14ac:dyDescent="0.25">
      <c r="A1" s="831" t="s">
        <v>237</v>
      </c>
      <c r="B1" s="806" t="s">
        <v>326</v>
      </c>
      <c r="C1" s="608"/>
      <c r="D1" s="608"/>
      <c r="E1" s="608"/>
      <c r="F1" s="803" t="s">
        <v>748</v>
      </c>
      <c r="G1" s="213"/>
      <c r="H1" s="213"/>
      <c r="I1" s="834" t="s">
        <v>47</v>
      </c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  <c r="Y1" s="834"/>
      <c r="Z1" s="834"/>
      <c r="AA1" s="834"/>
      <c r="AB1" s="834"/>
      <c r="AC1" s="834"/>
      <c r="AD1" s="834"/>
      <c r="AE1" s="834"/>
      <c r="AF1" s="834"/>
      <c r="AG1" s="834"/>
      <c r="AH1" s="834"/>
      <c r="AI1" s="834"/>
      <c r="AJ1" s="834"/>
      <c r="AK1" s="834"/>
      <c r="AL1" s="834"/>
      <c r="AM1" s="834"/>
      <c r="AN1" s="834"/>
      <c r="AO1" s="834"/>
      <c r="AP1" s="834"/>
      <c r="AQ1" s="834"/>
      <c r="AR1" s="834"/>
    </row>
    <row r="2" spans="1:63" s="299" customFormat="1" ht="20.25" customHeight="1" x14ac:dyDescent="0.25">
      <c r="A2" s="832"/>
      <c r="B2" s="807"/>
      <c r="C2" s="609">
        <v>2019</v>
      </c>
      <c r="D2" s="609">
        <v>2019</v>
      </c>
      <c r="E2" s="610">
        <v>2019</v>
      </c>
      <c r="F2" s="804"/>
      <c r="G2" s="191"/>
      <c r="H2" s="191"/>
      <c r="I2" s="798" t="s">
        <v>729</v>
      </c>
      <c r="J2" s="798" t="s">
        <v>448</v>
      </c>
      <c r="K2" s="798" t="s">
        <v>449</v>
      </c>
      <c r="L2" s="798" t="s">
        <v>450</v>
      </c>
      <c r="M2" s="811" t="s">
        <v>451</v>
      </c>
      <c r="N2" s="811" t="s">
        <v>452</v>
      </c>
      <c r="O2" s="798" t="s">
        <v>453</v>
      </c>
      <c r="P2" s="798" t="s">
        <v>454</v>
      </c>
      <c r="Q2" s="798" t="s">
        <v>458</v>
      </c>
      <c r="R2" s="798" t="s">
        <v>460</v>
      </c>
      <c r="S2" s="798" t="s">
        <v>486</v>
      </c>
      <c r="T2" s="798" t="s">
        <v>532</v>
      </c>
      <c r="U2" s="798" t="s">
        <v>487</v>
      </c>
      <c r="V2" s="798" t="s">
        <v>461</v>
      </c>
      <c r="W2" s="798" t="s">
        <v>462</v>
      </c>
      <c r="X2" s="798" t="s">
        <v>463</v>
      </c>
      <c r="Y2" s="798" t="s">
        <v>464</v>
      </c>
      <c r="Z2" s="798" t="s">
        <v>465</v>
      </c>
      <c r="AA2" s="798" t="s">
        <v>467</v>
      </c>
      <c r="AB2" s="798" t="s">
        <v>488</v>
      </c>
      <c r="AC2" s="798" t="s">
        <v>489</v>
      </c>
      <c r="AD2" s="798" t="s">
        <v>468</v>
      </c>
      <c r="AE2" s="798" t="s">
        <v>469</v>
      </c>
      <c r="AF2" s="798" t="s">
        <v>470</v>
      </c>
      <c r="AG2" s="798" t="s">
        <v>471</v>
      </c>
      <c r="AH2" s="798" t="s">
        <v>472</v>
      </c>
      <c r="AI2" s="798" t="s">
        <v>474</v>
      </c>
      <c r="AJ2" s="798" t="s">
        <v>434</v>
      </c>
      <c r="AK2" s="798" t="s">
        <v>475</v>
      </c>
      <c r="AL2" s="798" t="s">
        <v>490</v>
      </c>
      <c r="AM2" s="798" t="s">
        <v>549</v>
      </c>
      <c r="AN2" s="798" t="s">
        <v>536</v>
      </c>
      <c r="AO2" s="798" t="s">
        <v>476</v>
      </c>
      <c r="AP2" s="798" t="s">
        <v>479</v>
      </c>
      <c r="AQ2" s="798" t="s">
        <v>533</v>
      </c>
      <c r="AR2" s="792" t="s">
        <v>730</v>
      </c>
      <c r="AS2" s="607"/>
      <c r="AT2" s="795" t="s">
        <v>731</v>
      </c>
      <c r="AU2" s="789" t="s">
        <v>451</v>
      </c>
      <c r="AV2" s="789" t="s">
        <v>732</v>
      </c>
      <c r="AW2" s="789" t="s">
        <v>460</v>
      </c>
      <c r="AX2" s="789" t="s">
        <v>463</v>
      </c>
      <c r="AY2" s="789" t="s">
        <v>465</v>
      </c>
      <c r="AZ2" s="789" t="s">
        <v>536</v>
      </c>
      <c r="BA2" s="789" t="s">
        <v>733</v>
      </c>
      <c r="BB2" s="789" t="s">
        <v>734</v>
      </c>
      <c r="BC2" s="789" t="s">
        <v>735</v>
      </c>
      <c r="BD2" s="789" t="s">
        <v>736</v>
      </c>
      <c r="BE2" s="789" t="s">
        <v>476</v>
      </c>
      <c r="BF2" s="819" t="s">
        <v>737</v>
      </c>
      <c r="BG2" s="822" t="s">
        <v>738</v>
      </c>
      <c r="BH2" s="813" t="s">
        <v>739</v>
      </c>
      <c r="BI2" s="816" t="s">
        <v>740</v>
      </c>
      <c r="BJ2" s="812" t="s">
        <v>57</v>
      </c>
    </row>
    <row r="3" spans="1:63" s="299" customFormat="1" ht="18" x14ac:dyDescent="0.25">
      <c r="A3" s="832"/>
      <c r="B3" s="807"/>
      <c r="C3" s="611" t="s">
        <v>64</v>
      </c>
      <c r="D3" s="612" t="s">
        <v>566</v>
      </c>
      <c r="E3" s="612" t="s">
        <v>567</v>
      </c>
      <c r="F3" s="804"/>
      <c r="G3" s="191"/>
      <c r="H3" s="191"/>
      <c r="I3" s="809"/>
      <c r="J3" s="809"/>
      <c r="K3" s="809"/>
      <c r="L3" s="809"/>
      <c r="M3" s="811"/>
      <c r="N3" s="811"/>
      <c r="O3" s="809"/>
      <c r="P3" s="799"/>
      <c r="Q3" s="799"/>
      <c r="R3" s="799"/>
      <c r="S3" s="801"/>
      <c r="T3" s="801"/>
      <c r="U3" s="801"/>
      <c r="V3" s="799"/>
      <c r="W3" s="799"/>
      <c r="X3" s="799"/>
      <c r="Y3" s="799"/>
      <c r="Z3" s="799"/>
      <c r="AA3" s="799"/>
      <c r="AB3" s="801"/>
      <c r="AC3" s="801"/>
      <c r="AD3" s="799"/>
      <c r="AE3" s="799"/>
      <c r="AF3" s="799"/>
      <c r="AG3" s="799"/>
      <c r="AH3" s="799"/>
      <c r="AI3" s="799"/>
      <c r="AJ3" s="799"/>
      <c r="AK3" s="799"/>
      <c r="AL3" s="801"/>
      <c r="AM3" s="801"/>
      <c r="AN3" s="799"/>
      <c r="AO3" s="799"/>
      <c r="AP3" s="799"/>
      <c r="AQ3" s="801"/>
      <c r="AR3" s="793"/>
      <c r="AS3" s="607"/>
      <c r="AT3" s="796"/>
      <c r="AU3" s="790"/>
      <c r="AV3" s="790"/>
      <c r="AW3" s="790"/>
      <c r="AX3" s="790"/>
      <c r="AY3" s="790"/>
      <c r="AZ3" s="790"/>
      <c r="BA3" s="790"/>
      <c r="BB3" s="790"/>
      <c r="BC3" s="790"/>
      <c r="BD3" s="790"/>
      <c r="BE3" s="790"/>
      <c r="BF3" s="820"/>
      <c r="BG3" s="823"/>
      <c r="BH3" s="814"/>
      <c r="BI3" s="817"/>
      <c r="BJ3" s="812"/>
    </row>
    <row r="4" spans="1:63" s="299" customFormat="1" ht="21.75" customHeight="1" thickBot="1" x14ac:dyDescent="0.3">
      <c r="A4" s="833"/>
      <c r="B4" s="808"/>
      <c r="C4" s="613"/>
      <c r="D4" s="613"/>
      <c r="E4" s="613"/>
      <c r="F4" s="805"/>
      <c r="G4" s="191"/>
      <c r="H4" s="191"/>
      <c r="I4" s="810"/>
      <c r="J4" s="810"/>
      <c r="K4" s="810"/>
      <c r="L4" s="810"/>
      <c r="M4" s="811"/>
      <c r="N4" s="811"/>
      <c r="O4" s="810"/>
      <c r="P4" s="800"/>
      <c r="Q4" s="800"/>
      <c r="R4" s="800"/>
      <c r="S4" s="802"/>
      <c r="T4" s="802"/>
      <c r="U4" s="802"/>
      <c r="V4" s="800"/>
      <c r="W4" s="800"/>
      <c r="X4" s="800"/>
      <c r="Y4" s="800"/>
      <c r="Z4" s="800"/>
      <c r="AA4" s="800"/>
      <c r="AB4" s="802"/>
      <c r="AC4" s="802"/>
      <c r="AD4" s="800"/>
      <c r="AE4" s="800"/>
      <c r="AF4" s="800"/>
      <c r="AG4" s="800"/>
      <c r="AH4" s="800"/>
      <c r="AI4" s="800"/>
      <c r="AJ4" s="800"/>
      <c r="AK4" s="800"/>
      <c r="AL4" s="802"/>
      <c r="AM4" s="802"/>
      <c r="AN4" s="800"/>
      <c r="AO4" s="800"/>
      <c r="AP4" s="800"/>
      <c r="AQ4" s="802"/>
      <c r="AR4" s="793"/>
      <c r="AS4" s="607"/>
      <c r="AT4" s="796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820"/>
      <c r="BG4" s="823"/>
      <c r="BH4" s="814"/>
      <c r="BI4" s="817"/>
      <c r="BJ4" s="812"/>
    </row>
    <row r="5" spans="1:63" s="299" customFormat="1" ht="14.25" x14ac:dyDescent="0.2">
      <c r="A5" s="306" t="s">
        <v>117</v>
      </c>
      <c r="B5" s="628" t="s">
        <v>634</v>
      </c>
      <c r="C5" s="647">
        <v>24160497</v>
      </c>
      <c r="D5" s="308">
        <f>C5</f>
        <v>24160497</v>
      </c>
      <c r="E5" s="614">
        <v>13901698</v>
      </c>
      <c r="F5" s="661">
        <f>E5/D5</f>
        <v>0.57538957083540132</v>
      </c>
      <c r="G5" s="192"/>
      <c r="H5" s="192"/>
      <c r="I5" s="139"/>
      <c r="J5" s="139"/>
      <c r="K5" s="139"/>
      <c r="L5" s="139"/>
      <c r="M5" s="139"/>
      <c r="N5" s="139"/>
      <c r="O5" s="139"/>
      <c r="P5" s="243">
        <v>4950290</v>
      </c>
      <c r="Q5" s="139"/>
      <c r="R5" s="139"/>
      <c r="S5" s="139"/>
      <c r="T5" s="139"/>
      <c r="U5" s="139"/>
      <c r="V5" s="139"/>
      <c r="W5" s="139"/>
      <c r="X5" s="243">
        <v>3342295</v>
      </c>
      <c r="Y5" s="139"/>
      <c r="Z5" s="243">
        <v>1922596</v>
      </c>
      <c r="AA5" s="139"/>
      <c r="AB5" s="139"/>
      <c r="AC5" s="139"/>
      <c r="AD5" s="139">
        <v>536475</v>
      </c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243">
        <v>8661115</v>
      </c>
      <c r="AP5" s="243">
        <v>1070343</v>
      </c>
      <c r="AQ5" s="139"/>
      <c r="AR5" s="794"/>
      <c r="AS5" s="607"/>
      <c r="AT5" s="797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821"/>
      <c r="BG5" s="824"/>
      <c r="BH5" s="815"/>
      <c r="BI5" s="818"/>
      <c r="BJ5" s="79">
        <f>SUM(I5:AP5)</f>
        <v>20483114</v>
      </c>
      <c r="BK5" s="698">
        <f>D5-C5</f>
        <v>0</v>
      </c>
    </row>
    <row r="6" spans="1:63" s="299" customFormat="1" ht="14.25" x14ac:dyDescent="0.2">
      <c r="A6" s="307" t="s">
        <v>117</v>
      </c>
      <c r="B6" s="629" t="s">
        <v>635</v>
      </c>
      <c r="C6" s="648">
        <v>0</v>
      </c>
      <c r="D6" s="309">
        <f t="shared" ref="D6:D16" si="0">C6</f>
        <v>0</v>
      </c>
      <c r="E6" s="615"/>
      <c r="F6" s="662"/>
      <c r="G6" s="192"/>
      <c r="H6" s="19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243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243"/>
      <c r="AP6" s="243"/>
      <c r="AQ6" s="139"/>
      <c r="AR6" s="79">
        <f t="shared" ref="AR6:AR10" si="1">SUM(I6:AP6)</f>
        <v>0</v>
      </c>
      <c r="BK6" s="698">
        <f t="shared" ref="BK6:BK69" si="2">D6-C6</f>
        <v>0</v>
      </c>
    </row>
    <row r="7" spans="1:63" s="299" customFormat="1" ht="14.25" x14ac:dyDescent="0.2">
      <c r="A7" s="307" t="s">
        <v>119</v>
      </c>
      <c r="B7" s="629" t="s">
        <v>120</v>
      </c>
      <c r="C7" s="648">
        <v>0</v>
      </c>
      <c r="D7" s="309">
        <f t="shared" si="0"/>
        <v>0</v>
      </c>
      <c r="E7" s="615"/>
      <c r="F7" s="662"/>
      <c r="G7" s="192"/>
      <c r="H7" s="192"/>
      <c r="I7" s="139"/>
      <c r="J7" s="139"/>
      <c r="K7" s="139"/>
      <c r="L7" s="139"/>
      <c r="M7" s="139"/>
      <c r="N7" s="139"/>
      <c r="O7" s="139"/>
      <c r="P7" s="243">
        <v>388440</v>
      </c>
      <c r="Q7" s="139"/>
      <c r="R7" s="139"/>
      <c r="S7" s="139"/>
      <c r="T7" s="139"/>
      <c r="U7" s="139"/>
      <c r="V7" s="139"/>
      <c r="W7" s="139"/>
      <c r="X7" s="243">
        <v>285240</v>
      </c>
      <c r="Y7" s="139"/>
      <c r="Z7" s="243">
        <v>164565</v>
      </c>
      <c r="AA7" s="139"/>
      <c r="AB7" s="139"/>
      <c r="AC7" s="139"/>
      <c r="AD7" s="139">
        <v>45125</v>
      </c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243">
        <v>729170</v>
      </c>
      <c r="AP7" s="243"/>
      <c r="AQ7" s="139"/>
      <c r="AR7" s="79">
        <f t="shared" si="1"/>
        <v>1612540</v>
      </c>
      <c r="BK7" s="698">
        <f t="shared" si="2"/>
        <v>0</v>
      </c>
    </row>
    <row r="8" spans="1:63" s="299" customFormat="1" ht="14.25" x14ac:dyDescent="0.2">
      <c r="A8" s="307" t="s">
        <v>119</v>
      </c>
      <c r="B8" s="629" t="s">
        <v>636</v>
      </c>
      <c r="C8" s="648">
        <v>0</v>
      </c>
      <c r="D8" s="309">
        <f t="shared" si="0"/>
        <v>0</v>
      </c>
      <c r="E8" s="615"/>
      <c r="F8" s="662"/>
      <c r="G8" s="192"/>
      <c r="H8" s="192"/>
      <c r="I8" s="139"/>
      <c r="J8" s="139"/>
      <c r="K8" s="139"/>
      <c r="L8" s="139"/>
      <c r="M8" s="139"/>
      <c r="N8" s="139"/>
      <c r="O8" s="139"/>
      <c r="P8" s="243"/>
      <c r="Q8" s="139"/>
      <c r="R8" s="139"/>
      <c r="S8" s="139"/>
      <c r="T8" s="139"/>
      <c r="U8" s="139"/>
      <c r="V8" s="139"/>
      <c r="W8" s="139"/>
      <c r="X8" s="139">
        <v>0</v>
      </c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243">
        <v>0</v>
      </c>
      <c r="AP8" s="243">
        <v>91426</v>
      </c>
      <c r="AQ8" s="139"/>
      <c r="AR8" s="79">
        <f t="shared" si="1"/>
        <v>91426</v>
      </c>
      <c r="BK8" s="698">
        <f t="shared" si="2"/>
        <v>0</v>
      </c>
    </row>
    <row r="9" spans="1:63" s="299" customFormat="1" ht="14.25" x14ac:dyDescent="0.2">
      <c r="A9" s="307" t="s">
        <v>121</v>
      </c>
      <c r="B9" s="629" t="s">
        <v>122</v>
      </c>
      <c r="C9" s="648">
        <v>1866265</v>
      </c>
      <c r="D9" s="309">
        <f t="shared" si="0"/>
        <v>1866265</v>
      </c>
      <c r="E9" s="615"/>
      <c r="F9" s="662">
        <f t="shared" ref="F9:F69" si="3">E9/D9</f>
        <v>0</v>
      </c>
      <c r="G9" s="192"/>
      <c r="H9" s="192"/>
      <c r="I9" s="139"/>
      <c r="J9" s="139"/>
      <c r="K9" s="139"/>
      <c r="L9" s="139"/>
      <c r="M9" s="139"/>
      <c r="N9" s="139"/>
      <c r="O9" s="139"/>
      <c r="P9" s="243"/>
      <c r="Q9" s="139"/>
      <c r="R9" s="139"/>
      <c r="S9" s="139"/>
      <c r="T9" s="139"/>
      <c r="U9" s="139"/>
      <c r="V9" s="139"/>
      <c r="W9" s="139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30"/>
      <c r="AJ9" s="30"/>
      <c r="AK9" s="30"/>
      <c r="AL9" s="30"/>
      <c r="AM9" s="30"/>
      <c r="AN9" s="30"/>
      <c r="AO9" s="243"/>
      <c r="AP9" s="243"/>
      <c r="AQ9" s="30"/>
      <c r="AR9" s="79">
        <f t="shared" si="1"/>
        <v>0</v>
      </c>
      <c r="BK9" s="698">
        <f t="shared" si="2"/>
        <v>0</v>
      </c>
    </row>
    <row r="10" spans="1:63" s="299" customFormat="1" ht="14.25" x14ac:dyDescent="0.2">
      <c r="A10" s="307" t="s">
        <v>123</v>
      </c>
      <c r="B10" s="629" t="s">
        <v>124</v>
      </c>
      <c r="C10" s="648">
        <v>0</v>
      </c>
      <c r="D10" s="309">
        <f t="shared" si="0"/>
        <v>0</v>
      </c>
      <c r="E10" s="615"/>
      <c r="F10" s="662"/>
      <c r="G10" s="192"/>
      <c r="H10" s="192"/>
      <c r="I10" s="139"/>
      <c r="J10" s="139"/>
      <c r="K10" s="139"/>
      <c r="L10" s="139"/>
      <c r="M10" s="139"/>
      <c r="N10" s="139"/>
      <c r="O10" s="139"/>
      <c r="P10" s="243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243"/>
      <c r="AP10" s="243"/>
      <c r="AQ10" s="139"/>
      <c r="AR10" s="79">
        <f t="shared" si="1"/>
        <v>0</v>
      </c>
      <c r="BK10" s="698">
        <f t="shared" si="2"/>
        <v>0</v>
      </c>
    </row>
    <row r="11" spans="1:63" s="299" customFormat="1" ht="14.25" x14ac:dyDescent="0.2">
      <c r="A11" s="307" t="s">
        <v>125</v>
      </c>
      <c r="B11" s="629" t="s">
        <v>126</v>
      </c>
      <c r="C11" s="648">
        <v>666600</v>
      </c>
      <c r="D11" s="309">
        <f t="shared" si="0"/>
        <v>666600</v>
      </c>
      <c r="E11" s="615"/>
      <c r="F11" s="662">
        <f t="shared" si="3"/>
        <v>0</v>
      </c>
      <c r="G11" s="192"/>
      <c r="H11" s="192"/>
      <c r="I11" s="139"/>
      <c r="J11" s="139"/>
      <c r="K11" s="139"/>
      <c r="L11" s="139"/>
      <c r="M11" s="139"/>
      <c r="N11" s="139"/>
      <c r="O11" s="139"/>
      <c r="P11" s="243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243"/>
      <c r="AP11" s="243"/>
      <c r="AQ11" s="139"/>
      <c r="AR11" s="79">
        <f t="shared" ref="AR11:AR17" si="4">SUM(I11:AP11)</f>
        <v>0</v>
      </c>
      <c r="BK11" s="698">
        <f t="shared" si="2"/>
        <v>0</v>
      </c>
    </row>
    <row r="12" spans="1:63" s="299" customFormat="1" ht="14.25" x14ac:dyDescent="0.2">
      <c r="A12" s="307" t="s">
        <v>127</v>
      </c>
      <c r="B12" s="629" t="s">
        <v>128</v>
      </c>
      <c r="C12" s="648">
        <v>1325900</v>
      </c>
      <c r="D12" s="309">
        <f t="shared" si="0"/>
        <v>1325900</v>
      </c>
      <c r="E12" s="615">
        <v>1244014</v>
      </c>
      <c r="F12" s="662">
        <f t="shared" si="3"/>
        <v>0.93824119466023082</v>
      </c>
      <c r="G12" s="192"/>
      <c r="H12" s="192"/>
      <c r="I12" s="139"/>
      <c r="J12" s="139"/>
      <c r="K12" s="139"/>
      <c r="L12" s="139"/>
      <c r="M12" s="139"/>
      <c r="N12" s="139"/>
      <c r="O12" s="139"/>
      <c r="P12" s="243">
        <v>298018</v>
      </c>
      <c r="Q12" s="139"/>
      <c r="R12" s="139"/>
      <c r="S12" s="139"/>
      <c r="T12" s="139"/>
      <c r="U12" s="139"/>
      <c r="V12" s="139"/>
      <c r="W12" s="139"/>
      <c r="X12" s="243">
        <v>223514</v>
      </c>
      <c r="Y12" s="139"/>
      <c r="Z12" s="243">
        <v>167634</v>
      </c>
      <c r="AA12" s="139"/>
      <c r="AB12" s="139"/>
      <c r="AC12" s="139"/>
      <c r="AD12" s="139">
        <v>37252</v>
      </c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243">
        <v>447027</v>
      </c>
      <c r="AP12" s="243"/>
      <c r="AQ12" s="139"/>
      <c r="AR12" s="79">
        <f t="shared" si="4"/>
        <v>1173445</v>
      </c>
      <c r="BK12" s="698">
        <f t="shared" si="2"/>
        <v>0</v>
      </c>
    </row>
    <row r="13" spans="1:63" s="299" customFormat="1" ht="14.25" x14ac:dyDescent="0.2">
      <c r="A13" s="307" t="s">
        <v>127</v>
      </c>
      <c r="B13" s="629" t="s">
        <v>466</v>
      </c>
      <c r="C13" s="648">
        <v>0</v>
      </c>
      <c r="D13" s="309">
        <f t="shared" si="0"/>
        <v>0</v>
      </c>
      <c r="E13" s="615"/>
      <c r="F13" s="662"/>
      <c r="G13" s="192"/>
      <c r="H13" s="192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243"/>
      <c r="AP13" s="243">
        <v>93132</v>
      </c>
      <c r="AQ13" s="139"/>
      <c r="AR13" s="79">
        <f t="shared" si="4"/>
        <v>93132</v>
      </c>
      <c r="BK13" s="698">
        <f t="shared" si="2"/>
        <v>0</v>
      </c>
    </row>
    <row r="14" spans="1:63" s="299" customFormat="1" ht="14.25" x14ac:dyDescent="0.2">
      <c r="A14" s="307" t="s">
        <v>129</v>
      </c>
      <c r="B14" s="629" t="s">
        <v>130</v>
      </c>
      <c r="C14" s="648">
        <v>75190</v>
      </c>
      <c r="D14" s="309">
        <f t="shared" si="0"/>
        <v>75190</v>
      </c>
      <c r="E14" s="615"/>
      <c r="F14" s="662">
        <f t="shared" si="3"/>
        <v>0</v>
      </c>
      <c r="G14" s="192"/>
      <c r="H14" s="192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243">
        <v>50000</v>
      </c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243"/>
      <c r="AP14" s="243"/>
      <c r="AQ14" s="139"/>
      <c r="AR14" s="79">
        <f t="shared" si="4"/>
        <v>50000</v>
      </c>
      <c r="BK14" s="698">
        <f t="shared" si="2"/>
        <v>0</v>
      </c>
    </row>
    <row r="15" spans="1:63" s="299" customFormat="1" ht="14.25" x14ac:dyDescent="0.2">
      <c r="A15" s="307" t="s">
        <v>131</v>
      </c>
      <c r="B15" s="629" t="s">
        <v>132</v>
      </c>
      <c r="C15" s="648">
        <v>70000</v>
      </c>
      <c r="D15" s="309">
        <f t="shared" si="0"/>
        <v>70000</v>
      </c>
      <c r="E15" s="615"/>
      <c r="F15" s="662">
        <f t="shared" si="3"/>
        <v>0</v>
      </c>
      <c r="G15" s="192"/>
      <c r="H15" s="192"/>
      <c r="I15" s="139"/>
      <c r="J15" s="139"/>
      <c r="K15" s="139"/>
      <c r="L15" s="139"/>
      <c r="M15" s="139"/>
      <c r="N15" s="139"/>
      <c r="O15" s="139"/>
      <c r="P15" s="243">
        <v>10000</v>
      </c>
      <c r="Q15" s="139"/>
      <c r="R15" s="139"/>
      <c r="S15" s="139"/>
      <c r="T15" s="139"/>
      <c r="U15" s="139"/>
      <c r="V15" s="139"/>
      <c r="W15" s="139"/>
      <c r="X15" s="243">
        <v>25000</v>
      </c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243"/>
      <c r="AP15" s="139"/>
      <c r="AQ15" s="139"/>
      <c r="AR15" s="79">
        <f t="shared" si="4"/>
        <v>35000</v>
      </c>
      <c r="BK15" s="698">
        <f t="shared" si="2"/>
        <v>0</v>
      </c>
    </row>
    <row r="16" spans="1:63" s="299" customFormat="1" ht="14.25" x14ac:dyDescent="0.2">
      <c r="A16" s="307" t="s">
        <v>133</v>
      </c>
      <c r="B16" s="629" t="s">
        <v>62</v>
      </c>
      <c r="C16" s="648">
        <v>0</v>
      </c>
      <c r="D16" s="309">
        <f t="shared" si="0"/>
        <v>0</v>
      </c>
      <c r="E16" s="615"/>
      <c r="F16" s="662"/>
      <c r="G16" s="192"/>
      <c r="H16" s="192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243"/>
      <c r="AP16" s="243">
        <v>250000</v>
      </c>
      <c r="AQ16" s="139"/>
      <c r="AR16" s="79">
        <f t="shared" si="4"/>
        <v>250000</v>
      </c>
      <c r="BK16" s="698">
        <f t="shared" si="2"/>
        <v>0</v>
      </c>
    </row>
    <row r="17" spans="1:63" s="299" customFormat="1" ht="14.25" x14ac:dyDescent="0.2">
      <c r="A17" s="307" t="s">
        <v>135</v>
      </c>
      <c r="B17" s="629" t="s">
        <v>632</v>
      </c>
      <c r="C17" s="648">
        <v>3125494</v>
      </c>
      <c r="D17" s="309">
        <f>C17+182000</f>
        <v>3307494</v>
      </c>
      <c r="E17" s="615">
        <v>1152857</v>
      </c>
      <c r="F17" s="662">
        <f t="shared" si="3"/>
        <v>0.34855906012225568</v>
      </c>
      <c r="G17" s="192"/>
      <c r="H17" s="192"/>
      <c r="I17" s="139"/>
      <c r="J17" s="139"/>
      <c r="K17" s="139"/>
      <c r="L17" s="139"/>
      <c r="M17" s="139"/>
      <c r="N17" s="139"/>
      <c r="O17" s="139"/>
      <c r="P17" s="139"/>
      <c r="Q17" s="139"/>
      <c r="R17" s="243">
        <v>98410</v>
      </c>
      <c r="S17" s="139"/>
      <c r="T17" s="139"/>
      <c r="U17" s="139"/>
      <c r="V17" s="139"/>
      <c r="W17" s="243">
        <v>960000</v>
      </c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243">
        <v>2030000</v>
      </c>
      <c r="AP17" s="243">
        <v>92000</v>
      </c>
      <c r="AQ17" s="139"/>
      <c r="AR17" s="79">
        <f t="shared" si="4"/>
        <v>3180410</v>
      </c>
      <c r="BK17" s="698">
        <f t="shared" si="2"/>
        <v>182000</v>
      </c>
    </row>
    <row r="18" spans="1:63" ht="16.5" x14ac:dyDescent="0.25">
      <c r="A18" s="302" t="s">
        <v>141</v>
      </c>
      <c r="B18" s="630" t="s">
        <v>631</v>
      </c>
      <c r="C18" s="645">
        <f>SUM(C5:C17)</f>
        <v>31289946</v>
      </c>
      <c r="D18" s="303">
        <f>SUM(D5:D17)</f>
        <v>31471946</v>
      </c>
      <c r="E18" s="616">
        <f>SUM(E5:E17)</f>
        <v>16298569</v>
      </c>
      <c r="F18" s="667">
        <f t="shared" si="3"/>
        <v>0.51787611099739428</v>
      </c>
      <c r="G18" s="193"/>
      <c r="H18" s="193"/>
      <c r="I18" s="78">
        <f t="shared" ref="I18:R18" si="5">SUM(I5:I17)</f>
        <v>0</v>
      </c>
      <c r="J18" s="78">
        <f t="shared" si="5"/>
        <v>0</v>
      </c>
      <c r="K18" s="78">
        <f t="shared" si="5"/>
        <v>0</v>
      </c>
      <c r="L18" s="78">
        <f t="shared" si="5"/>
        <v>0</v>
      </c>
      <c r="M18" s="78">
        <f t="shared" si="5"/>
        <v>0</v>
      </c>
      <c r="N18" s="78">
        <f t="shared" si="5"/>
        <v>0</v>
      </c>
      <c r="O18" s="78">
        <f t="shared" si="5"/>
        <v>0</v>
      </c>
      <c r="P18" s="78">
        <f t="shared" si="5"/>
        <v>5646748</v>
      </c>
      <c r="Q18" s="78">
        <f t="shared" si="5"/>
        <v>0</v>
      </c>
      <c r="R18" s="78">
        <f t="shared" si="5"/>
        <v>98410</v>
      </c>
      <c r="S18" s="78"/>
      <c r="T18" s="78"/>
      <c r="U18" s="78"/>
      <c r="V18" s="78">
        <f t="shared" ref="V18:AA18" si="6">SUM(V5:V17)</f>
        <v>0</v>
      </c>
      <c r="W18" s="78">
        <f t="shared" si="6"/>
        <v>960000</v>
      </c>
      <c r="X18" s="78">
        <f t="shared" si="6"/>
        <v>3926049</v>
      </c>
      <c r="Y18" s="78">
        <f t="shared" si="6"/>
        <v>0</v>
      </c>
      <c r="Z18" s="78">
        <f t="shared" si="6"/>
        <v>2254795</v>
      </c>
      <c r="AA18" s="78">
        <f t="shared" si="6"/>
        <v>0</v>
      </c>
      <c r="AB18" s="78"/>
      <c r="AC18" s="78"/>
      <c r="AD18" s="78">
        <f t="shared" ref="AD18:AK18" si="7">SUM(AD5:AD17)</f>
        <v>618852</v>
      </c>
      <c r="AE18" s="78">
        <f t="shared" si="7"/>
        <v>0</v>
      </c>
      <c r="AF18" s="78">
        <f t="shared" si="7"/>
        <v>0</v>
      </c>
      <c r="AG18" s="78">
        <f t="shared" si="7"/>
        <v>0</v>
      </c>
      <c r="AH18" s="78">
        <f t="shared" si="7"/>
        <v>0</v>
      </c>
      <c r="AI18" s="78">
        <f t="shared" si="7"/>
        <v>0</v>
      </c>
      <c r="AJ18" s="78">
        <f t="shared" si="7"/>
        <v>0</v>
      </c>
      <c r="AK18" s="78">
        <f t="shared" si="7"/>
        <v>0</v>
      </c>
      <c r="AL18" s="78"/>
      <c r="AM18" s="78"/>
      <c r="AN18" s="78">
        <f>SUM(AN5:AN17)</f>
        <v>0</v>
      </c>
      <c r="AO18" s="78">
        <f>SUM(AO5:AO17)</f>
        <v>11867312</v>
      </c>
      <c r="AP18" s="78">
        <f>SUM(AP5:AP17)</f>
        <v>1596901</v>
      </c>
      <c r="AQ18" s="78"/>
      <c r="AR18" s="78">
        <f>SUM(AR5:AR17)</f>
        <v>6485953</v>
      </c>
      <c r="BK18" s="698">
        <f t="shared" si="2"/>
        <v>182000</v>
      </c>
    </row>
    <row r="19" spans="1:63" s="299" customFormat="1" ht="15" x14ac:dyDescent="0.2">
      <c r="A19" s="317" t="s">
        <v>136</v>
      </c>
      <c r="B19" s="631" t="s">
        <v>139</v>
      </c>
      <c r="C19" s="649">
        <v>8547955</v>
      </c>
      <c r="D19" s="320">
        <f>C19</f>
        <v>8547955</v>
      </c>
      <c r="E19" s="617">
        <v>3403398</v>
      </c>
      <c r="F19" s="662">
        <f t="shared" si="3"/>
        <v>0.39815347647478255</v>
      </c>
      <c r="G19" s="193"/>
      <c r="H19" s="193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243">
        <v>8548265</v>
      </c>
      <c r="AQ19" s="139"/>
      <c r="AR19" s="79">
        <f>SUM(I19:AP19)</f>
        <v>8548265</v>
      </c>
      <c r="BK19" s="698">
        <f t="shared" si="2"/>
        <v>0</v>
      </c>
    </row>
    <row r="20" spans="1:63" s="299" customFormat="1" ht="15" x14ac:dyDescent="0.2">
      <c r="A20" s="317" t="s">
        <v>137</v>
      </c>
      <c r="B20" s="631" t="s">
        <v>140</v>
      </c>
      <c r="C20" s="649">
        <v>165750</v>
      </c>
      <c r="D20" s="320">
        <f>C20</f>
        <v>165750</v>
      </c>
      <c r="E20" s="617">
        <v>70057</v>
      </c>
      <c r="F20" s="662">
        <f t="shared" si="3"/>
        <v>0.42266666666666669</v>
      </c>
      <c r="G20" s="193"/>
      <c r="H20" s="193"/>
      <c r="I20" s="139"/>
      <c r="J20" s="139"/>
      <c r="K20" s="139"/>
      <c r="L20" s="243">
        <v>25000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243">
        <v>46000</v>
      </c>
      <c r="AP20" s="243">
        <v>75000</v>
      </c>
      <c r="AQ20" s="139"/>
      <c r="AR20" s="79">
        <f>SUM(I20:AP20)</f>
        <v>146000</v>
      </c>
      <c r="BK20" s="698">
        <f t="shared" si="2"/>
        <v>0</v>
      </c>
    </row>
    <row r="21" spans="1:63" s="347" customFormat="1" ht="15" x14ac:dyDescent="0.2">
      <c r="A21" s="317" t="s">
        <v>138</v>
      </c>
      <c r="B21" s="631" t="s">
        <v>167</v>
      </c>
      <c r="C21" s="649">
        <v>772000</v>
      </c>
      <c r="D21" s="320">
        <f>C21+50000</f>
        <v>822000</v>
      </c>
      <c r="E21" s="617">
        <v>317750</v>
      </c>
      <c r="F21" s="662">
        <f t="shared" si="3"/>
        <v>0.38655717761557179</v>
      </c>
      <c r="G21" s="341"/>
      <c r="H21" s="341"/>
      <c r="I21" s="342"/>
      <c r="J21" s="342"/>
      <c r="K21" s="343"/>
      <c r="L21" s="342"/>
      <c r="M21" s="342"/>
      <c r="N21" s="342"/>
      <c r="O21" s="342"/>
      <c r="P21" s="342"/>
      <c r="Q21" s="344">
        <v>50000</v>
      </c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>
        <v>251046</v>
      </c>
      <c r="AG21" s="342"/>
      <c r="AH21" s="342"/>
      <c r="AI21" s="342"/>
      <c r="AJ21" s="342"/>
      <c r="AK21" s="344">
        <v>300000</v>
      </c>
      <c r="AL21" s="342"/>
      <c r="AM21" s="342"/>
      <c r="AN21" s="344">
        <v>100000</v>
      </c>
      <c r="AO21" s="342"/>
      <c r="AP21" s="342"/>
      <c r="AQ21" s="342"/>
      <c r="AR21" s="345">
        <f>SUM(I21:AP21)</f>
        <v>701046</v>
      </c>
      <c r="AS21" s="346" t="s">
        <v>691</v>
      </c>
      <c r="BK21" s="698">
        <f t="shared" si="2"/>
        <v>50000</v>
      </c>
    </row>
    <row r="22" spans="1:63" ht="16.5" x14ac:dyDescent="0.25">
      <c r="A22" s="302" t="s">
        <v>142</v>
      </c>
      <c r="B22" s="630" t="s">
        <v>633</v>
      </c>
      <c r="C22" s="645">
        <f>SUM(C19:C21)</f>
        <v>9485705</v>
      </c>
      <c r="D22" s="303">
        <f t="shared" ref="D22:E22" si="8">SUM(D19:D21)</f>
        <v>9535705</v>
      </c>
      <c r="E22" s="616">
        <f t="shared" si="8"/>
        <v>3791205</v>
      </c>
      <c r="F22" s="667">
        <f t="shared" si="3"/>
        <v>0.39757993771829142</v>
      </c>
      <c r="G22" s="192"/>
      <c r="H22" s="192"/>
      <c r="I22" s="141">
        <f t="shared" ref="I22:AR22" si="9">SUM(I19:I21)</f>
        <v>0</v>
      </c>
      <c r="J22" s="141">
        <f t="shared" si="9"/>
        <v>0</v>
      </c>
      <c r="K22" s="141">
        <f t="shared" si="9"/>
        <v>0</v>
      </c>
      <c r="L22" s="141">
        <f t="shared" si="9"/>
        <v>25000</v>
      </c>
      <c r="M22" s="141">
        <f t="shared" si="9"/>
        <v>0</v>
      </c>
      <c r="N22" s="141">
        <f t="shared" si="9"/>
        <v>0</v>
      </c>
      <c r="O22" s="141">
        <f t="shared" si="9"/>
        <v>0</v>
      </c>
      <c r="P22" s="141">
        <f t="shared" si="9"/>
        <v>0</v>
      </c>
      <c r="Q22" s="141">
        <f t="shared" si="9"/>
        <v>50000</v>
      </c>
      <c r="R22" s="141">
        <f t="shared" si="9"/>
        <v>0</v>
      </c>
      <c r="S22" s="141"/>
      <c r="T22" s="141"/>
      <c r="U22" s="141"/>
      <c r="V22" s="141">
        <f t="shared" si="9"/>
        <v>0</v>
      </c>
      <c r="W22" s="141">
        <f t="shared" si="9"/>
        <v>0</v>
      </c>
      <c r="X22" s="141">
        <f t="shared" si="9"/>
        <v>0</v>
      </c>
      <c r="Y22" s="141">
        <f t="shared" si="9"/>
        <v>0</v>
      </c>
      <c r="Z22" s="141">
        <f t="shared" si="9"/>
        <v>0</v>
      </c>
      <c r="AA22" s="141">
        <f t="shared" si="9"/>
        <v>0</v>
      </c>
      <c r="AB22" s="141"/>
      <c r="AC22" s="141"/>
      <c r="AD22" s="141">
        <f t="shared" si="9"/>
        <v>0</v>
      </c>
      <c r="AE22" s="141">
        <f t="shared" si="9"/>
        <v>0</v>
      </c>
      <c r="AF22" s="141">
        <f t="shared" si="9"/>
        <v>251046</v>
      </c>
      <c r="AG22" s="141">
        <f t="shared" si="9"/>
        <v>0</v>
      </c>
      <c r="AH22" s="141">
        <f t="shared" si="9"/>
        <v>0</v>
      </c>
      <c r="AI22" s="141">
        <f t="shared" si="9"/>
        <v>0</v>
      </c>
      <c r="AJ22" s="141">
        <f t="shared" si="9"/>
        <v>0</v>
      </c>
      <c r="AK22" s="141">
        <f t="shared" si="9"/>
        <v>300000</v>
      </c>
      <c r="AL22" s="141"/>
      <c r="AM22" s="141"/>
      <c r="AN22" s="141">
        <f t="shared" si="9"/>
        <v>100000</v>
      </c>
      <c r="AO22" s="141">
        <f t="shared" si="9"/>
        <v>46000</v>
      </c>
      <c r="AP22" s="141">
        <f t="shared" si="9"/>
        <v>8623265</v>
      </c>
      <c r="AQ22" s="141"/>
      <c r="AR22" s="141">
        <f t="shared" si="9"/>
        <v>9395311</v>
      </c>
      <c r="BK22" s="698">
        <f t="shared" si="2"/>
        <v>50000</v>
      </c>
    </row>
    <row r="23" spans="1:63" ht="18" x14ac:dyDescent="0.25">
      <c r="A23" s="313" t="s">
        <v>143</v>
      </c>
      <c r="B23" s="632" t="s">
        <v>150</v>
      </c>
      <c r="C23" s="646">
        <f>SUM(C22,C18)</f>
        <v>40775651</v>
      </c>
      <c r="D23" s="314">
        <f t="shared" ref="D23:E23" si="10">SUM(D22,D18)</f>
        <v>41007651</v>
      </c>
      <c r="E23" s="418">
        <f t="shared" si="10"/>
        <v>20089774</v>
      </c>
      <c r="F23" s="670">
        <f t="shared" si="3"/>
        <v>0.48990306711301262</v>
      </c>
      <c r="G23" s="194"/>
      <c r="H23" s="194"/>
      <c r="I23" s="143">
        <f t="shared" ref="I23:AR23" si="11">SUM(I18,I22)</f>
        <v>0</v>
      </c>
      <c r="J23" s="143">
        <f t="shared" si="11"/>
        <v>0</v>
      </c>
      <c r="K23" s="143">
        <f t="shared" si="11"/>
        <v>0</v>
      </c>
      <c r="L23" s="143">
        <f t="shared" si="11"/>
        <v>25000</v>
      </c>
      <c r="M23" s="143">
        <f t="shared" si="11"/>
        <v>0</v>
      </c>
      <c r="N23" s="143">
        <f t="shared" si="11"/>
        <v>0</v>
      </c>
      <c r="O23" s="143">
        <f t="shared" si="11"/>
        <v>0</v>
      </c>
      <c r="P23" s="143">
        <f t="shared" si="11"/>
        <v>5646748</v>
      </c>
      <c r="Q23" s="143">
        <f t="shared" si="11"/>
        <v>50000</v>
      </c>
      <c r="R23" s="143">
        <f t="shared" si="11"/>
        <v>98410</v>
      </c>
      <c r="S23" s="143"/>
      <c r="T23" s="143"/>
      <c r="U23" s="143"/>
      <c r="V23" s="143">
        <f t="shared" si="11"/>
        <v>0</v>
      </c>
      <c r="W23" s="143">
        <f t="shared" si="11"/>
        <v>960000</v>
      </c>
      <c r="X23" s="143">
        <f t="shared" si="11"/>
        <v>3926049</v>
      </c>
      <c r="Y23" s="143">
        <f t="shared" si="11"/>
        <v>0</v>
      </c>
      <c r="Z23" s="143">
        <f t="shared" si="11"/>
        <v>2254795</v>
      </c>
      <c r="AA23" s="143">
        <f t="shared" si="11"/>
        <v>0</v>
      </c>
      <c r="AB23" s="143"/>
      <c r="AC23" s="143"/>
      <c r="AD23" s="143">
        <f t="shared" si="11"/>
        <v>618852</v>
      </c>
      <c r="AE23" s="143">
        <f t="shared" si="11"/>
        <v>0</v>
      </c>
      <c r="AF23" s="143">
        <f t="shared" si="11"/>
        <v>251046</v>
      </c>
      <c r="AG23" s="143">
        <f t="shared" si="11"/>
        <v>0</v>
      </c>
      <c r="AH23" s="143">
        <f t="shared" si="11"/>
        <v>0</v>
      </c>
      <c r="AI23" s="143">
        <f t="shared" si="11"/>
        <v>0</v>
      </c>
      <c r="AJ23" s="143">
        <f t="shared" si="11"/>
        <v>0</v>
      </c>
      <c r="AK23" s="143">
        <f t="shared" si="11"/>
        <v>300000</v>
      </c>
      <c r="AL23" s="143"/>
      <c r="AM23" s="143"/>
      <c r="AN23" s="143">
        <f t="shared" si="11"/>
        <v>100000</v>
      </c>
      <c r="AO23" s="143">
        <f t="shared" si="11"/>
        <v>11913312</v>
      </c>
      <c r="AP23" s="143">
        <f t="shared" si="11"/>
        <v>10220166</v>
      </c>
      <c r="AQ23" s="143"/>
      <c r="AR23" s="143">
        <f t="shared" si="11"/>
        <v>15881264</v>
      </c>
      <c r="BK23" s="698">
        <f t="shared" si="2"/>
        <v>232000</v>
      </c>
    </row>
    <row r="24" spans="1:63" s="299" customFormat="1" ht="16.5" x14ac:dyDescent="0.25">
      <c r="A24" s="310" t="s">
        <v>144</v>
      </c>
      <c r="B24" s="633" t="s">
        <v>65</v>
      </c>
      <c r="C24" s="650">
        <v>7851759</v>
      </c>
      <c r="D24" s="312">
        <f>C24+45240</f>
        <v>7896999</v>
      </c>
      <c r="E24" s="417">
        <v>3824072</v>
      </c>
      <c r="F24" s="662">
        <f t="shared" si="3"/>
        <v>0.48424369814406715</v>
      </c>
      <c r="G24" s="192"/>
      <c r="H24" s="192"/>
      <c r="I24" s="139"/>
      <c r="J24" s="139"/>
      <c r="K24" s="139"/>
      <c r="L24" s="243">
        <v>4875</v>
      </c>
      <c r="M24" s="139"/>
      <c r="N24" s="139"/>
      <c r="O24" s="139"/>
      <c r="P24" s="243">
        <v>1058539</v>
      </c>
      <c r="Q24" s="243">
        <v>11000</v>
      </c>
      <c r="R24" s="243">
        <v>19190</v>
      </c>
      <c r="S24" s="139"/>
      <c r="T24" s="139"/>
      <c r="U24" s="139"/>
      <c r="V24" s="139"/>
      <c r="W24" s="243">
        <v>189200</v>
      </c>
      <c r="X24" s="243">
        <v>723486</v>
      </c>
      <c r="Y24" s="139"/>
      <c r="Z24" s="243">
        <v>418606</v>
      </c>
      <c r="AA24" s="139"/>
      <c r="AB24" s="139"/>
      <c r="AC24" s="139"/>
      <c r="AD24" s="243">
        <v>114415</v>
      </c>
      <c r="AE24" s="139"/>
      <c r="AF24" s="139">
        <v>48954</v>
      </c>
      <c r="AG24" s="139"/>
      <c r="AH24" s="139"/>
      <c r="AI24" s="139"/>
      <c r="AJ24" s="139"/>
      <c r="AK24" s="243">
        <v>58500</v>
      </c>
      <c r="AL24" s="139"/>
      <c r="AM24" s="139"/>
      <c r="AN24" s="243">
        <v>19500</v>
      </c>
      <c r="AO24" s="243">
        <v>2263987</v>
      </c>
      <c r="AP24" s="243">
        <v>1703791</v>
      </c>
      <c r="AQ24" s="139"/>
      <c r="AR24" s="79">
        <f>SUM(I24:AP24)</f>
        <v>6634043</v>
      </c>
      <c r="BK24" s="698">
        <f t="shared" si="2"/>
        <v>45240</v>
      </c>
    </row>
    <row r="25" spans="1:63" s="299" customFormat="1" ht="16.5" x14ac:dyDescent="0.25">
      <c r="A25" s="310" t="s">
        <v>145</v>
      </c>
      <c r="B25" s="633" t="s">
        <v>66</v>
      </c>
      <c r="C25" s="650">
        <v>0</v>
      </c>
      <c r="D25" s="312">
        <f t="shared" ref="D25:D27" si="12">C25</f>
        <v>0</v>
      </c>
      <c r="E25" s="417">
        <v>8262</v>
      </c>
      <c r="F25" s="662"/>
      <c r="G25" s="192"/>
      <c r="H25" s="192"/>
      <c r="I25" s="139"/>
      <c r="J25" s="139"/>
      <c r="K25" s="139"/>
      <c r="L25" s="139"/>
      <c r="M25" s="139"/>
      <c r="N25" s="139"/>
      <c r="O25" s="139"/>
      <c r="P25" s="243">
        <v>49233</v>
      </c>
      <c r="Q25" s="139"/>
      <c r="R25" s="139"/>
      <c r="S25" s="139"/>
      <c r="T25" s="139"/>
      <c r="U25" s="139"/>
      <c r="V25" s="139"/>
      <c r="W25" s="139"/>
      <c r="X25" s="243">
        <v>48412</v>
      </c>
      <c r="Y25" s="139"/>
      <c r="Z25" s="243">
        <v>27693</v>
      </c>
      <c r="AA25" s="139"/>
      <c r="AB25" s="139"/>
      <c r="AC25" s="139"/>
      <c r="AD25" s="243">
        <v>6154</v>
      </c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243">
        <v>73849</v>
      </c>
      <c r="AP25" s="243">
        <v>113659</v>
      </c>
      <c r="AQ25" s="139"/>
      <c r="AR25" s="79">
        <f>SUM(I25:AP25)</f>
        <v>319000</v>
      </c>
      <c r="BK25" s="698">
        <f t="shared" si="2"/>
        <v>0</v>
      </c>
    </row>
    <row r="26" spans="1:63" s="299" customFormat="1" ht="16.5" x14ac:dyDescent="0.25">
      <c r="A26" s="310" t="s">
        <v>146</v>
      </c>
      <c r="B26" s="633" t="s">
        <v>59</v>
      </c>
      <c r="C26" s="650">
        <v>140000</v>
      </c>
      <c r="D26" s="312">
        <f t="shared" si="12"/>
        <v>140000</v>
      </c>
      <c r="E26" s="417"/>
      <c r="F26" s="662">
        <f t="shared" si="3"/>
        <v>0</v>
      </c>
      <c r="G26" s="192"/>
      <c r="H26" s="192"/>
      <c r="I26" s="139"/>
      <c r="J26" s="139"/>
      <c r="K26" s="139"/>
      <c r="L26" s="139"/>
      <c r="M26" s="139"/>
      <c r="N26" s="139"/>
      <c r="O26" s="139"/>
      <c r="P26" s="243">
        <v>40000</v>
      </c>
      <c r="Q26" s="139"/>
      <c r="R26" s="139"/>
      <c r="S26" s="139"/>
      <c r="T26" s="139"/>
      <c r="U26" s="139"/>
      <c r="V26" s="139"/>
      <c r="W26" s="139"/>
      <c r="X26" s="243">
        <v>50000</v>
      </c>
      <c r="Y26" s="139"/>
      <c r="Z26" s="243">
        <v>40000</v>
      </c>
      <c r="AA26" s="139"/>
      <c r="AB26" s="139"/>
      <c r="AC26" s="139"/>
      <c r="AD26" s="243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243">
        <v>50000</v>
      </c>
      <c r="AP26" s="243">
        <v>20000</v>
      </c>
      <c r="AQ26" s="139"/>
      <c r="AR26" s="79">
        <f>SUM(I26:AP26)</f>
        <v>200000</v>
      </c>
      <c r="BK26" s="698">
        <f t="shared" si="2"/>
        <v>0</v>
      </c>
    </row>
    <row r="27" spans="1:63" s="299" customFormat="1" ht="16.5" x14ac:dyDescent="0.25">
      <c r="A27" s="310" t="s">
        <v>147</v>
      </c>
      <c r="B27" s="633" t="s">
        <v>63</v>
      </c>
      <c r="C27" s="650">
        <v>221189</v>
      </c>
      <c r="D27" s="312">
        <f t="shared" si="12"/>
        <v>221189</v>
      </c>
      <c r="E27" s="417">
        <v>212183</v>
      </c>
      <c r="F27" s="662">
        <f t="shared" si="3"/>
        <v>0.95928368951439724</v>
      </c>
      <c r="G27" s="192"/>
      <c r="H27" s="192"/>
      <c r="I27" s="139"/>
      <c r="J27" s="139"/>
      <c r="K27" s="139"/>
      <c r="L27" s="139"/>
      <c r="M27" s="139"/>
      <c r="N27" s="139"/>
      <c r="O27" s="139"/>
      <c r="P27" s="243">
        <v>52749</v>
      </c>
      <c r="Q27" s="139"/>
      <c r="R27" s="139"/>
      <c r="S27" s="139"/>
      <c r="T27" s="139"/>
      <c r="U27" s="139"/>
      <c r="V27" s="139"/>
      <c r="W27" s="139"/>
      <c r="X27" s="243">
        <v>49905</v>
      </c>
      <c r="Y27" s="139"/>
      <c r="Z27" s="243">
        <v>29671</v>
      </c>
      <c r="AA27" s="139"/>
      <c r="AB27" s="139"/>
      <c r="AC27" s="139"/>
      <c r="AD27" s="243">
        <v>6594</v>
      </c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243">
        <v>79124</v>
      </c>
      <c r="AP27" s="243">
        <v>143842</v>
      </c>
      <c r="AQ27" s="139"/>
      <c r="AR27" s="79">
        <f>SUM(I27:AP27)</f>
        <v>361885</v>
      </c>
      <c r="BK27" s="698">
        <f t="shared" si="2"/>
        <v>0</v>
      </c>
    </row>
    <row r="28" spans="1:63" s="299" customFormat="1" ht="18" x14ac:dyDescent="0.25">
      <c r="A28" s="313" t="s">
        <v>148</v>
      </c>
      <c r="B28" s="632" t="s">
        <v>149</v>
      </c>
      <c r="C28" s="646">
        <f>SUM(C24:C27)</f>
        <v>8212948</v>
      </c>
      <c r="D28" s="314">
        <f t="shared" ref="D28:E28" si="13">SUM(D24:D27)</f>
        <v>8258188</v>
      </c>
      <c r="E28" s="418">
        <f t="shared" si="13"/>
        <v>4044517</v>
      </c>
      <c r="F28" s="670">
        <f t="shared" si="3"/>
        <v>0.48975840705006957</v>
      </c>
      <c r="G28" s="195"/>
      <c r="H28" s="195"/>
      <c r="I28" s="141">
        <f t="shared" ref="I28:AR28" si="14">SUM(I24:I27)</f>
        <v>0</v>
      </c>
      <c r="J28" s="141">
        <f t="shared" si="14"/>
        <v>0</v>
      </c>
      <c r="K28" s="141">
        <f t="shared" si="14"/>
        <v>0</v>
      </c>
      <c r="L28" s="141">
        <f t="shared" si="14"/>
        <v>4875</v>
      </c>
      <c r="M28" s="141">
        <f t="shared" si="14"/>
        <v>0</v>
      </c>
      <c r="N28" s="141">
        <f t="shared" si="14"/>
        <v>0</v>
      </c>
      <c r="O28" s="141">
        <f t="shared" si="14"/>
        <v>0</v>
      </c>
      <c r="P28" s="141">
        <f t="shared" si="14"/>
        <v>1200521</v>
      </c>
      <c r="Q28" s="141">
        <f t="shared" si="14"/>
        <v>11000</v>
      </c>
      <c r="R28" s="141">
        <f t="shared" si="14"/>
        <v>19190</v>
      </c>
      <c r="S28" s="141"/>
      <c r="T28" s="141"/>
      <c r="U28" s="141"/>
      <c r="V28" s="141">
        <f t="shared" si="14"/>
        <v>0</v>
      </c>
      <c r="W28" s="141">
        <f t="shared" si="14"/>
        <v>189200</v>
      </c>
      <c r="X28" s="141">
        <f t="shared" si="14"/>
        <v>871803</v>
      </c>
      <c r="Y28" s="141">
        <f t="shared" si="14"/>
        <v>0</v>
      </c>
      <c r="Z28" s="141">
        <f t="shared" si="14"/>
        <v>515970</v>
      </c>
      <c r="AA28" s="141">
        <f t="shared" si="14"/>
        <v>0</v>
      </c>
      <c r="AB28" s="141"/>
      <c r="AC28" s="141"/>
      <c r="AD28" s="141">
        <f t="shared" si="14"/>
        <v>127163</v>
      </c>
      <c r="AE28" s="141">
        <f t="shared" si="14"/>
        <v>0</v>
      </c>
      <c r="AF28" s="141">
        <f t="shared" si="14"/>
        <v>48954</v>
      </c>
      <c r="AG28" s="141">
        <f t="shared" si="14"/>
        <v>0</v>
      </c>
      <c r="AH28" s="141">
        <f t="shared" si="14"/>
        <v>0</v>
      </c>
      <c r="AI28" s="141">
        <f t="shared" si="14"/>
        <v>0</v>
      </c>
      <c r="AJ28" s="141">
        <f t="shared" si="14"/>
        <v>0</v>
      </c>
      <c r="AK28" s="141">
        <f t="shared" si="14"/>
        <v>58500</v>
      </c>
      <c r="AL28" s="141"/>
      <c r="AM28" s="141"/>
      <c r="AN28" s="141">
        <f t="shared" si="14"/>
        <v>19500</v>
      </c>
      <c r="AO28" s="141">
        <f t="shared" si="14"/>
        <v>2466960</v>
      </c>
      <c r="AP28" s="141">
        <f t="shared" si="14"/>
        <v>1981292</v>
      </c>
      <c r="AQ28" s="141"/>
      <c r="AR28" s="70">
        <f t="shared" si="14"/>
        <v>7514928</v>
      </c>
      <c r="BK28" s="698">
        <f t="shared" si="2"/>
        <v>45240</v>
      </c>
    </row>
    <row r="29" spans="1:63" ht="14.25" x14ac:dyDescent="0.2">
      <c r="A29" s="275" t="s">
        <v>152</v>
      </c>
      <c r="B29" s="634" t="s">
        <v>82</v>
      </c>
      <c r="C29" s="648">
        <v>900000</v>
      </c>
      <c r="D29" s="309">
        <f>C29</f>
        <v>900000</v>
      </c>
      <c r="E29" s="615">
        <v>432334</v>
      </c>
      <c r="F29" s="662">
        <f t="shared" si="3"/>
        <v>0.48037111111111114</v>
      </c>
      <c r="G29" s="192"/>
      <c r="H29" s="192"/>
      <c r="I29" s="139"/>
      <c r="J29" s="139"/>
      <c r="K29" s="139"/>
      <c r="L29" s="139"/>
      <c r="M29" s="139"/>
      <c r="N29" s="139"/>
      <c r="O29" s="139"/>
      <c r="P29" s="243">
        <v>10000</v>
      </c>
      <c r="Q29" s="243">
        <v>600000</v>
      </c>
      <c r="R29" s="139"/>
      <c r="S29" s="139"/>
      <c r="T29" s="139"/>
      <c r="U29" s="139"/>
      <c r="V29" s="139"/>
      <c r="W29" s="139"/>
      <c r="X29" s="243">
        <v>20000</v>
      </c>
      <c r="Y29" s="139"/>
      <c r="Z29" s="139"/>
      <c r="AA29" s="139"/>
      <c r="AB29" s="139"/>
      <c r="AC29" s="139"/>
      <c r="AD29" s="243">
        <v>10000</v>
      </c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243">
        <v>50000</v>
      </c>
      <c r="AP29" s="243">
        <v>10000</v>
      </c>
      <c r="AQ29" s="139"/>
      <c r="AR29" s="139">
        <f>SUM(I29:AP29)</f>
        <v>700000</v>
      </c>
      <c r="BK29" s="698">
        <f t="shared" si="2"/>
        <v>0</v>
      </c>
    </row>
    <row r="30" spans="1:63" ht="14.25" x14ac:dyDescent="0.2">
      <c r="A30" s="275" t="s">
        <v>153</v>
      </c>
      <c r="B30" s="634" t="s">
        <v>154</v>
      </c>
      <c r="C30" s="648">
        <v>320000</v>
      </c>
      <c r="D30" s="309">
        <f t="shared" ref="D30:D31" si="15">C30</f>
        <v>320000</v>
      </c>
      <c r="E30" s="615">
        <v>140351</v>
      </c>
      <c r="F30" s="662">
        <f t="shared" si="3"/>
        <v>0.438596875</v>
      </c>
      <c r="G30" s="192"/>
      <c r="H30" s="192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243">
        <v>20000</v>
      </c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243">
        <v>190000</v>
      </c>
      <c r="AI30" s="139"/>
      <c r="AJ30" s="139"/>
      <c r="AK30" s="139"/>
      <c r="AL30" s="139"/>
      <c r="AM30" s="139"/>
      <c r="AN30" s="139"/>
      <c r="AO30" s="243">
        <v>60000</v>
      </c>
      <c r="AP30" s="243">
        <v>200000</v>
      </c>
      <c r="AQ30" s="139"/>
      <c r="AR30" s="139">
        <f>SUM(I30:AP30)</f>
        <v>470000</v>
      </c>
      <c r="BK30" s="698">
        <f t="shared" si="2"/>
        <v>0</v>
      </c>
    </row>
    <row r="31" spans="1:63" ht="14.25" x14ac:dyDescent="0.2">
      <c r="A31" s="275" t="s">
        <v>477</v>
      </c>
      <c r="B31" s="634" t="s">
        <v>478</v>
      </c>
      <c r="C31" s="648">
        <v>780000</v>
      </c>
      <c r="D31" s="309">
        <f t="shared" si="15"/>
        <v>780000</v>
      </c>
      <c r="E31" s="615">
        <v>117795</v>
      </c>
      <c r="F31" s="662">
        <f t="shared" si="3"/>
        <v>0.15101923076923077</v>
      </c>
      <c r="G31" s="192"/>
      <c r="H31" s="192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243">
        <v>250000</v>
      </c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243">
        <v>500000</v>
      </c>
      <c r="AP31" s="243">
        <v>100000</v>
      </c>
      <c r="AQ31" s="139"/>
      <c r="AR31" s="139">
        <f>SUM(I31:AP31)</f>
        <v>850000</v>
      </c>
      <c r="BK31" s="698">
        <f t="shared" si="2"/>
        <v>0</v>
      </c>
    </row>
    <row r="32" spans="1:63" ht="15" x14ac:dyDescent="0.2">
      <c r="A32" s="315" t="s">
        <v>155</v>
      </c>
      <c r="B32" s="635" t="s">
        <v>637</v>
      </c>
      <c r="C32" s="651">
        <f>SUM(C29:C31)</f>
        <v>2000000</v>
      </c>
      <c r="D32" s="316">
        <f>SUM(D29:D31)</f>
        <v>2000000</v>
      </c>
      <c r="E32" s="618">
        <f>SUM(E29:E31)</f>
        <v>690480</v>
      </c>
      <c r="F32" s="668">
        <f t="shared" si="3"/>
        <v>0.34523999999999999</v>
      </c>
      <c r="G32" s="192"/>
      <c r="H32" s="192"/>
      <c r="I32" s="138">
        <f>SUM(I29:I31)</f>
        <v>0</v>
      </c>
      <c r="J32" s="138">
        <f t="shared" ref="J32:AP32" si="16">SUM(J29:J31)</f>
        <v>0</v>
      </c>
      <c r="K32" s="138">
        <f t="shared" si="16"/>
        <v>0</v>
      </c>
      <c r="L32" s="138">
        <f t="shared" si="16"/>
        <v>0</v>
      </c>
      <c r="M32" s="138">
        <f t="shared" si="16"/>
        <v>0</v>
      </c>
      <c r="N32" s="138">
        <f t="shared" si="16"/>
        <v>0</v>
      </c>
      <c r="O32" s="138">
        <f t="shared" si="16"/>
        <v>0</v>
      </c>
      <c r="P32" s="138">
        <f t="shared" si="16"/>
        <v>10000</v>
      </c>
      <c r="Q32" s="138">
        <f t="shared" si="16"/>
        <v>600000</v>
      </c>
      <c r="R32" s="138">
        <f t="shared" si="16"/>
        <v>0</v>
      </c>
      <c r="S32" s="138"/>
      <c r="T32" s="138"/>
      <c r="U32" s="138"/>
      <c r="V32" s="138">
        <f t="shared" si="16"/>
        <v>0</v>
      </c>
      <c r="W32" s="138">
        <f t="shared" si="16"/>
        <v>20000</v>
      </c>
      <c r="X32" s="138">
        <f t="shared" si="16"/>
        <v>270000</v>
      </c>
      <c r="Y32" s="138">
        <f t="shared" si="16"/>
        <v>0</v>
      </c>
      <c r="Z32" s="138">
        <f t="shared" si="16"/>
        <v>0</v>
      </c>
      <c r="AA32" s="138">
        <f t="shared" si="16"/>
        <v>0</v>
      </c>
      <c r="AB32" s="138"/>
      <c r="AC32" s="138"/>
      <c r="AD32" s="138">
        <f t="shared" si="16"/>
        <v>10000</v>
      </c>
      <c r="AE32" s="138">
        <f t="shared" si="16"/>
        <v>0</v>
      </c>
      <c r="AF32" s="138">
        <f t="shared" si="16"/>
        <v>0</v>
      </c>
      <c r="AG32" s="138">
        <f t="shared" si="16"/>
        <v>0</v>
      </c>
      <c r="AH32" s="138">
        <f t="shared" si="16"/>
        <v>190000</v>
      </c>
      <c r="AI32" s="138">
        <f t="shared" si="16"/>
        <v>0</v>
      </c>
      <c r="AJ32" s="138">
        <f t="shared" si="16"/>
        <v>0</v>
      </c>
      <c r="AK32" s="138">
        <f t="shared" si="16"/>
        <v>0</v>
      </c>
      <c r="AL32" s="138"/>
      <c r="AM32" s="138"/>
      <c r="AN32" s="138">
        <f t="shared" si="16"/>
        <v>0</v>
      </c>
      <c r="AO32" s="138">
        <f t="shared" si="16"/>
        <v>610000</v>
      </c>
      <c r="AP32" s="138">
        <f t="shared" si="16"/>
        <v>310000</v>
      </c>
      <c r="AQ32" s="138"/>
      <c r="AR32" s="138">
        <f>SUM(AR29:AR31)</f>
        <v>2020000</v>
      </c>
      <c r="BK32" s="698">
        <f t="shared" si="2"/>
        <v>0</v>
      </c>
    </row>
    <row r="33" spans="1:63" ht="14.25" x14ac:dyDescent="0.2">
      <c r="A33" s="275" t="s">
        <v>159</v>
      </c>
      <c r="B33" s="634" t="s">
        <v>473</v>
      </c>
      <c r="C33" s="648">
        <v>1500000</v>
      </c>
      <c r="D33" s="309">
        <f>C33+2304000</f>
        <v>3804000</v>
      </c>
      <c r="E33" s="615">
        <v>770880</v>
      </c>
      <c r="F33" s="662">
        <f t="shared" si="3"/>
        <v>0.20264984227129337</v>
      </c>
      <c r="G33" s="192"/>
      <c r="H33" s="192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243">
        <v>1500000</v>
      </c>
      <c r="AI33" s="139"/>
      <c r="AJ33" s="139"/>
      <c r="AK33" s="139"/>
      <c r="AL33" s="139"/>
      <c r="AM33" s="139"/>
      <c r="AN33" s="139"/>
      <c r="AO33" s="139"/>
      <c r="AP33" s="139"/>
      <c r="AQ33" s="139"/>
      <c r="AR33" s="139">
        <f t="shared" ref="AR33:AR38" si="17">SUM(I33:AP33)</f>
        <v>1500000</v>
      </c>
      <c r="BK33" s="698">
        <f t="shared" si="2"/>
        <v>2304000</v>
      </c>
    </row>
    <row r="34" spans="1:63" ht="14.25" x14ac:dyDescent="0.2">
      <c r="A34" s="275" t="s">
        <v>160</v>
      </c>
      <c r="B34" s="634" t="s">
        <v>156</v>
      </c>
      <c r="C34" s="648">
        <v>380000</v>
      </c>
      <c r="D34" s="309">
        <f t="shared" ref="D34:D38" si="18">C34</f>
        <v>380000</v>
      </c>
      <c r="E34" s="615">
        <v>202603</v>
      </c>
      <c r="F34" s="662">
        <f t="shared" si="3"/>
        <v>0.5331657894736842</v>
      </c>
      <c r="G34" s="192"/>
      <c r="H34" s="192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243">
        <v>30000</v>
      </c>
      <c r="X34" s="243">
        <v>100000</v>
      </c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243">
        <v>80000</v>
      </c>
      <c r="AP34" s="243">
        <v>100000</v>
      </c>
      <c r="AQ34" s="139"/>
      <c r="AR34" s="139">
        <f t="shared" si="17"/>
        <v>310000</v>
      </c>
      <c r="BK34" s="698">
        <f t="shared" si="2"/>
        <v>0</v>
      </c>
    </row>
    <row r="35" spans="1:63" ht="14.25" x14ac:dyDescent="0.2">
      <c r="A35" s="275" t="s">
        <v>161</v>
      </c>
      <c r="B35" s="634" t="s">
        <v>157</v>
      </c>
      <c r="C35" s="648">
        <v>0</v>
      </c>
      <c r="D35" s="309">
        <f t="shared" si="18"/>
        <v>0</v>
      </c>
      <c r="E35" s="615"/>
      <c r="F35" s="662"/>
      <c r="G35" s="192"/>
      <c r="H35" s="192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>
        <f t="shared" si="17"/>
        <v>0</v>
      </c>
      <c r="BK35" s="698">
        <f t="shared" si="2"/>
        <v>0</v>
      </c>
    </row>
    <row r="36" spans="1:63" ht="14.25" x14ac:dyDescent="0.2">
      <c r="A36" s="275" t="s">
        <v>162</v>
      </c>
      <c r="B36" s="634" t="s">
        <v>61</v>
      </c>
      <c r="C36" s="648">
        <v>1000000</v>
      </c>
      <c r="D36" s="309">
        <f t="shared" si="18"/>
        <v>1000000</v>
      </c>
      <c r="E36" s="615">
        <v>500917</v>
      </c>
      <c r="F36" s="662">
        <f t="shared" si="3"/>
        <v>0.50091699999999995</v>
      </c>
      <c r="G36" s="192"/>
      <c r="H36" s="192"/>
      <c r="I36" s="139"/>
      <c r="J36" s="139"/>
      <c r="K36" s="139"/>
      <c r="L36" s="139"/>
      <c r="M36" s="139"/>
      <c r="N36" s="139"/>
      <c r="O36" s="139"/>
      <c r="P36" s="243">
        <v>1000000</v>
      </c>
      <c r="Q36" s="139"/>
      <c r="R36" s="139"/>
      <c r="S36" s="139"/>
      <c r="T36" s="243">
        <v>60000</v>
      </c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>
        <f t="shared" si="17"/>
        <v>1060000</v>
      </c>
      <c r="BK36" s="698">
        <f t="shared" si="2"/>
        <v>0</v>
      </c>
    </row>
    <row r="37" spans="1:63" ht="14.25" x14ac:dyDescent="0.2">
      <c r="A37" s="275" t="s">
        <v>163</v>
      </c>
      <c r="B37" s="634" t="s">
        <v>67</v>
      </c>
      <c r="C37" s="648">
        <v>246870</v>
      </c>
      <c r="D37" s="309">
        <f t="shared" si="18"/>
        <v>246870</v>
      </c>
      <c r="E37" s="615">
        <v>93560</v>
      </c>
      <c r="F37" s="662">
        <f t="shared" si="3"/>
        <v>0.37898489083323206</v>
      </c>
      <c r="G37" s="192"/>
      <c r="H37" s="192"/>
      <c r="I37" s="139"/>
      <c r="J37" s="139"/>
      <c r="K37" s="139"/>
      <c r="L37" s="139"/>
      <c r="M37" s="139"/>
      <c r="N37" s="139"/>
      <c r="O37" s="139"/>
      <c r="P37" s="243">
        <v>120000</v>
      </c>
      <c r="Q37" s="139"/>
      <c r="R37" s="139"/>
      <c r="S37" s="139"/>
      <c r="T37" s="139"/>
      <c r="U37" s="139"/>
      <c r="V37" s="139"/>
      <c r="W37" s="139"/>
      <c r="X37" s="243">
        <v>12500</v>
      </c>
      <c r="Y37" s="139"/>
      <c r="Z37" s="243">
        <v>39370</v>
      </c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243">
        <v>50000</v>
      </c>
      <c r="AP37" s="243">
        <v>25000</v>
      </c>
      <c r="AQ37" s="139"/>
      <c r="AR37" s="139">
        <f t="shared" si="17"/>
        <v>246870</v>
      </c>
      <c r="BK37" s="698">
        <f t="shared" si="2"/>
        <v>0</v>
      </c>
    </row>
    <row r="38" spans="1:63" ht="14.25" x14ac:dyDescent="0.2">
      <c r="A38" s="275" t="s">
        <v>164</v>
      </c>
      <c r="B38" s="634" t="s">
        <v>457</v>
      </c>
      <c r="C38" s="648">
        <v>4502370</v>
      </c>
      <c r="D38" s="309">
        <f t="shared" si="18"/>
        <v>4502370</v>
      </c>
      <c r="E38" s="615">
        <f>1676832+480417</f>
        <v>2157249</v>
      </c>
      <c r="F38" s="662">
        <f t="shared" si="3"/>
        <v>0.47913632153732366</v>
      </c>
      <c r="G38" s="192"/>
      <c r="H38" s="192"/>
      <c r="I38" s="139"/>
      <c r="J38" s="139"/>
      <c r="K38" s="139"/>
      <c r="L38" s="139"/>
      <c r="M38" s="139"/>
      <c r="N38" s="139"/>
      <c r="O38" s="243">
        <v>50000</v>
      </c>
      <c r="P38" s="243">
        <v>2794000</v>
      </c>
      <c r="Q38" s="243">
        <v>30000</v>
      </c>
      <c r="R38" s="139"/>
      <c r="S38" s="139"/>
      <c r="T38" s="139"/>
      <c r="U38" s="139"/>
      <c r="V38" s="139"/>
      <c r="W38" s="139"/>
      <c r="X38" s="243">
        <v>550000</v>
      </c>
      <c r="Y38" s="139"/>
      <c r="Z38" s="243">
        <v>15000</v>
      </c>
      <c r="AA38" s="139"/>
      <c r="AB38" s="139"/>
      <c r="AC38" s="139"/>
      <c r="AD38" s="139"/>
      <c r="AE38" s="139"/>
      <c r="AF38" s="139"/>
      <c r="AG38" s="139"/>
      <c r="AH38" s="243">
        <v>10000</v>
      </c>
      <c r="AI38" s="243">
        <v>150000</v>
      </c>
      <c r="AJ38" s="139"/>
      <c r="AK38" s="243">
        <v>800000</v>
      </c>
      <c r="AL38" s="139"/>
      <c r="AM38" s="139"/>
      <c r="AN38" s="243">
        <v>30000</v>
      </c>
      <c r="AO38" s="243">
        <v>500000</v>
      </c>
      <c r="AP38" s="243">
        <v>2000000</v>
      </c>
      <c r="AQ38" s="139"/>
      <c r="AR38" s="139">
        <f t="shared" si="17"/>
        <v>6929000</v>
      </c>
      <c r="BK38" s="698">
        <f t="shared" si="2"/>
        <v>0</v>
      </c>
    </row>
    <row r="39" spans="1:63" ht="15" x14ac:dyDescent="0.2">
      <c r="A39" s="315" t="s">
        <v>165</v>
      </c>
      <c r="B39" s="635" t="s">
        <v>638</v>
      </c>
      <c r="C39" s="651">
        <f>SUM(C33:C38)</f>
        <v>7629240</v>
      </c>
      <c r="D39" s="316">
        <f t="shared" ref="D39:E39" si="19">SUM(D33:D38)</f>
        <v>9933240</v>
      </c>
      <c r="E39" s="618">
        <f t="shared" si="19"/>
        <v>3725209</v>
      </c>
      <c r="F39" s="668">
        <f t="shared" si="3"/>
        <v>0.37502456398919182</v>
      </c>
      <c r="G39" s="193"/>
      <c r="H39" s="193"/>
      <c r="I39" s="138">
        <f t="shared" ref="I39:AR39" si="20">SUM(I33:I38)</f>
        <v>0</v>
      </c>
      <c r="J39" s="138">
        <f t="shared" si="20"/>
        <v>0</v>
      </c>
      <c r="K39" s="138">
        <f t="shared" si="20"/>
        <v>0</v>
      </c>
      <c r="L39" s="138">
        <f t="shared" si="20"/>
        <v>0</v>
      </c>
      <c r="M39" s="138">
        <f t="shared" si="20"/>
        <v>0</v>
      </c>
      <c r="N39" s="138">
        <f t="shared" si="20"/>
        <v>0</v>
      </c>
      <c r="O39" s="138">
        <f t="shared" si="20"/>
        <v>50000</v>
      </c>
      <c r="P39" s="138">
        <f t="shared" si="20"/>
        <v>3914000</v>
      </c>
      <c r="Q39" s="138">
        <f t="shared" si="20"/>
        <v>30000</v>
      </c>
      <c r="R39" s="138">
        <f t="shared" si="20"/>
        <v>0</v>
      </c>
      <c r="S39" s="138">
        <f>SUM(S33:S38)</f>
        <v>0</v>
      </c>
      <c r="T39" s="138">
        <f>SUM(T33:T38)</f>
        <v>60000</v>
      </c>
      <c r="U39" s="138">
        <f>SUM(U33:U38)</f>
        <v>0</v>
      </c>
      <c r="V39" s="138">
        <f t="shared" si="20"/>
        <v>0</v>
      </c>
      <c r="W39" s="138">
        <f t="shared" si="20"/>
        <v>30000</v>
      </c>
      <c r="X39" s="138">
        <f t="shared" si="20"/>
        <v>662500</v>
      </c>
      <c r="Y39" s="138">
        <f t="shared" si="20"/>
        <v>0</v>
      </c>
      <c r="Z39" s="138">
        <f t="shared" si="20"/>
        <v>54370</v>
      </c>
      <c r="AA39" s="138">
        <f t="shared" si="20"/>
        <v>0</v>
      </c>
      <c r="AB39" s="138"/>
      <c r="AC39" s="138"/>
      <c r="AD39" s="138">
        <f t="shared" si="20"/>
        <v>0</v>
      </c>
      <c r="AE39" s="138">
        <f t="shared" si="20"/>
        <v>0</v>
      </c>
      <c r="AF39" s="138">
        <f t="shared" si="20"/>
        <v>0</v>
      </c>
      <c r="AG39" s="138">
        <f t="shared" si="20"/>
        <v>0</v>
      </c>
      <c r="AH39" s="138">
        <f t="shared" si="20"/>
        <v>1510000</v>
      </c>
      <c r="AI39" s="138">
        <f t="shared" si="20"/>
        <v>150000</v>
      </c>
      <c r="AJ39" s="138">
        <f t="shared" si="20"/>
        <v>0</v>
      </c>
      <c r="AK39" s="138">
        <f t="shared" si="20"/>
        <v>800000</v>
      </c>
      <c r="AL39" s="138"/>
      <c r="AM39" s="138"/>
      <c r="AN39" s="138">
        <f t="shared" si="20"/>
        <v>30000</v>
      </c>
      <c r="AO39" s="138">
        <f t="shared" si="20"/>
        <v>630000</v>
      </c>
      <c r="AP39" s="138">
        <f t="shared" si="20"/>
        <v>2125000</v>
      </c>
      <c r="AQ39" s="138"/>
      <c r="AR39" s="138">
        <f t="shared" si="20"/>
        <v>10045870</v>
      </c>
      <c r="BK39" s="698">
        <f t="shared" si="2"/>
        <v>2304000</v>
      </c>
    </row>
    <row r="40" spans="1:63" s="299" customFormat="1" ht="16.5" x14ac:dyDescent="0.25">
      <c r="A40" s="302" t="s">
        <v>151</v>
      </c>
      <c r="B40" s="630" t="s">
        <v>639</v>
      </c>
      <c r="C40" s="645">
        <f>SUM(C39,C32)</f>
        <v>9629240</v>
      </c>
      <c r="D40" s="303">
        <f t="shared" ref="D40:E40" si="21">SUM(D39,D32)</f>
        <v>11933240</v>
      </c>
      <c r="E40" s="616">
        <f t="shared" si="21"/>
        <v>4415689</v>
      </c>
      <c r="F40" s="667">
        <f t="shared" si="3"/>
        <v>0.37003269857976545</v>
      </c>
      <c r="G40" s="192"/>
      <c r="H40" s="192"/>
      <c r="I40" s="70">
        <f t="shared" ref="I40:AR40" si="22">SUM(I39,I32)</f>
        <v>0</v>
      </c>
      <c r="J40" s="70">
        <f t="shared" si="22"/>
        <v>0</v>
      </c>
      <c r="K40" s="70">
        <f t="shared" si="22"/>
        <v>0</v>
      </c>
      <c r="L40" s="70">
        <f t="shared" si="22"/>
        <v>0</v>
      </c>
      <c r="M40" s="70">
        <f t="shared" si="22"/>
        <v>0</v>
      </c>
      <c r="N40" s="70">
        <f t="shared" si="22"/>
        <v>0</v>
      </c>
      <c r="O40" s="70">
        <f t="shared" si="22"/>
        <v>50000</v>
      </c>
      <c r="P40" s="70">
        <f t="shared" si="22"/>
        <v>3924000</v>
      </c>
      <c r="Q40" s="70">
        <f t="shared" si="22"/>
        <v>630000</v>
      </c>
      <c r="R40" s="70">
        <f t="shared" si="22"/>
        <v>0</v>
      </c>
      <c r="S40" s="70">
        <f>SUM(S39,S32)</f>
        <v>0</v>
      </c>
      <c r="T40" s="70">
        <f>SUM(T39,T32)</f>
        <v>60000</v>
      </c>
      <c r="U40" s="70">
        <f>SUM(U39,U32)</f>
        <v>0</v>
      </c>
      <c r="V40" s="70">
        <f t="shared" si="22"/>
        <v>0</v>
      </c>
      <c r="W40" s="70">
        <f t="shared" si="22"/>
        <v>50000</v>
      </c>
      <c r="X40" s="70">
        <f t="shared" si="22"/>
        <v>932500</v>
      </c>
      <c r="Y40" s="70">
        <f t="shared" si="22"/>
        <v>0</v>
      </c>
      <c r="Z40" s="70">
        <f t="shared" si="22"/>
        <v>54370</v>
      </c>
      <c r="AA40" s="70">
        <f t="shared" si="22"/>
        <v>0</v>
      </c>
      <c r="AB40" s="70"/>
      <c r="AC40" s="70"/>
      <c r="AD40" s="70">
        <f t="shared" si="22"/>
        <v>10000</v>
      </c>
      <c r="AE40" s="70">
        <f t="shared" si="22"/>
        <v>0</v>
      </c>
      <c r="AF40" s="70">
        <f t="shared" si="22"/>
        <v>0</v>
      </c>
      <c r="AG40" s="70">
        <f t="shared" si="22"/>
        <v>0</v>
      </c>
      <c r="AH40" s="70">
        <f t="shared" si="22"/>
        <v>1700000</v>
      </c>
      <c r="AI40" s="70">
        <f t="shared" si="22"/>
        <v>150000</v>
      </c>
      <c r="AJ40" s="70">
        <f t="shared" si="22"/>
        <v>0</v>
      </c>
      <c r="AK40" s="70">
        <f t="shared" si="22"/>
        <v>800000</v>
      </c>
      <c r="AL40" s="70"/>
      <c r="AM40" s="70"/>
      <c r="AN40" s="70">
        <f t="shared" si="22"/>
        <v>30000</v>
      </c>
      <c r="AO40" s="70">
        <f t="shared" si="22"/>
        <v>1240000</v>
      </c>
      <c r="AP40" s="70">
        <f t="shared" si="22"/>
        <v>2435000</v>
      </c>
      <c r="AQ40" s="70"/>
      <c r="AR40" s="70">
        <f t="shared" si="22"/>
        <v>12065870</v>
      </c>
      <c r="BK40" s="698">
        <f t="shared" si="2"/>
        <v>2304000</v>
      </c>
    </row>
    <row r="41" spans="1:63" ht="15" x14ac:dyDescent="0.2">
      <c r="A41" s="317" t="s">
        <v>168</v>
      </c>
      <c r="B41" s="631" t="s">
        <v>169</v>
      </c>
      <c r="C41" s="649">
        <v>240000</v>
      </c>
      <c r="D41" s="320">
        <f>C41</f>
        <v>240000</v>
      </c>
      <c r="E41" s="617">
        <v>100000</v>
      </c>
      <c r="F41" s="662">
        <f t="shared" si="3"/>
        <v>0.41666666666666669</v>
      </c>
      <c r="G41" s="192"/>
      <c r="H41" s="192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243">
        <v>280000</v>
      </c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>
        <f>SUM(I41:AP41)</f>
        <v>280000</v>
      </c>
      <c r="BK41" s="698">
        <f t="shared" si="2"/>
        <v>0</v>
      </c>
    </row>
    <row r="42" spans="1:63" ht="18" customHeight="1" x14ac:dyDescent="0.2">
      <c r="A42" s="317" t="s">
        <v>170</v>
      </c>
      <c r="B42" s="631" t="s">
        <v>455</v>
      </c>
      <c r="C42" s="649">
        <v>834000</v>
      </c>
      <c r="D42" s="320">
        <f>C42</f>
        <v>834000</v>
      </c>
      <c r="E42" s="617">
        <v>312219</v>
      </c>
      <c r="F42" s="662">
        <f t="shared" si="3"/>
        <v>0.37436330935251799</v>
      </c>
      <c r="G42" s="192"/>
      <c r="H42" s="192"/>
      <c r="I42" s="139"/>
      <c r="J42" s="139"/>
      <c r="K42" s="139"/>
      <c r="L42" s="139"/>
      <c r="M42" s="139"/>
      <c r="N42" s="139"/>
      <c r="O42" s="139"/>
      <c r="P42" s="243">
        <v>57000</v>
      </c>
      <c r="Q42" s="139"/>
      <c r="R42" s="139"/>
      <c r="S42" s="139"/>
      <c r="T42" s="139"/>
      <c r="U42" s="139"/>
      <c r="V42" s="139"/>
      <c r="W42" s="139"/>
      <c r="X42" s="243">
        <v>155000</v>
      </c>
      <c r="Y42" s="139"/>
      <c r="Z42" s="139"/>
      <c r="AA42" s="139"/>
      <c r="AB42" s="139"/>
      <c r="AC42" s="139"/>
      <c r="AD42" s="139"/>
      <c r="AE42" s="139"/>
      <c r="AF42" s="139"/>
      <c r="AG42" s="243">
        <v>93600</v>
      </c>
      <c r="AH42" s="243">
        <v>156000</v>
      </c>
      <c r="AI42" s="139"/>
      <c r="AJ42" s="139"/>
      <c r="AK42" s="139"/>
      <c r="AL42" s="139"/>
      <c r="AM42" s="139"/>
      <c r="AN42" s="139"/>
      <c r="AO42" s="243">
        <v>124000</v>
      </c>
      <c r="AP42" s="243">
        <v>355000</v>
      </c>
      <c r="AQ42" s="139"/>
      <c r="AR42" s="139">
        <f>SUM(I42:AQ42)</f>
        <v>940600</v>
      </c>
      <c r="BK42" s="698">
        <f t="shared" si="2"/>
        <v>0</v>
      </c>
    </row>
    <row r="43" spans="1:63" ht="16.5" x14ac:dyDescent="0.25">
      <c r="A43" s="302" t="s">
        <v>171</v>
      </c>
      <c r="B43" s="630" t="s">
        <v>640</v>
      </c>
      <c r="C43" s="645">
        <f>SUM(C41:C42)</f>
        <v>1074000</v>
      </c>
      <c r="D43" s="303">
        <f>SUM(D41:D42)</f>
        <v>1074000</v>
      </c>
      <c r="E43" s="616">
        <f>SUM(E41:E42)</f>
        <v>412219</v>
      </c>
      <c r="F43" s="667">
        <f t="shared" si="3"/>
        <v>0.38381657355679705</v>
      </c>
      <c r="G43" s="192"/>
      <c r="H43" s="192"/>
      <c r="I43" s="141">
        <f t="shared" ref="I43:AR43" si="23">SUM(I41:I42)</f>
        <v>0</v>
      </c>
      <c r="J43" s="141">
        <f t="shared" si="23"/>
        <v>0</v>
      </c>
      <c r="K43" s="141">
        <f t="shared" si="23"/>
        <v>0</v>
      </c>
      <c r="L43" s="141">
        <f t="shared" si="23"/>
        <v>0</v>
      </c>
      <c r="M43" s="141">
        <f t="shared" si="23"/>
        <v>0</v>
      </c>
      <c r="N43" s="141">
        <f t="shared" si="23"/>
        <v>0</v>
      </c>
      <c r="O43" s="141">
        <f t="shared" si="23"/>
        <v>0</v>
      </c>
      <c r="P43" s="141">
        <f t="shared" si="23"/>
        <v>57000</v>
      </c>
      <c r="Q43" s="141">
        <f t="shared" si="23"/>
        <v>0</v>
      </c>
      <c r="R43" s="141">
        <f t="shared" si="23"/>
        <v>0</v>
      </c>
      <c r="S43" s="141"/>
      <c r="T43" s="141"/>
      <c r="U43" s="141"/>
      <c r="V43" s="141">
        <f t="shared" si="23"/>
        <v>0</v>
      </c>
      <c r="W43" s="141">
        <f t="shared" si="23"/>
        <v>0</v>
      </c>
      <c r="X43" s="141">
        <f t="shared" si="23"/>
        <v>435000</v>
      </c>
      <c r="Y43" s="141">
        <f t="shared" si="23"/>
        <v>0</v>
      </c>
      <c r="Z43" s="141">
        <f t="shared" si="23"/>
        <v>0</v>
      </c>
      <c r="AA43" s="141">
        <f t="shared" si="23"/>
        <v>0</v>
      </c>
      <c r="AB43" s="141"/>
      <c r="AC43" s="141"/>
      <c r="AD43" s="141">
        <f t="shared" si="23"/>
        <v>0</v>
      </c>
      <c r="AE43" s="141">
        <f t="shared" si="23"/>
        <v>0</v>
      </c>
      <c r="AF43" s="141">
        <f t="shared" si="23"/>
        <v>0</v>
      </c>
      <c r="AG43" s="141">
        <f t="shared" si="23"/>
        <v>93600</v>
      </c>
      <c r="AH43" s="141">
        <f t="shared" si="23"/>
        <v>156000</v>
      </c>
      <c r="AI43" s="141">
        <f t="shared" si="23"/>
        <v>0</v>
      </c>
      <c r="AJ43" s="141">
        <f t="shared" si="23"/>
        <v>0</v>
      </c>
      <c r="AK43" s="141">
        <f t="shared" si="23"/>
        <v>0</v>
      </c>
      <c r="AL43" s="141"/>
      <c r="AM43" s="141"/>
      <c r="AN43" s="141">
        <f t="shared" si="23"/>
        <v>0</v>
      </c>
      <c r="AO43" s="141">
        <f t="shared" si="23"/>
        <v>124000</v>
      </c>
      <c r="AP43" s="141">
        <f t="shared" si="23"/>
        <v>355000</v>
      </c>
      <c r="AQ43" s="141"/>
      <c r="AR43" s="141">
        <f t="shared" si="23"/>
        <v>1220600</v>
      </c>
      <c r="BK43" s="698">
        <f t="shared" si="2"/>
        <v>0</v>
      </c>
    </row>
    <row r="44" spans="1:63" ht="15" x14ac:dyDescent="0.2">
      <c r="A44" s="317" t="s">
        <v>172</v>
      </c>
      <c r="B44" s="631" t="s">
        <v>369</v>
      </c>
      <c r="C44" s="649">
        <v>6350000</v>
      </c>
      <c r="D44" s="320">
        <f t="shared" ref="D44:D48" si="24">C44</f>
        <v>6350000</v>
      </c>
      <c r="E44" s="617">
        <v>3132409</v>
      </c>
      <c r="F44" s="662">
        <f t="shared" si="3"/>
        <v>0.4932927559055118</v>
      </c>
      <c r="G44" s="192"/>
      <c r="H44" s="192"/>
      <c r="I44" s="139"/>
      <c r="J44" s="139"/>
      <c r="K44" s="139"/>
      <c r="L44" s="139"/>
      <c r="M44" s="139"/>
      <c r="N44" s="139"/>
      <c r="O44" s="139"/>
      <c r="P44" s="243">
        <v>7000</v>
      </c>
      <c r="Q44" s="139"/>
      <c r="R44" s="139"/>
      <c r="S44" s="139"/>
      <c r="T44" s="243">
        <v>12000</v>
      </c>
      <c r="U44" s="139"/>
      <c r="V44" s="139"/>
      <c r="W44" s="139"/>
      <c r="X44" s="243">
        <v>950000</v>
      </c>
      <c r="Y44" s="139"/>
      <c r="Z44" s="243">
        <v>30000</v>
      </c>
      <c r="AA44" s="243">
        <v>1800000</v>
      </c>
      <c r="AB44" s="139"/>
      <c r="AC44" s="139"/>
      <c r="AD44" s="139"/>
      <c r="AE44" s="139"/>
      <c r="AF44" s="139"/>
      <c r="AG44" s="243">
        <v>3400000</v>
      </c>
      <c r="AH44" s="243">
        <v>527900</v>
      </c>
      <c r="AI44" s="139"/>
      <c r="AJ44" s="139"/>
      <c r="AK44" s="243">
        <v>20000</v>
      </c>
      <c r="AL44" s="139"/>
      <c r="AM44" s="139"/>
      <c r="AN44" s="139"/>
      <c r="AO44" s="243">
        <v>690000</v>
      </c>
      <c r="AP44" s="243">
        <v>452100</v>
      </c>
      <c r="AQ44" s="139"/>
      <c r="AR44" s="139">
        <f>SUM(I44:AP44)</f>
        <v>7889000</v>
      </c>
      <c r="BK44" s="698">
        <f t="shared" si="2"/>
        <v>0</v>
      </c>
    </row>
    <row r="45" spans="1:63" ht="15" x14ac:dyDescent="0.2">
      <c r="A45" s="317" t="s">
        <v>642</v>
      </c>
      <c r="B45" s="631" t="s">
        <v>182</v>
      </c>
      <c r="C45" s="649">
        <v>6808000</v>
      </c>
      <c r="D45" s="320">
        <f t="shared" si="24"/>
        <v>6808000</v>
      </c>
      <c r="E45" s="617">
        <v>5018340</v>
      </c>
      <c r="F45" s="662">
        <f t="shared" si="3"/>
        <v>0.7371239717978848</v>
      </c>
      <c r="G45" s="192"/>
      <c r="H45" s="192"/>
      <c r="I45" s="139"/>
      <c r="J45" s="139"/>
      <c r="K45" s="139"/>
      <c r="L45" s="139"/>
      <c r="M45" s="243">
        <v>8316843</v>
      </c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243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>
        <f t="shared" ref="AR45:AR49" si="25">SUM(I45:AP45)</f>
        <v>8316843</v>
      </c>
      <c r="BK45" s="698">
        <f t="shared" si="2"/>
        <v>0</v>
      </c>
    </row>
    <row r="46" spans="1:63" ht="15" x14ac:dyDescent="0.2">
      <c r="A46" s="317" t="s">
        <v>173</v>
      </c>
      <c r="B46" s="631" t="s">
        <v>456</v>
      </c>
      <c r="C46" s="649">
        <v>160200</v>
      </c>
      <c r="D46" s="320">
        <f t="shared" si="24"/>
        <v>160200</v>
      </c>
      <c r="E46" s="617">
        <v>89100</v>
      </c>
      <c r="F46" s="662">
        <f t="shared" si="3"/>
        <v>0.5561797752808989</v>
      </c>
      <c r="G46" s="192"/>
      <c r="H46" s="192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243">
        <v>48000</v>
      </c>
      <c r="Y46" s="139"/>
      <c r="Z46" s="243">
        <v>140000</v>
      </c>
      <c r="AA46" s="139"/>
      <c r="AB46" s="139"/>
      <c r="AC46" s="139"/>
      <c r="AD46" s="139"/>
      <c r="AE46" s="139"/>
      <c r="AF46" s="139"/>
      <c r="AG46" s="243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>
        <f t="shared" si="25"/>
        <v>188000</v>
      </c>
      <c r="BK46" s="698">
        <f t="shared" si="2"/>
        <v>0</v>
      </c>
    </row>
    <row r="47" spans="1:63" ht="15" x14ac:dyDescent="0.2">
      <c r="A47" s="317" t="s">
        <v>175</v>
      </c>
      <c r="B47" s="631" t="s">
        <v>176</v>
      </c>
      <c r="C47" s="649">
        <v>6134000</v>
      </c>
      <c r="D47" s="320">
        <f>C47+30000</f>
        <v>6164000</v>
      </c>
      <c r="E47" s="617">
        <v>1184571</v>
      </c>
      <c r="F47" s="662">
        <f t="shared" si="3"/>
        <v>0.19217569759896172</v>
      </c>
      <c r="G47" s="192"/>
      <c r="H47" s="192"/>
      <c r="I47" s="139"/>
      <c r="J47" s="243">
        <v>3200000</v>
      </c>
      <c r="K47" s="139"/>
      <c r="L47" s="139"/>
      <c r="M47" s="139"/>
      <c r="N47" s="139"/>
      <c r="O47" s="139"/>
      <c r="P47" s="243">
        <v>200000</v>
      </c>
      <c r="Q47" s="243">
        <v>25000</v>
      </c>
      <c r="R47" s="139"/>
      <c r="S47" s="139"/>
      <c r="T47" s="243">
        <v>500000</v>
      </c>
      <c r="U47" s="139"/>
      <c r="V47" s="139"/>
      <c r="W47" s="243">
        <v>20000</v>
      </c>
      <c r="X47" s="243">
        <v>1000000</v>
      </c>
      <c r="Y47" s="139"/>
      <c r="Z47" s="243">
        <v>200000</v>
      </c>
      <c r="AA47" s="243">
        <v>600000</v>
      </c>
      <c r="AB47" s="139"/>
      <c r="AC47" s="139"/>
      <c r="AD47" s="243">
        <v>100000</v>
      </c>
      <c r="AE47" s="139"/>
      <c r="AF47" s="139"/>
      <c r="AG47" s="243"/>
      <c r="AH47" s="243">
        <v>100000</v>
      </c>
      <c r="AI47" s="243">
        <v>100000</v>
      </c>
      <c r="AJ47" s="139"/>
      <c r="AK47" s="139"/>
      <c r="AL47" s="139"/>
      <c r="AM47" s="139"/>
      <c r="AN47" s="139"/>
      <c r="AO47" s="243">
        <v>300000</v>
      </c>
      <c r="AP47" s="243">
        <v>100000</v>
      </c>
      <c r="AQ47" s="139"/>
      <c r="AR47" s="139">
        <f t="shared" si="25"/>
        <v>6445000</v>
      </c>
      <c r="AS47" s="319" t="s">
        <v>644</v>
      </c>
      <c r="BK47" s="698">
        <f t="shared" si="2"/>
        <v>30000</v>
      </c>
    </row>
    <row r="48" spans="1:63" ht="15" x14ac:dyDescent="0.2">
      <c r="A48" s="317" t="s">
        <v>177</v>
      </c>
      <c r="B48" s="631" t="s">
        <v>178</v>
      </c>
      <c r="C48" s="649">
        <v>0</v>
      </c>
      <c r="D48" s="320">
        <f t="shared" si="24"/>
        <v>0</v>
      </c>
      <c r="E48" s="617"/>
      <c r="F48" s="662"/>
      <c r="G48" s="192"/>
      <c r="H48" s="192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243"/>
      <c r="AB48" s="139"/>
      <c r="AC48" s="139"/>
      <c r="AD48" s="139"/>
      <c r="AE48" s="139"/>
      <c r="AF48" s="139"/>
      <c r="AG48" s="243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>
        <f t="shared" si="25"/>
        <v>0</v>
      </c>
      <c r="BI48" s="298">
        <f>SUM(I50:AP50)</f>
        <v>16806607</v>
      </c>
      <c r="BK48" s="698">
        <f t="shared" si="2"/>
        <v>0</v>
      </c>
    </row>
    <row r="49" spans="1:63" ht="15" x14ac:dyDescent="0.2">
      <c r="A49" s="317" t="s">
        <v>179</v>
      </c>
      <c r="B49" s="631" t="s">
        <v>459</v>
      </c>
      <c r="C49" s="649">
        <v>615000</v>
      </c>
      <c r="D49" s="320">
        <f>C49+500000</f>
        <v>1115000</v>
      </c>
      <c r="E49" s="617">
        <v>511381</v>
      </c>
      <c r="F49" s="662">
        <f t="shared" si="3"/>
        <v>0.45863766816143497</v>
      </c>
      <c r="G49" s="192"/>
      <c r="H49" s="192"/>
      <c r="I49" s="139"/>
      <c r="J49" s="139"/>
      <c r="K49" s="139"/>
      <c r="L49" s="139"/>
      <c r="M49" s="139"/>
      <c r="N49" s="139"/>
      <c r="O49" s="139"/>
      <c r="P49" s="139"/>
      <c r="Q49" s="243">
        <v>650000</v>
      </c>
      <c r="R49" s="139"/>
      <c r="S49" s="139"/>
      <c r="T49" s="139"/>
      <c r="U49" s="139"/>
      <c r="V49" s="139"/>
      <c r="W49" s="139"/>
      <c r="X49" s="139"/>
      <c r="Y49" s="139"/>
      <c r="Z49" s="139"/>
      <c r="AA49" s="243"/>
      <c r="AB49" s="139"/>
      <c r="AC49" s="139"/>
      <c r="AD49" s="139"/>
      <c r="AE49" s="139"/>
      <c r="AF49" s="139"/>
      <c r="AG49" s="243"/>
      <c r="AH49" s="139"/>
      <c r="AI49" s="139"/>
      <c r="AJ49" s="243"/>
      <c r="AK49" s="139"/>
      <c r="AL49" s="139"/>
      <c r="AM49" s="139"/>
      <c r="AN49" s="139"/>
      <c r="AO49" s="243">
        <v>15000</v>
      </c>
      <c r="AP49" s="139"/>
      <c r="AQ49" s="139"/>
      <c r="AR49" s="139">
        <f t="shared" si="25"/>
        <v>665000</v>
      </c>
      <c r="AS49" s="319" t="s">
        <v>643</v>
      </c>
      <c r="BI49" s="141">
        <f>SUM(AR44:AR50)</f>
        <v>23503843</v>
      </c>
      <c r="BK49" s="698">
        <f t="shared" si="2"/>
        <v>500000</v>
      </c>
    </row>
    <row r="50" spans="1:63" s="301" customFormat="1" ht="30" x14ac:dyDescent="0.2">
      <c r="A50" s="318" t="s">
        <v>180</v>
      </c>
      <c r="B50" s="636" t="s">
        <v>641</v>
      </c>
      <c r="C50" s="652">
        <v>20308490</v>
      </c>
      <c r="D50" s="321">
        <f>C50-250000</f>
        <v>20058490</v>
      </c>
      <c r="E50" s="619">
        <v>9156858</v>
      </c>
      <c r="F50" s="663">
        <f t="shared" si="3"/>
        <v>0.45650784281369133</v>
      </c>
      <c r="G50" s="293"/>
      <c r="H50" s="293"/>
      <c r="I50" s="294">
        <v>1300000</v>
      </c>
      <c r="J50" s="295"/>
      <c r="K50" s="294">
        <v>360000</v>
      </c>
      <c r="L50" s="294">
        <v>350000</v>
      </c>
      <c r="M50" s="295"/>
      <c r="N50" s="296">
        <v>1551585</v>
      </c>
      <c r="O50" s="297"/>
      <c r="P50" s="294">
        <v>842622</v>
      </c>
      <c r="Q50" s="298"/>
      <c r="R50" s="298"/>
      <c r="S50" s="294">
        <v>160000</v>
      </c>
      <c r="T50" s="294">
        <v>60000</v>
      </c>
      <c r="U50" s="298"/>
      <c r="V50" s="294">
        <v>200000</v>
      </c>
      <c r="W50" s="298"/>
      <c r="X50" s="294">
        <v>500000</v>
      </c>
      <c r="Y50" s="298"/>
      <c r="Z50" s="294">
        <v>1350000</v>
      </c>
      <c r="AA50" s="294">
        <v>2200000</v>
      </c>
      <c r="AB50" s="298"/>
      <c r="AC50" s="298"/>
      <c r="AD50" s="298"/>
      <c r="AE50" s="298"/>
      <c r="AF50" s="298"/>
      <c r="AG50" s="294">
        <v>10000</v>
      </c>
      <c r="AH50" s="294">
        <v>5000</v>
      </c>
      <c r="AI50" s="294">
        <v>200000</v>
      </c>
      <c r="AJ50" s="294">
        <v>50000</v>
      </c>
      <c r="AK50" s="294">
        <v>2500000</v>
      </c>
      <c r="AL50" s="298"/>
      <c r="AM50" s="298"/>
      <c r="AN50" s="298"/>
      <c r="AO50" s="294">
        <v>667400</v>
      </c>
      <c r="AP50" s="294">
        <v>4500000</v>
      </c>
      <c r="AQ50" s="298"/>
      <c r="AS50" s="319" t="s">
        <v>645</v>
      </c>
      <c r="BI50" s="139">
        <f>SUM(I52:AP52)</f>
        <v>230000</v>
      </c>
      <c r="BK50" s="698">
        <f t="shared" si="2"/>
        <v>-250000</v>
      </c>
    </row>
    <row r="51" spans="1:63" ht="16.5" x14ac:dyDescent="0.25">
      <c r="A51" s="302" t="s">
        <v>651</v>
      </c>
      <c r="B51" s="630" t="s">
        <v>646</v>
      </c>
      <c r="C51" s="645">
        <f>SUM(C44:C50)</f>
        <v>40375690</v>
      </c>
      <c r="D51" s="303">
        <f t="shared" ref="D51:E51" si="26">SUM(D44:D50)</f>
        <v>40655690</v>
      </c>
      <c r="E51" s="616">
        <f t="shared" si="26"/>
        <v>19092659</v>
      </c>
      <c r="F51" s="667">
        <f t="shared" si="3"/>
        <v>0.46961837322155892</v>
      </c>
      <c r="G51" s="192"/>
      <c r="H51" s="192"/>
      <c r="I51" s="141">
        <f t="shared" ref="I51:AP51" si="27">SUM(I44:I50)</f>
        <v>1300000</v>
      </c>
      <c r="J51" s="141">
        <f t="shared" si="27"/>
        <v>3200000</v>
      </c>
      <c r="K51" s="141">
        <f t="shared" si="27"/>
        <v>360000</v>
      </c>
      <c r="L51" s="141">
        <f t="shared" si="27"/>
        <v>350000</v>
      </c>
      <c r="M51" s="141">
        <f t="shared" si="27"/>
        <v>8316843</v>
      </c>
      <c r="N51" s="141">
        <f t="shared" si="27"/>
        <v>1551585</v>
      </c>
      <c r="O51" s="141">
        <f t="shared" si="27"/>
        <v>0</v>
      </c>
      <c r="P51" s="141">
        <f t="shared" si="27"/>
        <v>1049622</v>
      </c>
      <c r="Q51" s="141">
        <f t="shared" si="27"/>
        <v>675000</v>
      </c>
      <c r="R51" s="141">
        <f t="shared" si="27"/>
        <v>0</v>
      </c>
      <c r="S51" s="141">
        <f>SUM(S44:S50)</f>
        <v>160000</v>
      </c>
      <c r="T51" s="141">
        <f>SUM(T44:T50)</f>
        <v>572000</v>
      </c>
      <c r="U51" s="141">
        <f>SUM(U44:U50)</f>
        <v>0</v>
      </c>
      <c r="V51" s="141">
        <f t="shared" si="27"/>
        <v>200000</v>
      </c>
      <c r="W51" s="141">
        <f t="shared" si="27"/>
        <v>20000</v>
      </c>
      <c r="X51" s="141">
        <f t="shared" si="27"/>
        <v>2498000</v>
      </c>
      <c r="Y51" s="141">
        <f t="shared" si="27"/>
        <v>0</v>
      </c>
      <c r="Z51" s="141">
        <f t="shared" si="27"/>
        <v>1720000</v>
      </c>
      <c r="AA51" s="141">
        <f t="shared" si="27"/>
        <v>4600000</v>
      </c>
      <c r="AB51" s="141"/>
      <c r="AC51" s="141"/>
      <c r="AD51" s="141">
        <f t="shared" si="27"/>
        <v>100000</v>
      </c>
      <c r="AE51" s="141">
        <f t="shared" si="27"/>
        <v>0</v>
      </c>
      <c r="AF51" s="141">
        <f t="shared" si="27"/>
        <v>0</v>
      </c>
      <c r="AG51" s="141">
        <f t="shared" si="27"/>
        <v>3410000</v>
      </c>
      <c r="AH51" s="141">
        <f t="shared" si="27"/>
        <v>632900</v>
      </c>
      <c r="AI51" s="141">
        <f t="shared" si="27"/>
        <v>300000</v>
      </c>
      <c r="AJ51" s="141">
        <f t="shared" si="27"/>
        <v>50000</v>
      </c>
      <c r="AK51" s="141">
        <f t="shared" si="27"/>
        <v>2520000</v>
      </c>
      <c r="AL51" s="141"/>
      <c r="AM51" s="141"/>
      <c r="AN51" s="141">
        <f t="shared" si="27"/>
        <v>0</v>
      </c>
      <c r="AO51" s="141">
        <f t="shared" si="27"/>
        <v>1672400</v>
      </c>
      <c r="AP51" s="141">
        <f t="shared" si="27"/>
        <v>5052100</v>
      </c>
      <c r="AQ51" s="141"/>
      <c r="AR51" s="142"/>
      <c r="BI51" s="139">
        <f>SUM(I53:AP53)</f>
        <v>50000</v>
      </c>
      <c r="BK51" s="698">
        <f t="shared" si="2"/>
        <v>280000</v>
      </c>
    </row>
    <row r="52" spans="1:63" ht="15" x14ac:dyDescent="0.2">
      <c r="A52" s="317" t="s">
        <v>183</v>
      </c>
      <c r="B52" s="631" t="s">
        <v>186</v>
      </c>
      <c r="C52" s="649">
        <v>250000</v>
      </c>
      <c r="D52" s="320">
        <f>C52</f>
        <v>250000</v>
      </c>
      <c r="E52" s="617">
        <v>88795</v>
      </c>
      <c r="F52" s="662">
        <f t="shared" si="3"/>
        <v>0.35518</v>
      </c>
      <c r="G52" s="192"/>
      <c r="H52" s="192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243">
        <v>200000</v>
      </c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243">
        <v>30000</v>
      </c>
      <c r="AQ52" s="139"/>
      <c r="AR52" s="142"/>
      <c r="BI52" s="141">
        <f>SUM(BI50:BI51)</f>
        <v>280000</v>
      </c>
      <c r="BK52" s="698">
        <f t="shared" si="2"/>
        <v>0</v>
      </c>
    </row>
    <row r="53" spans="1:63" ht="15" x14ac:dyDescent="0.2">
      <c r="A53" s="317" t="s">
        <v>184</v>
      </c>
      <c r="B53" s="631" t="s">
        <v>187</v>
      </c>
      <c r="C53" s="649">
        <v>50000</v>
      </c>
      <c r="D53" s="320">
        <f>C53</f>
        <v>50000</v>
      </c>
      <c r="E53" s="617">
        <v>0</v>
      </c>
      <c r="F53" s="662">
        <f t="shared" si="3"/>
        <v>0</v>
      </c>
      <c r="G53" s="192"/>
      <c r="H53" s="192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243">
        <v>50000</v>
      </c>
      <c r="AL53" s="139"/>
      <c r="AM53" s="139"/>
      <c r="AN53" s="139"/>
      <c r="AO53" s="139"/>
      <c r="AP53" s="139"/>
      <c r="AQ53" s="139"/>
      <c r="AR53" s="142"/>
      <c r="BI53" s="139">
        <f>SUM(I55:AP55)</f>
        <v>14310056</v>
      </c>
      <c r="BK53" s="698">
        <f t="shared" si="2"/>
        <v>0</v>
      </c>
    </row>
    <row r="54" spans="1:63" ht="16.5" x14ac:dyDescent="0.25">
      <c r="A54" s="302" t="s">
        <v>188</v>
      </c>
      <c r="B54" s="630" t="s">
        <v>647</v>
      </c>
      <c r="C54" s="645">
        <f>SUM(C52:C53)</f>
        <v>300000</v>
      </c>
      <c r="D54" s="303">
        <f t="shared" ref="D54:E54" si="28">SUM(D52:D53)</f>
        <v>300000</v>
      </c>
      <c r="E54" s="616">
        <f t="shared" si="28"/>
        <v>88795</v>
      </c>
      <c r="F54" s="667">
        <f t="shared" si="3"/>
        <v>0.29598333333333332</v>
      </c>
      <c r="G54" s="192"/>
      <c r="H54" s="192"/>
      <c r="I54" s="141">
        <f t="shared" ref="I54:AA54" si="29">SUM(I52:I53)</f>
        <v>0</v>
      </c>
      <c r="J54" s="141">
        <f t="shared" si="29"/>
        <v>0</v>
      </c>
      <c r="K54" s="141">
        <f t="shared" si="29"/>
        <v>0</v>
      </c>
      <c r="L54" s="141">
        <f t="shared" si="29"/>
        <v>0</v>
      </c>
      <c r="M54" s="141">
        <f t="shared" si="29"/>
        <v>0</v>
      </c>
      <c r="N54" s="141">
        <f t="shared" si="29"/>
        <v>0</v>
      </c>
      <c r="O54" s="141">
        <f t="shared" si="29"/>
        <v>0</v>
      </c>
      <c r="P54" s="141">
        <f t="shared" si="29"/>
        <v>0</v>
      </c>
      <c r="Q54" s="141">
        <f t="shared" si="29"/>
        <v>0</v>
      </c>
      <c r="R54" s="141">
        <f t="shared" si="29"/>
        <v>0</v>
      </c>
      <c r="S54" s="141">
        <f t="shared" si="29"/>
        <v>0</v>
      </c>
      <c r="T54" s="141">
        <f t="shared" si="29"/>
        <v>0</v>
      </c>
      <c r="U54" s="141">
        <f t="shared" si="29"/>
        <v>0</v>
      </c>
      <c r="V54" s="141">
        <f t="shared" si="29"/>
        <v>0</v>
      </c>
      <c r="W54" s="141">
        <f t="shared" si="29"/>
        <v>0</v>
      </c>
      <c r="X54" s="141">
        <f t="shared" si="29"/>
        <v>200000</v>
      </c>
      <c r="Y54" s="141">
        <f t="shared" si="29"/>
        <v>0</v>
      </c>
      <c r="Z54" s="141">
        <f t="shared" si="29"/>
        <v>0</v>
      </c>
      <c r="AA54" s="141">
        <f t="shared" si="29"/>
        <v>0</v>
      </c>
      <c r="AB54" s="141"/>
      <c r="AC54" s="141"/>
      <c r="AD54" s="141">
        <f t="shared" ref="AD54:AK54" si="30">SUM(AD52:AD53)</f>
        <v>0</v>
      </c>
      <c r="AE54" s="141">
        <f t="shared" si="30"/>
        <v>0</v>
      </c>
      <c r="AF54" s="141">
        <f t="shared" si="30"/>
        <v>0</v>
      </c>
      <c r="AG54" s="141">
        <f t="shared" si="30"/>
        <v>0</v>
      </c>
      <c r="AH54" s="141">
        <f t="shared" si="30"/>
        <v>0</v>
      </c>
      <c r="AI54" s="141">
        <f t="shared" si="30"/>
        <v>0</v>
      </c>
      <c r="AJ54" s="141">
        <f t="shared" si="30"/>
        <v>0</v>
      </c>
      <c r="AK54" s="141">
        <f t="shared" si="30"/>
        <v>50000</v>
      </c>
      <c r="AL54" s="141"/>
      <c r="AM54" s="141"/>
      <c r="AN54" s="141">
        <f>SUM(AN52:AN53)</f>
        <v>0</v>
      </c>
      <c r="AO54" s="141">
        <f>SUM(AO52:AO53)</f>
        <v>0</v>
      </c>
      <c r="AP54" s="141">
        <f>SUM(AP52:AP53)</f>
        <v>30000</v>
      </c>
      <c r="AQ54" s="141"/>
      <c r="AR54" s="142"/>
      <c r="BI54" s="139">
        <f>SUM(I56:AP56)</f>
        <v>0</v>
      </c>
      <c r="BK54" s="698">
        <f t="shared" si="2"/>
        <v>0</v>
      </c>
    </row>
    <row r="55" spans="1:63" ht="15" x14ac:dyDescent="0.2">
      <c r="A55" s="317" t="s">
        <v>189</v>
      </c>
      <c r="B55" s="631" t="s">
        <v>194</v>
      </c>
      <c r="C55" s="649">
        <v>12908766</v>
      </c>
      <c r="D55" s="320">
        <f>C55+8100+67500</f>
        <v>12984366</v>
      </c>
      <c r="E55" s="617">
        <v>5141561</v>
      </c>
      <c r="F55" s="662">
        <f t="shared" si="3"/>
        <v>0.39598090503610267</v>
      </c>
      <c r="G55" s="192"/>
      <c r="H55" s="192"/>
      <c r="I55" s="243">
        <v>351000</v>
      </c>
      <c r="J55" s="243">
        <v>864000</v>
      </c>
      <c r="K55" s="243">
        <v>97200</v>
      </c>
      <c r="L55" s="243">
        <v>94500</v>
      </c>
      <c r="M55" s="243">
        <v>2245547</v>
      </c>
      <c r="N55" s="243">
        <v>168407</v>
      </c>
      <c r="O55" s="243">
        <v>13500</v>
      </c>
      <c r="P55" s="243">
        <v>1358268</v>
      </c>
      <c r="Q55" s="243">
        <v>49000</v>
      </c>
      <c r="R55" s="139"/>
      <c r="S55" s="243">
        <v>43200</v>
      </c>
      <c r="T55" s="243">
        <v>170640</v>
      </c>
      <c r="U55" s="139"/>
      <c r="V55" s="243">
        <v>54000</v>
      </c>
      <c r="W55" s="243">
        <v>14500</v>
      </c>
      <c r="X55" s="243">
        <v>1097685</v>
      </c>
      <c r="Y55" s="139"/>
      <c r="Z55" s="243">
        <v>1570000</v>
      </c>
      <c r="AA55" s="243">
        <v>650000</v>
      </c>
      <c r="AB55" s="139"/>
      <c r="AC55" s="139"/>
      <c r="AD55" s="243">
        <v>29700</v>
      </c>
      <c r="AE55" s="139"/>
      <c r="AF55" s="139"/>
      <c r="AG55" s="243">
        <v>945000</v>
      </c>
      <c r="AH55" s="243">
        <v>640203</v>
      </c>
      <c r="AI55" s="243">
        <v>108000</v>
      </c>
      <c r="AJ55" s="139"/>
      <c r="AK55" s="243">
        <v>909900</v>
      </c>
      <c r="AL55" s="139"/>
      <c r="AM55" s="139"/>
      <c r="AN55" s="139"/>
      <c r="AO55" s="243">
        <v>823639</v>
      </c>
      <c r="AP55" s="243">
        <v>2012167</v>
      </c>
      <c r="AQ55" s="139"/>
      <c r="AR55" s="142"/>
      <c r="AS55" s="319" t="s">
        <v>649</v>
      </c>
      <c r="BI55" s="139">
        <f>SUM(I57:AP57)</f>
        <v>45396</v>
      </c>
      <c r="BK55" s="698">
        <f t="shared" si="2"/>
        <v>75600</v>
      </c>
    </row>
    <row r="56" spans="1:63" ht="15" x14ac:dyDescent="0.2">
      <c r="A56" s="317" t="s">
        <v>190</v>
      </c>
      <c r="B56" s="631" t="s">
        <v>195</v>
      </c>
      <c r="C56" s="649">
        <v>0</v>
      </c>
      <c r="D56" s="320">
        <v>5670000</v>
      </c>
      <c r="E56" s="617">
        <v>5670000</v>
      </c>
      <c r="F56" s="662">
        <f t="shared" si="3"/>
        <v>1</v>
      </c>
      <c r="G56" s="192"/>
      <c r="H56" s="192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42"/>
      <c r="AS56" s="319" t="s">
        <v>650</v>
      </c>
      <c r="BI56" s="139">
        <f>SUM(I58:AP58)</f>
        <v>0</v>
      </c>
      <c r="BK56" s="698">
        <f t="shared" si="2"/>
        <v>5670000</v>
      </c>
    </row>
    <row r="57" spans="1:63" ht="15" x14ac:dyDescent="0.2">
      <c r="A57" s="317" t="s">
        <v>191</v>
      </c>
      <c r="B57" s="631" t="s">
        <v>196</v>
      </c>
      <c r="C57" s="649">
        <v>0</v>
      </c>
      <c r="D57" s="320">
        <f t="shared" ref="D57:D59" si="31">C57</f>
        <v>0</v>
      </c>
      <c r="E57" s="617">
        <v>0</v>
      </c>
      <c r="F57" s="662"/>
      <c r="G57" s="192"/>
      <c r="H57" s="192"/>
      <c r="I57" s="139"/>
      <c r="J57" s="139"/>
      <c r="K57" s="139"/>
      <c r="L57" s="139"/>
      <c r="M57" s="139"/>
      <c r="N57" s="243">
        <v>45396</v>
      </c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42"/>
      <c r="BI57" s="139">
        <f>SUM(I59:AP59)</f>
        <v>600000</v>
      </c>
      <c r="BK57" s="698">
        <f t="shared" si="2"/>
        <v>0</v>
      </c>
    </row>
    <row r="58" spans="1:63" ht="15" x14ac:dyDescent="0.2">
      <c r="A58" s="317" t="s">
        <v>192</v>
      </c>
      <c r="B58" s="631" t="s">
        <v>197</v>
      </c>
      <c r="C58" s="649">
        <v>0</v>
      </c>
      <c r="D58" s="320">
        <f t="shared" si="31"/>
        <v>0</v>
      </c>
      <c r="E58" s="617">
        <v>0</v>
      </c>
      <c r="F58" s="662"/>
      <c r="G58" s="192"/>
      <c r="H58" s="192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42"/>
      <c r="BI58" s="144">
        <f>SUM(BI53:BI57)</f>
        <v>14955452</v>
      </c>
      <c r="BK58" s="698">
        <f t="shared" si="2"/>
        <v>0</v>
      </c>
    </row>
    <row r="59" spans="1:63" ht="15" x14ac:dyDescent="0.2">
      <c r="A59" s="317" t="s">
        <v>193</v>
      </c>
      <c r="B59" s="631" t="s">
        <v>198</v>
      </c>
      <c r="C59" s="649">
        <v>500000</v>
      </c>
      <c r="D59" s="320">
        <f t="shared" si="31"/>
        <v>500000</v>
      </c>
      <c r="E59" s="617">
        <v>110601</v>
      </c>
      <c r="F59" s="662">
        <f t="shared" si="3"/>
        <v>0.22120200000000001</v>
      </c>
      <c r="G59" s="192"/>
      <c r="H59" s="192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243">
        <v>600000</v>
      </c>
      <c r="AQ59" s="139"/>
      <c r="AR59" s="142"/>
      <c r="BI59" s="152">
        <f>SUM(AR40,AR43,BI49,BI52,BI58)</f>
        <v>52025765</v>
      </c>
      <c r="BK59" s="698">
        <f t="shared" si="2"/>
        <v>0</v>
      </c>
    </row>
    <row r="60" spans="1:63" ht="18" x14ac:dyDescent="0.25">
      <c r="A60" s="302" t="s">
        <v>199</v>
      </c>
      <c r="B60" s="630" t="s">
        <v>648</v>
      </c>
      <c r="C60" s="645">
        <f>SUM(C55:C59)</f>
        <v>13408766</v>
      </c>
      <c r="D60" s="303">
        <f t="shared" ref="D60:E60" si="32">SUM(D55:D59)</f>
        <v>19154366</v>
      </c>
      <c r="E60" s="616">
        <f t="shared" si="32"/>
        <v>10922162</v>
      </c>
      <c r="F60" s="667">
        <f t="shared" si="3"/>
        <v>0.57021788139581331</v>
      </c>
      <c r="G60" s="192"/>
      <c r="H60" s="192"/>
      <c r="I60" s="144">
        <f t="shared" ref="I60:AO60" si="33">SUM(I55:I59)</f>
        <v>351000</v>
      </c>
      <c r="J60" s="144">
        <f t="shared" si="33"/>
        <v>864000</v>
      </c>
      <c r="K60" s="144">
        <f t="shared" si="33"/>
        <v>97200</v>
      </c>
      <c r="L60" s="144">
        <f t="shared" si="33"/>
        <v>94500</v>
      </c>
      <c r="M60" s="144">
        <f t="shared" si="33"/>
        <v>2245547</v>
      </c>
      <c r="N60" s="144">
        <f t="shared" si="33"/>
        <v>213803</v>
      </c>
      <c r="O60" s="144">
        <f t="shared" si="33"/>
        <v>13500</v>
      </c>
      <c r="P60" s="144">
        <f t="shared" si="33"/>
        <v>1358268</v>
      </c>
      <c r="Q60" s="144">
        <f t="shared" si="33"/>
        <v>49000</v>
      </c>
      <c r="R60" s="144">
        <f t="shared" si="33"/>
        <v>0</v>
      </c>
      <c r="S60" s="144">
        <f>SUM(S55:S59)</f>
        <v>43200</v>
      </c>
      <c r="T60" s="144">
        <f>SUM(T55:T59)</f>
        <v>170640</v>
      </c>
      <c r="U60" s="144">
        <f>SUM(U55:U59)</f>
        <v>0</v>
      </c>
      <c r="V60" s="144">
        <f t="shared" si="33"/>
        <v>54000</v>
      </c>
      <c r="W60" s="144">
        <f t="shared" si="33"/>
        <v>14500</v>
      </c>
      <c r="X60" s="144">
        <f t="shared" si="33"/>
        <v>1097685</v>
      </c>
      <c r="Y60" s="144">
        <f t="shared" si="33"/>
        <v>0</v>
      </c>
      <c r="Z60" s="144">
        <f t="shared" si="33"/>
        <v>1570000</v>
      </c>
      <c r="AA60" s="144">
        <f t="shared" si="33"/>
        <v>650000</v>
      </c>
      <c r="AB60" s="144"/>
      <c r="AC60" s="144"/>
      <c r="AD60" s="144">
        <f t="shared" si="33"/>
        <v>29700</v>
      </c>
      <c r="AE60" s="144">
        <f t="shared" si="33"/>
        <v>0</v>
      </c>
      <c r="AF60" s="144">
        <f t="shared" si="33"/>
        <v>0</v>
      </c>
      <c r="AG60" s="144">
        <f t="shared" si="33"/>
        <v>945000</v>
      </c>
      <c r="AH60" s="144">
        <f t="shared" si="33"/>
        <v>640203</v>
      </c>
      <c r="AI60" s="144">
        <f t="shared" si="33"/>
        <v>108000</v>
      </c>
      <c r="AJ60" s="144">
        <f t="shared" si="33"/>
        <v>0</v>
      </c>
      <c r="AK60" s="144">
        <f t="shared" si="33"/>
        <v>909900</v>
      </c>
      <c r="AL60" s="144"/>
      <c r="AM60" s="144"/>
      <c r="AN60" s="144">
        <f t="shared" si="33"/>
        <v>0</v>
      </c>
      <c r="AO60" s="144">
        <f t="shared" si="33"/>
        <v>823639</v>
      </c>
      <c r="AP60" s="144">
        <f>SUM(AP55:AP59)</f>
        <v>2612167</v>
      </c>
      <c r="AQ60" s="144"/>
      <c r="AR60" s="142"/>
      <c r="BI60" s="314">
        <f>'Szoc.jutt. - 8. mell.'!AR28</f>
        <v>0</v>
      </c>
      <c r="BK60" s="698">
        <f t="shared" si="2"/>
        <v>5745600</v>
      </c>
    </row>
    <row r="61" spans="1:63" ht="18" x14ac:dyDescent="0.25">
      <c r="A61" s="313" t="s">
        <v>200</v>
      </c>
      <c r="B61" s="632" t="s">
        <v>201</v>
      </c>
      <c r="C61" s="646">
        <f>SUM(C40,C43,C51,C54,C60)</f>
        <v>64787696</v>
      </c>
      <c r="D61" s="314">
        <f>D40+D43+D51+D54+D60</f>
        <v>73117296</v>
      </c>
      <c r="E61" s="418">
        <f>E40+E43+E51+E54+E60</f>
        <v>34931524</v>
      </c>
      <c r="F61" s="670">
        <f t="shared" si="3"/>
        <v>0.47774638712022394</v>
      </c>
      <c r="G61" s="196"/>
      <c r="H61" s="196"/>
      <c r="I61" s="145">
        <f t="shared" ref="I61:AA61" si="34">SUM(I40,I43,I51,I54,I60)</f>
        <v>1651000</v>
      </c>
      <c r="J61" s="145">
        <f t="shared" si="34"/>
        <v>4064000</v>
      </c>
      <c r="K61" s="145">
        <f t="shared" si="34"/>
        <v>457200</v>
      </c>
      <c r="L61" s="145">
        <f t="shared" si="34"/>
        <v>444500</v>
      </c>
      <c r="M61" s="145">
        <f t="shared" si="34"/>
        <v>10562390</v>
      </c>
      <c r="N61" s="145">
        <f t="shared" si="34"/>
        <v>1765388</v>
      </c>
      <c r="O61" s="145">
        <f t="shared" si="34"/>
        <v>63500</v>
      </c>
      <c r="P61" s="145">
        <f t="shared" si="34"/>
        <v>6388890</v>
      </c>
      <c r="Q61" s="145">
        <f t="shared" si="34"/>
        <v>1354000</v>
      </c>
      <c r="R61" s="145">
        <f t="shared" si="34"/>
        <v>0</v>
      </c>
      <c r="S61" s="145">
        <f t="shared" si="34"/>
        <v>203200</v>
      </c>
      <c r="T61" s="145">
        <f t="shared" si="34"/>
        <v>802640</v>
      </c>
      <c r="U61" s="145">
        <f t="shared" si="34"/>
        <v>0</v>
      </c>
      <c r="V61" s="145">
        <f t="shared" si="34"/>
        <v>254000</v>
      </c>
      <c r="W61" s="145">
        <f t="shared" si="34"/>
        <v>84500</v>
      </c>
      <c r="X61" s="145">
        <f t="shared" si="34"/>
        <v>5163185</v>
      </c>
      <c r="Y61" s="145">
        <f t="shared" si="34"/>
        <v>0</v>
      </c>
      <c r="Z61" s="145">
        <f t="shared" si="34"/>
        <v>3344370</v>
      </c>
      <c r="AA61" s="145">
        <f t="shared" si="34"/>
        <v>5250000</v>
      </c>
      <c r="AB61" s="145"/>
      <c r="AC61" s="145"/>
      <c r="AD61" s="145">
        <f t="shared" ref="AD61:AK61" si="35">SUM(AD40,AD43,AD51,AD54,AD60)</f>
        <v>139700</v>
      </c>
      <c r="AE61" s="145">
        <f t="shared" si="35"/>
        <v>0</v>
      </c>
      <c r="AF61" s="145">
        <f t="shared" si="35"/>
        <v>0</v>
      </c>
      <c r="AG61" s="145">
        <f t="shared" si="35"/>
        <v>4448600</v>
      </c>
      <c r="AH61" s="145">
        <f t="shared" si="35"/>
        <v>3129103</v>
      </c>
      <c r="AI61" s="145">
        <f t="shared" si="35"/>
        <v>558000</v>
      </c>
      <c r="AJ61" s="145">
        <f t="shared" si="35"/>
        <v>50000</v>
      </c>
      <c r="AK61" s="145">
        <f t="shared" si="35"/>
        <v>4279900</v>
      </c>
      <c r="AL61" s="145"/>
      <c r="AM61" s="145"/>
      <c r="AN61" s="145">
        <f>SUM(AN40,AN43,AN51,AN54,AN60)</f>
        <v>30000</v>
      </c>
      <c r="AO61" s="145">
        <f>SUM(AO40,AO43,AO51,AO54,AO60)</f>
        <v>3860039</v>
      </c>
      <c r="AP61" s="145">
        <f>SUM(AP40,AP43,AP51,AP54,AP60)</f>
        <v>10484267</v>
      </c>
      <c r="AQ61" s="145"/>
      <c r="AR61" s="142"/>
      <c r="BI61" s="62">
        <f>SUM(I63:AQ63)</f>
        <v>10555551</v>
      </c>
      <c r="BK61" s="698">
        <f t="shared" si="2"/>
        <v>8329600</v>
      </c>
    </row>
    <row r="62" spans="1:63" s="299" customFormat="1" ht="18" x14ac:dyDescent="0.25">
      <c r="A62" s="313" t="s">
        <v>217</v>
      </c>
      <c r="B62" s="632" t="s">
        <v>255</v>
      </c>
      <c r="C62" s="646">
        <f>'Szoc.jutt. - 8. mell.'!C28</f>
        <v>7000800</v>
      </c>
      <c r="D62" s="314">
        <f>'Szoc.jutt. - 8. mell.'!D28</f>
        <v>4696800</v>
      </c>
      <c r="E62" s="418">
        <f>'Szoc.jutt. - 8. mell.'!E28</f>
        <v>2106550</v>
      </c>
      <c r="F62" s="670">
        <f t="shared" si="3"/>
        <v>0.44850749446431615</v>
      </c>
      <c r="G62" s="314">
        <f>'Szoc.jutt. - 8. mell.'!G28</f>
        <v>0</v>
      </c>
      <c r="H62" s="314">
        <f>'Szoc.jutt. - 8. mell.'!H28</f>
        <v>0</v>
      </c>
      <c r="I62" s="314">
        <f>'Szoc.jutt. - 8. mell.'!I28</f>
        <v>0</v>
      </c>
      <c r="J62" s="314">
        <f>'Szoc.jutt. - 8. mell.'!J28</f>
        <v>0</v>
      </c>
      <c r="K62" s="314">
        <f>'Szoc.jutt. - 8. mell.'!K28</f>
        <v>0</v>
      </c>
      <c r="L62" s="314">
        <f>'Szoc.jutt. - 8. mell.'!L28</f>
        <v>0</v>
      </c>
      <c r="M62" s="314">
        <f>'Szoc.jutt. - 8. mell.'!M28</f>
        <v>0</v>
      </c>
      <c r="N62" s="314">
        <f>'Szoc.jutt. - 8. mell.'!N28</f>
        <v>0</v>
      </c>
      <c r="O62" s="314">
        <f>'Szoc.jutt. - 8. mell.'!O28</f>
        <v>0</v>
      </c>
      <c r="P62" s="314">
        <f>'Szoc.jutt. - 8. mell.'!P28</f>
        <v>0</v>
      </c>
      <c r="Q62" s="314">
        <f>'Szoc.jutt. - 8. mell.'!Q28</f>
        <v>0</v>
      </c>
      <c r="R62" s="314">
        <f>'Szoc.jutt. - 8. mell.'!R28</f>
        <v>0</v>
      </c>
      <c r="S62" s="314">
        <f>'Szoc.jutt. - 8. mell.'!S28</f>
        <v>0</v>
      </c>
      <c r="T62" s="314">
        <f>'Szoc.jutt. - 8. mell.'!T28</f>
        <v>0</v>
      </c>
      <c r="U62" s="314">
        <f>'Szoc.jutt. - 8. mell.'!U28</f>
        <v>0</v>
      </c>
      <c r="V62" s="314">
        <f>'Szoc.jutt. - 8. mell.'!V28</f>
        <v>0</v>
      </c>
      <c r="W62" s="314">
        <f>'Szoc.jutt. - 8. mell.'!W28</f>
        <v>0</v>
      </c>
      <c r="X62" s="314">
        <f>'Szoc.jutt. - 8. mell.'!X28</f>
        <v>0</v>
      </c>
      <c r="Y62" s="314">
        <f>'Szoc.jutt. - 8. mell.'!Y28</f>
        <v>0</v>
      </c>
      <c r="Z62" s="314">
        <f>'Szoc.jutt. - 8. mell.'!Z28</f>
        <v>0</v>
      </c>
      <c r="AA62" s="314">
        <f>'Szoc.jutt. - 8. mell.'!AA28</f>
        <v>0</v>
      </c>
      <c r="AB62" s="314">
        <f>'Szoc.jutt. - 8. mell.'!AB28</f>
        <v>0</v>
      </c>
      <c r="AC62" s="314">
        <f>'Szoc.jutt. - 8. mell.'!AC28</f>
        <v>0</v>
      </c>
      <c r="AD62" s="314">
        <f>'Szoc.jutt. - 8. mell.'!AD28</f>
        <v>0</v>
      </c>
      <c r="AE62" s="314">
        <f>'Szoc.jutt. - 8. mell.'!AE28</f>
        <v>0</v>
      </c>
      <c r="AF62" s="314">
        <f>'Szoc.jutt. - 8. mell.'!AF28</f>
        <v>0</v>
      </c>
      <c r="AG62" s="314">
        <f>'Szoc.jutt. - 8. mell.'!AG28</f>
        <v>0</v>
      </c>
      <c r="AH62" s="314">
        <f>'Szoc.jutt. - 8. mell.'!AH28</f>
        <v>0</v>
      </c>
      <c r="AI62" s="314">
        <f>'Szoc.jutt. - 8. mell.'!AI28</f>
        <v>0</v>
      </c>
      <c r="AJ62" s="314">
        <f>'Szoc.jutt. - 8. mell.'!AJ28</f>
        <v>0</v>
      </c>
      <c r="AK62" s="314">
        <f>'Szoc.jutt. - 8. mell.'!AK28</f>
        <v>0</v>
      </c>
      <c r="AL62" s="314">
        <f>'Szoc.jutt. - 8. mell.'!AL28</f>
        <v>0</v>
      </c>
      <c r="AM62" s="314">
        <f>'Szoc.jutt. - 8. mell.'!AM28</f>
        <v>0</v>
      </c>
      <c r="AN62" s="314">
        <f>'Szoc.jutt. - 8. mell.'!AN28</f>
        <v>0</v>
      </c>
      <c r="AO62" s="314">
        <f>'Szoc.jutt. - 8. mell.'!AO28</f>
        <v>0</v>
      </c>
      <c r="AP62" s="314">
        <f>'Szoc.jutt. - 8. mell.'!AP28</f>
        <v>0</v>
      </c>
      <c r="AQ62" s="314">
        <f>'Szoc.jutt. - 8. mell.'!AQ28</f>
        <v>0</v>
      </c>
      <c r="BI62" s="62">
        <f>SUM(I64:AP64)</f>
        <v>15567267</v>
      </c>
      <c r="BK62" s="698">
        <f t="shared" si="2"/>
        <v>-2304000</v>
      </c>
    </row>
    <row r="63" spans="1:63" s="299" customFormat="1" ht="15" x14ac:dyDescent="0.2">
      <c r="A63" s="323" t="s">
        <v>218</v>
      </c>
      <c r="B63" s="637" t="s">
        <v>219</v>
      </c>
      <c r="C63" s="653">
        <f>'Pénze.átadás - 7. mell.'!C5</f>
        <v>18163453</v>
      </c>
      <c r="D63" s="328">
        <f>'Pénze.átadás - 7. mell.'!D5</f>
        <v>18163453</v>
      </c>
      <c r="E63" s="620">
        <f>'Pénze.átadás - 7. mell.'!E5</f>
        <v>10014389</v>
      </c>
      <c r="F63" s="664">
        <f t="shared" si="3"/>
        <v>0.55134830365129361</v>
      </c>
      <c r="G63" s="198"/>
      <c r="H63" s="198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151"/>
      <c r="AO63" s="62"/>
      <c r="AP63" s="62"/>
      <c r="AQ63" s="248">
        <v>10555551</v>
      </c>
      <c r="BI63" s="62">
        <f>SUM(I65:AP65)</f>
        <v>0</v>
      </c>
      <c r="BK63" s="698">
        <f t="shared" si="2"/>
        <v>0</v>
      </c>
    </row>
    <row r="64" spans="1:63" s="299" customFormat="1" ht="15" x14ac:dyDescent="0.2">
      <c r="A64" s="323" t="s">
        <v>220</v>
      </c>
      <c r="B64" s="637" t="s">
        <v>252</v>
      </c>
      <c r="C64" s="653">
        <f>'Pénze.átadás - 7. mell.'!C11</f>
        <v>21152748</v>
      </c>
      <c r="D64" s="328">
        <f>'Pénze.átadás - 7. mell.'!D11</f>
        <v>21152748</v>
      </c>
      <c r="E64" s="620">
        <f>'Pénze.átadás - 7. mell.'!E11</f>
        <v>8101419</v>
      </c>
      <c r="F64" s="664">
        <f t="shared" si="3"/>
        <v>0.3829960532787513</v>
      </c>
      <c r="G64" s="199"/>
      <c r="H64" s="199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243">
        <v>3000000</v>
      </c>
      <c r="AK64" s="30"/>
      <c r="AL64" s="30"/>
      <c r="AM64" s="30"/>
      <c r="AN64" s="30"/>
      <c r="AO64" s="30"/>
      <c r="AP64" s="243">
        <v>12567267</v>
      </c>
      <c r="AQ64" s="30"/>
      <c r="BI64" s="324">
        <f>'Pénze.átadás - 7. mell.'!AR29</f>
        <v>0</v>
      </c>
      <c r="BK64" s="698">
        <f t="shared" si="2"/>
        <v>0</v>
      </c>
    </row>
    <row r="65" spans="1:63" s="299" customFormat="1" ht="15" x14ac:dyDescent="0.2">
      <c r="A65" s="323" t="s">
        <v>222</v>
      </c>
      <c r="B65" s="638" t="s">
        <v>253</v>
      </c>
      <c r="C65" s="653">
        <f>'Pénze.átadás - 7. mell.'!C12</f>
        <v>0</v>
      </c>
      <c r="D65" s="328">
        <f>'Pénze.átadás - 7. mell.'!D12</f>
        <v>0</v>
      </c>
      <c r="E65" s="620">
        <f>'Pénze.átadás - 7. mell.'!E12</f>
        <v>0</v>
      </c>
      <c r="F65" s="664"/>
      <c r="G65" s="199"/>
      <c r="H65" s="199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BI65" s="62">
        <f>SUM(I67:AP67)</f>
        <v>99231341</v>
      </c>
      <c r="BK65" s="698">
        <f t="shared" si="2"/>
        <v>0</v>
      </c>
    </row>
    <row r="66" spans="1:63" s="299" customFormat="1" ht="15" x14ac:dyDescent="0.2">
      <c r="A66" s="323" t="s">
        <v>225</v>
      </c>
      <c r="B66" s="637" t="s">
        <v>254</v>
      </c>
      <c r="C66" s="653">
        <f>'Pénze.átadás - 7. mell.'!C29</f>
        <v>15246654</v>
      </c>
      <c r="D66" s="328">
        <f>'Pénze.átadás - 7. mell.'!D29</f>
        <v>14929154</v>
      </c>
      <c r="E66" s="620">
        <f>'Pénze.átadás - 7. mell.'!E29</f>
        <v>6462266</v>
      </c>
      <c r="F66" s="664">
        <f t="shared" si="3"/>
        <v>0.43286217022076401</v>
      </c>
      <c r="G66" s="324">
        <f>'Pénze.átadás - 7. mell.'!G29</f>
        <v>0</v>
      </c>
      <c r="H66" s="324">
        <f>'Pénze.átadás - 7. mell.'!H29</f>
        <v>0</v>
      </c>
      <c r="I66" s="324">
        <f>'Pénze.átadás - 7. mell.'!I29</f>
        <v>0</v>
      </c>
      <c r="J66" s="324">
        <f>'Pénze.átadás - 7. mell.'!J29</f>
        <v>0</v>
      </c>
      <c r="K66" s="324">
        <f>'Pénze.átadás - 7. mell.'!K29</f>
        <v>0</v>
      </c>
      <c r="L66" s="324">
        <f>'Pénze.átadás - 7. mell.'!L29</f>
        <v>0</v>
      </c>
      <c r="M66" s="324">
        <f>'Pénze.átadás - 7. mell.'!M29</f>
        <v>0</v>
      </c>
      <c r="N66" s="324">
        <f>'Pénze.átadás - 7. mell.'!N29</f>
        <v>0</v>
      </c>
      <c r="O66" s="324">
        <f>'Pénze.átadás - 7. mell.'!O29</f>
        <v>0</v>
      </c>
      <c r="P66" s="324">
        <f>'Pénze.átadás - 7. mell.'!P29</f>
        <v>0</v>
      </c>
      <c r="Q66" s="324">
        <f>'Pénze.átadás - 7. mell.'!Q29</f>
        <v>0</v>
      </c>
      <c r="R66" s="324">
        <f>'Pénze.átadás - 7. mell.'!R29</f>
        <v>0</v>
      </c>
      <c r="S66" s="324">
        <f>'Pénze.átadás - 7. mell.'!S29</f>
        <v>0</v>
      </c>
      <c r="T66" s="324">
        <f>'Pénze.átadás - 7. mell.'!T29</f>
        <v>0</v>
      </c>
      <c r="U66" s="324">
        <f>'Pénze.átadás - 7. mell.'!U29</f>
        <v>0</v>
      </c>
      <c r="V66" s="324">
        <f>'Pénze.átadás - 7. mell.'!V29</f>
        <v>0</v>
      </c>
      <c r="W66" s="324">
        <f>'Pénze.átadás - 7. mell.'!W29</f>
        <v>0</v>
      </c>
      <c r="X66" s="324">
        <f>'Pénze.átadás - 7. mell.'!X29</f>
        <v>0</v>
      </c>
      <c r="Y66" s="324">
        <f>'Pénze.átadás - 7. mell.'!Y29</f>
        <v>0</v>
      </c>
      <c r="Z66" s="324">
        <f>'Pénze.átadás - 7. mell.'!Z29</f>
        <v>0</v>
      </c>
      <c r="AA66" s="324">
        <f>'Pénze.átadás - 7. mell.'!AA29</f>
        <v>0</v>
      </c>
      <c r="AB66" s="324">
        <f>'Pénze.átadás - 7. mell.'!AB29</f>
        <v>0</v>
      </c>
      <c r="AC66" s="324">
        <f>'Pénze.átadás - 7. mell.'!AC29</f>
        <v>0</v>
      </c>
      <c r="AD66" s="324">
        <f>'Pénze.átadás - 7. mell.'!AD29</f>
        <v>0</v>
      </c>
      <c r="AE66" s="324">
        <f>'Pénze.átadás - 7. mell.'!AE29</f>
        <v>0</v>
      </c>
      <c r="AF66" s="324">
        <f>'Pénze.átadás - 7. mell.'!AF29</f>
        <v>0</v>
      </c>
      <c r="AG66" s="324">
        <f>'Pénze.átadás - 7. mell.'!AG29</f>
        <v>0</v>
      </c>
      <c r="AH66" s="324">
        <f>'Pénze.átadás - 7. mell.'!AH29</f>
        <v>0</v>
      </c>
      <c r="AI66" s="324">
        <f>'Pénze.átadás - 7. mell.'!AI29</f>
        <v>0</v>
      </c>
      <c r="AJ66" s="324">
        <f>'Pénze.átadás - 7. mell.'!AJ29</f>
        <v>0</v>
      </c>
      <c r="AK66" s="324">
        <f>'Pénze.átadás - 7. mell.'!AK29</f>
        <v>0</v>
      </c>
      <c r="AL66" s="324">
        <f>'Pénze.átadás - 7. mell.'!AL29</f>
        <v>0</v>
      </c>
      <c r="AM66" s="324">
        <f>'Pénze.átadás - 7. mell.'!AM29</f>
        <v>0</v>
      </c>
      <c r="AN66" s="324">
        <f>'Pénze.átadás - 7. mell.'!AN29</f>
        <v>0</v>
      </c>
      <c r="AO66" s="324">
        <f>'Pénze.átadás - 7. mell.'!AO29</f>
        <v>0</v>
      </c>
      <c r="AP66" s="324">
        <f>'Pénze.átadás - 7. mell.'!AP29</f>
        <v>0</v>
      </c>
      <c r="AQ66" s="324">
        <f>'Pénze.átadás - 7. mell.'!AQ29</f>
        <v>0</v>
      </c>
      <c r="BI66" s="69">
        <f>SUM(I68:AQ68)</f>
        <v>125354159</v>
      </c>
      <c r="BK66" s="698">
        <f t="shared" si="2"/>
        <v>-317500</v>
      </c>
    </row>
    <row r="67" spans="1:63" s="299" customFormat="1" ht="15" x14ac:dyDescent="0.2">
      <c r="A67" s="323" t="s">
        <v>623</v>
      </c>
      <c r="B67" s="637" t="s">
        <v>226</v>
      </c>
      <c r="C67" s="653">
        <f>'Pénze.átadás - 7. mell.'!C36</f>
        <v>52314000</v>
      </c>
      <c r="D67" s="328">
        <f>'Pénze.átadás - 7. mell.'!D36</f>
        <v>52491869</v>
      </c>
      <c r="E67" s="620">
        <f>'Pénze.átadás - 7. mell.'!E36</f>
        <v>0</v>
      </c>
      <c r="F67" s="664">
        <f t="shared" si="3"/>
        <v>0</v>
      </c>
      <c r="G67" s="199"/>
      <c r="H67" s="19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243">
        <v>99231341</v>
      </c>
      <c r="AM67" s="30"/>
      <c r="AN67" s="30"/>
      <c r="AO67" s="30"/>
      <c r="AP67" s="30"/>
      <c r="AQ67" s="30"/>
      <c r="BI67" s="69">
        <f t="shared" ref="BI67:BI72" si="36">SUM(I69:AP69)</f>
        <v>29415961</v>
      </c>
      <c r="BK67" s="698">
        <f t="shared" si="2"/>
        <v>177869</v>
      </c>
    </row>
    <row r="68" spans="1:63" ht="18" x14ac:dyDescent="0.25">
      <c r="A68" s="313" t="s">
        <v>227</v>
      </c>
      <c r="B68" s="632" t="s">
        <v>228</v>
      </c>
      <c r="C68" s="646">
        <f>SUM(C63:C67)</f>
        <v>106876855</v>
      </c>
      <c r="D68" s="314">
        <f t="shared" ref="D68:E68" si="37">SUM(D63:D67)</f>
        <v>106737224</v>
      </c>
      <c r="E68" s="418">
        <f t="shared" si="37"/>
        <v>24578074</v>
      </c>
      <c r="F68" s="670">
        <f t="shared" si="3"/>
        <v>0.23026712780163741</v>
      </c>
      <c r="G68" s="200"/>
      <c r="H68" s="200"/>
      <c r="I68" s="69">
        <f t="shared" ref="I68:AP68" si="38">SUM(I64:I67)</f>
        <v>0</v>
      </c>
      <c r="J68" s="69">
        <f t="shared" ref="J68:Q68" si="39">SUM(J64:J67)</f>
        <v>0</v>
      </c>
      <c r="K68" s="69">
        <f t="shared" si="39"/>
        <v>0</v>
      </c>
      <c r="L68" s="69">
        <f t="shared" si="39"/>
        <v>0</v>
      </c>
      <c r="M68" s="69">
        <f t="shared" si="39"/>
        <v>0</v>
      </c>
      <c r="N68" s="69">
        <f t="shared" si="39"/>
        <v>0</v>
      </c>
      <c r="O68" s="69">
        <f t="shared" si="39"/>
        <v>0</v>
      </c>
      <c r="P68" s="69">
        <f t="shared" si="39"/>
        <v>0</v>
      </c>
      <c r="Q68" s="69">
        <f t="shared" si="39"/>
        <v>0</v>
      </c>
      <c r="R68" s="69">
        <f t="shared" si="38"/>
        <v>0</v>
      </c>
      <c r="S68" s="69">
        <f>SUM(S64:S67)</f>
        <v>0</v>
      </c>
      <c r="T68" s="69">
        <f>SUM(T64:T67)</f>
        <v>0</v>
      </c>
      <c r="U68" s="69">
        <f>SUM(U64:U67)</f>
        <v>0</v>
      </c>
      <c r="V68" s="69">
        <f t="shared" si="38"/>
        <v>0</v>
      </c>
      <c r="W68" s="69">
        <f t="shared" si="38"/>
        <v>0</v>
      </c>
      <c r="X68" s="69">
        <f t="shared" si="38"/>
        <v>0</v>
      </c>
      <c r="Y68" s="69">
        <f t="shared" si="38"/>
        <v>0</v>
      </c>
      <c r="Z68" s="69">
        <f t="shared" si="38"/>
        <v>0</v>
      </c>
      <c r="AA68" s="69">
        <f t="shared" si="38"/>
        <v>0</v>
      </c>
      <c r="AB68" s="69">
        <f>SUM(AB64:AB67)</f>
        <v>0</v>
      </c>
      <c r="AC68" s="69">
        <f>SUM(AC64:AC67)</f>
        <v>0</v>
      </c>
      <c r="AD68" s="69">
        <f>SUM(AD64:AD67)</f>
        <v>0</v>
      </c>
      <c r="AE68" s="69">
        <f t="shared" si="38"/>
        <v>0</v>
      </c>
      <c r="AF68" s="69">
        <f t="shared" si="38"/>
        <v>0</v>
      </c>
      <c r="AG68" s="69">
        <f t="shared" si="38"/>
        <v>0</v>
      </c>
      <c r="AH68" s="69">
        <f t="shared" si="38"/>
        <v>0</v>
      </c>
      <c r="AI68" s="69">
        <f t="shared" si="38"/>
        <v>0</v>
      </c>
      <c r="AJ68" s="69">
        <f t="shared" si="38"/>
        <v>3000000</v>
      </c>
      <c r="AK68" s="69">
        <f t="shared" si="38"/>
        <v>0</v>
      </c>
      <c r="AL68" s="69">
        <f t="shared" si="38"/>
        <v>99231341</v>
      </c>
      <c r="AM68" s="69">
        <f>SUM(AM64:AM67)</f>
        <v>0</v>
      </c>
      <c r="AN68" s="69">
        <f>SUM(AN63:AN67)</f>
        <v>0</v>
      </c>
      <c r="AO68" s="69">
        <f t="shared" si="38"/>
        <v>0</v>
      </c>
      <c r="AP68" s="244">
        <f t="shared" si="38"/>
        <v>12567267</v>
      </c>
      <c r="AQ68" s="69">
        <f>SUM(AQ63:AQ67)</f>
        <v>10555551</v>
      </c>
      <c r="AR68" s="142"/>
      <c r="BI68" s="69">
        <f t="shared" si="36"/>
        <v>72211298</v>
      </c>
      <c r="BK68" s="698">
        <f t="shared" si="2"/>
        <v>-139631</v>
      </c>
    </row>
    <row r="69" spans="1:63" ht="18" x14ac:dyDescent="0.25">
      <c r="A69" s="313" t="s">
        <v>208</v>
      </c>
      <c r="B69" s="632" t="s">
        <v>256</v>
      </c>
      <c r="C69" s="646">
        <f>'Ber.-felú. - 6. mell.'!C35</f>
        <v>98787800</v>
      </c>
      <c r="D69" s="314">
        <f>'Ber.-felú. - 6. mell.'!D35</f>
        <v>111533827</v>
      </c>
      <c r="E69" s="418">
        <f>'Ber.-felú. - 6. mell.'!E35</f>
        <v>30687451</v>
      </c>
      <c r="F69" s="670">
        <f t="shared" si="3"/>
        <v>0.27514030339871687</v>
      </c>
      <c r="G69" s="200"/>
      <c r="H69" s="200"/>
      <c r="I69" s="69"/>
      <c r="J69" s="69"/>
      <c r="K69" s="69"/>
      <c r="L69" s="69"/>
      <c r="M69" s="69"/>
      <c r="N69" s="244">
        <v>28615861</v>
      </c>
      <c r="O69" s="69"/>
      <c r="P69" s="69"/>
      <c r="Q69" s="69">
        <v>165100</v>
      </c>
      <c r="R69" s="69">
        <f>SUM('Ber.-felú. - 6. mell.'!P35)</f>
        <v>0</v>
      </c>
      <c r="S69" s="69">
        <f>SUM('Ber.-felú. - 6. mell.'!Q35)</f>
        <v>0</v>
      </c>
      <c r="T69" s="69">
        <f>SUM('Ber.-felú. - 6. mell.'!R35)</f>
        <v>0</v>
      </c>
      <c r="U69" s="69">
        <f>SUM('Ber.-felú. - 6. mell.'!S35)</f>
        <v>0</v>
      </c>
      <c r="V69" s="69">
        <f>SUM('Ber.-felú. - 6. mell.'!T35)</f>
        <v>0</v>
      </c>
      <c r="W69" s="69">
        <f>SUM('Ber.-felú. - 6. mell.'!U35)</f>
        <v>0</v>
      </c>
      <c r="X69" s="69">
        <v>635000</v>
      </c>
      <c r="Y69" s="69">
        <f>SUM('Ber.-felú. - 6. mell.'!W35)</f>
        <v>0</v>
      </c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142"/>
      <c r="BI69" s="139">
        <f t="shared" si="36"/>
        <v>0</v>
      </c>
      <c r="BK69" s="698">
        <f t="shared" si="2"/>
        <v>12746027</v>
      </c>
    </row>
    <row r="70" spans="1:63" ht="18" x14ac:dyDescent="0.25">
      <c r="A70" s="313" t="s">
        <v>211</v>
      </c>
      <c r="B70" s="632" t="s">
        <v>257</v>
      </c>
      <c r="C70" s="646">
        <f>'Ber.-felú. - 6. mell.'!C47</f>
        <v>37310978</v>
      </c>
      <c r="D70" s="314">
        <f>'Ber.-felú. - 6. mell.'!D47</f>
        <v>44166427</v>
      </c>
      <c r="E70" s="418">
        <f>'Ber.-felú. - 6. mell.'!E47</f>
        <v>8193054</v>
      </c>
      <c r="F70" s="670">
        <f t="shared" ref="F70:F132" si="40">E70/D70</f>
        <v>0.18550411605629769</v>
      </c>
      <c r="G70" s="200"/>
      <c r="H70" s="200"/>
      <c r="I70" s="69"/>
      <c r="J70" s="244">
        <v>27259631</v>
      </c>
      <c r="K70" s="69"/>
      <c r="L70" s="69"/>
      <c r="M70" s="69"/>
      <c r="N70" s="244">
        <v>44951667</v>
      </c>
      <c r="O70" s="69"/>
      <c r="P70" s="69"/>
      <c r="Q70" s="69"/>
      <c r="R70" s="69">
        <f>SUM('Ber.-felú. - 6. mell.'!P47)</f>
        <v>0</v>
      </c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142"/>
      <c r="BI70" s="139">
        <f t="shared" si="36"/>
        <v>0</v>
      </c>
      <c r="BK70" s="698">
        <f t="shared" ref="BK70:BK133" si="41">D70-C70</f>
        <v>6855449</v>
      </c>
    </row>
    <row r="71" spans="1:63" ht="16.5" x14ac:dyDescent="0.25">
      <c r="A71" s="325" t="s">
        <v>212</v>
      </c>
      <c r="B71" s="633" t="s">
        <v>259</v>
      </c>
      <c r="C71" s="654">
        <v>0</v>
      </c>
      <c r="D71" s="329">
        <f>C71</f>
        <v>0</v>
      </c>
      <c r="E71" s="621">
        <v>0</v>
      </c>
      <c r="F71" s="664"/>
      <c r="G71" s="201"/>
      <c r="H71" s="201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42"/>
      <c r="BI71" s="139">
        <f t="shared" si="36"/>
        <v>0</v>
      </c>
      <c r="BK71" s="698">
        <f t="shared" si="41"/>
        <v>0</v>
      </c>
    </row>
    <row r="72" spans="1:63" ht="16.5" x14ac:dyDescent="0.25">
      <c r="A72" s="325" t="s">
        <v>213</v>
      </c>
      <c r="B72" s="633" t="s">
        <v>260</v>
      </c>
      <c r="C72" s="654">
        <v>0</v>
      </c>
      <c r="D72" s="329">
        <f t="shared" ref="D72:D73" si="42">C72</f>
        <v>0</v>
      </c>
      <c r="E72" s="621">
        <v>0</v>
      </c>
      <c r="F72" s="664"/>
      <c r="G72" s="201"/>
      <c r="H72" s="201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42"/>
      <c r="BI72" s="69">
        <f t="shared" si="36"/>
        <v>0</v>
      </c>
      <c r="BK72" s="698">
        <f t="shared" si="41"/>
        <v>0</v>
      </c>
    </row>
    <row r="73" spans="1:63" ht="16.5" x14ac:dyDescent="0.25">
      <c r="A73" s="325" t="s">
        <v>214</v>
      </c>
      <c r="B73" s="633" t="s">
        <v>261</v>
      </c>
      <c r="C73" s="654">
        <v>0</v>
      </c>
      <c r="D73" s="329">
        <f t="shared" si="42"/>
        <v>0</v>
      </c>
      <c r="E73" s="621">
        <v>0</v>
      </c>
      <c r="F73" s="664"/>
      <c r="G73" s="201"/>
      <c r="H73" s="201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42"/>
      <c r="BI73" s="65">
        <f>SUM(AR23+AR28+BI59+BI60+BI66+BI67+BI68+BI72)</f>
        <v>302403375</v>
      </c>
      <c r="BK73" s="698">
        <f t="shared" si="41"/>
        <v>0</v>
      </c>
    </row>
    <row r="74" spans="1:63" ht="18" x14ac:dyDescent="0.25">
      <c r="A74" s="313" t="s">
        <v>215</v>
      </c>
      <c r="B74" s="632" t="s">
        <v>258</v>
      </c>
      <c r="C74" s="646">
        <f>SUM(C71:C73)</f>
        <v>0</v>
      </c>
      <c r="D74" s="314">
        <f t="shared" ref="D74:E74" si="43">SUM(D71:D73)</f>
        <v>0</v>
      </c>
      <c r="E74" s="418">
        <f t="shared" si="43"/>
        <v>0</v>
      </c>
      <c r="F74" s="670"/>
      <c r="G74" s="200"/>
      <c r="H74" s="200"/>
      <c r="I74" s="69">
        <f t="shared" ref="I74:AQ74" si="44">SUM(I71:I73)</f>
        <v>0</v>
      </c>
      <c r="J74" s="69">
        <f t="shared" si="44"/>
        <v>0</v>
      </c>
      <c r="K74" s="69">
        <f t="shared" si="44"/>
        <v>0</v>
      </c>
      <c r="L74" s="69">
        <f t="shared" si="44"/>
        <v>0</v>
      </c>
      <c r="M74" s="69">
        <f t="shared" si="44"/>
        <v>0</v>
      </c>
      <c r="N74" s="69">
        <f t="shared" si="44"/>
        <v>0</v>
      </c>
      <c r="O74" s="69">
        <f t="shared" si="44"/>
        <v>0</v>
      </c>
      <c r="P74" s="69">
        <f t="shared" si="44"/>
        <v>0</v>
      </c>
      <c r="Q74" s="69">
        <f t="shared" si="44"/>
        <v>0</v>
      </c>
      <c r="R74" s="69">
        <f t="shared" si="44"/>
        <v>0</v>
      </c>
      <c r="S74" s="69">
        <f>SUM(S71:S73)</f>
        <v>0</v>
      </c>
      <c r="T74" s="69">
        <f>SUM(T71:T73)</f>
        <v>0</v>
      </c>
      <c r="U74" s="69">
        <f>SUM(U71:U73)</f>
        <v>0</v>
      </c>
      <c r="V74" s="69">
        <f t="shared" si="44"/>
        <v>0</v>
      </c>
      <c r="W74" s="69">
        <f t="shared" si="44"/>
        <v>0</v>
      </c>
      <c r="X74" s="69">
        <f t="shared" si="44"/>
        <v>0</v>
      </c>
      <c r="Y74" s="69">
        <f t="shared" si="44"/>
        <v>0</v>
      </c>
      <c r="Z74" s="69">
        <f t="shared" si="44"/>
        <v>0</v>
      </c>
      <c r="AA74" s="69">
        <f t="shared" si="44"/>
        <v>0</v>
      </c>
      <c r="AB74" s="69">
        <f>SUM(AB71:AB73)</f>
        <v>0</v>
      </c>
      <c r="AC74" s="69">
        <f>SUM(AC71:AC73)</f>
        <v>0</v>
      </c>
      <c r="AD74" s="69">
        <f t="shared" si="44"/>
        <v>0</v>
      </c>
      <c r="AE74" s="69">
        <f t="shared" si="44"/>
        <v>0</v>
      </c>
      <c r="AF74" s="69">
        <f t="shared" si="44"/>
        <v>0</v>
      </c>
      <c r="AG74" s="69">
        <f t="shared" si="44"/>
        <v>0</v>
      </c>
      <c r="AH74" s="69">
        <f t="shared" si="44"/>
        <v>0</v>
      </c>
      <c r="AI74" s="69">
        <f t="shared" si="44"/>
        <v>0</v>
      </c>
      <c r="AJ74" s="69">
        <f t="shared" si="44"/>
        <v>0</v>
      </c>
      <c r="AK74" s="69">
        <f t="shared" si="44"/>
        <v>0</v>
      </c>
      <c r="AL74" s="69"/>
      <c r="AM74" s="69"/>
      <c r="AN74" s="69">
        <f t="shared" si="44"/>
        <v>0</v>
      </c>
      <c r="AO74" s="69">
        <f t="shared" si="44"/>
        <v>0</v>
      </c>
      <c r="AP74" s="69">
        <f t="shared" si="44"/>
        <v>0</v>
      </c>
      <c r="AQ74" s="69">
        <f t="shared" si="44"/>
        <v>0</v>
      </c>
      <c r="AR74" s="142"/>
      <c r="BI74" s="30">
        <f>SUM(I76:AQ76)</f>
        <v>1578635</v>
      </c>
      <c r="BK74" s="698">
        <f t="shared" si="41"/>
        <v>0</v>
      </c>
    </row>
    <row r="75" spans="1:63" ht="18.75" x14ac:dyDescent="0.25">
      <c r="A75" s="829" t="s">
        <v>652</v>
      </c>
      <c r="B75" s="830"/>
      <c r="C75" s="544">
        <f>SUM(C23,C28,C61,C62,C68,C69,C70,C74)</f>
        <v>363752728</v>
      </c>
      <c r="D75" s="327">
        <f t="shared" ref="D75:E75" si="45">SUM(D23,D28,D61,D62,D68,D69,D70,D74)</f>
        <v>389517413</v>
      </c>
      <c r="E75" s="541">
        <f t="shared" si="45"/>
        <v>124630944</v>
      </c>
      <c r="F75" s="672">
        <f t="shared" si="40"/>
        <v>0.31996244542731134</v>
      </c>
      <c r="G75" s="202"/>
      <c r="H75" s="202"/>
      <c r="I75" s="65">
        <f t="shared" ref="I75:AQ75" si="46">SUM(I23,I28,I61,I62,I68,I69,I70,I74)</f>
        <v>1651000</v>
      </c>
      <c r="J75" s="65">
        <f t="shared" si="46"/>
        <v>31323631</v>
      </c>
      <c r="K75" s="65">
        <f t="shared" si="46"/>
        <v>457200</v>
      </c>
      <c r="L75" s="65">
        <f t="shared" si="46"/>
        <v>474375</v>
      </c>
      <c r="M75" s="65">
        <f t="shared" si="46"/>
        <v>10562390</v>
      </c>
      <c r="N75" s="65">
        <f t="shared" si="46"/>
        <v>75332916</v>
      </c>
      <c r="O75" s="65">
        <f t="shared" si="46"/>
        <v>63500</v>
      </c>
      <c r="P75" s="65">
        <f t="shared" si="46"/>
        <v>13236159</v>
      </c>
      <c r="Q75" s="65">
        <f t="shared" si="46"/>
        <v>1580100</v>
      </c>
      <c r="R75" s="65">
        <f t="shared" si="46"/>
        <v>117600</v>
      </c>
      <c r="S75" s="65">
        <f t="shared" si="46"/>
        <v>203200</v>
      </c>
      <c r="T75" s="65">
        <f t="shared" si="46"/>
        <v>802640</v>
      </c>
      <c r="U75" s="65">
        <f t="shared" si="46"/>
        <v>0</v>
      </c>
      <c r="V75" s="65">
        <f t="shared" si="46"/>
        <v>254000</v>
      </c>
      <c r="W75" s="65">
        <f t="shared" si="46"/>
        <v>1233700</v>
      </c>
      <c r="X75" s="65">
        <f t="shared" si="46"/>
        <v>10596037</v>
      </c>
      <c r="Y75" s="65">
        <f t="shared" si="46"/>
        <v>0</v>
      </c>
      <c r="Z75" s="65">
        <f t="shared" si="46"/>
        <v>6115135</v>
      </c>
      <c r="AA75" s="65">
        <f t="shared" si="46"/>
        <v>5250000</v>
      </c>
      <c r="AB75" s="65">
        <f t="shared" si="46"/>
        <v>0</v>
      </c>
      <c r="AC75" s="65">
        <f t="shared" si="46"/>
        <v>0</v>
      </c>
      <c r="AD75" s="65">
        <f t="shared" si="46"/>
        <v>885715</v>
      </c>
      <c r="AE75" s="65">
        <f t="shared" si="46"/>
        <v>0</v>
      </c>
      <c r="AF75" s="65">
        <f t="shared" si="46"/>
        <v>300000</v>
      </c>
      <c r="AG75" s="65">
        <f t="shared" si="46"/>
        <v>4448600</v>
      </c>
      <c r="AH75" s="65">
        <f t="shared" si="46"/>
        <v>3129103</v>
      </c>
      <c r="AI75" s="65">
        <f t="shared" si="46"/>
        <v>558000</v>
      </c>
      <c r="AJ75" s="65">
        <f t="shared" si="46"/>
        <v>3050000</v>
      </c>
      <c r="AK75" s="65">
        <f t="shared" si="46"/>
        <v>4638400</v>
      </c>
      <c r="AL75" s="65">
        <f t="shared" si="46"/>
        <v>99231341</v>
      </c>
      <c r="AM75" s="65">
        <f t="shared" si="46"/>
        <v>0</v>
      </c>
      <c r="AN75" s="65">
        <f t="shared" si="46"/>
        <v>149500</v>
      </c>
      <c r="AO75" s="65">
        <f t="shared" si="46"/>
        <v>18240311</v>
      </c>
      <c r="AP75" s="65">
        <f t="shared" si="46"/>
        <v>35252992</v>
      </c>
      <c r="AQ75" s="65">
        <f t="shared" si="46"/>
        <v>10555551</v>
      </c>
      <c r="AR75" s="142"/>
      <c r="BI75" s="30">
        <f>SUM(I77:AQ77)</f>
        <v>62937550</v>
      </c>
      <c r="BK75" s="698">
        <f t="shared" si="41"/>
        <v>25764685</v>
      </c>
    </row>
    <row r="76" spans="1:63" ht="15" x14ac:dyDescent="0.2">
      <c r="A76" s="330" t="s">
        <v>534</v>
      </c>
      <c r="B76" s="639" t="s">
        <v>535</v>
      </c>
      <c r="C76" s="655">
        <v>524833</v>
      </c>
      <c r="D76" s="332">
        <f>C76</f>
        <v>524833</v>
      </c>
      <c r="E76" s="622">
        <v>524833</v>
      </c>
      <c r="F76" s="664">
        <f t="shared" si="40"/>
        <v>1</v>
      </c>
      <c r="G76" s="203"/>
      <c r="H76" s="203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243">
        <v>1578635</v>
      </c>
      <c r="AR76" s="142"/>
      <c r="BI76" s="139">
        <f>SUM(I78:AQ78)</f>
        <v>1309508</v>
      </c>
      <c r="BK76" s="698">
        <f t="shared" si="41"/>
        <v>0</v>
      </c>
    </row>
    <row r="77" spans="1:63" s="299" customFormat="1" ht="15" x14ac:dyDescent="0.2">
      <c r="A77" s="330" t="s">
        <v>251</v>
      </c>
      <c r="B77" s="639" t="s">
        <v>68</v>
      </c>
      <c r="C77" s="655">
        <v>69183233</v>
      </c>
      <c r="D77" s="332">
        <f>C77+18641</f>
        <v>69201874</v>
      </c>
      <c r="E77" s="622">
        <v>30592654</v>
      </c>
      <c r="F77" s="664">
        <f t="shared" si="40"/>
        <v>0.442078403830509</v>
      </c>
      <c r="G77" s="204"/>
      <c r="H77" s="204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243">
        <v>62937550</v>
      </c>
      <c r="AN77" s="30"/>
      <c r="AO77" s="30"/>
      <c r="AP77" s="30"/>
      <c r="AQ77" s="30"/>
      <c r="AS77" s="319" t="s">
        <v>655</v>
      </c>
      <c r="BI77" s="69">
        <f>SUM(I79:AP79)</f>
        <v>1309508</v>
      </c>
      <c r="BK77" s="698">
        <f t="shared" si="41"/>
        <v>18641</v>
      </c>
    </row>
    <row r="78" spans="1:63" ht="15" x14ac:dyDescent="0.2">
      <c r="A78" s="331" t="s">
        <v>530</v>
      </c>
      <c r="B78" s="640" t="s">
        <v>531</v>
      </c>
      <c r="C78" s="656">
        <v>332434</v>
      </c>
      <c r="D78" s="332">
        <f t="shared" ref="D78" si="47">C78</f>
        <v>332434</v>
      </c>
      <c r="E78" s="623">
        <v>85163</v>
      </c>
      <c r="F78" s="665">
        <f t="shared" si="40"/>
        <v>0.25618017410974808</v>
      </c>
      <c r="G78" s="203"/>
      <c r="H78" s="203"/>
      <c r="I78" s="155"/>
      <c r="J78" s="155"/>
      <c r="K78" s="155"/>
      <c r="L78" s="155"/>
      <c r="M78" s="155"/>
      <c r="N78" s="249">
        <v>1309508</v>
      </c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42"/>
      <c r="BI78" s="59">
        <f>SUM(I80:AQ80)</f>
        <v>405518789</v>
      </c>
      <c r="BK78" s="698">
        <f t="shared" si="41"/>
        <v>0</v>
      </c>
    </row>
    <row r="79" spans="1:63" ht="18.75" thickBot="1" x14ac:dyDescent="0.3">
      <c r="A79" s="701" t="s">
        <v>363</v>
      </c>
      <c r="B79" s="702" t="s">
        <v>654</v>
      </c>
      <c r="C79" s="703">
        <f>SUM(C76:C78)</f>
        <v>70040500</v>
      </c>
      <c r="D79" s="704">
        <f t="shared" ref="D79" si="48">SUM(D76:D78)</f>
        <v>70059141</v>
      </c>
      <c r="E79" s="705">
        <f t="shared" ref="E79" si="49">SUM(E76:E78)</f>
        <v>31202650</v>
      </c>
      <c r="F79" s="706">
        <f t="shared" si="40"/>
        <v>0.44537585752014858</v>
      </c>
      <c r="G79" s="200"/>
      <c r="H79" s="200"/>
      <c r="I79" s="69">
        <f t="shared" ref="I79:AQ79" si="50">SUM(I76:I78)</f>
        <v>0</v>
      </c>
      <c r="J79" s="69">
        <f t="shared" si="50"/>
        <v>0</v>
      </c>
      <c r="K79" s="69">
        <f t="shared" si="50"/>
        <v>0</v>
      </c>
      <c r="L79" s="69">
        <f t="shared" si="50"/>
        <v>0</v>
      </c>
      <c r="M79" s="69">
        <f t="shared" si="50"/>
        <v>0</v>
      </c>
      <c r="N79" s="69">
        <f t="shared" si="50"/>
        <v>1309508</v>
      </c>
      <c r="O79" s="69">
        <f t="shared" si="50"/>
        <v>0</v>
      </c>
      <c r="P79" s="69">
        <f t="shared" si="50"/>
        <v>0</v>
      </c>
      <c r="Q79" s="69">
        <f t="shared" si="50"/>
        <v>0</v>
      </c>
      <c r="R79" s="69">
        <f t="shared" si="50"/>
        <v>0</v>
      </c>
      <c r="S79" s="69">
        <f>SUM(S76:S78)</f>
        <v>0</v>
      </c>
      <c r="T79" s="69">
        <f>SUM(T76:T78)</f>
        <v>0</v>
      </c>
      <c r="U79" s="69">
        <f>SUM(U76:U78)</f>
        <v>0</v>
      </c>
      <c r="V79" s="69">
        <f t="shared" si="50"/>
        <v>0</v>
      </c>
      <c r="W79" s="69">
        <f t="shared" si="50"/>
        <v>0</v>
      </c>
      <c r="X79" s="69">
        <f t="shared" si="50"/>
        <v>0</v>
      </c>
      <c r="Y79" s="69">
        <f t="shared" si="50"/>
        <v>0</v>
      </c>
      <c r="Z79" s="69">
        <f t="shared" si="50"/>
        <v>0</v>
      </c>
      <c r="AA79" s="69">
        <f t="shared" si="50"/>
        <v>0</v>
      </c>
      <c r="AB79" s="69">
        <f>SUM(AB76:AB78)</f>
        <v>0</v>
      </c>
      <c r="AC79" s="69">
        <f>SUM(AC76:AC78)</f>
        <v>0</v>
      </c>
      <c r="AD79" s="69">
        <f t="shared" si="50"/>
        <v>0</v>
      </c>
      <c r="AE79" s="69">
        <f t="shared" si="50"/>
        <v>0</v>
      </c>
      <c r="AF79" s="69">
        <f t="shared" si="50"/>
        <v>0</v>
      </c>
      <c r="AG79" s="69">
        <f t="shared" si="50"/>
        <v>0</v>
      </c>
      <c r="AH79" s="69">
        <f t="shared" si="50"/>
        <v>0</v>
      </c>
      <c r="AI79" s="69">
        <f t="shared" si="50"/>
        <v>0</v>
      </c>
      <c r="AJ79" s="69">
        <f t="shared" si="50"/>
        <v>0</v>
      </c>
      <c r="AK79" s="69">
        <f t="shared" si="50"/>
        <v>0</v>
      </c>
      <c r="AL79" s="69"/>
      <c r="AM79" s="69"/>
      <c r="AN79" s="69">
        <f t="shared" si="50"/>
        <v>0</v>
      </c>
      <c r="AO79" s="69">
        <f t="shared" si="50"/>
        <v>0</v>
      </c>
      <c r="AP79" s="69">
        <f t="shared" si="50"/>
        <v>0</v>
      </c>
      <c r="AQ79" s="69">
        <f t="shared" si="50"/>
        <v>1578635</v>
      </c>
      <c r="AR79" s="142"/>
      <c r="BI79" s="157"/>
      <c r="BK79" s="698">
        <f t="shared" si="41"/>
        <v>18641</v>
      </c>
    </row>
    <row r="80" spans="1:63" s="299" customFormat="1" ht="19.5" thickBot="1" x14ac:dyDescent="0.3">
      <c r="A80" s="827" t="s">
        <v>653</v>
      </c>
      <c r="B80" s="828"/>
      <c r="C80" s="708">
        <f>C75+C79</f>
        <v>433793228</v>
      </c>
      <c r="D80" s="708">
        <f t="shared" ref="D80:E80" si="51">D75+D79</f>
        <v>459576554</v>
      </c>
      <c r="E80" s="708">
        <f t="shared" si="51"/>
        <v>155833594</v>
      </c>
      <c r="F80" s="709">
        <f t="shared" si="40"/>
        <v>0.33908081829605258</v>
      </c>
      <c r="G80" s="203"/>
      <c r="H80" s="203"/>
      <c r="I80" s="59">
        <f t="shared" ref="I80:AQ80" si="52">SUM(I75:I78)</f>
        <v>1651000</v>
      </c>
      <c r="J80" s="59">
        <f t="shared" si="52"/>
        <v>31323631</v>
      </c>
      <c r="K80" s="59">
        <f t="shared" si="52"/>
        <v>457200</v>
      </c>
      <c r="L80" s="59">
        <f t="shared" si="52"/>
        <v>474375</v>
      </c>
      <c r="M80" s="59">
        <f t="shared" si="52"/>
        <v>10562390</v>
      </c>
      <c r="N80" s="59">
        <f t="shared" si="52"/>
        <v>76642424</v>
      </c>
      <c r="O80" s="59">
        <f t="shared" si="52"/>
        <v>63500</v>
      </c>
      <c r="P80" s="59">
        <f t="shared" si="52"/>
        <v>13236159</v>
      </c>
      <c r="Q80" s="59">
        <f t="shared" si="52"/>
        <v>1580100</v>
      </c>
      <c r="R80" s="59">
        <f t="shared" si="52"/>
        <v>117600</v>
      </c>
      <c r="S80" s="59">
        <f t="shared" si="52"/>
        <v>203200</v>
      </c>
      <c r="T80" s="59">
        <f t="shared" si="52"/>
        <v>802640</v>
      </c>
      <c r="U80" s="59">
        <f t="shared" si="52"/>
        <v>0</v>
      </c>
      <c r="V80" s="59">
        <f t="shared" si="52"/>
        <v>254000</v>
      </c>
      <c r="W80" s="59">
        <f t="shared" si="52"/>
        <v>1233700</v>
      </c>
      <c r="X80" s="59">
        <f t="shared" si="52"/>
        <v>10596037</v>
      </c>
      <c r="Y80" s="59">
        <f t="shared" si="52"/>
        <v>0</v>
      </c>
      <c r="Z80" s="59">
        <f t="shared" si="52"/>
        <v>6115135</v>
      </c>
      <c r="AA80" s="59">
        <f t="shared" si="52"/>
        <v>5250000</v>
      </c>
      <c r="AB80" s="59">
        <f>SUM(AB75:AB78)</f>
        <v>0</v>
      </c>
      <c r="AC80" s="59">
        <f>SUM(AC75:AC78)</f>
        <v>0</v>
      </c>
      <c r="AD80" s="59">
        <f t="shared" si="52"/>
        <v>885715</v>
      </c>
      <c r="AE80" s="59">
        <f t="shared" si="52"/>
        <v>0</v>
      </c>
      <c r="AF80" s="59">
        <f t="shared" si="52"/>
        <v>300000</v>
      </c>
      <c r="AG80" s="59">
        <f t="shared" si="52"/>
        <v>4448600</v>
      </c>
      <c r="AH80" s="59">
        <f t="shared" si="52"/>
        <v>3129103</v>
      </c>
      <c r="AI80" s="59">
        <f t="shared" si="52"/>
        <v>558000</v>
      </c>
      <c r="AJ80" s="59">
        <f t="shared" si="52"/>
        <v>3050000</v>
      </c>
      <c r="AK80" s="59">
        <f t="shared" si="52"/>
        <v>4638400</v>
      </c>
      <c r="AL80" s="59">
        <f t="shared" si="52"/>
        <v>99231341</v>
      </c>
      <c r="AM80" s="59">
        <f t="shared" si="52"/>
        <v>62937550</v>
      </c>
      <c r="AN80" s="59">
        <f t="shared" si="52"/>
        <v>149500</v>
      </c>
      <c r="AO80" s="59">
        <f t="shared" si="52"/>
        <v>18240311</v>
      </c>
      <c r="AP80" s="59">
        <f t="shared" si="52"/>
        <v>35252992</v>
      </c>
      <c r="AQ80" s="59">
        <f t="shared" si="52"/>
        <v>12134186</v>
      </c>
      <c r="BK80" s="698">
        <f t="shared" si="41"/>
        <v>25783326</v>
      </c>
    </row>
    <row r="81" spans="1:63" ht="15" x14ac:dyDescent="0.2">
      <c r="A81" s="334" t="s">
        <v>327</v>
      </c>
      <c r="B81" s="707" t="s">
        <v>333</v>
      </c>
      <c r="C81" s="658">
        <f>'Állami - 5. mell.'!C13</f>
        <v>0</v>
      </c>
      <c r="D81" s="336">
        <f>'Állami - 5. mell.'!D13</f>
        <v>138619</v>
      </c>
      <c r="E81" s="625">
        <f>'Állami - 5. mell.'!E13</f>
        <v>138619</v>
      </c>
      <c r="F81" s="666">
        <f t="shared" si="40"/>
        <v>1</v>
      </c>
      <c r="G81" s="199"/>
      <c r="H81" s="34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40">
        <f t="shared" ref="U81:U86" si="53">SUM(I81:T81)</f>
        <v>0</v>
      </c>
      <c r="V81" s="157"/>
      <c r="W81" s="157"/>
      <c r="X81" s="140"/>
      <c r="Y81" s="234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42"/>
      <c r="BK81" s="699">
        <f t="shared" si="41"/>
        <v>138619</v>
      </c>
    </row>
    <row r="82" spans="1:63" ht="15" x14ac:dyDescent="0.2">
      <c r="A82" s="334" t="s">
        <v>328</v>
      </c>
      <c r="B82" s="641" t="s">
        <v>334</v>
      </c>
      <c r="C82" s="658">
        <f>'Állami - 5. mell.'!C23</f>
        <v>43679600</v>
      </c>
      <c r="D82" s="336">
        <f>'Állami - 5. mell.'!D23</f>
        <v>43679600</v>
      </c>
      <c r="E82" s="625">
        <f>'Állami - 5. mell.'!E23</f>
        <v>22685041</v>
      </c>
      <c r="F82" s="666">
        <f t="shared" si="40"/>
        <v>0.51935093270084887</v>
      </c>
      <c r="G82" s="199"/>
      <c r="H82" s="34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250">
        <v>40800400</v>
      </c>
      <c r="T82" s="136"/>
      <c r="U82" s="140">
        <f t="shared" si="53"/>
        <v>40800400</v>
      </c>
      <c r="V82" s="136"/>
      <c r="W82" s="241"/>
      <c r="X82" s="241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825"/>
      <c r="BK82" s="698">
        <f t="shared" si="41"/>
        <v>0</v>
      </c>
    </row>
    <row r="83" spans="1:63" ht="15" x14ac:dyDescent="0.2">
      <c r="A83" s="333" t="s">
        <v>329</v>
      </c>
      <c r="B83" s="642" t="s">
        <v>335</v>
      </c>
      <c r="C83" s="658">
        <f>'Állami - 5. mell.'!C26</f>
        <v>10447209</v>
      </c>
      <c r="D83" s="336">
        <f>'Állami - 5. mell.'!D26</f>
        <v>10447209</v>
      </c>
      <c r="E83" s="625">
        <f>'Állami - 5. mell.'!E26</f>
        <v>5432550</v>
      </c>
      <c r="F83" s="664">
        <f t="shared" si="40"/>
        <v>0.52000012634953507</v>
      </c>
      <c r="G83" s="199"/>
      <c r="H83" s="34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250">
        <v>11719318</v>
      </c>
      <c r="T83" s="136"/>
      <c r="U83" s="140">
        <f t="shared" si="53"/>
        <v>11719318</v>
      </c>
      <c r="V83" s="136"/>
      <c r="W83" s="241"/>
      <c r="X83" s="241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825"/>
      <c r="BK83" s="698">
        <f t="shared" si="41"/>
        <v>0</v>
      </c>
    </row>
    <row r="84" spans="1:63" ht="15" x14ac:dyDescent="0.2">
      <c r="A84" s="333" t="s">
        <v>330</v>
      </c>
      <c r="B84" s="642" t="s">
        <v>336</v>
      </c>
      <c r="C84" s="658">
        <f>'Állami - 5. mell.'!C32</f>
        <v>2386120</v>
      </c>
      <c r="D84" s="336">
        <f>'Állami - 5. mell.'!D32</f>
        <v>2579950</v>
      </c>
      <c r="E84" s="625">
        <f>'Állami - 5. mell.'!E32</f>
        <v>1434614</v>
      </c>
      <c r="F84" s="664">
        <f t="shared" si="40"/>
        <v>0.55606271439368982</v>
      </c>
      <c r="G84" s="199"/>
      <c r="H84" s="34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250">
        <v>2341350</v>
      </c>
      <c r="T84" s="136"/>
      <c r="U84" s="140">
        <f t="shared" si="53"/>
        <v>2341350</v>
      </c>
      <c r="V84" s="136"/>
      <c r="W84" s="241"/>
      <c r="X84" s="241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825"/>
      <c r="BK84" s="699">
        <f t="shared" si="41"/>
        <v>193830</v>
      </c>
    </row>
    <row r="85" spans="1:63" ht="15" x14ac:dyDescent="0.2">
      <c r="A85" s="333" t="s">
        <v>331</v>
      </c>
      <c r="B85" s="642" t="s">
        <v>398</v>
      </c>
      <c r="C85" s="657">
        <f>'Állami - 5. mell.'!C33</f>
        <v>0</v>
      </c>
      <c r="D85" s="335">
        <f>'Állami - 5. mell.'!D33</f>
        <v>0</v>
      </c>
      <c r="E85" s="624">
        <f>'Állami - 5. mell.'!E33</f>
        <v>0</v>
      </c>
      <c r="F85" s="664"/>
      <c r="G85" s="205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40">
        <f t="shared" si="53"/>
        <v>0</v>
      </c>
      <c r="V85" s="158"/>
      <c r="W85" s="158"/>
      <c r="X85" s="158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76"/>
      <c r="BK85" s="698">
        <f t="shared" si="41"/>
        <v>0</v>
      </c>
    </row>
    <row r="86" spans="1:63" ht="15" x14ac:dyDescent="0.2">
      <c r="A86" s="333" t="s">
        <v>332</v>
      </c>
      <c r="B86" s="642" t="s">
        <v>399</v>
      </c>
      <c r="C86" s="657">
        <f>'Állami - 5. mell.'!C34</f>
        <v>0</v>
      </c>
      <c r="D86" s="335">
        <f>'Állami - 5. mell.'!D34</f>
        <v>0</v>
      </c>
      <c r="E86" s="624">
        <f>'Állami - 5. mell.'!E34</f>
        <v>0</v>
      </c>
      <c r="F86" s="664"/>
      <c r="G86" s="199"/>
      <c r="H86" s="34"/>
      <c r="I86" s="159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40">
        <f t="shared" si="53"/>
        <v>0</v>
      </c>
      <c r="V86" s="158"/>
      <c r="W86" s="158"/>
      <c r="X86" s="158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76"/>
      <c r="BK86" s="698">
        <f t="shared" si="41"/>
        <v>0</v>
      </c>
    </row>
    <row r="87" spans="1:63" ht="16.5" x14ac:dyDescent="0.25">
      <c r="A87" s="302" t="s">
        <v>271</v>
      </c>
      <c r="B87" s="630" t="s">
        <v>265</v>
      </c>
      <c r="C87" s="645">
        <f>SUM(C81:C86)</f>
        <v>56512929</v>
      </c>
      <c r="D87" s="303">
        <f t="shared" ref="D87:E87" si="54">SUM(D81:D86)</f>
        <v>56845378</v>
      </c>
      <c r="E87" s="616">
        <f t="shared" si="54"/>
        <v>29690824</v>
      </c>
      <c r="F87" s="667">
        <f t="shared" si="40"/>
        <v>0.52230849797498047</v>
      </c>
      <c r="G87" s="200"/>
      <c r="H87" s="69"/>
      <c r="I87" s="162">
        <f t="shared" ref="I87:T87" si="55">SUM(I81:I86)</f>
        <v>0</v>
      </c>
      <c r="J87" s="162">
        <f t="shared" si="55"/>
        <v>0</v>
      </c>
      <c r="K87" s="162">
        <f t="shared" si="55"/>
        <v>0</v>
      </c>
      <c r="L87" s="162">
        <f t="shared" si="55"/>
        <v>0</v>
      </c>
      <c r="M87" s="162">
        <f t="shared" si="55"/>
        <v>0</v>
      </c>
      <c r="N87" s="162">
        <f t="shared" si="55"/>
        <v>0</v>
      </c>
      <c r="O87" s="162">
        <f t="shared" si="55"/>
        <v>0</v>
      </c>
      <c r="P87" s="162">
        <f t="shared" si="55"/>
        <v>0</v>
      </c>
      <c r="Q87" s="162">
        <f t="shared" si="55"/>
        <v>0</v>
      </c>
      <c r="R87" s="162">
        <f t="shared" si="55"/>
        <v>0</v>
      </c>
      <c r="S87" s="162" t="e">
        <f>#REF!+S81+S82+S83+S84+S86+S85</f>
        <v>#REF!</v>
      </c>
      <c r="T87" s="162">
        <f t="shared" si="55"/>
        <v>0</v>
      </c>
      <c r="U87" s="162">
        <f>SUM(U81:U86)</f>
        <v>54861068</v>
      </c>
      <c r="V87" s="162"/>
      <c r="W87" s="162"/>
      <c r="X87" s="162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BK87" s="699">
        <f t="shared" si="41"/>
        <v>332449</v>
      </c>
    </row>
    <row r="88" spans="1:63" ht="15" x14ac:dyDescent="0.2">
      <c r="A88" s="333"/>
      <c r="B88" s="642" t="s">
        <v>401</v>
      </c>
      <c r="C88" s="657">
        <v>0</v>
      </c>
      <c r="D88" s="335">
        <f>C88</f>
        <v>0</v>
      </c>
      <c r="E88" s="624">
        <v>0</v>
      </c>
      <c r="F88" s="664"/>
      <c r="G88" s="199"/>
      <c r="H88" s="34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>
        <f>SUM(I88:T88)</f>
        <v>0</v>
      </c>
      <c r="V88" s="158"/>
      <c r="W88" s="158"/>
      <c r="X88" s="158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76"/>
      <c r="BK88" s="698">
        <f t="shared" si="41"/>
        <v>0</v>
      </c>
    </row>
    <row r="89" spans="1:63" ht="15" x14ac:dyDescent="0.2">
      <c r="A89" s="333"/>
      <c r="B89" s="642" t="s">
        <v>397</v>
      </c>
      <c r="C89" s="657">
        <v>0</v>
      </c>
      <c r="D89" s="335">
        <f t="shared" ref="D89:D92" si="56">C89</f>
        <v>0</v>
      </c>
      <c r="E89" s="624">
        <v>832152</v>
      </c>
      <c r="F89" s="664"/>
      <c r="G89" s="199"/>
      <c r="H89" s="34"/>
      <c r="I89" s="159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>
        <f>SUM(I89:T89)</f>
        <v>0</v>
      </c>
      <c r="V89" s="158"/>
      <c r="W89" s="158"/>
      <c r="X89" s="158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76"/>
      <c r="BK89" s="698">
        <f t="shared" si="41"/>
        <v>0</v>
      </c>
    </row>
    <row r="90" spans="1:63" ht="15" x14ac:dyDescent="0.2">
      <c r="A90" s="333"/>
      <c r="B90" s="642" t="s">
        <v>665</v>
      </c>
      <c r="C90" s="657">
        <v>0</v>
      </c>
      <c r="D90" s="335">
        <f>C90</f>
        <v>0</v>
      </c>
      <c r="E90" s="624">
        <v>40000</v>
      </c>
      <c r="F90" s="664"/>
      <c r="G90" s="199"/>
      <c r="H90" s="34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251"/>
      <c r="U90" s="158"/>
      <c r="V90" s="160"/>
      <c r="W90" s="160"/>
      <c r="X90" s="160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BK90" s="698">
        <f t="shared" si="41"/>
        <v>0</v>
      </c>
    </row>
    <row r="91" spans="1:63" ht="15" x14ac:dyDescent="0.2">
      <c r="A91" s="333"/>
      <c r="B91" s="642" t="s">
        <v>664</v>
      </c>
      <c r="C91" s="657">
        <v>112800</v>
      </c>
      <c r="D91" s="335">
        <f t="shared" si="56"/>
        <v>112800</v>
      </c>
      <c r="E91" s="624">
        <v>56400</v>
      </c>
      <c r="F91" s="664">
        <f t="shared" si="40"/>
        <v>0.5</v>
      </c>
      <c r="G91" s="199"/>
      <c r="H91" s="34"/>
      <c r="I91" s="158"/>
      <c r="J91" s="158"/>
      <c r="K91" s="158"/>
      <c r="L91" s="245">
        <v>117600</v>
      </c>
      <c r="M91" s="158"/>
      <c r="N91" s="158"/>
      <c r="O91" s="158"/>
      <c r="P91" s="158"/>
      <c r="Q91" s="158"/>
      <c r="R91" s="158"/>
      <c r="S91" s="158"/>
      <c r="T91" s="158"/>
      <c r="U91" s="158">
        <f>SUM(I91:T91)</f>
        <v>117600</v>
      </c>
      <c r="V91" s="158"/>
      <c r="W91" s="158"/>
      <c r="X91" s="15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76"/>
      <c r="BK91" s="698">
        <f t="shared" si="41"/>
        <v>0</v>
      </c>
    </row>
    <row r="92" spans="1:63" ht="15" x14ac:dyDescent="0.2">
      <c r="A92" s="333"/>
      <c r="B92" s="642" t="s">
        <v>482</v>
      </c>
      <c r="C92" s="657">
        <v>21000000</v>
      </c>
      <c r="D92" s="335">
        <f t="shared" si="56"/>
        <v>21000000</v>
      </c>
      <c r="E92" s="624">
        <v>11131600</v>
      </c>
      <c r="F92" s="664">
        <f t="shared" si="40"/>
        <v>0.53007619047619048</v>
      </c>
      <c r="G92" s="199"/>
      <c r="H92" s="34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251">
        <v>19000000</v>
      </c>
      <c r="U92" s="158">
        <f>SUM(I92:T92)</f>
        <v>19000000</v>
      </c>
      <c r="V92" s="160"/>
      <c r="W92" s="160"/>
      <c r="X92" s="160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BK92" s="698">
        <f t="shared" si="41"/>
        <v>0</v>
      </c>
    </row>
    <row r="93" spans="1:63" ht="16.5" x14ac:dyDescent="0.25">
      <c r="A93" s="302" t="s">
        <v>272</v>
      </c>
      <c r="B93" s="630" t="s">
        <v>266</v>
      </c>
      <c r="C93" s="645">
        <f>SUM(C88:C92)</f>
        <v>21112800</v>
      </c>
      <c r="D93" s="303">
        <f>SUM(D88:D92)</f>
        <v>21112800</v>
      </c>
      <c r="E93" s="616">
        <f>SUM(E88:E92)</f>
        <v>12060152</v>
      </c>
      <c r="F93" s="669">
        <f t="shared" si="40"/>
        <v>0.57122465992194305</v>
      </c>
      <c r="G93" s="206"/>
      <c r="H93" s="225"/>
      <c r="I93" s="161">
        <f t="shared" ref="I93:U93" si="57">SUM(I88:I92)</f>
        <v>0</v>
      </c>
      <c r="J93" s="161">
        <f t="shared" si="57"/>
        <v>0</v>
      </c>
      <c r="K93" s="161">
        <f t="shared" si="57"/>
        <v>0</v>
      </c>
      <c r="L93" s="161">
        <f t="shared" si="57"/>
        <v>117600</v>
      </c>
      <c r="M93" s="161">
        <f t="shared" si="57"/>
        <v>0</v>
      </c>
      <c r="N93" s="161">
        <f t="shared" si="57"/>
        <v>0</v>
      </c>
      <c r="O93" s="161">
        <f t="shared" si="57"/>
        <v>0</v>
      </c>
      <c r="P93" s="161">
        <f t="shared" si="57"/>
        <v>0</v>
      </c>
      <c r="Q93" s="161">
        <f t="shared" si="57"/>
        <v>0</v>
      </c>
      <c r="R93" s="161">
        <f t="shared" si="57"/>
        <v>0</v>
      </c>
      <c r="S93" s="161">
        <f t="shared" si="57"/>
        <v>0</v>
      </c>
      <c r="T93" s="161">
        <f t="shared" si="57"/>
        <v>19000000</v>
      </c>
      <c r="U93" s="168">
        <f t="shared" si="57"/>
        <v>19117600</v>
      </c>
      <c r="V93" s="161"/>
      <c r="W93" s="161"/>
      <c r="X93" s="161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75"/>
      <c r="BK93" s="698">
        <f t="shared" si="41"/>
        <v>0</v>
      </c>
    </row>
    <row r="94" spans="1:63" ht="18" x14ac:dyDescent="0.25">
      <c r="A94" s="313" t="s">
        <v>264</v>
      </c>
      <c r="B94" s="632" t="s">
        <v>269</v>
      </c>
      <c r="C94" s="646">
        <f>SUM(C87+C93)</f>
        <v>77625729</v>
      </c>
      <c r="D94" s="314">
        <f>SUM(D87+D93)</f>
        <v>77958178</v>
      </c>
      <c r="E94" s="418">
        <f>SUM(E87+E93)</f>
        <v>41750976</v>
      </c>
      <c r="F94" s="671">
        <f t="shared" si="40"/>
        <v>0.53555607725978405</v>
      </c>
      <c r="G94" s="207"/>
      <c r="H94" s="66"/>
      <c r="I94" s="164">
        <f t="shared" ref="I94:U94" si="58">SUM(I87+I93)</f>
        <v>0</v>
      </c>
      <c r="J94" s="164">
        <f t="shared" si="58"/>
        <v>0</v>
      </c>
      <c r="K94" s="164">
        <f t="shared" si="58"/>
        <v>0</v>
      </c>
      <c r="L94" s="164">
        <f t="shared" si="58"/>
        <v>117600</v>
      </c>
      <c r="M94" s="164">
        <f t="shared" si="58"/>
        <v>0</v>
      </c>
      <c r="N94" s="164">
        <f t="shared" si="58"/>
        <v>0</v>
      </c>
      <c r="O94" s="164">
        <f t="shared" si="58"/>
        <v>0</v>
      </c>
      <c r="P94" s="164">
        <f t="shared" si="58"/>
        <v>0</v>
      </c>
      <c r="Q94" s="164">
        <f t="shared" si="58"/>
        <v>0</v>
      </c>
      <c r="R94" s="164">
        <f t="shared" si="58"/>
        <v>0</v>
      </c>
      <c r="S94" s="164" t="e">
        <f t="shared" si="58"/>
        <v>#REF!</v>
      </c>
      <c r="T94" s="164">
        <f t="shared" si="58"/>
        <v>19000000</v>
      </c>
      <c r="U94" s="169">
        <f t="shared" si="58"/>
        <v>73978668</v>
      </c>
      <c r="V94" s="161"/>
      <c r="W94" s="161"/>
      <c r="X94" s="161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75"/>
      <c r="BK94" s="699">
        <f t="shared" si="41"/>
        <v>332449</v>
      </c>
    </row>
    <row r="95" spans="1:63" ht="16.5" x14ac:dyDescent="0.25">
      <c r="A95" s="337" t="s">
        <v>276</v>
      </c>
      <c r="B95" s="643" t="s">
        <v>270</v>
      </c>
      <c r="C95" s="659">
        <v>0</v>
      </c>
      <c r="D95" s="339">
        <f>C95</f>
        <v>0</v>
      </c>
      <c r="E95" s="626"/>
      <c r="F95" s="664"/>
      <c r="G95" s="208"/>
      <c r="H95" s="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>
        <v>4104815</v>
      </c>
      <c r="T95" s="163"/>
      <c r="U95" s="163">
        <f>SUM(I95:T95)</f>
        <v>4104815</v>
      </c>
      <c r="V95" s="163"/>
      <c r="W95" s="163"/>
      <c r="X95" s="163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75"/>
      <c r="BK95" s="698">
        <f t="shared" si="41"/>
        <v>0</v>
      </c>
    </row>
    <row r="96" spans="1:63" ht="16.5" x14ac:dyDescent="0.25">
      <c r="A96" s="337" t="s">
        <v>274</v>
      </c>
      <c r="B96" s="643" t="s">
        <v>273</v>
      </c>
      <c r="C96" s="659">
        <v>0</v>
      </c>
      <c r="D96" s="339">
        <f>C96</f>
        <v>0</v>
      </c>
      <c r="E96" s="626">
        <v>1027702</v>
      </c>
      <c r="F96" s="664"/>
      <c r="G96" s="206"/>
      <c r="H96" s="225"/>
      <c r="I96" s="161" t="e">
        <f>SUM(#REF!)</f>
        <v>#REF!</v>
      </c>
      <c r="J96" s="161" t="e">
        <f>SUM(#REF!)</f>
        <v>#REF!</v>
      </c>
      <c r="K96" s="161"/>
      <c r="L96" s="161" t="e">
        <f>SUM(#REF!)</f>
        <v>#REF!</v>
      </c>
      <c r="M96" s="161" t="e">
        <f>SUM(#REF!)</f>
        <v>#REF!</v>
      </c>
      <c r="N96" s="161" t="e">
        <f>SUM(#REF!)</f>
        <v>#REF!</v>
      </c>
      <c r="O96" s="161" t="e">
        <f>SUM(#REF!)</f>
        <v>#REF!</v>
      </c>
      <c r="P96" s="161" t="e">
        <f>SUM(#REF!)</f>
        <v>#REF!</v>
      </c>
      <c r="Q96" s="161" t="e">
        <f>SUM(#REF!)</f>
        <v>#REF!</v>
      </c>
      <c r="R96" s="161" t="e">
        <f>SUM(#REF!)</f>
        <v>#REF!</v>
      </c>
      <c r="S96" s="161" t="e">
        <f>SUM(#REF!)</f>
        <v>#REF!</v>
      </c>
      <c r="T96" s="161" t="e">
        <f>SUM(#REF!)</f>
        <v>#REF!</v>
      </c>
      <c r="U96" s="163" t="e">
        <f>SUM(I96:T96)</f>
        <v>#REF!</v>
      </c>
      <c r="V96" s="161"/>
      <c r="W96" s="161"/>
      <c r="X96" s="161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75"/>
      <c r="BK96" s="698">
        <f t="shared" si="41"/>
        <v>0</v>
      </c>
    </row>
    <row r="97" spans="1:63" ht="18" x14ac:dyDescent="0.25">
      <c r="A97" s="313" t="s">
        <v>275</v>
      </c>
      <c r="B97" s="632" t="s">
        <v>277</v>
      </c>
      <c r="C97" s="646">
        <f>SUM(C95:C96)</f>
        <v>0</v>
      </c>
      <c r="D97" s="314">
        <f t="shared" ref="D97:E97" si="59">SUM(D95:D96)</f>
        <v>0</v>
      </c>
      <c r="E97" s="418">
        <f t="shared" si="59"/>
        <v>1027702</v>
      </c>
      <c r="F97" s="671"/>
      <c r="G97" s="209"/>
      <c r="H97" s="60"/>
      <c r="I97" s="163" t="e">
        <f t="shared" ref="I97:U97" si="60">SUM(I95+I96)</f>
        <v>#REF!</v>
      </c>
      <c r="J97" s="163" t="e">
        <f t="shared" si="60"/>
        <v>#REF!</v>
      </c>
      <c r="K97" s="163">
        <f t="shared" si="60"/>
        <v>0</v>
      </c>
      <c r="L97" s="163" t="e">
        <f t="shared" si="60"/>
        <v>#REF!</v>
      </c>
      <c r="M97" s="163" t="e">
        <f t="shared" si="60"/>
        <v>#REF!</v>
      </c>
      <c r="N97" s="163" t="e">
        <f t="shared" si="60"/>
        <v>#REF!</v>
      </c>
      <c r="O97" s="163" t="e">
        <f t="shared" si="60"/>
        <v>#REF!</v>
      </c>
      <c r="P97" s="163" t="e">
        <f t="shared" si="60"/>
        <v>#REF!</v>
      </c>
      <c r="Q97" s="163" t="e">
        <f t="shared" si="60"/>
        <v>#REF!</v>
      </c>
      <c r="R97" s="163" t="e">
        <f t="shared" si="60"/>
        <v>#REF!</v>
      </c>
      <c r="S97" s="163" t="e">
        <f t="shared" si="60"/>
        <v>#REF!</v>
      </c>
      <c r="T97" s="163" t="e">
        <f t="shared" si="60"/>
        <v>#REF!</v>
      </c>
      <c r="U97" s="163" t="e">
        <f t="shared" si="60"/>
        <v>#REF!</v>
      </c>
      <c r="V97" s="163"/>
      <c r="W97" s="163"/>
      <c r="X97" s="163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75"/>
      <c r="BK97" s="698">
        <f t="shared" si="41"/>
        <v>0</v>
      </c>
    </row>
    <row r="98" spans="1:63" ht="16.5" x14ac:dyDescent="0.25">
      <c r="A98" s="302" t="s">
        <v>278</v>
      </c>
      <c r="B98" s="630" t="s">
        <v>666</v>
      </c>
      <c r="C98" s="645">
        <v>2500000</v>
      </c>
      <c r="D98" s="303">
        <f>C98</f>
        <v>2500000</v>
      </c>
      <c r="E98" s="616">
        <v>1170962</v>
      </c>
      <c r="F98" s="669">
        <f t="shared" si="40"/>
        <v>0.46838479999999999</v>
      </c>
      <c r="G98" s="199"/>
      <c r="H98" s="252">
        <v>2000000</v>
      </c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9">
        <f>SUM(H98:T98)</f>
        <v>2000000</v>
      </c>
      <c r="V98" s="158"/>
      <c r="W98" s="158"/>
      <c r="X98" s="158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76"/>
      <c r="BK98" s="698">
        <f t="shared" si="41"/>
        <v>0</v>
      </c>
    </row>
    <row r="99" spans="1:63" ht="15" x14ac:dyDescent="0.2">
      <c r="A99" s="338" t="s">
        <v>667</v>
      </c>
      <c r="B99" s="644" t="s">
        <v>481</v>
      </c>
      <c r="C99" s="655">
        <v>4200000</v>
      </c>
      <c r="D99" s="332">
        <f>C99</f>
        <v>4200000</v>
      </c>
      <c r="E99" s="622">
        <v>2947286</v>
      </c>
      <c r="F99" s="664">
        <f t="shared" si="40"/>
        <v>0.70173476190476192</v>
      </c>
      <c r="G99" s="199"/>
      <c r="H99" s="252">
        <v>4200000</v>
      </c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7"/>
      <c r="T99" s="160"/>
      <c r="U99" s="159">
        <f>SUM(H99:T99)</f>
        <v>4200000</v>
      </c>
      <c r="V99" s="160"/>
      <c r="W99" s="160"/>
      <c r="X99" s="160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BK99" s="698">
        <f t="shared" si="41"/>
        <v>0</v>
      </c>
    </row>
    <row r="100" spans="1:63" ht="15" x14ac:dyDescent="0.2">
      <c r="A100" s="338" t="s">
        <v>668</v>
      </c>
      <c r="B100" s="644" t="s">
        <v>669</v>
      </c>
      <c r="C100" s="655">
        <v>6500000</v>
      </c>
      <c r="D100" s="332">
        <f t="shared" ref="D100:D107" si="61">C100</f>
        <v>6500000</v>
      </c>
      <c r="E100" s="622">
        <v>2792901</v>
      </c>
      <c r="F100" s="664">
        <f t="shared" si="40"/>
        <v>0.42967707692307694</v>
      </c>
      <c r="G100" s="199"/>
      <c r="H100" s="252">
        <v>7000000</v>
      </c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9">
        <f t="shared" ref="U100:U106" si="62">SUM(H100:T100)</f>
        <v>7000000</v>
      </c>
      <c r="V100" s="158"/>
      <c r="W100" s="158"/>
      <c r="X100" s="15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76"/>
      <c r="BK100" s="698">
        <f t="shared" si="41"/>
        <v>0</v>
      </c>
    </row>
    <row r="101" spans="1:63" ht="16.5" x14ac:dyDescent="0.25">
      <c r="A101" s="302" t="s">
        <v>279</v>
      </c>
      <c r="B101" s="630" t="s">
        <v>679</v>
      </c>
      <c r="C101" s="645">
        <f>SUM(C99:C100)</f>
        <v>10700000</v>
      </c>
      <c r="D101" s="303">
        <f t="shared" ref="D101:E101" si="63">SUM(D99:D100)</f>
        <v>10700000</v>
      </c>
      <c r="E101" s="616">
        <f t="shared" si="63"/>
        <v>5740187</v>
      </c>
      <c r="F101" s="669">
        <f t="shared" si="40"/>
        <v>0.53646607476635511</v>
      </c>
      <c r="G101" s="199"/>
      <c r="H101" s="252">
        <v>2000000</v>
      </c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9">
        <f>SUM(H101:T101)</f>
        <v>2000000</v>
      </c>
      <c r="V101" s="158"/>
      <c r="W101" s="158"/>
      <c r="X101" s="158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76"/>
      <c r="BK101" s="698">
        <f t="shared" si="41"/>
        <v>0</v>
      </c>
    </row>
    <row r="102" spans="1:63" ht="15" x14ac:dyDescent="0.2">
      <c r="A102" s="338" t="s">
        <v>280</v>
      </c>
      <c r="B102" s="644" t="s">
        <v>485</v>
      </c>
      <c r="C102" s="655">
        <v>150000000</v>
      </c>
      <c r="D102" s="332">
        <f t="shared" si="61"/>
        <v>150000000</v>
      </c>
      <c r="E102" s="622">
        <v>77239005</v>
      </c>
      <c r="F102" s="664">
        <f t="shared" si="40"/>
        <v>0.51492669999999996</v>
      </c>
      <c r="G102" s="199"/>
      <c r="H102" s="252">
        <v>140000000</v>
      </c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6"/>
      <c r="T102" s="160"/>
      <c r="U102" s="159">
        <f t="shared" si="62"/>
        <v>140000000</v>
      </c>
      <c r="V102" s="160"/>
      <c r="W102" s="160"/>
      <c r="X102" s="160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BK102" s="698">
        <f t="shared" si="41"/>
        <v>0</v>
      </c>
    </row>
    <row r="103" spans="1:63" ht="15" x14ac:dyDescent="0.2">
      <c r="A103" s="338" t="s">
        <v>281</v>
      </c>
      <c r="B103" s="644" t="s">
        <v>283</v>
      </c>
      <c r="C103" s="655">
        <v>6000000</v>
      </c>
      <c r="D103" s="332">
        <f>C103</f>
        <v>6000000</v>
      </c>
      <c r="E103" s="622">
        <v>4151699</v>
      </c>
      <c r="F103" s="664">
        <f t="shared" si="40"/>
        <v>0.69194983333333338</v>
      </c>
      <c r="G103" s="199"/>
      <c r="H103" s="252">
        <v>6000000</v>
      </c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9">
        <f>SUM(H103:T103)</f>
        <v>6000000</v>
      </c>
      <c r="V103" s="158"/>
      <c r="W103" s="158"/>
      <c r="X103" s="15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76"/>
      <c r="BK103" s="698">
        <f t="shared" si="41"/>
        <v>0</v>
      </c>
    </row>
    <row r="104" spans="1:63" ht="15" x14ac:dyDescent="0.2">
      <c r="A104" s="338" t="s">
        <v>282</v>
      </c>
      <c r="B104" s="644" t="s">
        <v>480</v>
      </c>
      <c r="C104" s="655">
        <v>2000000</v>
      </c>
      <c r="D104" s="332">
        <f t="shared" si="61"/>
        <v>2000000</v>
      </c>
      <c r="E104" s="622">
        <v>801600</v>
      </c>
      <c r="F104" s="664">
        <f t="shared" si="40"/>
        <v>0.40079999999999999</v>
      </c>
      <c r="G104" s="199"/>
      <c r="H104" s="252">
        <v>1500000</v>
      </c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7"/>
      <c r="T104" s="160"/>
      <c r="U104" s="159">
        <f t="shared" si="62"/>
        <v>1500000</v>
      </c>
      <c r="V104" s="160"/>
      <c r="W104" s="160"/>
      <c r="X104" s="160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BK104" s="698">
        <f t="shared" si="41"/>
        <v>0</v>
      </c>
    </row>
    <row r="105" spans="1:63" ht="16.5" x14ac:dyDescent="0.25">
      <c r="A105" s="302" t="s">
        <v>672</v>
      </c>
      <c r="B105" s="630" t="s">
        <v>673</v>
      </c>
      <c r="C105" s="645">
        <f>SUM(C102:C104)</f>
        <v>158000000</v>
      </c>
      <c r="D105" s="303">
        <f t="shared" ref="D105:E105" si="64">SUM(D102:D104)</f>
        <v>158000000</v>
      </c>
      <c r="E105" s="616">
        <f t="shared" si="64"/>
        <v>82192304</v>
      </c>
      <c r="F105" s="669">
        <f t="shared" si="40"/>
        <v>0.52020445569620255</v>
      </c>
      <c r="G105" s="199"/>
      <c r="H105" s="252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7"/>
      <c r="T105" s="160"/>
      <c r="U105" s="159"/>
      <c r="V105" s="160"/>
      <c r="W105" s="160"/>
      <c r="X105" s="160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BK105" s="698">
        <f t="shared" si="41"/>
        <v>0</v>
      </c>
    </row>
    <row r="106" spans="1:63" ht="15" x14ac:dyDescent="0.2">
      <c r="A106" s="338" t="s">
        <v>677</v>
      </c>
      <c r="B106" s="644" t="s">
        <v>670</v>
      </c>
      <c r="C106" s="655">
        <v>50000</v>
      </c>
      <c r="D106" s="332">
        <f t="shared" si="61"/>
        <v>50000</v>
      </c>
      <c r="E106" s="622">
        <v>63000</v>
      </c>
      <c r="F106" s="664">
        <f t="shared" si="40"/>
        <v>1.26</v>
      </c>
      <c r="G106" s="199"/>
      <c r="H106" s="252">
        <v>200000</v>
      </c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9">
        <f t="shared" si="62"/>
        <v>200000</v>
      </c>
      <c r="V106" s="158"/>
      <c r="W106" s="158"/>
      <c r="X106" s="158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76"/>
      <c r="BK106" s="698">
        <f t="shared" si="41"/>
        <v>0</v>
      </c>
    </row>
    <row r="107" spans="1:63" ht="15" x14ac:dyDescent="0.2">
      <c r="A107" s="338" t="s">
        <v>678</v>
      </c>
      <c r="B107" s="644" t="s">
        <v>550</v>
      </c>
      <c r="C107" s="655">
        <v>15000</v>
      </c>
      <c r="D107" s="332">
        <f t="shared" si="61"/>
        <v>15000</v>
      </c>
      <c r="E107" s="622">
        <v>10341</v>
      </c>
      <c r="F107" s="664">
        <f t="shared" si="40"/>
        <v>0.68940000000000001</v>
      </c>
      <c r="G107" s="199"/>
      <c r="H107" s="226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9">
        <f>SUM(H107:T107)+V107</f>
        <v>15000</v>
      </c>
      <c r="V107" s="245">
        <v>15000</v>
      </c>
      <c r="W107" s="158"/>
      <c r="X107" s="158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76"/>
      <c r="BK107" s="698">
        <f t="shared" si="41"/>
        <v>0</v>
      </c>
    </row>
    <row r="108" spans="1:63" ht="15" x14ac:dyDescent="0.2">
      <c r="A108" s="338" t="s">
        <v>676</v>
      </c>
      <c r="B108" s="644" t="s">
        <v>675</v>
      </c>
      <c r="C108" s="655">
        <v>0</v>
      </c>
      <c r="D108" s="332">
        <f>C108</f>
        <v>0</v>
      </c>
      <c r="E108" s="622">
        <v>5000</v>
      </c>
      <c r="F108" s="664"/>
      <c r="G108" s="199"/>
      <c r="H108" s="252">
        <v>200000</v>
      </c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9">
        <f t="shared" ref="U108" si="65">SUM(H108:T108)</f>
        <v>200000</v>
      </c>
      <c r="V108" s="158"/>
      <c r="W108" s="158"/>
      <c r="X108" s="158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76"/>
      <c r="BK108" s="698">
        <f t="shared" si="41"/>
        <v>0</v>
      </c>
    </row>
    <row r="109" spans="1:63" ht="16.5" x14ac:dyDescent="0.25">
      <c r="A109" s="302" t="s">
        <v>671</v>
      </c>
      <c r="B109" s="630" t="s">
        <v>674</v>
      </c>
      <c r="C109" s="645">
        <f>SUM(C106:C108)</f>
        <v>65000</v>
      </c>
      <c r="D109" s="303">
        <f t="shared" ref="D109:E109" si="66">SUM(D106:D108)</f>
        <v>65000</v>
      </c>
      <c r="E109" s="616">
        <f t="shared" si="66"/>
        <v>78341</v>
      </c>
      <c r="F109" s="669">
        <f t="shared" si="40"/>
        <v>1.2052461538461539</v>
      </c>
      <c r="G109" s="199"/>
      <c r="H109" s="252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7"/>
      <c r="T109" s="160"/>
      <c r="U109" s="159"/>
      <c r="V109" s="160"/>
      <c r="W109" s="160"/>
      <c r="X109" s="160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BK109" s="698">
        <f t="shared" si="41"/>
        <v>0</v>
      </c>
    </row>
    <row r="110" spans="1:63" ht="18" x14ac:dyDescent="0.25">
      <c r="A110" s="313" t="s">
        <v>284</v>
      </c>
      <c r="B110" s="632" t="s">
        <v>285</v>
      </c>
      <c r="C110" s="646">
        <f>SUM(C109,C105,C101,C98)</f>
        <v>171265000</v>
      </c>
      <c r="D110" s="314">
        <f t="shared" ref="D110:E110" si="67">SUM(D109,D105,D101,D98)</f>
        <v>171265000</v>
      </c>
      <c r="E110" s="418">
        <f t="shared" si="67"/>
        <v>89181794</v>
      </c>
      <c r="F110" s="671">
        <f t="shared" si="40"/>
        <v>0.52072398913963736</v>
      </c>
      <c r="G110" s="200"/>
      <c r="H110" s="69">
        <f t="shared" ref="H110:U110" si="68">SUM(H98:H107)</f>
        <v>162900000</v>
      </c>
      <c r="I110" s="162">
        <f t="shared" si="68"/>
        <v>0</v>
      </c>
      <c r="J110" s="162">
        <f t="shared" si="68"/>
        <v>0</v>
      </c>
      <c r="K110" s="162">
        <f t="shared" si="68"/>
        <v>0</v>
      </c>
      <c r="L110" s="162">
        <f t="shared" si="68"/>
        <v>0</v>
      </c>
      <c r="M110" s="162">
        <f t="shared" si="68"/>
        <v>0</v>
      </c>
      <c r="N110" s="162">
        <f t="shared" si="68"/>
        <v>0</v>
      </c>
      <c r="O110" s="162">
        <f t="shared" si="68"/>
        <v>0</v>
      </c>
      <c r="P110" s="162">
        <f t="shared" si="68"/>
        <v>0</v>
      </c>
      <c r="Q110" s="162">
        <f t="shared" si="68"/>
        <v>0</v>
      </c>
      <c r="R110" s="162">
        <f t="shared" si="68"/>
        <v>0</v>
      </c>
      <c r="S110" s="162">
        <f t="shared" si="68"/>
        <v>0</v>
      </c>
      <c r="T110" s="162">
        <f t="shared" si="68"/>
        <v>0</v>
      </c>
      <c r="U110" s="162">
        <f t="shared" si="68"/>
        <v>162915000</v>
      </c>
      <c r="V110" s="162"/>
      <c r="W110" s="162"/>
      <c r="X110" s="162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BK110" s="698">
        <f t="shared" si="41"/>
        <v>0</v>
      </c>
    </row>
    <row r="111" spans="1:63" ht="15" x14ac:dyDescent="0.2">
      <c r="A111" s="333" t="s">
        <v>288</v>
      </c>
      <c r="B111" s="642" t="s">
        <v>294</v>
      </c>
      <c r="C111" s="657">
        <v>0</v>
      </c>
      <c r="D111" s="335">
        <f>C111</f>
        <v>0</v>
      </c>
      <c r="E111" s="624"/>
      <c r="F111" s="664"/>
      <c r="G111" s="199"/>
      <c r="H111" s="34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>
        <f>SUM(I111:T111)</f>
        <v>0</v>
      </c>
      <c r="V111" s="158"/>
      <c r="W111" s="158"/>
      <c r="X111" s="158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76"/>
      <c r="BK111" s="698">
        <f t="shared" si="41"/>
        <v>0</v>
      </c>
    </row>
    <row r="112" spans="1:63" ht="15" x14ac:dyDescent="0.2">
      <c r="A112" s="333" t="s">
        <v>289</v>
      </c>
      <c r="B112" s="642" t="s">
        <v>484</v>
      </c>
      <c r="C112" s="657">
        <v>4208581</v>
      </c>
      <c r="D112" s="335">
        <f t="shared" ref="D112:D119" si="69">C112</f>
        <v>4208581</v>
      </c>
      <c r="E112" s="624">
        <v>2288881</v>
      </c>
      <c r="F112" s="664">
        <f t="shared" si="40"/>
        <v>0.54386050785288442</v>
      </c>
      <c r="G112" s="199"/>
      <c r="H112" s="34"/>
      <c r="I112" s="158"/>
      <c r="J112" s="158"/>
      <c r="K112" s="245">
        <v>3743880</v>
      </c>
      <c r="L112" s="158"/>
      <c r="M112" s="245">
        <v>360000</v>
      </c>
      <c r="N112" s="245">
        <v>300000</v>
      </c>
      <c r="O112" s="245">
        <v>25000</v>
      </c>
      <c r="P112" s="245">
        <v>380000</v>
      </c>
      <c r="Q112" s="158"/>
      <c r="R112" s="158"/>
      <c r="S112" s="158"/>
      <c r="T112" s="158"/>
      <c r="U112" s="158">
        <f t="shared" ref="U112:U119" si="70">SUM(I112:T112)</f>
        <v>4808880</v>
      </c>
      <c r="V112" s="158"/>
      <c r="W112" s="158"/>
      <c r="X112" s="158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76"/>
      <c r="BK112" s="698">
        <f t="shared" si="41"/>
        <v>0</v>
      </c>
    </row>
    <row r="113" spans="1:63" ht="15" x14ac:dyDescent="0.2">
      <c r="A113" s="333" t="s">
        <v>290</v>
      </c>
      <c r="B113" s="642" t="s">
        <v>178</v>
      </c>
      <c r="C113" s="657">
        <v>3635000</v>
      </c>
      <c r="D113" s="335">
        <f t="shared" si="69"/>
        <v>3635000</v>
      </c>
      <c r="E113" s="624">
        <v>655607</v>
      </c>
      <c r="F113" s="664">
        <f t="shared" si="40"/>
        <v>0.18035955983493809</v>
      </c>
      <c r="G113" s="199"/>
      <c r="H113" s="34"/>
      <c r="I113" s="158"/>
      <c r="J113" s="158"/>
      <c r="K113" s="158"/>
      <c r="L113" s="158"/>
      <c r="M113" s="158"/>
      <c r="N113" s="158"/>
      <c r="O113" s="158"/>
      <c r="P113" s="158"/>
      <c r="Q113" s="245">
        <v>2030000</v>
      </c>
      <c r="R113" s="245">
        <v>1500000</v>
      </c>
      <c r="S113" s="158"/>
      <c r="T113" s="158"/>
      <c r="U113" s="158">
        <f t="shared" si="70"/>
        <v>3530000</v>
      </c>
      <c r="V113" s="158"/>
      <c r="W113" s="158"/>
      <c r="X113" s="158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76"/>
      <c r="BK113" s="698">
        <f t="shared" si="41"/>
        <v>0</v>
      </c>
    </row>
    <row r="114" spans="1:63" ht="15" x14ac:dyDescent="0.2">
      <c r="A114" s="333" t="s">
        <v>291</v>
      </c>
      <c r="B114" s="642" t="s">
        <v>295</v>
      </c>
      <c r="C114" s="657">
        <v>0</v>
      </c>
      <c r="D114" s="335">
        <f t="shared" si="69"/>
        <v>0</v>
      </c>
      <c r="E114" s="624"/>
      <c r="F114" s="664"/>
      <c r="G114" s="199"/>
      <c r="H114" s="34"/>
      <c r="I114" s="158"/>
      <c r="J114" s="158"/>
      <c r="K114" s="158"/>
      <c r="L114" s="158"/>
      <c r="M114" s="158"/>
      <c r="N114" s="158"/>
      <c r="O114" s="158"/>
      <c r="P114" s="158"/>
      <c r="Q114" s="245"/>
      <c r="R114" s="245"/>
      <c r="S114" s="158"/>
      <c r="T114" s="158"/>
      <c r="U114" s="158">
        <f t="shared" si="70"/>
        <v>0</v>
      </c>
      <c r="V114" s="158"/>
      <c r="W114" s="158"/>
      <c r="X114" s="158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76"/>
      <c r="BK114" s="698">
        <f t="shared" si="41"/>
        <v>0</v>
      </c>
    </row>
    <row r="115" spans="1:63" ht="15" x14ac:dyDescent="0.2">
      <c r="A115" s="333" t="s">
        <v>292</v>
      </c>
      <c r="B115" s="642" t="s">
        <v>296</v>
      </c>
      <c r="C115" s="657">
        <v>2789430</v>
      </c>
      <c r="D115" s="335">
        <f t="shared" si="69"/>
        <v>2789430</v>
      </c>
      <c r="E115" s="624">
        <v>1898615</v>
      </c>
      <c r="F115" s="664">
        <f t="shared" si="40"/>
        <v>0.68064622521447038</v>
      </c>
      <c r="G115" s="199"/>
      <c r="H115" s="34"/>
      <c r="I115" s="158"/>
      <c r="J115" s="245">
        <v>3719147</v>
      </c>
      <c r="K115" s="158"/>
      <c r="L115" s="158"/>
      <c r="M115" s="158"/>
      <c r="N115" s="158"/>
      <c r="O115" s="158"/>
      <c r="P115" s="158"/>
      <c r="Q115" s="245"/>
      <c r="R115" s="245"/>
      <c r="S115" s="158"/>
      <c r="T115" s="158"/>
      <c r="U115" s="158">
        <f t="shared" si="70"/>
        <v>3719147</v>
      </c>
      <c r="V115" s="158"/>
      <c r="W115" s="158"/>
      <c r="X115" s="158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76"/>
      <c r="BK115" s="698">
        <f t="shared" si="41"/>
        <v>0</v>
      </c>
    </row>
    <row r="116" spans="1:63" ht="15" x14ac:dyDescent="0.2">
      <c r="A116" s="333" t="s">
        <v>293</v>
      </c>
      <c r="B116" s="642" t="s">
        <v>339</v>
      </c>
      <c r="C116" s="657">
        <v>1764596</v>
      </c>
      <c r="D116" s="335">
        <f t="shared" si="69"/>
        <v>1764596</v>
      </c>
      <c r="E116" s="624">
        <v>718779</v>
      </c>
      <c r="F116" s="664">
        <f t="shared" si="40"/>
        <v>0.40733346329698128</v>
      </c>
      <c r="G116" s="199"/>
      <c r="H116" s="34"/>
      <c r="I116" s="68"/>
      <c r="J116" s="246">
        <v>1004170</v>
      </c>
      <c r="K116" s="233"/>
      <c r="L116" s="140"/>
      <c r="M116" s="140"/>
      <c r="N116" s="245">
        <v>15000</v>
      </c>
      <c r="O116" s="140"/>
      <c r="P116" s="140"/>
      <c r="Q116" s="245">
        <v>548100</v>
      </c>
      <c r="R116" s="245">
        <v>405000</v>
      </c>
      <c r="S116" s="140"/>
      <c r="T116" s="140"/>
      <c r="U116" s="158">
        <f t="shared" si="70"/>
        <v>1972270</v>
      </c>
      <c r="V116" s="140"/>
      <c r="W116" s="140"/>
      <c r="X116" s="140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76"/>
      <c r="BK116" s="698">
        <f t="shared" si="41"/>
        <v>0</v>
      </c>
    </row>
    <row r="117" spans="1:63" ht="15" x14ac:dyDescent="0.2">
      <c r="A117" s="333" t="s">
        <v>297</v>
      </c>
      <c r="B117" s="642" t="s">
        <v>680</v>
      </c>
      <c r="C117" s="657">
        <v>0</v>
      </c>
      <c r="D117" s="335">
        <f t="shared" si="69"/>
        <v>0</v>
      </c>
      <c r="E117" s="624">
        <v>794000</v>
      </c>
      <c r="F117" s="664"/>
      <c r="G117" s="199"/>
      <c r="H117" s="34"/>
      <c r="I117" s="160"/>
      <c r="J117" s="247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58">
        <f t="shared" si="70"/>
        <v>0</v>
      </c>
      <c r="V117" s="160"/>
      <c r="W117" s="160"/>
      <c r="X117" s="160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BK117" s="698">
        <f t="shared" si="41"/>
        <v>0</v>
      </c>
    </row>
    <row r="118" spans="1:63" s="299" customFormat="1" ht="15" x14ac:dyDescent="0.2">
      <c r="A118" s="333" t="s">
        <v>299</v>
      </c>
      <c r="B118" s="642" t="s">
        <v>300</v>
      </c>
      <c r="C118" s="657">
        <v>0</v>
      </c>
      <c r="D118" s="335">
        <f t="shared" si="69"/>
        <v>0</v>
      </c>
      <c r="E118" s="624">
        <v>80</v>
      </c>
      <c r="F118" s="664"/>
      <c r="G118" s="199"/>
      <c r="H118" s="34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>
        <f t="shared" si="70"/>
        <v>0</v>
      </c>
      <c r="V118" s="158"/>
      <c r="W118" s="158"/>
      <c r="X118" s="158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BK118" s="698">
        <f t="shared" si="41"/>
        <v>0</v>
      </c>
    </row>
    <row r="119" spans="1:63" s="299" customFormat="1" ht="15" x14ac:dyDescent="0.2">
      <c r="A119" s="333" t="s">
        <v>681</v>
      </c>
      <c r="B119" s="642" t="s">
        <v>301</v>
      </c>
      <c r="C119" s="657">
        <v>11000</v>
      </c>
      <c r="D119" s="335">
        <f t="shared" si="69"/>
        <v>11000</v>
      </c>
      <c r="E119" s="624">
        <v>111334</v>
      </c>
      <c r="F119" s="664">
        <f t="shared" si="40"/>
        <v>10.121272727272727</v>
      </c>
      <c r="G119" s="199"/>
      <c r="H119" s="34"/>
      <c r="I119" s="158"/>
      <c r="J119" s="158"/>
      <c r="K119" s="245">
        <v>11000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>
        <f t="shared" si="70"/>
        <v>11000</v>
      </c>
      <c r="V119" s="158"/>
      <c r="W119" s="158"/>
      <c r="X119" s="158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BK119" s="698">
        <f t="shared" si="41"/>
        <v>0</v>
      </c>
    </row>
    <row r="120" spans="1:63" ht="18" x14ac:dyDescent="0.25">
      <c r="A120" s="313" t="s">
        <v>286</v>
      </c>
      <c r="B120" s="632" t="s">
        <v>287</v>
      </c>
      <c r="C120" s="646">
        <f>SUM(C111:C119)</f>
        <v>12408607</v>
      </c>
      <c r="D120" s="314">
        <f t="shared" ref="D120:AR120" si="71">SUM(D111:D119)</f>
        <v>12408607</v>
      </c>
      <c r="E120" s="418">
        <f t="shared" si="71"/>
        <v>6467296</v>
      </c>
      <c r="F120" s="671">
        <f t="shared" si="40"/>
        <v>0.52119436130099051</v>
      </c>
      <c r="G120" s="304">
        <f t="shared" si="71"/>
        <v>0</v>
      </c>
      <c r="H120" s="304">
        <f t="shared" si="71"/>
        <v>0</v>
      </c>
      <c r="I120" s="304">
        <f t="shared" si="71"/>
        <v>0</v>
      </c>
      <c r="J120" s="304">
        <f t="shared" si="71"/>
        <v>4723317</v>
      </c>
      <c r="K120" s="304">
        <f t="shared" si="71"/>
        <v>3754880</v>
      </c>
      <c r="L120" s="304">
        <f t="shared" si="71"/>
        <v>0</v>
      </c>
      <c r="M120" s="304">
        <f t="shared" si="71"/>
        <v>360000</v>
      </c>
      <c r="N120" s="304">
        <f t="shared" si="71"/>
        <v>315000</v>
      </c>
      <c r="O120" s="304">
        <f t="shared" si="71"/>
        <v>25000</v>
      </c>
      <c r="P120" s="304">
        <f t="shared" si="71"/>
        <v>380000</v>
      </c>
      <c r="Q120" s="304">
        <f t="shared" si="71"/>
        <v>2578100</v>
      </c>
      <c r="R120" s="304">
        <f t="shared" si="71"/>
        <v>1905000</v>
      </c>
      <c r="S120" s="304">
        <f t="shared" si="71"/>
        <v>0</v>
      </c>
      <c r="T120" s="304">
        <f t="shared" si="71"/>
        <v>0</v>
      </c>
      <c r="U120" s="304">
        <f t="shared" si="71"/>
        <v>14041297</v>
      </c>
      <c r="V120" s="304">
        <f t="shared" si="71"/>
        <v>0</v>
      </c>
      <c r="W120" s="304">
        <f t="shared" si="71"/>
        <v>0</v>
      </c>
      <c r="X120" s="304">
        <f t="shared" si="71"/>
        <v>0</v>
      </c>
      <c r="Y120" s="304">
        <f t="shared" si="71"/>
        <v>0</v>
      </c>
      <c r="Z120" s="304">
        <f t="shared" si="71"/>
        <v>0</v>
      </c>
      <c r="AA120" s="304">
        <f t="shared" si="71"/>
        <v>0</v>
      </c>
      <c r="AB120" s="304">
        <f t="shared" si="71"/>
        <v>0</v>
      </c>
      <c r="AC120" s="304">
        <f t="shared" si="71"/>
        <v>0</v>
      </c>
      <c r="AD120" s="304">
        <f t="shared" si="71"/>
        <v>0</v>
      </c>
      <c r="AE120" s="304">
        <f t="shared" si="71"/>
        <v>0</v>
      </c>
      <c r="AF120" s="304">
        <f t="shared" si="71"/>
        <v>0</v>
      </c>
      <c r="AG120" s="304">
        <f t="shared" si="71"/>
        <v>0</v>
      </c>
      <c r="AH120" s="304">
        <f t="shared" si="71"/>
        <v>0</v>
      </c>
      <c r="AI120" s="304">
        <f t="shared" si="71"/>
        <v>0</v>
      </c>
      <c r="AJ120" s="304">
        <f t="shared" si="71"/>
        <v>0</v>
      </c>
      <c r="AK120" s="304">
        <f t="shared" si="71"/>
        <v>0</v>
      </c>
      <c r="AL120" s="304">
        <f t="shared" si="71"/>
        <v>0</v>
      </c>
      <c r="AM120" s="304">
        <f t="shared" si="71"/>
        <v>0</v>
      </c>
      <c r="AN120" s="304">
        <f t="shared" si="71"/>
        <v>0</v>
      </c>
      <c r="AO120" s="304">
        <f t="shared" si="71"/>
        <v>0</v>
      </c>
      <c r="AP120" s="304">
        <f t="shared" si="71"/>
        <v>0</v>
      </c>
      <c r="AQ120" s="304">
        <f t="shared" si="71"/>
        <v>0</v>
      </c>
      <c r="AR120" s="304">
        <f t="shared" si="71"/>
        <v>0</v>
      </c>
      <c r="BK120" s="698">
        <f t="shared" si="41"/>
        <v>0</v>
      </c>
    </row>
    <row r="121" spans="1:63" s="299" customFormat="1" ht="16.5" x14ac:dyDescent="0.25">
      <c r="A121" s="325" t="s">
        <v>302</v>
      </c>
      <c r="B121" s="633" t="s">
        <v>304</v>
      </c>
      <c r="C121" s="660">
        <v>460000</v>
      </c>
      <c r="D121" s="340">
        <f>C121</f>
        <v>460000</v>
      </c>
      <c r="E121" s="627">
        <v>215000</v>
      </c>
      <c r="F121" s="664">
        <f t="shared" si="40"/>
        <v>0.46739130434782611</v>
      </c>
      <c r="G121" s="199"/>
      <c r="H121" s="34"/>
      <c r="I121" s="158"/>
      <c r="J121" s="158"/>
      <c r="K121" s="232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>
        <f>SUM(I121:T121)</f>
        <v>0</v>
      </c>
      <c r="V121" s="158"/>
      <c r="W121" s="158"/>
      <c r="X121" s="158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BK121" s="698">
        <f t="shared" si="41"/>
        <v>0</v>
      </c>
    </row>
    <row r="122" spans="1:63" s="299" customFormat="1" ht="16.5" x14ac:dyDescent="0.25">
      <c r="A122" s="325" t="s">
        <v>303</v>
      </c>
      <c r="B122" s="633" t="s">
        <v>305</v>
      </c>
      <c r="C122" s="660">
        <v>0</v>
      </c>
      <c r="D122" s="340">
        <f>C122</f>
        <v>0</v>
      </c>
      <c r="E122" s="627"/>
      <c r="F122" s="664"/>
      <c r="G122" s="199"/>
      <c r="H122" s="34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>
        <f>SUM(I122:T122)</f>
        <v>0</v>
      </c>
      <c r="V122" s="158"/>
      <c r="W122" s="158"/>
      <c r="X122" s="158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BK122" s="698">
        <f t="shared" si="41"/>
        <v>0</v>
      </c>
    </row>
    <row r="123" spans="1:63" s="299" customFormat="1" ht="18" x14ac:dyDescent="0.25">
      <c r="A123" s="313" t="s">
        <v>306</v>
      </c>
      <c r="B123" s="632" t="s">
        <v>307</v>
      </c>
      <c r="C123" s="646">
        <f>SUM(C121:C122)</f>
        <v>460000</v>
      </c>
      <c r="D123" s="314">
        <f t="shared" ref="D123:E123" si="72">SUM(D121:D122)</f>
        <v>460000</v>
      </c>
      <c r="E123" s="418">
        <f t="shared" si="72"/>
        <v>215000</v>
      </c>
      <c r="F123" s="671">
        <f t="shared" si="40"/>
        <v>0.46739130434782611</v>
      </c>
      <c r="G123" s="210"/>
      <c r="H123" s="77"/>
      <c r="I123" s="163">
        <f>SUM(I121:I122)</f>
        <v>0</v>
      </c>
      <c r="J123" s="163">
        <f t="shared" ref="J123:P123" si="73">SUM(J121:J122)</f>
        <v>0</v>
      </c>
      <c r="K123" s="163">
        <f t="shared" si="73"/>
        <v>0</v>
      </c>
      <c r="L123" s="163">
        <f t="shared" si="73"/>
        <v>0</v>
      </c>
      <c r="M123" s="163">
        <f t="shared" si="73"/>
        <v>0</v>
      </c>
      <c r="N123" s="163">
        <f t="shared" si="73"/>
        <v>0</v>
      </c>
      <c r="O123" s="163">
        <f t="shared" si="73"/>
        <v>0</v>
      </c>
      <c r="P123" s="163">
        <f t="shared" si="73"/>
        <v>0</v>
      </c>
      <c r="Q123" s="163">
        <f>SUM(Q121:Q122)</f>
        <v>0</v>
      </c>
      <c r="R123" s="163">
        <f>SUM(R121:R122)</f>
        <v>0</v>
      </c>
      <c r="S123" s="163">
        <f>SUM(S121:S122)</f>
        <v>0</v>
      </c>
      <c r="T123" s="163">
        <f>SUM(T121:T122)</f>
        <v>0</v>
      </c>
      <c r="U123" s="163">
        <f>SUM(U121:U122)</f>
        <v>0</v>
      </c>
      <c r="V123" s="163"/>
      <c r="W123" s="163"/>
      <c r="X123" s="163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BK123" s="698">
        <f t="shared" si="41"/>
        <v>0</v>
      </c>
    </row>
    <row r="124" spans="1:63" s="299" customFormat="1" ht="16.5" x14ac:dyDescent="0.25">
      <c r="A124" s="325" t="s">
        <v>308</v>
      </c>
      <c r="B124" s="633" t="s">
        <v>309</v>
      </c>
      <c r="C124" s="660">
        <v>0</v>
      </c>
      <c r="D124" s="340">
        <f>C124</f>
        <v>0</v>
      </c>
      <c r="E124" s="627"/>
      <c r="F124" s="664"/>
      <c r="G124" s="199"/>
      <c r="H124" s="34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>
        <f>SUM(I124:T124)</f>
        <v>0</v>
      </c>
      <c r="V124" s="158"/>
      <c r="W124" s="158"/>
      <c r="X124" s="158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BK124" s="698">
        <f t="shared" si="41"/>
        <v>0</v>
      </c>
    </row>
    <row r="125" spans="1:63" s="299" customFormat="1" ht="16.5" x14ac:dyDescent="0.25">
      <c r="A125" s="325" t="s">
        <v>683</v>
      </c>
      <c r="B125" s="633" t="s">
        <v>310</v>
      </c>
      <c r="C125" s="660">
        <v>0</v>
      </c>
      <c r="D125" s="340">
        <f>C125+47560</f>
        <v>47560</v>
      </c>
      <c r="E125" s="627">
        <v>363560</v>
      </c>
      <c r="F125" s="664">
        <f t="shared" si="40"/>
        <v>7.6442388561816657</v>
      </c>
      <c r="G125" s="199"/>
      <c r="H125" s="34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>
        <f>SUM(I125:T125)</f>
        <v>0</v>
      </c>
      <c r="V125" s="158"/>
      <c r="W125" s="158"/>
      <c r="X125" s="158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319" t="s">
        <v>684</v>
      </c>
      <c r="BK125" s="699">
        <f t="shared" si="41"/>
        <v>47560</v>
      </c>
    </row>
    <row r="126" spans="1:63" s="299" customFormat="1" ht="18" x14ac:dyDescent="0.25">
      <c r="A126" s="313" t="s">
        <v>311</v>
      </c>
      <c r="B126" s="632" t="s">
        <v>682</v>
      </c>
      <c r="C126" s="646">
        <f>SUM(C124:C125)</f>
        <v>0</v>
      </c>
      <c r="D126" s="314">
        <f t="shared" ref="D126:E126" si="74">SUM(D124:D125)</f>
        <v>47560</v>
      </c>
      <c r="E126" s="418">
        <f t="shared" si="74"/>
        <v>363560</v>
      </c>
      <c r="F126" s="671">
        <f t="shared" si="40"/>
        <v>7.6442388561816657</v>
      </c>
      <c r="G126" s="210"/>
      <c r="H126" s="77"/>
      <c r="I126" s="163">
        <f t="shared" ref="I126:U126" si="75">SUM(I124:I125)</f>
        <v>0</v>
      </c>
      <c r="J126" s="163">
        <f t="shared" si="75"/>
        <v>0</v>
      </c>
      <c r="K126" s="163">
        <f t="shared" si="75"/>
        <v>0</v>
      </c>
      <c r="L126" s="163">
        <f t="shared" si="75"/>
        <v>0</v>
      </c>
      <c r="M126" s="163">
        <f t="shared" si="75"/>
        <v>0</v>
      </c>
      <c r="N126" s="163">
        <f t="shared" si="75"/>
        <v>0</v>
      </c>
      <c r="O126" s="163">
        <f t="shared" si="75"/>
        <v>0</v>
      </c>
      <c r="P126" s="163">
        <f t="shared" si="75"/>
        <v>0</v>
      </c>
      <c r="Q126" s="163">
        <f t="shared" si="75"/>
        <v>0</v>
      </c>
      <c r="R126" s="163">
        <f t="shared" si="75"/>
        <v>0</v>
      </c>
      <c r="S126" s="163">
        <f t="shared" si="75"/>
        <v>0</v>
      </c>
      <c r="T126" s="163">
        <f t="shared" si="75"/>
        <v>0</v>
      </c>
      <c r="U126" s="163">
        <f t="shared" si="75"/>
        <v>0</v>
      </c>
      <c r="V126" s="163"/>
      <c r="W126" s="163"/>
      <c r="X126" s="163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BK126" s="699">
        <f t="shared" si="41"/>
        <v>47560</v>
      </c>
    </row>
    <row r="127" spans="1:63" s="299" customFormat="1" ht="16.5" x14ac:dyDescent="0.25">
      <c r="A127" s="325" t="s">
        <v>315</v>
      </c>
      <c r="B127" s="633" t="s">
        <v>316</v>
      </c>
      <c r="C127" s="660">
        <v>0</v>
      </c>
      <c r="D127" s="340">
        <f>C127</f>
        <v>0</v>
      </c>
      <c r="E127" s="627"/>
      <c r="F127" s="664"/>
      <c r="G127" s="199"/>
      <c r="H127" s="34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>
        <f>W127</f>
        <v>382500</v>
      </c>
      <c r="V127" s="158"/>
      <c r="W127" s="245">
        <v>382500</v>
      </c>
      <c r="X127" s="158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BK127" s="698">
        <f t="shared" si="41"/>
        <v>0</v>
      </c>
    </row>
    <row r="128" spans="1:63" s="299" customFormat="1" ht="16.5" x14ac:dyDescent="0.25">
      <c r="A128" s="325" t="s">
        <v>686</v>
      </c>
      <c r="B128" s="633" t="s">
        <v>317</v>
      </c>
      <c r="C128" s="660">
        <v>2886600</v>
      </c>
      <c r="D128" s="340">
        <f>C128</f>
        <v>2886600</v>
      </c>
      <c r="E128" s="627"/>
      <c r="F128" s="664">
        <f t="shared" si="40"/>
        <v>0</v>
      </c>
      <c r="G128" s="199"/>
      <c r="H128" s="34"/>
      <c r="I128" s="242">
        <v>2886600</v>
      </c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>
        <f>SUM(I128:T128)</f>
        <v>2886600</v>
      </c>
      <c r="V128" s="158"/>
      <c r="W128" s="158"/>
      <c r="X128" s="158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BK128" s="698">
        <f t="shared" si="41"/>
        <v>0</v>
      </c>
    </row>
    <row r="129" spans="1:63" s="299" customFormat="1" ht="18" x14ac:dyDescent="0.25">
      <c r="A129" s="313" t="s">
        <v>312</v>
      </c>
      <c r="B129" s="632" t="s">
        <v>685</v>
      </c>
      <c r="C129" s="646">
        <f>SUM(C127:C128)</f>
        <v>2886600</v>
      </c>
      <c r="D129" s="314">
        <f t="shared" ref="D129:E129" si="76">SUM(D127:D128)</f>
        <v>2886600</v>
      </c>
      <c r="E129" s="418">
        <f t="shared" si="76"/>
        <v>0</v>
      </c>
      <c r="F129" s="671">
        <f t="shared" si="40"/>
        <v>0</v>
      </c>
      <c r="G129" s="210"/>
      <c r="H129" s="77"/>
      <c r="I129" s="163">
        <f>SUM(I127:I128)</f>
        <v>2886600</v>
      </c>
      <c r="J129" s="163">
        <f t="shared" ref="J129:T129" si="77">SUM(J127:J128)</f>
        <v>0</v>
      </c>
      <c r="K129" s="163">
        <f t="shared" si="77"/>
        <v>0</v>
      </c>
      <c r="L129" s="163">
        <f t="shared" si="77"/>
        <v>0</v>
      </c>
      <c r="M129" s="163">
        <f t="shared" si="77"/>
        <v>0</v>
      </c>
      <c r="N129" s="163">
        <f t="shared" si="77"/>
        <v>0</v>
      </c>
      <c r="O129" s="163">
        <f t="shared" si="77"/>
        <v>0</v>
      </c>
      <c r="P129" s="163">
        <f t="shared" si="77"/>
        <v>0</v>
      </c>
      <c r="Q129" s="163">
        <f t="shared" si="77"/>
        <v>0</v>
      </c>
      <c r="R129" s="163">
        <f t="shared" si="77"/>
        <v>0</v>
      </c>
      <c r="S129" s="163">
        <f t="shared" si="77"/>
        <v>0</v>
      </c>
      <c r="T129" s="163">
        <f t="shared" si="77"/>
        <v>0</v>
      </c>
      <c r="U129" s="163">
        <f>SUM(U127:U128)</f>
        <v>3269100</v>
      </c>
      <c r="V129" s="163"/>
      <c r="W129" s="163"/>
      <c r="X129" s="163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BK129" s="698">
        <f t="shared" si="41"/>
        <v>0</v>
      </c>
    </row>
    <row r="130" spans="1:63" s="299" customFormat="1" ht="18.75" x14ac:dyDescent="0.25">
      <c r="A130" s="829" t="s">
        <v>687</v>
      </c>
      <c r="B130" s="830"/>
      <c r="C130" s="544">
        <f>SUM(C94,C97,C110,C123,C126,C129,C120)</f>
        <v>264645936</v>
      </c>
      <c r="D130" s="327">
        <f t="shared" ref="D130:E130" si="78">SUM(D94,D97,D110,D123,D126,D129,D120)</f>
        <v>265025945</v>
      </c>
      <c r="E130" s="541">
        <f t="shared" si="78"/>
        <v>139006328</v>
      </c>
      <c r="F130" s="672">
        <f t="shared" si="40"/>
        <v>0.52450082953199162</v>
      </c>
      <c r="G130" s="197"/>
      <c r="H130" s="59">
        <f>H94+H97+H110+H120+H123+H126+H129</f>
        <v>162900000</v>
      </c>
      <c r="I130" s="165" t="e">
        <f t="shared" ref="I130:Q130" si="79">SUM(I94,I97,I110,I120,I123,I129,I126)</f>
        <v>#REF!</v>
      </c>
      <c r="J130" s="165" t="e">
        <f t="shared" si="79"/>
        <v>#REF!</v>
      </c>
      <c r="K130" s="165">
        <f t="shared" si="79"/>
        <v>3754880</v>
      </c>
      <c r="L130" s="165" t="e">
        <f t="shared" si="79"/>
        <v>#REF!</v>
      </c>
      <c r="M130" s="165" t="e">
        <f t="shared" si="79"/>
        <v>#REF!</v>
      </c>
      <c r="N130" s="165" t="e">
        <f t="shared" si="79"/>
        <v>#REF!</v>
      </c>
      <c r="O130" s="165" t="e">
        <f t="shared" si="79"/>
        <v>#REF!</v>
      </c>
      <c r="P130" s="165" t="e">
        <f t="shared" si="79"/>
        <v>#REF!</v>
      </c>
      <c r="Q130" s="165" t="e">
        <f t="shared" si="79"/>
        <v>#REF!</v>
      </c>
      <c r="R130" s="165" t="e">
        <f>SUM(R94,R97,R110,R120,R123,R129)</f>
        <v>#REF!</v>
      </c>
      <c r="S130" s="165" t="e">
        <f>SUM(S94,S97,S110,S120,S123,S129)</f>
        <v>#REF!</v>
      </c>
      <c r="T130" s="165" t="e">
        <f>SUM(T94,T97,T110,T120,T123,T129)</f>
        <v>#REF!</v>
      </c>
      <c r="U130" s="165" t="e">
        <f>SUM(U94+U97+U110+U120+U123+U126+U129)</f>
        <v>#REF!</v>
      </c>
      <c r="V130" s="163"/>
      <c r="W130" s="163"/>
      <c r="X130" s="163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BK130" s="699">
        <f t="shared" si="41"/>
        <v>380009</v>
      </c>
    </row>
    <row r="131" spans="1:63" ht="15" x14ac:dyDescent="0.2">
      <c r="A131" s="333" t="s">
        <v>319</v>
      </c>
      <c r="B131" s="642" t="s">
        <v>318</v>
      </c>
      <c r="C131" s="657">
        <v>5000000</v>
      </c>
      <c r="D131" s="335">
        <f>C131</f>
        <v>5000000</v>
      </c>
      <c r="E131" s="624"/>
      <c r="F131" s="664">
        <f t="shared" si="40"/>
        <v>0</v>
      </c>
      <c r="G131" s="203"/>
      <c r="H131" s="67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BK131" s="698">
        <f t="shared" si="41"/>
        <v>0</v>
      </c>
    </row>
    <row r="132" spans="1:63" s="299" customFormat="1" ht="15" x14ac:dyDescent="0.2">
      <c r="A132" s="333" t="s">
        <v>320</v>
      </c>
      <c r="B132" s="642" t="s">
        <v>321</v>
      </c>
      <c r="C132" s="657">
        <v>164147292</v>
      </c>
      <c r="D132" s="335">
        <f>C132+25403317</f>
        <v>189550609</v>
      </c>
      <c r="E132" s="624">
        <v>189550609</v>
      </c>
      <c r="F132" s="664">
        <f t="shared" si="40"/>
        <v>1</v>
      </c>
      <c r="G132" s="199"/>
      <c r="H132" s="34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>
        <f>X132</f>
        <v>167515977</v>
      </c>
      <c r="V132" s="158"/>
      <c r="W132" s="158"/>
      <c r="X132" s="158">
        <v>167515977</v>
      </c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319" t="s">
        <v>689</v>
      </c>
      <c r="BK132" s="699">
        <f t="shared" si="41"/>
        <v>25403317</v>
      </c>
    </row>
    <row r="133" spans="1:63" ht="15" x14ac:dyDescent="0.2">
      <c r="A133" s="333" t="s">
        <v>322</v>
      </c>
      <c r="B133" s="642" t="s">
        <v>68</v>
      </c>
      <c r="C133" s="657">
        <v>0</v>
      </c>
      <c r="D133" s="335">
        <f t="shared" ref="D133:D134" si="80">C133</f>
        <v>0</v>
      </c>
      <c r="E133" s="624"/>
      <c r="F133" s="664"/>
      <c r="G133" s="203"/>
      <c r="H133" s="67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BK133" s="698">
        <f t="shared" si="41"/>
        <v>0</v>
      </c>
    </row>
    <row r="134" spans="1:63" ht="15" x14ac:dyDescent="0.2">
      <c r="A134" s="333" t="s">
        <v>323</v>
      </c>
      <c r="B134" s="642" t="s">
        <v>324</v>
      </c>
      <c r="C134" s="657">
        <v>0</v>
      </c>
      <c r="D134" s="335">
        <f t="shared" si="80"/>
        <v>0</v>
      </c>
      <c r="E134" s="624"/>
      <c r="F134" s="664"/>
      <c r="G134" s="203"/>
      <c r="H134" s="67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BK134" s="698">
        <f t="shared" ref="BK134:BK136" si="81">D134-C134</f>
        <v>0</v>
      </c>
    </row>
    <row r="135" spans="1:63" ht="18.75" thickBot="1" x14ac:dyDescent="0.3">
      <c r="A135" s="701" t="s">
        <v>362</v>
      </c>
      <c r="B135" s="702" t="s">
        <v>688</v>
      </c>
      <c r="C135" s="703">
        <f>SUM(C131:C134)</f>
        <v>169147292</v>
      </c>
      <c r="D135" s="704">
        <f t="shared" ref="D135:E135" si="82">SUM(D131:D134)</f>
        <v>194550609</v>
      </c>
      <c r="E135" s="705">
        <f t="shared" si="82"/>
        <v>189550609</v>
      </c>
      <c r="F135" s="710">
        <f t="shared" ref="F135:F136" si="83">E135/D135</f>
        <v>0.97429974634517846</v>
      </c>
      <c r="G135" s="200"/>
      <c r="H135" s="200"/>
      <c r="I135" s="69">
        <f t="shared" ref="I135:AQ135" si="84">SUM(I132:I134)</f>
        <v>0</v>
      </c>
      <c r="J135" s="69">
        <f t="shared" si="84"/>
        <v>0</v>
      </c>
      <c r="K135" s="69">
        <f t="shared" si="84"/>
        <v>0</v>
      </c>
      <c r="L135" s="69">
        <f t="shared" si="84"/>
        <v>0</v>
      </c>
      <c r="M135" s="69">
        <f t="shared" si="84"/>
        <v>0</v>
      </c>
      <c r="N135" s="69">
        <f t="shared" si="84"/>
        <v>0</v>
      </c>
      <c r="O135" s="69">
        <f t="shared" si="84"/>
        <v>0</v>
      </c>
      <c r="P135" s="69">
        <f t="shared" si="84"/>
        <v>0</v>
      </c>
      <c r="Q135" s="69">
        <f t="shared" si="84"/>
        <v>0</v>
      </c>
      <c r="R135" s="69">
        <f t="shared" si="84"/>
        <v>0</v>
      </c>
      <c r="S135" s="69">
        <f>SUM(S132:S134)</f>
        <v>0</v>
      </c>
      <c r="T135" s="69">
        <f>SUM(T132:T134)</f>
        <v>0</v>
      </c>
      <c r="U135" s="69">
        <f>SUM(U132:U134)</f>
        <v>167515977</v>
      </c>
      <c r="V135" s="69">
        <f t="shared" si="84"/>
        <v>0</v>
      </c>
      <c r="W135" s="69">
        <f t="shared" si="84"/>
        <v>0</v>
      </c>
      <c r="X135" s="69">
        <f t="shared" si="84"/>
        <v>167515977</v>
      </c>
      <c r="Y135" s="69">
        <f t="shared" si="84"/>
        <v>0</v>
      </c>
      <c r="Z135" s="69">
        <f t="shared" si="84"/>
        <v>0</v>
      </c>
      <c r="AA135" s="69">
        <f t="shared" si="84"/>
        <v>0</v>
      </c>
      <c r="AB135" s="69">
        <f>SUM(AB132:AB134)</f>
        <v>0</v>
      </c>
      <c r="AC135" s="69">
        <f>SUM(AC132:AC134)</f>
        <v>0</v>
      </c>
      <c r="AD135" s="69">
        <f t="shared" si="84"/>
        <v>0</v>
      </c>
      <c r="AE135" s="69">
        <f t="shared" si="84"/>
        <v>0</v>
      </c>
      <c r="AF135" s="69">
        <f t="shared" si="84"/>
        <v>0</v>
      </c>
      <c r="AG135" s="69">
        <f t="shared" si="84"/>
        <v>0</v>
      </c>
      <c r="AH135" s="69">
        <f t="shared" si="84"/>
        <v>0</v>
      </c>
      <c r="AI135" s="69">
        <f t="shared" si="84"/>
        <v>0</v>
      </c>
      <c r="AJ135" s="69">
        <f t="shared" si="84"/>
        <v>0</v>
      </c>
      <c r="AK135" s="69">
        <f t="shared" si="84"/>
        <v>0</v>
      </c>
      <c r="AL135" s="69"/>
      <c r="AM135" s="69"/>
      <c r="AN135" s="69">
        <f t="shared" si="84"/>
        <v>0</v>
      </c>
      <c r="AO135" s="69">
        <f t="shared" si="84"/>
        <v>0</v>
      </c>
      <c r="AP135" s="69">
        <f t="shared" si="84"/>
        <v>0</v>
      </c>
      <c r="AQ135" s="69">
        <f t="shared" si="84"/>
        <v>0</v>
      </c>
      <c r="AR135" s="69">
        <f t="shared" ref="AR135" si="85">SUM(I135:AP135)</f>
        <v>335031954</v>
      </c>
      <c r="BK135" s="699">
        <f t="shared" si="81"/>
        <v>25403317</v>
      </c>
    </row>
    <row r="136" spans="1:63" ht="19.5" thickBot="1" x14ac:dyDescent="0.3">
      <c r="A136" s="827" t="s">
        <v>690</v>
      </c>
      <c r="B136" s="828"/>
      <c r="C136" s="708">
        <f>SUM(C135,C130)</f>
        <v>433793228</v>
      </c>
      <c r="D136" s="708">
        <f t="shared" ref="D136:E136" si="86">SUM(D135,D130)</f>
        <v>459576554</v>
      </c>
      <c r="E136" s="708">
        <f t="shared" si="86"/>
        <v>328556937</v>
      </c>
      <c r="F136" s="709">
        <f t="shared" si="83"/>
        <v>0.71491231251975484</v>
      </c>
      <c r="G136" s="203"/>
      <c r="H136" s="67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BK136" s="699">
        <f t="shared" si="81"/>
        <v>25783326</v>
      </c>
    </row>
    <row r="137" spans="1:63" ht="14.25" x14ac:dyDescent="0.2">
      <c r="C137" s="305"/>
      <c r="D137" s="305"/>
      <c r="E137" s="305"/>
      <c r="F137" s="679"/>
      <c r="G137" s="211"/>
      <c r="H137" s="211"/>
    </row>
    <row r="138" spans="1:63" ht="14.25" x14ac:dyDescent="0.2">
      <c r="C138" s="305"/>
      <c r="D138" s="305"/>
      <c r="E138" s="305"/>
      <c r="F138" s="679"/>
      <c r="G138" s="211"/>
      <c r="H138" s="211"/>
    </row>
    <row r="139" spans="1:63" ht="18" x14ac:dyDescent="0.25">
      <c r="A139" s="146"/>
      <c r="B139" s="678" t="s">
        <v>115</v>
      </c>
      <c r="C139" s="826">
        <v>9</v>
      </c>
      <c r="D139" s="826"/>
      <c r="E139" s="826"/>
      <c r="G139" s="203"/>
      <c r="H139" s="203"/>
    </row>
    <row r="140" spans="1:63" x14ac:dyDescent="0.2">
      <c r="A140" s="146"/>
      <c r="B140" s="57"/>
      <c r="C140" s="148"/>
      <c r="D140" s="148"/>
      <c r="E140" s="148"/>
    </row>
    <row r="141" spans="1:63" x14ac:dyDescent="0.2">
      <c r="A141" s="146"/>
      <c r="B141" s="57"/>
      <c r="C141" s="148"/>
      <c r="D141" s="148"/>
      <c r="E141" s="148"/>
    </row>
    <row r="142" spans="1:63" x14ac:dyDescent="0.2">
      <c r="A142" s="146"/>
      <c r="B142" s="57"/>
      <c r="C142" s="148"/>
      <c r="D142" s="148"/>
      <c r="E142" s="148"/>
    </row>
    <row r="143" spans="1:63" x14ac:dyDescent="0.2">
      <c r="A143" s="146"/>
      <c r="B143" s="57"/>
      <c r="C143" s="148"/>
      <c r="D143" s="148"/>
      <c r="E143" s="148"/>
    </row>
    <row r="144" spans="1:63" x14ac:dyDescent="0.2">
      <c r="A144" s="146"/>
      <c r="B144" s="57"/>
      <c r="C144" s="148"/>
      <c r="D144" s="148"/>
      <c r="E144" s="148"/>
    </row>
    <row r="145" spans="1:44" x14ac:dyDescent="0.2">
      <c r="A145" s="146"/>
      <c r="B145" s="57"/>
      <c r="C145" s="148"/>
      <c r="D145" s="148"/>
      <c r="E145" s="148"/>
    </row>
    <row r="146" spans="1:44" x14ac:dyDescent="0.2">
      <c r="A146" s="146"/>
      <c r="B146" s="57"/>
      <c r="C146" s="148"/>
      <c r="D146" s="148"/>
      <c r="E146" s="148"/>
    </row>
    <row r="147" spans="1:44" x14ac:dyDescent="0.2">
      <c r="A147" s="146"/>
      <c r="B147" s="57"/>
      <c r="C147" s="148"/>
      <c r="D147" s="148"/>
      <c r="E147" s="148"/>
    </row>
    <row r="148" spans="1:44" x14ac:dyDescent="0.2">
      <c r="A148" s="146"/>
      <c r="B148" s="57"/>
      <c r="C148" s="148"/>
      <c r="D148" s="148"/>
      <c r="E148" s="148"/>
    </row>
    <row r="149" spans="1:44" x14ac:dyDescent="0.2">
      <c r="A149" s="146"/>
      <c r="B149" s="57"/>
      <c r="C149" s="148"/>
      <c r="D149" s="148"/>
      <c r="E149" s="148"/>
    </row>
    <row r="150" spans="1:44" x14ac:dyDescent="0.2">
      <c r="A150" s="146"/>
      <c r="B150" s="57"/>
      <c r="C150" s="148"/>
      <c r="D150" s="148"/>
      <c r="E150" s="148"/>
    </row>
    <row r="151" spans="1:44" x14ac:dyDescent="0.2">
      <c r="A151" s="146"/>
      <c r="B151" s="57"/>
      <c r="C151" s="148"/>
      <c r="D151" s="148"/>
      <c r="E151" s="148"/>
    </row>
    <row r="152" spans="1:44" x14ac:dyDescent="0.2">
      <c r="A152" s="146"/>
      <c r="B152" s="57"/>
      <c r="C152" s="148"/>
      <c r="D152" s="148"/>
      <c r="E152" s="148"/>
    </row>
    <row r="153" spans="1:44" x14ac:dyDescent="0.2">
      <c r="A153" s="146"/>
      <c r="B153" s="57"/>
      <c r="C153" s="148"/>
      <c r="D153" s="148"/>
      <c r="E153" s="148"/>
    </row>
    <row r="154" spans="1:44" x14ac:dyDescent="0.2">
      <c r="A154" s="146"/>
      <c r="B154" s="57"/>
      <c r="C154" s="148"/>
      <c r="D154" s="148"/>
      <c r="E154" s="148"/>
    </row>
    <row r="155" spans="1:44" x14ac:dyDescent="0.2">
      <c r="A155" s="146"/>
      <c r="B155" s="57"/>
      <c r="C155" s="148"/>
      <c r="D155" s="148"/>
      <c r="E155" s="148"/>
    </row>
    <row r="156" spans="1:44" x14ac:dyDescent="0.2">
      <c r="A156" s="146"/>
      <c r="B156" s="255"/>
      <c r="C156" s="147"/>
      <c r="D156" s="147"/>
      <c r="E156" s="147"/>
    </row>
    <row r="157" spans="1:44" s="299" customFormat="1" x14ac:dyDescent="0.2">
      <c r="A157" s="146"/>
      <c r="B157" s="56"/>
      <c r="C157" s="58"/>
      <c r="D157" s="58"/>
      <c r="E157" s="58"/>
      <c r="F157" s="681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</row>
    <row r="158" spans="1:44" x14ac:dyDescent="0.2">
      <c r="A158" s="149"/>
      <c r="B158" s="150"/>
      <c r="C158" s="148"/>
      <c r="D158" s="148"/>
      <c r="E158" s="148"/>
    </row>
    <row r="159" spans="1:44" x14ac:dyDescent="0.2">
      <c r="A159" s="146"/>
      <c r="B159" s="57"/>
      <c r="C159" s="148"/>
      <c r="D159" s="148"/>
      <c r="E159" s="148"/>
    </row>
    <row r="160" spans="1:44" x14ac:dyDescent="0.2">
      <c r="A160" s="146"/>
      <c r="B160" s="57"/>
      <c r="C160" s="148"/>
      <c r="D160" s="148"/>
      <c r="E160" s="148"/>
    </row>
    <row r="161" spans="1:44" x14ac:dyDescent="0.2">
      <c r="A161" s="146"/>
      <c r="B161" s="57"/>
      <c r="C161" s="148"/>
      <c r="D161" s="148"/>
      <c r="E161" s="148"/>
    </row>
    <row r="162" spans="1:44" x14ac:dyDescent="0.2">
      <c r="A162" s="146"/>
      <c r="B162" s="57"/>
      <c r="C162" s="148"/>
      <c r="D162" s="148"/>
      <c r="E162" s="148"/>
    </row>
    <row r="163" spans="1:44" x14ac:dyDescent="0.2">
      <c r="A163" s="146"/>
      <c r="B163" s="57"/>
      <c r="C163" s="148"/>
      <c r="D163" s="148"/>
      <c r="E163" s="148"/>
    </row>
    <row r="164" spans="1:44" x14ac:dyDescent="0.2">
      <c r="A164" s="146"/>
      <c r="B164" s="57"/>
      <c r="C164" s="148"/>
      <c r="D164" s="148"/>
      <c r="E164" s="148"/>
    </row>
    <row r="165" spans="1:44" x14ac:dyDescent="0.2">
      <c r="A165" s="146"/>
      <c r="B165" s="57"/>
      <c r="C165" s="148"/>
      <c r="D165" s="148"/>
      <c r="E165" s="148"/>
    </row>
    <row r="166" spans="1:44" x14ac:dyDescent="0.2">
      <c r="A166" s="146"/>
      <c r="B166" s="255"/>
      <c r="C166" s="147"/>
      <c r="D166" s="147"/>
      <c r="E166" s="147"/>
    </row>
    <row r="167" spans="1:44" s="299" customFormat="1" x14ac:dyDescent="0.2">
      <c r="A167" s="146"/>
      <c r="B167" s="56"/>
      <c r="C167" s="58"/>
      <c r="D167" s="58"/>
      <c r="E167" s="58"/>
      <c r="F167" s="681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</row>
    <row r="168" spans="1:44" x14ac:dyDescent="0.2">
      <c r="A168" s="149"/>
      <c r="B168" s="150"/>
      <c r="C168" s="148"/>
      <c r="D168" s="148"/>
      <c r="E168" s="148"/>
    </row>
    <row r="169" spans="1:44" x14ac:dyDescent="0.2">
      <c r="A169" s="146"/>
      <c r="B169" s="57"/>
      <c r="C169" s="148"/>
      <c r="D169" s="148"/>
      <c r="E169" s="148"/>
    </row>
    <row r="170" spans="1:44" x14ac:dyDescent="0.2">
      <c r="A170" s="146"/>
      <c r="B170" s="57"/>
      <c r="C170" s="148"/>
      <c r="D170" s="148"/>
      <c r="E170" s="148"/>
    </row>
    <row r="171" spans="1:44" x14ac:dyDescent="0.2">
      <c r="A171" s="146"/>
      <c r="B171" s="57"/>
      <c r="C171" s="148"/>
      <c r="D171" s="148"/>
      <c r="E171" s="148"/>
    </row>
    <row r="172" spans="1:44" x14ac:dyDescent="0.2">
      <c r="A172" s="146"/>
      <c r="B172" s="57"/>
      <c r="C172" s="148"/>
      <c r="D172" s="148"/>
      <c r="E172" s="148"/>
    </row>
    <row r="173" spans="1:44" x14ac:dyDescent="0.2">
      <c r="A173" s="146"/>
      <c r="B173" s="57"/>
      <c r="C173" s="148"/>
      <c r="D173" s="148"/>
      <c r="E173" s="148"/>
    </row>
    <row r="174" spans="1:44" x14ac:dyDescent="0.2">
      <c r="A174" s="146"/>
      <c r="B174" s="57"/>
      <c r="C174" s="148"/>
      <c r="D174" s="148"/>
      <c r="E174" s="148"/>
    </row>
    <row r="175" spans="1:44" x14ac:dyDescent="0.2">
      <c r="A175" s="146"/>
      <c r="B175" s="57"/>
      <c r="C175" s="148"/>
      <c r="D175" s="148"/>
      <c r="E175" s="148"/>
    </row>
    <row r="176" spans="1:44" x14ac:dyDescent="0.2">
      <c r="A176" s="146"/>
      <c r="B176" s="255"/>
      <c r="C176" s="147"/>
      <c r="D176" s="147"/>
      <c r="E176" s="147"/>
    </row>
    <row r="177" spans="1:44" s="299" customFormat="1" x14ac:dyDescent="0.2">
      <c r="A177" s="146"/>
      <c r="B177" s="56"/>
      <c r="C177" s="58"/>
      <c r="D177" s="58"/>
      <c r="E177" s="58"/>
      <c r="F177" s="681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205"/>
      <c r="Y177" s="205"/>
      <c r="Z177" s="205"/>
      <c r="AA177" s="205"/>
      <c r="AB177" s="205"/>
      <c r="AC177" s="205"/>
      <c r="AD177" s="205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</row>
    <row r="178" spans="1:44" x14ac:dyDescent="0.2">
      <c r="A178" s="149"/>
      <c r="B178" s="150"/>
      <c r="C178" s="148"/>
      <c r="D178" s="148"/>
      <c r="E178" s="148"/>
    </row>
    <row r="179" spans="1:44" x14ac:dyDescent="0.2">
      <c r="A179" s="146"/>
      <c r="B179" s="57"/>
      <c r="C179" s="148"/>
      <c r="D179" s="148"/>
      <c r="E179" s="148"/>
    </row>
    <row r="180" spans="1:44" x14ac:dyDescent="0.2">
      <c r="A180" s="146"/>
      <c r="B180" s="57"/>
      <c r="C180" s="148"/>
      <c r="D180" s="148"/>
      <c r="E180" s="148"/>
    </row>
    <row r="181" spans="1:44" x14ac:dyDescent="0.2">
      <c r="A181" s="146"/>
      <c r="B181" s="57"/>
      <c r="C181" s="148"/>
      <c r="D181" s="148"/>
      <c r="E181" s="148"/>
    </row>
    <row r="182" spans="1:44" x14ac:dyDescent="0.2">
      <c r="A182" s="146"/>
      <c r="B182" s="57"/>
      <c r="C182" s="148"/>
      <c r="D182" s="148"/>
      <c r="E182" s="148"/>
    </row>
    <row r="183" spans="1:44" x14ac:dyDescent="0.2">
      <c r="A183" s="146"/>
      <c r="B183" s="57"/>
      <c r="C183" s="148"/>
      <c r="D183" s="148"/>
      <c r="E183" s="148"/>
    </row>
    <row r="184" spans="1:44" x14ac:dyDescent="0.2">
      <c r="A184" s="146"/>
      <c r="B184" s="57"/>
      <c r="C184" s="148"/>
      <c r="D184" s="148"/>
      <c r="E184" s="148"/>
    </row>
    <row r="185" spans="1:44" x14ac:dyDescent="0.2">
      <c r="A185" s="146"/>
      <c r="B185" s="57"/>
      <c r="C185" s="148"/>
      <c r="D185" s="148"/>
      <c r="E185" s="148"/>
    </row>
    <row r="186" spans="1:44" x14ac:dyDescent="0.2">
      <c r="A186" s="146"/>
      <c r="B186" s="255"/>
      <c r="C186" s="147"/>
      <c r="D186" s="147"/>
      <c r="E186" s="147"/>
    </row>
    <row r="187" spans="1:44" s="299" customFormat="1" x14ac:dyDescent="0.2">
      <c r="A187" s="146"/>
      <c r="B187" s="56"/>
      <c r="C187" s="58"/>
      <c r="D187" s="58"/>
      <c r="E187" s="58"/>
      <c r="F187" s="681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</row>
    <row r="188" spans="1:44" x14ac:dyDescent="0.2">
      <c r="A188" s="149"/>
      <c r="B188" s="150"/>
      <c r="C188" s="148"/>
      <c r="D188" s="148"/>
      <c r="E188" s="148"/>
    </row>
    <row r="189" spans="1:44" x14ac:dyDescent="0.2">
      <c r="A189" s="146"/>
      <c r="B189" s="57"/>
      <c r="C189" s="148"/>
      <c r="D189" s="148"/>
      <c r="E189" s="148"/>
    </row>
    <row r="190" spans="1:44" x14ac:dyDescent="0.2">
      <c r="A190" s="146"/>
      <c r="B190" s="57"/>
      <c r="C190" s="148"/>
      <c r="D190" s="148"/>
      <c r="E190" s="148"/>
    </row>
    <row r="191" spans="1:44" x14ac:dyDescent="0.2">
      <c r="A191" s="146"/>
      <c r="B191" s="57"/>
      <c r="C191" s="148"/>
      <c r="D191" s="148"/>
      <c r="E191" s="148"/>
    </row>
    <row r="192" spans="1:44" x14ac:dyDescent="0.2">
      <c r="A192" s="146"/>
      <c r="B192" s="57"/>
      <c r="C192" s="148"/>
      <c r="D192" s="148"/>
      <c r="E192" s="148"/>
    </row>
    <row r="193" spans="1:6" x14ac:dyDescent="0.2">
      <c r="A193" s="146"/>
      <c r="B193" s="57"/>
      <c r="C193" s="148"/>
      <c r="D193" s="148"/>
      <c r="E193" s="148"/>
    </row>
    <row r="194" spans="1:6" x14ac:dyDescent="0.2">
      <c r="A194" s="146"/>
      <c r="B194" s="57"/>
      <c r="C194" s="148"/>
      <c r="D194" s="148"/>
      <c r="E194" s="148"/>
    </row>
    <row r="195" spans="1:6" x14ac:dyDescent="0.2">
      <c r="A195" s="146"/>
      <c r="B195" s="57"/>
      <c r="C195" s="148"/>
      <c r="D195" s="148"/>
      <c r="E195" s="148"/>
    </row>
    <row r="196" spans="1:6" x14ac:dyDescent="0.2">
      <c r="A196" s="146"/>
      <c r="B196" s="255"/>
      <c r="C196" s="147"/>
      <c r="D196" s="147"/>
      <c r="E196" s="147"/>
    </row>
    <row r="197" spans="1:6" x14ac:dyDescent="0.2">
      <c r="A197" s="146"/>
      <c r="B197" s="146"/>
      <c r="C197" s="146"/>
      <c r="D197" s="146"/>
      <c r="E197" s="146"/>
    </row>
    <row r="198" spans="1:6" x14ac:dyDescent="0.2">
      <c r="A198" s="146"/>
      <c r="B198" s="146"/>
      <c r="C198" s="146"/>
      <c r="D198" s="146"/>
      <c r="E198" s="146"/>
    </row>
    <row r="199" spans="1:6" x14ac:dyDescent="0.2">
      <c r="A199" s="146"/>
      <c r="B199" s="146"/>
      <c r="C199" s="146"/>
      <c r="D199" s="146"/>
      <c r="E199" s="146"/>
    </row>
    <row r="200" spans="1:6" x14ac:dyDescent="0.2">
      <c r="A200" s="146"/>
      <c r="B200" s="146"/>
      <c r="C200" s="146"/>
      <c r="D200" s="146"/>
      <c r="E200" s="146"/>
    </row>
    <row r="201" spans="1:6" x14ac:dyDescent="0.2">
      <c r="A201" s="146"/>
      <c r="B201" s="146"/>
      <c r="C201" s="146"/>
      <c r="D201" s="146"/>
      <c r="E201" s="146"/>
    </row>
    <row r="202" spans="1:6" x14ac:dyDescent="0.2">
      <c r="A202" s="146"/>
      <c r="B202" s="146"/>
      <c r="C202" s="146"/>
      <c r="D202" s="146"/>
      <c r="E202" s="146"/>
    </row>
    <row r="203" spans="1:6" x14ac:dyDescent="0.2">
      <c r="A203" s="146"/>
      <c r="B203" s="146"/>
      <c r="C203" s="146"/>
      <c r="D203" s="146"/>
      <c r="E203" s="146"/>
    </row>
    <row r="204" spans="1:6" x14ac:dyDescent="0.2">
      <c r="A204" s="146"/>
      <c r="B204" s="146"/>
      <c r="C204" s="146"/>
      <c r="D204" s="146"/>
      <c r="E204" s="146"/>
    </row>
    <row r="205" spans="1:6" x14ac:dyDescent="0.2">
      <c r="A205" s="146"/>
      <c r="B205" s="146"/>
      <c r="C205" s="146"/>
      <c r="D205" s="146"/>
      <c r="E205" s="146"/>
    </row>
    <row r="206" spans="1:6" x14ac:dyDescent="0.2">
      <c r="A206" s="146"/>
      <c r="B206" s="146"/>
      <c r="C206" s="146"/>
      <c r="D206" s="146"/>
      <c r="E206" s="146"/>
    </row>
    <row r="207" spans="1:6" x14ac:dyDescent="0.2">
      <c r="A207" s="146"/>
      <c r="B207" s="146"/>
      <c r="C207" s="146"/>
      <c r="D207" s="146"/>
      <c r="E207" s="146"/>
    </row>
    <row r="208" spans="1:6" ht="14.25" x14ac:dyDescent="0.2">
      <c r="F208" s="682"/>
    </row>
  </sheetData>
  <sortState xmlns:xlrd2="http://schemas.microsoft.com/office/spreadsheetml/2017/richdata2" ref="A76:BL78">
    <sortCondition ref="A76:A78"/>
  </sortState>
  <mergeCells count="63">
    <mergeCell ref="C139:E139"/>
    <mergeCell ref="M2:M4"/>
    <mergeCell ref="L2:L4"/>
    <mergeCell ref="J2:J4"/>
    <mergeCell ref="A136:B136"/>
    <mergeCell ref="A130:B130"/>
    <mergeCell ref="A75:B75"/>
    <mergeCell ref="A80:B80"/>
    <mergeCell ref="A1:A4"/>
    <mergeCell ref="I1:AR1"/>
    <mergeCell ref="AQ2:AQ4"/>
    <mergeCell ref="P2:P4"/>
    <mergeCell ref="X2:X4"/>
    <mergeCell ref="U2:U4"/>
    <mergeCell ref="V2:V4"/>
    <mergeCell ref="Z2:Z4"/>
    <mergeCell ref="AR82:AR84"/>
    <mergeCell ref="W2:W4"/>
    <mergeCell ref="O2:O4"/>
    <mergeCell ref="S2:S4"/>
    <mergeCell ref="T2:T4"/>
    <mergeCell ref="Q2:Q4"/>
    <mergeCell ref="R2:R4"/>
    <mergeCell ref="AP2:AP4"/>
    <mergeCell ref="AN2:AN4"/>
    <mergeCell ref="AJ2:AJ4"/>
    <mergeCell ref="AM2:AM4"/>
    <mergeCell ref="AL2:AL4"/>
    <mergeCell ref="AI2:AI4"/>
    <mergeCell ref="AE2:AE4"/>
    <mergeCell ref="AC2:AC4"/>
    <mergeCell ref="AG2:AG4"/>
    <mergeCell ref="BJ2:BJ4"/>
    <mergeCell ref="AH2:AH4"/>
    <mergeCell ref="AO2:AO4"/>
    <mergeCell ref="AD2:AD4"/>
    <mergeCell ref="AK2:AK4"/>
    <mergeCell ref="AF2:AF4"/>
    <mergeCell ref="AV2:AV5"/>
    <mergeCell ref="AW2:AW5"/>
    <mergeCell ref="BH2:BH5"/>
    <mergeCell ref="BI2:BI5"/>
    <mergeCell ref="BC2:BC5"/>
    <mergeCell ref="BD2:BD5"/>
    <mergeCell ref="BE2:BE5"/>
    <mergeCell ref="BF2:BF5"/>
    <mergeCell ref="BG2:BG5"/>
    <mergeCell ref="AX2:AX5"/>
    <mergeCell ref="Y2:Y4"/>
    <mergeCell ref="AB2:AB4"/>
    <mergeCell ref="F1:F4"/>
    <mergeCell ref="B1:B4"/>
    <mergeCell ref="AA2:AA4"/>
    <mergeCell ref="I2:I4"/>
    <mergeCell ref="N2:N4"/>
    <mergeCell ref="K2:K4"/>
    <mergeCell ref="AY2:AY5"/>
    <mergeCell ref="AZ2:AZ5"/>
    <mergeCell ref="BA2:BA5"/>
    <mergeCell ref="BB2:BB5"/>
    <mergeCell ref="AR2:AR5"/>
    <mergeCell ref="AT2:AT5"/>
    <mergeCell ref="AU2:AU5"/>
  </mergeCells>
  <phoneticPr fontId="2" type="noConversion"/>
  <printOptions horizontalCentered="1"/>
  <pageMargins left="0.59055118110236227" right="0.59055118110236227" top="1.58" bottom="0.74803149606299213" header="0.47244094488188981" footer="0.19685039370078741"/>
  <pageSetup paperSize="8" scale="75" fitToHeight="0" orientation="portrait" r:id="rId1"/>
  <headerFooter alignWithMargins="0">
    <oddHeader>&amp;L&amp;"Arial,Normál"Levél Község    Önkormányzata&amp;C&amp;"Arial,Félkövér"&amp;12Önkormányzat
2019. év&amp;R&amp;"Arial,Normál"&amp;8 9. sz. melléklet</oddHeader>
    <oddFooter>&amp;P. oldal</oddFooter>
  </headerFooter>
  <rowBreaks count="1" manualBreakCount="1">
    <brk id="80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Ktvetési mérleg - 1. mell.</vt:lpstr>
      <vt:lpstr>Műk-felh.mérleg - 2. mell.</vt:lpstr>
      <vt:lpstr>Bevétel össz. - 3. mell.</vt:lpstr>
      <vt:lpstr>Kiadás össz. - 4. mell.</vt:lpstr>
      <vt:lpstr>Állami - 5. mell.</vt:lpstr>
      <vt:lpstr>Ber.-felú. - 6. mell.</vt:lpstr>
      <vt:lpstr>Pénze.átadás - 7. mell.</vt:lpstr>
      <vt:lpstr>Szoc.jutt. - 8. mell.</vt:lpstr>
      <vt:lpstr>Önkormányzat - 9. mell.</vt:lpstr>
      <vt:lpstr>Óvoda - 10. mell.</vt:lpstr>
      <vt:lpstr>Ei. felh.terv</vt:lpstr>
      <vt:lpstr>Élelm.</vt:lpstr>
      <vt:lpstr>Címrend</vt:lpstr>
      <vt:lpstr>Létszám</vt:lpstr>
      <vt:lpstr>gördülő</vt:lpstr>
      <vt:lpstr>stab.tv saját bevétel</vt:lpstr>
      <vt:lpstr>'Kiadás össz. - 4. mell.'!_FilterDatabase</vt:lpstr>
      <vt:lpstr>'Önkormányzat - 9. mell.'!Nyomtatási_cím</vt:lpstr>
      <vt:lpstr>'Állami - 5. mell.'!Nyomtatási_terület</vt:lpstr>
      <vt:lpstr>'Ber.-felú. - 6. mell.'!Nyomtatási_terület</vt:lpstr>
      <vt:lpstr>'Bevétel össz. - 3. mell.'!Nyomtatási_terület</vt:lpstr>
      <vt:lpstr>Címrend!Nyomtatási_terület</vt:lpstr>
      <vt:lpstr>'Ei. felh.terv'!Nyomtatási_terület</vt:lpstr>
      <vt:lpstr>gördülő!Nyomtatási_terület</vt:lpstr>
      <vt:lpstr>'Kiadás össz. - 4. mell.'!Nyomtatási_terület</vt:lpstr>
      <vt:lpstr>'Ktvetési mérleg - 1. mell.'!Nyomtatási_terület</vt:lpstr>
      <vt:lpstr>'Műk-felh.mérleg - 2. mell.'!Nyomtatási_terület</vt:lpstr>
      <vt:lpstr>'Óvoda - 10. mell.'!Nyomtatási_terület</vt:lpstr>
      <vt:lpstr>'Önkormányzat - 9. mell.'!Nyomtatási_terület</vt:lpstr>
      <vt:lpstr>'Pénze.átadás - 7. mell.'!Nyomtatási_terület</vt:lpstr>
      <vt:lpstr>'Szoc.jutt. - 8.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Marika</cp:lastModifiedBy>
  <cp:lastPrinted>2019-09-06T07:28:20Z</cp:lastPrinted>
  <dcterms:created xsi:type="dcterms:W3CDTF">1997-01-17T14:02:09Z</dcterms:created>
  <dcterms:modified xsi:type="dcterms:W3CDTF">2019-09-16T09:31:06Z</dcterms:modified>
</cp:coreProperties>
</file>