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7" activeTab="21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1. melléklet" sheetId="5" r:id="rId5"/>
    <sheet name="2. melléklet" sheetId="6" r:id="rId6"/>
    <sheet name="3. melléklet" sheetId="7" r:id="rId7"/>
    <sheet name="4. melléklet" sheetId="8" r:id="rId8"/>
    <sheet name="5. melléklet" sheetId="9" r:id="rId9"/>
    <sheet name="6,7,8 Melléklet" sheetId="10" r:id="rId10"/>
    <sheet name="9. melléklet" sheetId="11" r:id="rId11"/>
    <sheet name="10. melléklet" sheetId="12" r:id="rId12"/>
    <sheet name="11. melléklet" sheetId="13" r:id="rId13"/>
    <sheet name="12. melléklet" sheetId="14" r:id="rId14"/>
    <sheet name="13. melléklet" sheetId="15" r:id="rId15"/>
    <sheet name="14. melléklet" sheetId="16" r:id="rId16"/>
    <sheet name="15. Óvoda" sheetId="17" r:id="rId17"/>
    <sheet name="16. Műv. ház" sheetId="18" r:id="rId18"/>
    <sheet name="17. Hivatal" sheetId="19" r:id="rId19"/>
    <sheet name="18. VÜKI" sheetId="20" r:id="rId20"/>
    <sheet name="19 önkormányzat" sheetId="21" r:id="rId21"/>
    <sheet name="20. melléklet" sheetId="22" r:id="rId22"/>
    <sheet name="20.1. melléklet" sheetId="23" r:id="rId23"/>
    <sheet name="20.2.melléklet" sheetId="24" r:id="rId24"/>
    <sheet name="20.3. melléklet" sheetId="25" r:id="rId25"/>
    <sheet name="20.4.mellékelt" sheetId="26" r:id="rId26"/>
    <sheet name="20.5.melléklet" sheetId="27" r:id="rId27"/>
    <sheet name="21 kötelező feladat" sheetId="28" state="hidden" r:id="rId28"/>
    <sheet name="21. céltartalék (2)" sheetId="29" r:id="rId29"/>
    <sheet name="22. EU-s beruh." sheetId="30" r:id="rId30"/>
    <sheet name="ÖNK ÖSSZESITŐ" sheetId="31" r:id="rId31"/>
    <sheet name="Munkalap27" sheetId="32" state="hidden" r:id="rId32"/>
  </sheets>
  <externalReferences>
    <externalReference r:id="rId35"/>
  </externalReferences>
  <definedNames>
    <definedName name="_4__sz__sor_részletezése">#REF!</definedName>
    <definedName name="Excel_BuiltIn__FilterDatabase" localSheetId="21">'20. melléklet'!$A$10:$E$10</definedName>
    <definedName name="Excel_BuiltIn__FilterDatabase" localSheetId="27">NA()</definedName>
    <definedName name="Excel_BuiltIn__FilterDatabase" localSheetId="9">'6,7,8 Melléklet'!$A$12:$I$42</definedName>
    <definedName name="Excel_BuiltIn__FilterDatabase" localSheetId="30">'ÖNK ÖSSZESITŐ'!$A$48:$D$84</definedName>
    <definedName name="Excel_BuiltIn_Print_Area" localSheetId="4">'1. melléklet'!$A$1:$C$58</definedName>
    <definedName name="Excel_BuiltIn_Print_Area" localSheetId="16">'15. Óvoda'!$A$1:$D$72</definedName>
    <definedName name="Excel_BuiltIn_Print_Area" localSheetId="17">'16. Műv. ház'!$A$1:$D$48</definedName>
    <definedName name="Excel_BuiltIn_Print_Area" localSheetId="18">'17. Hivatal'!$A$1:$D$47</definedName>
    <definedName name="Excel_BuiltIn_Print_Area" localSheetId="19">'18. VÜKI'!$A$1:$D$89</definedName>
    <definedName name="Excel_BuiltIn_Print_Area" localSheetId="20">'19 önkormányzat'!$A$1:$D$149</definedName>
    <definedName name="Excel_BuiltIn_Print_Area" localSheetId="0">'2'!$A$1:$A$21</definedName>
    <definedName name="Excel_BuiltIn_Print_Area" localSheetId="21">'20. melléklet'!$A$1:$E$58</definedName>
    <definedName name="Excel_BuiltIn_Print_Area" localSheetId="8">'5. melléklet'!$A$1:$D$237</definedName>
    <definedName name="Excel_BuiltIn_Print_Area" localSheetId="30">'ÖNK ÖSSZESITŐ'!$A$1:$D$104</definedName>
    <definedName name="_xlnm.Print_Titles" localSheetId="27">'21 kötelező feladat'!$1:$3</definedName>
    <definedName name="_xlnm.Print_Titles" localSheetId="8">'5. melléklet'!$5:$11</definedName>
    <definedName name="_xlnm.Print_Titles" localSheetId="30">'ÖNK ÖSSZESITŐ'!$1:$8</definedName>
    <definedName name="_xlnm.Print_Area" localSheetId="4">'1. melléklet'!$A$1:$K$64</definedName>
    <definedName name="_xlnm.Print_Area" localSheetId="11">'10. melléklet'!$A$1:$F$19</definedName>
    <definedName name="_xlnm.Print_Area" localSheetId="12">'11. melléklet'!$A$1:$N$36</definedName>
    <definedName name="_xlnm.Print_Area" localSheetId="1">'12'!$A$1:$B$11</definedName>
    <definedName name="_xlnm.Print_Area" localSheetId="13">'12. melléklet'!$A$1:$G$58</definedName>
    <definedName name="_xlnm.Print_Area" localSheetId="2">'14adóss'!$A$1:$G$30</definedName>
    <definedName name="_xlnm.Print_Area" localSheetId="3">'15 3éves'!$A$1:$E$55</definedName>
    <definedName name="_xlnm.Print_Area" localSheetId="16">'15. Óvoda'!$A$1:$L$73</definedName>
    <definedName name="_xlnm.Print_Area" localSheetId="17">'16. Műv. ház'!$A$1:$L$49</definedName>
    <definedName name="_xlnm.Print_Area" localSheetId="18">'17. Hivatal'!$A$1:$L$48</definedName>
    <definedName name="_xlnm.Print_Area" localSheetId="19">'18. VÜKI'!$A$1:$L$90</definedName>
    <definedName name="_xlnm.Print_Area" localSheetId="20">'19 önkormányzat'!$A$1:$L$148</definedName>
    <definedName name="_xlnm.Print_Area" localSheetId="0">'2'!$A$1:$D$21</definedName>
    <definedName name="_xlnm.Print_Area" localSheetId="5">'2. melléklet'!$A$1:$K$50</definedName>
    <definedName name="_xlnm.Print_Area" localSheetId="21">'20. melléklet'!$A$1:$AC$58</definedName>
    <definedName name="_xlnm.Print_Area" localSheetId="23">'20.2.melléklet'!$A$1:$AD$30</definedName>
    <definedName name="_xlnm.Print_Area" localSheetId="27">'21 kötelező feladat'!$A$1:$E$23</definedName>
    <definedName name="_xlnm.Print_Area" localSheetId="28">'21. céltartalék (2)'!$A$1:$I$59</definedName>
    <definedName name="_xlnm.Print_Area" localSheetId="29">'22. EU-s beruh.'!$A$1:$E$194</definedName>
    <definedName name="_xlnm.Print_Area" localSheetId="6">'3. melléklet'!$A$1:$K$61</definedName>
    <definedName name="_xlnm.Print_Area" localSheetId="7">'4. melléklet'!$A$1:$K$118</definedName>
    <definedName name="_xlnm.Print_Area" localSheetId="8">'5. melléklet'!$A$1:$L$240</definedName>
    <definedName name="_xlnm.Print_Area" localSheetId="9">'6,7,8 Melléklet'!$A$1:$L$85</definedName>
    <definedName name="_xlnm.Print_Area" localSheetId="30">'ÖNK ÖSSZESITŐ'!$A$1:$L$101</definedName>
  </definedNames>
  <calcPr fullCalcOnLoad="1"/>
</workbook>
</file>

<file path=xl/sharedStrings.xml><?xml version="1.0" encoding="utf-8"?>
<sst xmlns="http://schemas.openxmlformats.org/spreadsheetml/2006/main" count="4020" uniqueCount="1237">
  <si>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</si>
  <si>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</si>
  <si>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</si>
  <si>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</si>
  <si>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</si>
  <si>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</si>
  <si>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</si>
  <si>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</si>
  <si>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</si>
  <si>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</si>
  <si>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</si>
  <si>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</si>
  <si>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</si>
  <si>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</si>
  <si>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</si>
  <si>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</si>
  <si>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</si>
  <si>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</si>
  <si>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</si>
  <si>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</si>
  <si>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</si>
  <si>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</si>
  <si>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</si>
  <si>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</si>
  <si>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</si>
  <si>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</si>
  <si>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</si>
  <si>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</si>
  <si>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</si>
  <si>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</si>
  <si>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</si>
  <si>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</si>
  <si>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</si>
  <si>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</si>
  <si>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</si>
  <si>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</si>
  <si>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</si>
  <si>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</si>
  <si>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</si>
  <si>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</si>
  <si>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</si>
  <si>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</si>
  <si>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</si>
  <si>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</si>
  <si>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</si>
  <si>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</si>
  <si>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</si>
  <si>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</si>
  <si>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</si>
  <si>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</si>
  <si>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</si>
  <si>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</si>
  <si>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</si>
  <si>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</si>
  <si>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</si>
  <si>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</si>
  <si>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</si>
  <si>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</si>
  <si>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</si>
  <si>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</si>
  <si>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</si>
  <si>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</si>
  <si>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</si>
  <si>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</si>
  <si>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</si>
  <si>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</si>
  <si>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</si>
  <si>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</si>
  <si>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</si>
  <si>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</si>
  <si>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</si>
  <si>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</si>
  <si>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</si>
  <si>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</si>
  <si>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</si>
  <si>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</si>
  <si>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</si>
  <si>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</si>
  <si>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</si>
  <si>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</si>
  <si>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</si>
  <si>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</si>
  <si>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</si>
  <si>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</si>
  <si>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</si>
  <si>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</si>
  <si>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</si>
  <si>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</si>
  <si>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</si>
  <si>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</si>
  <si>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</si>
  <si>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</si>
  <si>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</si>
  <si>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</si>
  <si>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</si>
  <si>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</si>
  <si>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</si>
  <si>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</si>
  <si>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</si>
  <si>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</si>
  <si>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</si>
  <si>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</si>
  <si>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</si>
  <si>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</si>
  <si>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</si>
  <si>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</si>
  <si>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</si>
  <si>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</si>
  <si>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</si>
  <si>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</si>
  <si>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</si>
  <si>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</si>
  <si>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</si>
  <si>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</si>
  <si>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</si>
  <si>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</si>
  <si>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</si>
  <si>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</si>
  <si>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</si>
  <si>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</si>
  <si>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</si>
  <si>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</si>
  <si>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</si>
  <si>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</si>
  <si>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</si>
  <si>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</si>
  <si>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</si>
  <si>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</si>
  <si>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</si>
  <si>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</si>
  <si>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</si>
  <si>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</si>
  <si>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</si>
  <si>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</si>
  <si>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</si>
  <si>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</si>
  <si>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</si>
  <si>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</si>
  <si>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</si>
  <si>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</si>
  <si>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</si>
  <si>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</si>
  <si>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</si>
  <si>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</si>
  <si>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</si>
  <si>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</si>
  <si>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</si>
  <si>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</si>
  <si>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</si>
  <si>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</si>
  <si>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</si>
  <si>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</si>
  <si>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</si>
  <si>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 melléklet</t>
  </si>
  <si>
    <t xml:space="preserve"> bevételi és kiadási előirányzatainak főösszesítője</t>
  </si>
  <si>
    <t>Adatok  Ft-ban</t>
  </si>
  <si>
    <t>Sor szám</t>
  </si>
  <si>
    <t>Bevételek</t>
  </si>
  <si>
    <t>2017. évi előirányzat</t>
  </si>
  <si>
    <t>A</t>
  </si>
  <si>
    <t>B</t>
  </si>
  <si>
    <t>C</t>
  </si>
  <si>
    <t>D</t>
  </si>
  <si>
    <t>Önkormányzatok működési támogatásai</t>
  </si>
  <si>
    <t>Egyéb működési célú támogatások bevételei államháztartáson belülről</t>
  </si>
  <si>
    <t>I.</t>
  </si>
  <si>
    <t>Működési célú támogatások államháztartáson belülről</t>
  </si>
  <si>
    <t>II.</t>
  </si>
  <si>
    <t>Felhalmozási célú támogatások államháztartáson belülről</t>
  </si>
  <si>
    <t>Vagyoni típusú adók( kommunális adó)</t>
  </si>
  <si>
    <t>Értékesítési és forgalmi adók ( iparűzési adó)</t>
  </si>
  <si>
    <t>Gépjárműadók</t>
  </si>
  <si>
    <t>Egyéb áruhasználati és szolgálati adók (talajterhelési díj)</t>
  </si>
  <si>
    <t>Egyéb közhatalmi bevételek</t>
  </si>
  <si>
    <t>III.</t>
  </si>
  <si>
    <t>Közhatalmi bevételek</t>
  </si>
  <si>
    <t>Szolgáltatások ellenértékei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</si>
  <si>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</si>
  <si>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</si>
  <si>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</si>
  <si>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</si>
  <si>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</si>
  <si>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pénzügyi műveletek bevételei</t>
  </si>
  <si>
    <t>Egyéb működési bevételek</t>
  </si>
  <si>
    <t>IV.</t>
  </si>
  <si>
    <t>V.</t>
  </si>
  <si>
    <t>VI.</t>
  </si>
  <si>
    <t>Működési célú átvett pénzeszközök</t>
  </si>
  <si>
    <t>VII.</t>
  </si>
  <si>
    <t>Felhalmozási célú pénzeszközök</t>
  </si>
  <si>
    <t>Költségvetési bevételek összesen</t>
  </si>
  <si>
    <t>VIII.</t>
  </si>
  <si>
    <t>Hitel-, kölcsön felvétel pénzügyi vállalkozástól</t>
  </si>
  <si>
    <t>IX.</t>
  </si>
  <si>
    <t xml:space="preserve"> Költségvetési maradvány</t>
  </si>
  <si>
    <t>Ebből felhalmozási célú</t>
  </si>
  <si>
    <t xml:space="preserve">         működési célú</t>
  </si>
  <si>
    <t>X.</t>
  </si>
  <si>
    <t xml:space="preserve">Államháztartáson belüli megelőlegezés  </t>
  </si>
  <si>
    <t>Finanszírozási bevételek összesen</t>
  </si>
  <si>
    <t>BEVÉTELEK ÖSSZESEN</t>
  </si>
  <si>
    <t>Munkaadókat terhelő járulékok és szociális hozzájárulási adó</t>
  </si>
  <si>
    <t xml:space="preserve">III. </t>
  </si>
  <si>
    <t>Ellátottak pénzbeli juttatásai</t>
  </si>
  <si>
    <t>Egyéb működési célú kiadások</t>
  </si>
  <si>
    <t>Egyéb felhalmozási célú kiadások</t>
  </si>
  <si>
    <t>Költségvetési kiadások</t>
  </si>
  <si>
    <t>48.</t>
  </si>
  <si>
    <t>Hitel kölcsön törlesztése pénzügyi vállalkozásnak</t>
  </si>
  <si>
    <t>49.</t>
  </si>
  <si>
    <t>51.</t>
  </si>
  <si>
    <t>Finanszírozási kiadások</t>
  </si>
  <si>
    <t>52.</t>
  </si>
  <si>
    <t>KIADÁSOK ÖSSZESEN</t>
  </si>
  <si>
    <t xml:space="preserve">2.melléklet </t>
  </si>
  <si>
    <t xml:space="preserve">                                                                                                                                                                 </t>
  </si>
  <si>
    <t>Adatok Ft-ban</t>
  </si>
  <si>
    <t>MEGNEVEZÉS</t>
  </si>
  <si>
    <t>Működési bevételek összesen</t>
  </si>
  <si>
    <t>Tartalékok</t>
  </si>
  <si>
    <t>Működési kiadások összesen</t>
  </si>
  <si>
    <t>Hitel kölcsön felvétel pénzügyi vállalkozástól</t>
  </si>
  <si>
    <t>Maradvány igénybevétele</t>
  </si>
  <si>
    <t>Államháztartáson belüli megelőlegezés</t>
  </si>
  <si>
    <t>Finanszírozási bevétel</t>
  </si>
  <si>
    <t>Államháztartáson belüli megelőlegezések</t>
  </si>
  <si>
    <t xml:space="preserve">Felhalmozási bevételek  </t>
  </si>
  <si>
    <t>Felhalmozási célú átvett pénzeszközök</t>
  </si>
  <si>
    <t>Felhalmozási bevételek összesen</t>
  </si>
  <si>
    <t>Felhalmozási kiadások összesen</t>
  </si>
  <si>
    <t xml:space="preserve"> BEVÉTELEK ÖSSZESEN</t>
  </si>
  <si>
    <t xml:space="preserve">3.melléklet </t>
  </si>
  <si>
    <t>XI.</t>
  </si>
  <si>
    <t xml:space="preserve">4.melléklet </t>
  </si>
  <si>
    <t>Herend Város Önkormányzat önállóan működő intézményei bevétele</t>
  </si>
  <si>
    <t>Önkormányzat</t>
  </si>
  <si>
    <t>Működési bevétel</t>
  </si>
  <si>
    <t>Előző évi költségvetési maradvány</t>
  </si>
  <si>
    <t>Önkormányzat összesen</t>
  </si>
  <si>
    <t>Polgármesteri Hivatal</t>
  </si>
  <si>
    <t>Polgármesteri Hivatal összesen</t>
  </si>
  <si>
    <t>Herendi Hétszínvilág Óvoda és Bölcsőde</t>
  </si>
  <si>
    <t>Óvoda bevétele összesen</t>
  </si>
  <si>
    <t>Művelődési Ház és Könyvtár</t>
  </si>
  <si>
    <t>Herendi Városüzemeltetési Közszolgáltató Intézmény</t>
  </si>
  <si>
    <t>Herendi Városüzemeltetési Közszolgáltató Intézmény bevétele összesen</t>
  </si>
  <si>
    <t>ÖNKORMÁNYZAT ÖSSZESEN</t>
  </si>
  <si>
    <t xml:space="preserve">5.melléklet </t>
  </si>
  <si>
    <t>Szakfeladat</t>
  </si>
  <si>
    <t>Televízió-műsor szolg. És tám.</t>
  </si>
  <si>
    <t>Ebből: Dologi kiadás</t>
  </si>
  <si>
    <t>Lakóingatlan hasznosítás</t>
  </si>
  <si>
    <t xml:space="preserve">          Felhalmozási kiadás</t>
  </si>
  <si>
    <t>Ebből: Személyi juttatás</t>
  </si>
  <si>
    <t xml:space="preserve">          Járulékok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</si>
  <si>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</si>
  <si>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</si>
  <si>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</si>
  <si>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</si>
  <si>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célú pénzeszköz átadás</t>
  </si>
  <si>
    <t>Család és nővédelmi eü.gondozás</t>
  </si>
  <si>
    <t>Ebből: Személyi juttatás, járulékok</t>
  </si>
  <si>
    <t>Felhalmozási kiadás</t>
  </si>
  <si>
    <t>Iskola eü.Egyéb egészségügyi ellátás</t>
  </si>
  <si>
    <t>Nonprofit szervezetek támogatása</t>
  </si>
  <si>
    <t>Közvetett támogatások</t>
  </si>
  <si>
    <t>50.</t>
  </si>
  <si>
    <t>Önkormányzati ig tevékenység</t>
  </si>
  <si>
    <t>53.</t>
  </si>
  <si>
    <t>54.</t>
  </si>
  <si>
    <t>55.</t>
  </si>
  <si>
    <t>56.</t>
  </si>
  <si>
    <t>Beruházás</t>
  </si>
  <si>
    <t>57.</t>
  </si>
  <si>
    <t>Államháztartáson belüli megelőlegezés visszafizetése</t>
  </si>
  <si>
    <t>58.</t>
  </si>
  <si>
    <t>Hiteltörlesztés</t>
  </si>
  <si>
    <t>59.</t>
  </si>
  <si>
    <t>60.</t>
  </si>
  <si>
    <t>Elvonások,befizetések</t>
  </si>
  <si>
    <t>61.</t>
  </si>
  <si>
    <t>Közfoglalkoztatás hosszabb időtartamban</t>
  </si>
  <si>
    <t>62.</t>
  </si>
  <si>
    <t>63.</t>
  </si>
  <si>
    <t>64.</t>
  </si>
  <si>
    <t>65.</t>
  </si>
  <si>
    <t>Város és község gazdálkodás</t>
  </si>
  <si>
    <t>66.</t>
  </si>
  <si>
    <t>67.</t>
  </si>
  <si>
    <t>68.</t>
  </si>
  <si>
    <t>69.</t>
  </si>
  <si>
    <t>70.</t>
  </si>
  <si>
    <t>71.</t>
  </si>
  <si>
    <t>72.</t>
  </si>
  <si>
    <t>Önkormányzatok elszámolásai költségvetési szerveikkel</t>
  </si>
  <si>
    <t>73.</t>
  </si>
  <si>
    <t xml:space="preserve">        Intézményfinanszírozás</t>
  </si>
  <si>
    <t>74.</t>
  </si>
  <si>
    <t>75.</t>
  </si>
  <si>
    <t>76.</t>
  </si>
  <si>
    <t>77.</t>
  </si>
  <si>
    <t>78.</t>
  </si>
  <si>
    <t>79.</t>
  </si>
  <si>
    <t xml:space="preserve">         Önkormányzat által folyósított ellátások</t>
  </si>
  <si>
    <t>80.</t>
  </si>
  <si>
    <t xml:space="preserve">         Felhalmozási kiadás</t>
  </si>
  <si>
    <t>81.</t>
  </si>
  <si>
    <t xml:space="preserve">         Finanszírozási műveletek</t>
  </si>
  <si>
    <t>82.</t>
  </si>
  <si>
    <t>83.</t>
  </si>
  <si>
    <t>84.</t>
  </si>
  <si>
    <t>85.</t>
  </si>
  <si>
    <t>86.</t>
  </si>
  <si>
    <t>Herendi Polgármesteri Hivatal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</si>
  <si>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</si>
  <si>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</si>
  <si>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</si>
  <si>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</si>
  <si>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</si>
  <si>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</si>
  <si>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</si>
  <si>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</si>
  <si>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</si>
  <si>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</si>
  <si>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</si>
  <si>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</si>
  <si>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</si>
  <si>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Óvodai intézményi étkeztetés</t>
  </si>
  <si>
    <t>102.</t>
  </si>
  <si>
    <t>103.</t>
  </si>
  <si>
    <t>104.</t>
  </si>
  <si>
    <t>105.</t>
  </si>
  <si>
    <t>Étkeztetés a bölcsödében</t>
  </si>
  <si>
    <t>106.</t>
  </si>
  <si>
    <t>107.</t>
  </si>
  <si>
    <t>108.</t>
  </si>
  <si>
    <t>109.</t>
  </si>
  <si>
    <t>Óvodai nevelés, iskola előkészítés</t>
  </si>
  <si>
    <t>110.</t>
  </si>
  <si>
    <t>111.</t>
  </si>
  <si>
    <t>112.</t>
  </si>
  <si>
    <t>113.</t>
  </si>
  <si>
    <t>114.</t>
  </si>
  <si>
    <t>Nemzetiségi óvodai nevelés</t>
  </si>
  <si>
    <t>115.</t>
  </si>
  <si>
    <t>116.</t>
  </si>
  <si>
    <t>117.</t>
  </si>
  <si>
    <t>118.</t>
  </si>
  <si>
    <t>Bölcsődei ellátás</t>
  </si>
  <si>
    <t>119.</t>
  </si>
  <si>
    <t>120.</t>
  </si>
  <si>
    <t>121.</t>
  </si>
  <si>
    <t>122.</t>
  </si>
  <si>
    <t>123.</t>
  </si>
  <si>
    <t>Óvodai ellátás működtetés</t>
  </si>
  <si>
    <t>124.</t>
  </si>
  <si>
    <t>125.</t>
  </si>
  <si>
    <t xml:space="preserve">           Járulékok</t>
  </si>
  <si>
    <t>126.</t>
  </si>
  <si>
    <t xml:space="preserve">           Dologi</t>
  </si>
  <si>
    <t>127.</t>
  </si>
  <si>
    <t>128.</t>
  </si>
  <si>
    <t>Óvodai nevelés összesen</t>
  </si>
  <si>
    <t>129.</t>
  </si>
  <si>
    <t>130.</t>
  </si>
  <si>
    <t>131.</t>
  </si>
  <si>
    <t>132.</t>
  </si>
  <si>
    <t>133.</t>
  </si>
  <si>
    <t>134.</t>
  </si>
  <si>
    <t>135.</t>
  </si>
  <si>
    <t>Közművelődési intézmény működtetése</t>
  </si>
  <si>
    <t>136.</t>
  </si>
  <si>
    <t>137.</t>
  </si>
  <si>
    <t>138.</t>
  </si>
  <si>
    <t>139.</t>
  </si>
  <si>
    <t>140.</t>
  </si>
  <si>
    <t>Könyvtár</t>
  </si>
  <si>
    <t>141.</t>
  </si>
  <si>
    <t>142.</t>
  </si>
  <si>
    <t>143.</t>
  </si>
  <si>
    <t>144.</t>
  </si>
  <si>
    <t>145.</t>
  </si>
  <si>
    <t>146.</t>
  </si>
  <si>
    <t>147.</t>
  </si>
  <si>
    <t>150.</t>
  </si>
  <si>
    <t>Gyermekétkeztetés köznevelési intézményben</t>
  </si>
  <si>
    <t>151.</t>
  </si>
  <si>
    <t>152.</t>
  </si>
  <si>
    <t>153.</t>
  </si>
  <si>
    <t>154.</t>
  </si>
  <si>
    <t>Munkahelyi étkezés köznevelési intézményben</t>
  </si>
  <si>
    <t>155.</t>
  </si>
  <si>
    <t>156.</t>
  </si>
  <si>
    <t>157.</t>
  </si>
  <si>
    <t>158.</t>
  </si>
  <si>
    <t>Intézményen kívüli gyermekétkeztetés</t>
  </si>
  <si>
    <t>159.</t>
  </si>
  <si>
    <t>160.</t>
  </si>
  <si>
    <t>161.</t>
  </si>
  <si>
    <t>162.</t>
  </si>
  <si>
    <t>163.</t>
  </si>
  <si>
    <t>Közutak,hidak üzemeltetése</t>
  </si>
  <si>
    <t>164.</t>
  </si>
  <si>
    <t>165.</t>
  </si>
  <si>
    <t>166.</t>
  </si>
  <si>
    <t>Köztemető fenntartás</t>
  </si>
  <si>
    <t>167.</t>
  </si>
  <si>
    <t>168.</t>
  </si>
  <si>
    <t>169.</t>
  </si>
  <si>
    <t>170.</t>
  </si>
  <si>
    <t>171.</t>
  </si>
  <si>
    <t>172.</t>
  </si>
  <si>
    <t>177.</t>
  </si>
  <si>
    <t>Állategészségügy</t>
  </si>
  <si>
    <t>178.</t>
  </si>
  <si>
    <t>179.</t>
  </si>
  <si>
    <t>180.</t>
  </si>
  <si>
    <t>181.</t>
  </si>
  <si>
    <t>182.</t>
  </si>
  <si>
    <t>183.</t>
  </si>
  <si>
    <t>184.</t>
  </si>
  <si>
    <t>Zöldterület fenntartása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</si>
  <si>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</si>
  <si>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</si>
  <si>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</si>
  <si>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</si>
  <si>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</si>
  <si>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</si>
  <si>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</si>
  <si>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</si>
  <si>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</si>
  <si>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</si>
  <si>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</si>
  <si>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ÖNKORMÁNYZAT ÉS INTÉZMÉNYEI ÖSSZESEN</t>
  </si>
  <si>
    <t>196.</t>
  </si>
  <si>
    <t>197.</t>
  </si>
  <si>
    <t>198.</t>
  </si>
  <si>
    <t>199.</t>
  </si>
  <si>
    <t>200.</t>
  </si>
  <si>
    <t xml:space="preserve">          Önkormányzat által folyósított ellátások</t>
  </si>
  <si>
    <t xml:space="preserve">          Finanszírozási kiadások</t>
  </si>
  <si>
    <t xml:space="preserve">          Tartalék</t>
  </si>
  <si>
    <t>Beruházás megnevezés</t>
  </si>
  <si>
    <t xml:space="preserve">A </t>
  </si>
  <si>
    <t>Felújítás</t>
  </si>
  <si>
    <t>Művelődési ház szennyvízelvezető r. és vészkijárat felújítás</t>
  </si>
  <si>
    <t>Egyéb gép, berendezés városüzemeltetés</t>
  </si>
  <si>
    <t>Egyéb gép berendezés óvoda</t>
  </si>
  <si>
    <t xml:space="preserve">Egyéb gép, berendezés önkormányzat </t>
  </si>
  <si>
    <t>Közvilágítás kialakítása B lakóövezet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</si>
  <si>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</si>
  <si>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</si>
  <si>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</si>
  <si>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</si>
  <si>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</si>
  <si>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Német Nemzetiségi önkormányzatnak átadás</t>
  </si>
  <si>
    <t>Működési célú pénzeszköz átadás ÁH-on kiv.</t>
  </si>
  <si>
    <t>8.melléklet</t>
  </si>
  <si>
    <t>Talajterhelési díj szociális alapon történő mérséklése</t>
  </si>
  <si>
    <t>9.melléklet</t>
  </si>
  <si>
    <t>Működési kiadások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</si>
  <si>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</si>
  <si>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</si>
  <si>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</si>
  <si>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</si>
  <si>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</si>
  <si>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</si>
  <si>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</si>
  <si>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</si>
  <si>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 xml:space="preserve">  Előző évi maradvány igénybev.</t>
  </si>
  <si>
    <t>Dologi kiadás</t>
  </si>
  <si>
    <t xml:space="preserve">Államháztartáson belüli megelőlegezés </t>
  </si>
  <si>
    <t>Ellátottak juttatásai</t>
  </si>
  <si>
    <t>Költségvetési támogatásból intézményeknek</t>
  </si>
  <si>
    <t>Önkormányzati támogatás</t>
  </si>
  <si>
    <t>Önkormányztai támogatás felhalmozási célú</t>
  </si>
  <si>
    <t>Felhalmozás célú hitel</t>
  </si>
  <si>
    <t>Kiadások mindösszesen:</t>
  </si>
  <si>
    <t>Bevételek mindösszesen:</t>
  </si>
  <si>
    <t>E</t>
  </si>
  <si>
    <t>11.melléklet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</si>
  <si>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</si>
  <si>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</si>
  <si>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</si>
  <si>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</si>
  <si>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</si>
  <si>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</si>
  <si>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</si>
  <si>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</si>
  <si>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</si>
  <si>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</si>
  <si>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</si>
  <si>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</si>
  <si>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</si>
  <si>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Összes bevétel</t>
  </si>
  <si>
    <t>Elvonások, befizetések</t>
  </si>
  <si>
    <t>Összes kiadás</t>
  </si>
  <si>
    <t>Havi egyenleg</t>
  </si>
  <si>
    <t>Halmozott egyenleg</t>
  </si>
  <si>
    <t>F</t>
  </si>
  <si>
    <t xml:space="preserve">14.melléklet </t>
  </si>
  <si>
    <t>2018. év</t>
  </si>
  <si>
    <t>2019. év</t>
  </si>
  <si>
    <t>2020. év</t>
  </si>
  <si>
    <t xml:space="preserve">15.  melléklet </t>
  </si>
  <si>
    <t>Költségvetési bevételek</t>
  </si>
  <si>
    <t>Intézményfinanszírozás</t>
  </si>
  <si>
    <t>Ebből költségvetési támogatás</t>
  </si>
  <si>
    <t xml:space="preserve">     Önkormányzati forrás</t>
  </si>
  <si>
    <t>Előző évi költségvetési  maradvány</t>
  </si>
  <si>
    <t xml:space="preserve">Létszám </t>
  </si>
  <si>
    <t>Étkeztetés bölcsődében</t>
  </si>
  <si>
    <t>Munkahelyi étkeztetés</t>
  </si>
  <si>
    <t>Sajátos nevelési ig.</t>
  </si>
  <si>
    <t>Ebből: személyi juttatás</t>
  </si>
  <si>
    <t>Járulékok</t>
  </si>
  <si>
    <t>Óvodai kiadás összesen</t>
  </si>
  <si>
    <t>16. melléklet</t>
  </si>
  <si>
    <t xml:space="preserve">Intézmény finanszírozás </t>
  </si>
  <si>
    <t>Finanszírozási bevételek</t>
  </si>
  <si>
    <t>Létszám</t>
  </si>
  <si>
    <t>Egyéb kiadói tevékenység</t>
  </si>
  <si>
    <t>Helyi, térségi közösségi tér biztosítása, működtetése</t>
  </si>
  <si>
    <t>17. melléklet</t>
  </si>
  <si>
    <t>előző évi költségvetési maradvány</t>
  </si>
  <si>
    <t xml:space="preserve">         Önkormányzati forrás</t>
  </si>
  <si>
    <t xml:space="preserve">B    </t>
  </si>
  <si>
    <t>Adó vám és jővedéki igazgatás</t>
  </si>
  <si>
    <t>18. melléklet</t>
  </si>
  <si>
    <t>Kormányzati funkció</t>
  </si>
  <si>
    <t>Munkahelyi étkeztetés köznevelési intézményben</t>
  </si>
  <si>
    <t>Közutak, hidak üzemeltetése</t>
  </si>
  <si>
    <t>Köztemető fennt. Üzemeltetés</t>
  </si>
  <si>
    <t>Egyéb város és k gazd.</t>
  </si>
  <si>
    <t>Ebből Dologi kiadás</t>
  </si>
  <si>
    <t>Herendi Városüzemeltetési Közszolgáltató Intézmény összesen</t>
  </si>
  <si>
    <t>19. melléklet</t>
  </si>
  <si>
    <t>083050-1 Televízió-műsor szolg. és tám.</t>
  </si>
  <si>
    <t>064010-1 Közvilágítás</t>
  </si>
  <si>
    <t>Iskola eü. Egyéb egészségügyi ellátás</t>
  </si>
  <si>
    <t>XII.</t>
  </si>
  <si>
    <t>Tervezett tartalék</t>
  </si>
  <si>
    <t>Államháztartáson belüli megelőlegezés visszafiz</t>
  </si>
  <si>
    <t>XIII.</t>
  </si>
  <si>
    <t>XV.</t>
  </si>
  <si>
    <t>20. melléklet</t>
  </si>
  <si>
    <t>Intézmény</t>
  </si>
  <si>
    <t>Kiadás összesen</t>
  </si>
  <si>
    <t>Eredeti előirányzat</t>
  </si>
  <si>
    <t>kötelező</t>
  </si>
  <si>
    <t>önként vállalt</t>
  </si>
  <si>
    <t>állami (igazgatási)</t>
  </si>
  <si>
    <t>utak, hidak üzemeltetése</t>
  </si>
  <si>
    <t>köztemető fenntartás</t>
  </si>
  <si>
    <t>egyéb város és k. gazd.</t>
  </si>
  <si>
    <t>Állategészségügyi tevékenység</t>
  </si>
  <si>
    <t>Zöldterületek kezelése, fenntartása</t>
  </si>
  <si>
    <t>közfoglalkoztatás</t>
  </si>
  <si>
    <t>polgármesteri hivatal működtetés</t>
  </si>
  <si>
    <t>Adó,vám és jővedéki igazgatás</t>
  </si>
  <si>
    <t>óvodai intézményi étkeztetés</t>
  </si>
  <si>
    <t>étkeztetés bölcsődében</t>
  </si>
  <si>
    <t>bölcsődei ellátás</t>
  </si>
  <si>
    <t>Közművelődási intézmény</t>
  </si>
  <si>
    <t xml:space="preserve">           rendezvények, közösségi programok szervezése</t>
  </si>
  <si>
    <t>KÖZTERÜLETEK, Építmények beszerzése, FELÚJÍTÁSA</t>
  </si>
  <si>
    <t>Top-2.1.2. Zöld város kialakítása</t>
  </si>
  <si>
    <t>TOP-5.2.1-15 A társadalmi együttműködés erősítését szolgáló helyi szintű komplex programok</t>
  </si>
  <si>
    <t>TOP-4.2.1-15 Szociális alapszolgáltatások infrastruktúrájának bővítése ( CSSK)</t>
  </si>
  <si>
    <t>ÖSSZESEN</t>
  </si>
  <si>
    <t>GÉP, BERENDEZÉS FELSZERELÉS VÁSÁRLÁS</t>
  </si>
  <si>
    <t>MINDÖSSZESEN</t>
  </si>
  <si>
    <t>21.melléklet</t>
  </si>
  <si>
    <t>Kötelező , önként vállalt és állami (államigazgatási) feladatainak kiadásai</t>
  </si>
  <si>
    <t>Ebből: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</si>
  <si>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</si>
  <si>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</si>
  <si>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</si>
  <si>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</si>
  <si>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</t>
  </si>
  <si>
    <t xml:space="preserve">  polgármesteri hivatal működtetés</t>
  </si>
  <si>
    <t xml:space="preserve">  városüzemeltetés</t>
  </si>
  <si>
    <t>Hétszínvilág Óvoda és Bölcsőde</t>
  </si>
  <si>
    <t xml:space="preserve">  Ebből: óvodai ellátás, óvodai étkeztetés</t>
  </si>
  <si>
    <t xml:space="preserve">            bölcsődei ellátás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</si>
  <si>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</si>
  <si>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</si>
  <si>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</si>
  <si>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Herendi Hétszínvilág Óvoda és Bőlcsőde</t>
  </si>
  <si>
    <t xml:space="preserve">Működési bevétel </t>
  </si>
  <si>
    <t>KIADÁSOK</t>
  </si>
  <si>
    <t>Herendi Városüzemeltetési Intézmény</t>
  </si>
  <si>
    <t xml:space="preserve">           Járulék</t>
  </si>
  <si>
    <t xml:space="preserve">           Működési célú pénzeszköz átadás</t>
  </si>
  <si>
    <t xml:space="preserve">           Felhalmozási kiadás</t>
  </si>
  <si>
    <t xml:space="preserve">           Finanszírozási műveletek</t>
  </si>
  <si>
    <t>MINDÖSSZESEN INTÉZM FINANSZÍROZÁSSAL</t>
  </si>
  <si>
    <t>Működési kiadás összesítő</t>
  </si>
  <si>
    <t>SZEMÉLYI</t>
  </si>
  <si>
    <t>JÁRULÉK</t>
  </si>
  <si>
    <t>DOLOGI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</si>
  <si>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</si>
  <si>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</si>
  <si>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</si>
  <si>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</si>
  <si>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</si>
  <si>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Szolgáltatások ellenértéke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</si>
  <si>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</si>
  <si>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</si>
  <si>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</si>
  <si>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Egyéb felhalmozási célú átvett pénzeszközök</t>
  </si>
  <si>
    <t>ebből: Hosszú lejáratú hitelek, kölcsönök felvétele pénzügyi vállalkozástól</t>
  </si>
  <si>
    <t>Likvidítási célú hitelek, kölcsönök                 felvétele pénzügyi vállakozástól</t>
  </si>
  <si>
    <t xml:space="preserve">Hitel , kölcsön törlesztése államháztartáson kívülre </t>
  </si>
  <si>
    <t>ebből: Hosszú lejáratú hitelek, kölcsönök törlesztése pénzügyi vállalkozásnak</t>
  </si>
  <si>
    <t>Likvidítási célú hitelek, kölcsönök                 törlesztése pénzügyi vállakozásnak</t>
  </si>
  <si>
    <t>Államháztartáson belüli megelőlegezések visszafizetése</t>
  </si>
  <si>
    <t>Kamatbevétek és más nyereség jellegű bevételek</t>
  </si>
  <si>
    <t>Vagyoni tipusú adók (Kommunális adó)</t>
  </si>
  <si>
    <t>Értékesítési és forgalmi adók (Iparűzési adó)</t>
  </si>
  <si>
    <t>Gépjármű adó</t>
  </si>
  <si>
    <t>Egyéb áruhasználati és szolgáltatási adók (talajterhelési díj)</t>
  </si>
  <si>
    <t>Egyéb közhatalmi bevételek ( egyéb települési adók)</t>
  </si>
  <si>
    <t>Települési önkormányzatok szociális, gyermekjóléti és gyermekétkeztetési feladatainak támogatása</t>
  </si>
  <si>
    <t>ebből: egyéb fejezeti kezelésű irányzatok</t>
  </si>
  <si>
    <t>elkülönített állami pénzalapok (közfoglalkoztatás)</t>
  </si>
  <si>
    <t>társadalombiztosítás pénzügyi alapjai (OEP)</t>
  </si>
  <si>
    <t>Egyéb tárgyi eszköz értékesítése</t>
  </si>
  <si>
    <t>ebből: nonprofit gazdaási társaságok</t>
  </si>
  <si>
    <t>háztartások</t>
  </si>
  <si>
    <t>ebből: háztartások</t>
  </si>
  <si>
    <t>ebből: egyéb vállakozások</t>
  </si>
  <si>
    <t>Likvidítási célú hitelek, kölcsönök felvétele pénzügyi vállakozástól</t>
  </si>
  <si>
    <t>Hitel, kölcsön felvétele pénzügyi vállakozástól</t>
  </si>
  <si>
    <t>Hosszú lejáratú hitelek, kölcsönök felvétele pénzügyi vállakozástól</t>
  </si>
  <si>
    <t>Belföldi finanszírozás bevételei</t>
  </si>
  <si>
    <t>Egyéb működési célú támogatások bevételei államháztartáson belülről (választás)</t>
  </si>
  <si>
    <t>Önkormányzati finanszírozás</t>
  </si>
  <si>
    <t xml:space="preserve">          Pénzeszköz átadás társulásnak</t>
  </si>
  <si>
    <t xml:space="preserve">          Nonprofit szervezetek támogatása</t>
  </si>
  <si>
    <t xml:space="preserve">          Közvetett támogatások</t>
  </si>
  <si>
    <t>Egyéb nem intzéményi ellátások</t>
  </si>
  <si>
    <t>ebből: egyéb, az önkormányzati rendeletben megállapított juttatás</t>
  </si>
  <si>
    <t xml:space="preserve">         köztemetés</t>
  </si>
  <si>
    <t xml:space="preserve">         települési támogatás</t>
  </si>
  <si>
    <t xml:space="preserve">        önkormányzat által saját hatáskörben adott más ellátás</t>
  </si>
  <si>
    <t xml:space="preserve">          Államháztartáson belüli megelőlegezés visszafizetése</t>
  </si>
  <si>
    <t xml:space="preserve">          Elvonások,befizetések</t>
  </si>
  <si>
    <t>Támogatási célú finanszírozási műveletek</t>
  </si>
  <si>
    <t>Adó, vám és jővedéki igazgatás</t>
  </si>
  <si>
    <t>Sajátos nevelés</t>
  </si>
  <si>
    <t>87.</t>
  </si>
  <si>
    <t>88.</t>
  </si>
  <si>
    <t xml:space="preserve">          Felhalmozási kiadás </t>
  </si>
  <si>
    <t xml:space="preserve">          Felhalmozási kiadások</t>
  </si>
  <si>
    <t>Munkaadókat terhelő járulék és szociális hozzájárulási adó</t>
  </si>
  <si>
    <t>hitel, kölcsön törlesztése pénzügyi vállalkozásnak ( működési célú)</t>
  </si>
  <si>
    <t>Hitel, kölcsön felvétel pénzügyi vállalkozástól (működési)</t>
  </si>
  <si>
    <t>Működési célú maradvány igénybevétele</t>
  </si>
  <si>
    <t>Egyéb működési célú támogatások államháztartáson belülről</t>
  </si>
  <si>
    <t>Hitel kölcsön felvétele pénzügyi vállakozástól</t>
  </si>
  <si>
    <t>Személyi jutattások</t>
  </si>
  <si>
    <t>Hitel kölcsön törlesztése államháztartások kívülre</t>
  </si>
  <si>
    <t>Államháztartáson belüli megelőlegezés vissazfizetése</t>
  </si>
  <si>
    <t xml:space="preserve">          Dologi kiadások</t>
  </si>
  <si>
    <t>Működési célú támogatások államháztartáson belülről (nemzetiségi támogatás)</t>
  </si>
  <si>
    <t>ebből óvodai ellátási díj</t>
  </si>
  <si>
    <t xml:space="preserve">         bölcsődei ellátási díj</t>
  </si>
  <si>
    <t xml:space="preserve">         kiszámlázott általános forgalmi adó</t>
  </si>
  <si>
    <t xml:space="preserve">       kamat bevételek</t>
  </si>
  <si>
    <t>ebből : nonprofit gazdasági társaságok</t>
  </si>
  <si>
    <t>ebből: bérleti díj</t>
  </si>
  <si>
    <t>Könyvtári szolgáltatások</t>
  </si>
  <si>
    <t xml:space="preserve">                ebből rendezvényekre</t>
  </si>
  <si>
    <t>Intézmény üzemeltetés</t>
  </si>
  <si>
    <t>ebből: Szolgáltatások ellenértéke</t>
  </si>
  <si>
    <t xml:space="preserve">          Tulajdonosi bevételek</t>
  </si>
  <si>
    <t xml:space="preserve">          Ellátási díjak</t>
  </si>
  <si>
    <t xml:space="preserve">         Kiszámlázott általános forgalmi adó</t>
  </si>
  <si>
    <t xml:space="preserve">        Kamat jellegű bevételek</t>
  </si>
  <si>
    <t xml:space="preserve">VI. </t>
  </si>
  <si>
    <t>Hitel, kölcsön felvétel pénzügyi vállakozástól</t>
  </si>
  <si>
    <t xml:space="preserve">          Támogatásértékű kiadás</t>
  </si>
  <si>
    <t>Hitel, kölcsön törleszéte államháztartáson kivülre</t>
  </si>
  <si>
    <t>Önkormányzatok elszámolásai</t>
  </si>
  <si>
    <t>ebből : Kistérségi Társulás</t>
  </si>
  <si>
    <t xml:space="preserve">Működési célú pénzeszköz átadás </t>
  </si>
  <si>
    <t xml:space="preserve">            Herend Környéki Önkormányzatok Család és Gyermekjóléti Szolgálatot Fenntartó Társulás</t>
  </si>
  <si>
    <t xml:space="preserve">     Nonprofit szervezetek támogatás</t>
  </si>
  <si>
    <t xml:space="preserve">          Ellátottak pénzbeli juttatásai</t>
  </si>
  <si>
    <t xml:space="preserve">          Tartalékok</t>
  </si>
  <si>
    <t xml:space="preserve">          Egyéb működési célú kiadások</t>
  </si>
  <si>
    <t xml:space="preserve">          Egyéb  felhalmozási célú kiadások</t>
  </si>
  <si>
    <t xml:space="preserve">                                                        ebből: rendezvények</t>
  </si>
  <si>
    <t>Televizió műsor szolgáltatás</t>
  </si>
  <si>
    <t>Ár és belvízvédelem</t>
  </si>
  <si>
    <t>Család és nővédelem</t>
  </si>
  <si>
    <t>Iskolai eü, egyéb egészségügyi ellátás</t>
  </si>
  <si>
    <t>Önkormányzati ig. tevékenység</t>
  </si>
  <si>
    <t>intézményi üzemeltetés</t>
  </si>
  <si>
    <t>munkahelyi étkeztetés</t>
  </si>
  <si>
    <t>óvodai nevelés</t>
  </si>
  <si>
    <t>nemzetiségi nevelés</t>
  </si>
  <si>
    <t>óvodai ellátás, működtetés</t>
  </si>
  <si>
    <t xml:space="preserve">         temetési segély</t>
  </si>
  <si>
    <t>Értékesítési és forgalmi adók</t>
  </si>
  <si>
    <t>ebből:                         Vagyoni tipusú adók</t>
  </si>
  <si>
    <t>közvetített szolgáltatások</t>
  </si>
  <si>
    <t>tulajdonosi bevételek</t>
  </si>
  <si>
    <t>kiszámlázott általános forgalmi adó</t>
  </si>
  <si>
    <t>kamatbevételek</t>
  </si>
  <si>
    <t>egyéb működési bevételek</t>
  </si>
  <si>
    <t>ebből:                 szolgáltatások ellenértéke</t>
  </si>
  <si>
    <t>Kölcségvetési bevételek összesen</t>
  </si>
  <si>
    <t>Költségvetési Kiadások</t>
  </si>
  <si>
    <t xml:space="preserve">         Finanszírozási kiadás</t>
  </si>
  <si>
    <t>Ellátási díj</t>
  </si>
  <si>
    <t>Sport</t>
  </si>
  <si>
    <t>Iskola müködtetés</t>
  </si>
  <si>
    <t xml:space="preserve">         elvonások, befizetések</t>
  </si>
  <si>
    <t xml:space="preserve">        pénzeszköz átadás</t>
  </si>
  <si>
    <t xml:space="preserve">         működési célú visszatérítendő kölcsön</t>
  </si>
  <si>
    <t xml:space="preserve">           önkormányzat által nyújtott ellátások</t>
  </si>
  <si>
    <t>Elvonások befizetések</t>
  </si>
  <si>
    <t>Működési célú visszatérítendő támogatások</t>
  </si>
  <si>
    <t>Felhalmozási pénzeszköz átadás</t>
  </si>
  <si>
    <t>Tartalék felhalmozási</t>
  </si>
  <si>
    <t>Felhalmozási kölcsön törlesztés</t>
  </si>
  <si>
    <t>Költségvetési támogatás</t>
  </si>
  <si>
    <t xml:space="preserve">           nemzetiségi támogatás</t>
  </si>
  <si>
    <t>173.</t>
  </si>
  <si>
    <t>174.</t>
  </si>
  <si>
    <t>175.</t>
  </si>
  <si>
    <t>176.</t>
  </si>
  <si>
    <t>Kiadások összesen</t>
  </si>
  <si>
    <t>ebből műkődési maradvány</t>
  </si>
  <si>
    <t xml:space="preserve">         felhalmozási maradvány</t>
  </si>
  <si>
    <t xml:space="preserve"> Hitel, kölcsön törlesztése államháztartáson kivülre</t>
  </si>
  <si>
    <t xml:space="preserve"> Államháztartáson belüli megelőlegezés visszafiz</t>
  </si>
  <si>
    <t>Általános forgalmi adó visszatérítés</t>
  </si>
  <si>
    <t>Általános forgalmi adó visszatérülés</t>
  </si>
  <si>
    <t>Felhalmozási célú pénzeszköz átvétel</t>
  </si>
  <si>
    <t>Államit támogatásból felhalmozásra</t>
  </si>
  <si>
    <t>általános forgalmi adó visszatérülés</t>
  </si>
  <si>
    <t>Felhalmozási célú átvett pénzeszköz</t>
  </si>
  <si>
    <t>G</t>
  </si>
  <si>
    <t xml:space="preserve">        Egyéb mükődési bevételek</t>
  </si>
  <si>
    <t>Előirányzat megnevezése</t>
  </si>
  <si>
    <t>Kötelező feladatok</t>
  </si>
  <si>
    <t>Önként vállalt feladatok</t>
  </si>
  <si>
    <t>Államigazgatási feladatok</t>
  </si>
  <si>
    <t>ebből: helyi önkormányzatok és költségvetési szerveik (B16)</t>
  </si>
  <si>
    <t>Működési bevételek  (B4)</t>
  </si>
  <si>
    <t>Műkődési célú támogatások államháztartáson belülről (B1)</t>
  </si>
  <si>
    <t>Ellátási díjak (B405)</t>
  </si>
  <si>
    <t>Kiszámlázott általános forgalmi adó (B406)</t>
  </si>
  <si>
    <t>Kamatbevételek és más nyereségjellegű bevételek  (B408)</t>
  </si>
  <si>
    <t>Egyéb működési bevételek  (B411)</t>
  </si>
  <si>
    <t>Felhalmozási célú pénzeszköz átvétel (B7)</t>
  </si>
  <si>
    <t>Előző év költségvetési maradványának igénybevétele (B8131)</t>
  </si>
  <si>
    <t>Maradvány igénybevétele  (B813)</t>
  </si>
  <si>
    <t>Központi, irányító szervi támogatás (B816)</t>
  </si>
  <si>
    <t>Finanszírozási bevételek  (B8)</t>
  </si>
  <si>
    <t>20.1. melléklet</t>
  </si>
  <si>
    <t>Herendi Hétszínvilág Óvoda és Bölcsőde bevételei és kiadásai kötelező és önként vállalt feladat valamint államigazgatási feladatai szerinti bontásban</t>
  </si>
  <si>
    <t>Személyi juttatások  (K1)</t>
  </si>
  <si>
    <t>Munkaadókat terhelő járulékok és szociális hozzájárulási adó  (K2)</t>
  </si>
  <si>
    <t>Dologi kiadások (K3)</t>
  </si>
  <si>
    <t>Felhalmozási kiadások (K6)</t>
  </si>
  <si>
    <t xml:space="preserve">Költségvetési kiadások </t>
  </si>
  <si>
    <t>Szolgáltatások ellenértéke (B402)</t>
  </si>
  <si>
    <t>Egyéb működési bevételek (B411)</t>
  </si>
  <si>
    <t>20.2. melléklet</t>
  </si>
  <si>
    <t>Herendi Polgármesteri Hivatal bevételei és kiadásai kötelező és önként vállalt feladat valamint államigazgatási feladatai szerinti bontásban</t>
  </si>
  <si>
    <t>20.3. melléklet</t>
  </si>
  <si>
    <t>Közvetített szolgáltatások ellenértéke ) (B403)</t>
  </si>
  <si>
    <t>Herendi Városüzemeltetési Közszolgáltató Intézmény bevételei és kiadásai kötelező és önként vállalt feladat valamint államigazgatási feladatai szerinti bontásban</t>
  </si>
  <si>
    <t>20.4. melléklet</t>
  </si>
  <si>
    <t>Szolgáltatások ellenértéke  (B402)</t>
  </si>
  <si>
    <t>Tulajdonosi bevételek  (B404)</t>
  </si>
  <si>
    <t>Herend Város Önkormányzata bevételei és kiadásai kötelező és önként vállalt feladat valamint államigazgatási feladatai szerinti bontásban</t>
  </si>
  <si>
    <t>20.5. melléklet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</si>
  <si>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</si>
  <si>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</si>
  <si>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</si>
  <si>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</si>
  <si>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</si>
  <si>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</si>
  <si>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 (B11)</t>
  </si>
  <si>
    <t>Egyéb működési célú támogatások bevételei államháztartáson belülről  (B16)</t>
  </si>
  <si>
    <t>ebből: elkülönített állami pénzalapok (B16)</t>
  </si>
  <si>
    <t>Működési célú támogatások államháztartáson belülről  (B1)</t>
  </si>
  <si>
    <t>Vagyoni tipusú adók  (B34)</t>
  </si>
  <si>
    <t>Értékesítési és forgalmi adók  (B351)</t>
  </si>
  <si>
    <t>Gépjárműadók  (B354)</t>
  </si>
  <si>
    <t>Egyéb áruhasználati és szolgáltatási adók   (B355)</t>
  </si>
  <si>
    <t>Termékek és szolgáltatások adói  (B35)</t>
  </si>
  <si>
    <t>Egyéb közhatalmi bevételek  (B36)</t>
  </si>
  <si>
    <t>Közhatalmi bevételek  (B3)</t>
  </si>
  <si>
    <t>Közvetített szolgáltatások ellenértéke   (B403)</t>
  </si>
  <si>
    <t>Tulajdonosi bevételek (B404)</t>
  </si>
  <si>
    <t>Általános forgalmi adó visszatérítése (B407)</t>
  </si>
  <si>
    <t>Kamatbevételek és más nyereségjellegű bevételek (B408)</t>
  </si>
  <si>
    <t>Ingatlanok értékesítése) (B52)</t>
  </si>
  <si>
    <t>Egyéb tárgyi eszközök értékesítése (B53)</t>
  </si>
  <si>
    <t>Felhalmozási bevételek  (B5)</t>
  </si>
  <si>
    <t>Működési célú visszatérítendő támogatások, kölcsönök visszatérülése államháztartáson kívülről  (B64)</t>
  </si>
  <si>
    <t>ebből: háztartások (B64)</t>
  </si>
  <si>
    <t>Egyéb működési célú átvett pénzeszközök  (B65)</t>
  </si>
  <si>
    <t>ebből: háztartások (B65)</t>
  </si>
  <si>
    <t>Működési célú átvett pénzeszközök (B6)</t>
  </si>
  <si>
    <t>Egyéb felhalmozási célú átvett pénzeszközök  (B75)</t>
  </si>
  <si>
    <t>Felhalmozási célú átvett pénzeszközök  (B7)</t>
  </si>
  <si>
    <t>Államháztartáson belüli megelelőlegezés</t>
  </si>
  <si>
    <t>Felhalmozási kiadások (K6-K7)</t>
  </si>
  <si>
    <t>Ellátottak pénzbeli juttatásai (K4)</t>
  </si>
  <si>
    <t>Egyéb működési célú támogatások   (K5)</t>
  </si>
  <si>
    <t>Egyéb felhalmozási célú kiadások (K8)</t>
  </si>
  <si>
    <t>Államháztartáson belüli megelőlegezések visszafizetése (K914)</t>
  </si>
  <si>
    <t>Központi, irányító szervi támogatások folyósítása (K915)</t>
  </si>
  <si>
    <t>Belföldi finanszírozás kiadásai  (K91)</t>
  </si>
  <si>
    <t>Finanszírozási kiadások  (K9)</t>
  </si>
  <si>
    <t>beruházás</t>
  </si>
  <si>
    <t>felújítás</t>
  </si>
  <si>
    <t>Általános tartalék</t>
  </si>
  <si>
    <t>TARTALÉKOK ÖSSZESEN</t>
  </si>
  <si>
    <t>H</t>
  </si>
  <si>
    <t xml:space="preserve">             kamatbevételek</t>
  </si>
  <si>
    <t xml:space="preserve">            egyéb működési bevételek</t>
  </si>
  <si>
    <t>Herendi Művelődési Ház   költségvetése</t>
  </si>
  <si>
    <t>I</t>
  </si>
  <si>
    <t>Működési célú támogatások</t>
  </si>
  <si>
    <t xml:space="preserve">            nyári diák munka</t>
  </si>
  <si>
    <t>II. Általános tartalék (Egyensúlyi tartalék)</t>
  </si>
  <si>
    <t>Önkormányzatok működési támogatásai (B11)</t>
  </si>
  <si>
    <t>Egyéb működési célú támogatások bevételei államháztartáson belülről (B16)</t>
  </si>
  <si>
    <t xml:space="preserve">          társadalombiztosítás pénzügyi alapjai</t>
  </si>
  <si>
    <t xml:space="preserve">    elkülönített állami pénzalapok (közfoglalkoztatás)</t>
  </si>
  <si>
    <t xml:space="preserve">         fejezeti kezelési előirányzatok EU-s programokra</t>
  </si>
  <si>
    <t>Működési célú támogatások államháztartáson belülről (B1)</t>
  </si>
  <si>
    <t>Felhalmozási célú támogatások államháztartáson belülről (B2)</t>
  </si>
  <si>
    <t>Egyéb felhalmozási célú támogatások bevételei államháztartáson belülről</t>
  </si>
  <si>
    <t>ebből: fejezeti kezelésű előirányzatok EU-s programokra</t>
  </si>
  <si>
    <t>Biztosító által kifizetett kártérítés</t>
  </si>
  <si>
    <t>Közhatalmi bevételek (B3)</t>
  </si>
  <si>
    <t>Működési bevételek (B4)</t>
  </si>
  <si>
    <t>Felhalmozási bevételek (B5)</t>
  </si>
  <si>
    <t xml:space="preserve">          egyéb tárgyi eszköz értékesítés</t>
  </si>
  <si>
    <t>ebből: működési célú visszatérítendő támogatások, kölcsönök visszatérülése államháztartáson kívülről</t>
  </si>
  <si>
    <t xml:space="preserve">          egyéb működési célú átvett pénzeszközök</t>
  </si>
  <si>
    <t>Felhalmozási célú pézeszközök (B7)</t>
  </si>
  <si>
    <t>Finanszírozási bevételek (B8)</t>
  </si>
  <si>
    <t>Családi támogatások</t>
  </si>
  <si>
    <t xml:space="preserve"> Herendi Művelődési Ház </t>
  </si>
  <si>
    <t xml:space="preserve">Herendi Művelődési Ház </t>
  </si>
  <si>
    <t>Herendi Művelődési Ház bevételei és kiadásai kötelező és önként vállalt feladat valamint államigazgatási feladatai szerinti bontásban</t>
  </si>
  <si>
    <t>Biztosító által fizetett kártérítések</t>
  </si>
  <si>
    <t>Elvonás, befizetés</t>
  </si>
  <si>
    <t>ebből: fejezeti kezelésű irányzatok előirányzatok EU-s programokra</t>
  </si>
  <si>
    <t>ebből: fejezeti kezelésű előirányzat EU-s programokra</t>
  </si>
  <si>
    <t>Egyéb felhalmozási célú támogatások államháztartáson belülről</t>
  </si>
  <si>
    <t>nyári diákmunka</t>
  </si>
  <si>
    <t>ebből: fejezeti kezelésű irányzatokEU-s programokra</t>
  </si>
  <si>
    <t xml:space="preserve">          Elvonások, befizetések</t>
  </si>
  <si>
    <t xml:space="preserve"> Herendi Művelődési Ház  összesen</t>
  </si>
  <si>
    <t>elvonások, befizetéek</t>
  </si>
  <si>
    <t xml:space="preserve">10.melléklet </t>
  </si>
  <si>
    <t>Teljes munkaidőben foglalkoztatottak</t>
  </si>
  <si>
    <t>Részmunka -időben foglalkoztatottak</t>
  </si>
  <si>
    <t>Állományba nem tartozók</t>
  </si>
  <si>
    <t>Önkormányzati igazgatási tevékenység</t>
  </si>
  <si>
    <t>Herendi Városüzemeltetési Közsz.Int.</t>
  </si>
  <si>
    <t>Közcélú foglalkoztatás</t>
  </si>
  <si>
    <t>Mindösszesen</t>
  </si>
  <si>
    <t>12. melléklet</t>
  </si>
  <si>
    <t>TÁMOGATÁS ÖSSZESEN</t>
  </si>
  <si>
    <t>Jogcím száma</t>
  </si>
  <si>
    <t xml:space="preserve">Jogcím megnevezése       </t>
  </si>
  <si>
    <t>Mennyiségi egység</t>
  </si>
  <si>
    <t>Mutató</t>
  </si>
  <si>
    <t>Fajlagos összeg</t>
  </si>
  <si>
    <t>Összeg (Ft)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</si>
  <si>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</si>
  <si>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</si>
  <si>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</si>
  <si>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</si>
  <si>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</si>
  <si>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</si>
  <si>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</si>
  <si>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</si>
  <si>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I.1.b Település-üzemeltetéshez kapcsolódó feladatellátás támogatása</t>
  </si>
  <si>
    <t>3</t>
  </si>
  <si>
    <t>I.1.b</t>
  </si>
  <si>
    <t xml:space="preserve"> Támogatás összesen </t>
  </si>
  <si>
    <t>4</t>
  </si>
  <si>
    <t>I.1.b - V.</t>
  </si>
  <si>
    <t xml:space="preserve"> Támogatás összesen - beszámítás után </t>
  </si>
  <si>
    <t>5</t>
  </si>
  <si>
    <t>I.1.ba</t>
  </si>
  <si>
    <t xml:space="preserve"> A zöldterület-gazdálkodással kapcsolatos feladatok ellátásának támogatása </t>
  </si>
  <si>
    <t>hektár</t>
  </si>
  <si>
    <t>6</t>
  </si>
  <si>
    <t>I.1.ba - V.</t>
  </si>
  <si>
    <t xml:space="preserve"> A zöldterület-gazdálkodással kapcsolatos feladatok ellátásának támogatása - beszámítás után </t>
  </si>
  <si>
    <t>7</t>
  </si>
  <si>
    <t>I.1.bb</t>
  </si>
  <si>
    <t xml:space="preserve"> Közvilágítás fenntartásának támogatása </t>
  </si>
  <si>
    <t>km</t>
  </si>
  <si>
    <t>8</t>
  </si>
  <si>
    <t>I.1.bb - V.</t>
  </si>
  <si>
    <t xml:space="preserve"> Közvilágítás fenntartásának támogatása - beszámítás után </t>
  </si>
  <si>
    <t>9</t>
  </si>
  <si>
    <t>I.1.bc</t>
  </si>
  <si>
    <t xml:space="preserve"> Köztemető fenntartással kapcsolatos feladatok támogatása </t>
  </si>
  <si>
    <t>m2</t>
  </si>
  <si>
    <t>10</t>
  </si>
  <si>
    <t>I.1.bc - V.</t>
  </si>
  <si>
    <t xml:space="preserve"> Köztemető fenntartással kapcsolatos feladatok támogatása - beszámítás után </t>
  </si>
  <si>
    <t>11</t>
  </si>
  <si>
    <t>I.1.bd</t>
  </si>
  <si>
    <t xml:space="preserve"> Közutak fenntartásának támogatása </t>
  </si>
  <si>
    <t>12</t>
  </si>
  <si>
    <t>I.1.bd - V.</t>
  </si>
  <si>
    <t xml:space="preserve"> Közutak fenntartásának támogatása - beszámítás után 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</si>
  <si>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</si>
  <si>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</si>
  <si>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</si>
  <si>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</si>
  <si>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</si>
  <si>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</si>
  <si>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</si>
  <si>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</si>
  <si>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</si>
  <si>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</si>
  <si>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</si>
  <si>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</si>
  <si>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</si>
  <si>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</si>
  <si>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I.1. - V.</t>
  </si>
  <si>
    <t>A települési önkormányzatok működésének támogatása beszámítás és kiegészítés után</t>
  </si>
  <si>
    <t>V. Info</t>
  </si>
  <si>
    <t>Beszámítás</t>
  </si>
  <si>
    <t>V. I.1. kiegészítés</t>
  </si>
  <si>
    <t>I.1. jogcímekhez kapcsolódó kiegészítés</t>
  </si>
  <si>
    <t>I.2.</t>
  </si>
  <si>
    <t>Nem közművel összegyűjtött háztartási szennyvíz ártalmatlanítása</t>
  </si>
  <si>
    <t>m3</t>
  </si>
  <si>
    <t>I.6.</t>
  </si>
  <si>
    <t>23</t>
  </si>
  <si>
    <t xml:space="preserve">I. </t>
  </si>
  <si>
    <t>A helyi önkormányzatok működésének általános támogatása összesen</t>
  </si>
  <si>
    <t>II.1. Óvodapedagógusok , és az óvodapedagogusok nevelő munkáját segítők bértámogatása</t>
  </si>
  <si>
    <t>25</t>
  </si>
  <si>
    <t>II.1. (1) 1</t>
  </si>
  <si>
    <t>26</t>
  </si>
  <si>
    <t>II.1. (2) 1</t>
  </si>
  <si>
    <t xml:space="preserve"> pedagógus szakképzettséggel nem rendelkező, óvodapedagógusok nevelő munkáját közvetlenül segítők száma a Köznev. tv. 2. melléklete szerint </t>
  </si>
  <si>
    <t>II.1. (1) 2</t>
  </si>
  <si>
    <t>II.1. (2) 2</t>
  </si>
  <si>
    <t>II.2. Óvodaműködtetési támogatás</t>
  </si>
  <si>
    <t>II.2. (1) 1</t>
  </si>
  <si>
    <t xml:space="preserve">gyermekek nevelése a napi 8 órát eléri vagy meghaladja </t>
  </si>
  <si>
    <t xml:space="preserve"> alapfokozatú végzettségű pedagógus II. kategóriába sorolt óvodapedagógusok kiegészítő támogatása - akik a minősítést 2014. december 31-éig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</si>
  <si>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</si>
  <si>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</si>
  <si>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</si>
  <si>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</si>
  <si>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 Egyes szociális és gyermekjóléti feladatok támogatása</t>
  </si>
  <si>
    <t>III.3.a</t>
  </si>
  <si>
    <t xml:space="preserve"> Család- és gyermekjóléti szolgálat </t>
  </si>
  <si>
    <t>számított létszám</t>
  </si>
  <si>
    <t>III.5. Gyermekétkeztetés támogatása</t>
  </si>
  <si>
    <t>III.5.b</t>
  </si>
  <si>
    <t xml:space="preserve"> Gyermekétkeztetés üzemeltetési támogatása </t>
  </si>
  <si>
    <t>A települési önkormányzatok szociális, gyermekjóléti és gyermekétkeztetési feladatainak támogatása</t>
  </si>
  <si>
    <t>Könyvtári, közművelődési és múzeumi feladatok támogatása</t>
  </si>
  <si>
    <t>Ft</t>
  </si>
  <si>
    <t>IV.1.d</t>
  </si>
  <si>
    <t xml:space="preserve">Könyvtári, közművelődési és múzeumi feladatok támogatása
 Települési önkormányzatok nyilvános könyvtári és a közművelődési feladatainak támogatása </t>
  </si>
  <si>
    <t>A települési önkormányzatok kulturális feladatainak támogatása</t>
  </si>
  <si>
    <t>13.2 melléklet</t>
  </si>
  <si>
    <t>Kimutatás a Magyarország gazdasági stabilitásáról szóló 2011. évi CXCIV. Törvény 3.§ (1) bekezdése szerinti ügyletekről és kezességvállalásokból fennálló kötelezettségekről és a 353/2011. (XII.30.) Kormányrendelet 2.§-a szerinti saját bevételekről</t>
  </si>
  <si>
    <t>Hitelező pénzintézet</t>
  </si>
  <si>
    <t>Hitel típusa</t>
  </si>
  <si>
    <t>Hitelállomány Tárgyév</t>
  </si>
  <si>
    <t>Lejárat</t>
  </si>
  <si>
    <t>Tárgyév</t>
  </si>
  <si>
    <t>J</t>
  </si>
  <si>
    <t>K</t>
  </si>
  <si>
    <t>L</t>
  </si>
  <si>
    <t>M</t>
  </si>
  <si>
    <t>N</t>
  </si>
  <si>
    <t>Saját bevételek</t>
  </si>
  <si>
    <t>Tárgy év</t>
  </si>
  <si>
    <t>Osztalék,koncessziós díjak</t>
  </si>
  <si>
    <t>Díjak,pótlékok, bírságok</t>
  </si>
  <si>
    <t>Tárgyi eszközök, immateriális javak, vagyoni értékű jog értékesítése, vagyonhasznosításból származó bevétel</t>
  </si>
  <si>
    <t>Részvények részesedések értékesítése</t>
  </si>
  <si>
    <t>Vállalatértékesítésből, privatizációból származó bevételek</t>
  </si>
  <si>
    <t>Kezesség-,illetve garanciavállalással kapcsolatos megtérülés</t>
  </si>
  <si>
    <t>Saját bevételek (01+.....+07)</t>
  </si>
  <si>
    <t>Saját bevételek (08.sor) 50%-a</t>
  </si>
  <si>
    <t>2018. évi előirányzat</t>
  </si>
  <si>
    <t>Herend Város Önkormányzat 2018. évi működési és felhalmozási mérlege</t>
  </si>
  <si>
    <t>Herend Város Önkormányzat 2018. évi bevételi előirányzatai forrásonként</t>
  </si>
  <si>
    <t>2018.</t>
  </si>
  <si>
    <t>Herendi Polgármesteri Hivatal összesen</t>
  </si>
  <si>
    <t>2018. Engedélyezett létszám</t>
  </si>
  <si>
    <t>Herend Város Önkormányzat és költségvetési szervei 2018. évi működési és felhalmozási  kiadási előirányzatai  kormányzati funkciónként</t>
  </si>
  <si>
    <t xml:space="preserve"> Herendi Polgármesteri Hivatal összesen</t>
  </si>
  <si>
    <t>Herend Város Önkormányzat 2018.évi felhalmozási kiadások előirányzata feladatonként</t>
  </si>
  <si>
    <t xml:space="preserve">Herend Város Önkormányzat 2018. évi pénzeszköz átadásainak és egyéb támogatásainak előirányzata </t>
  </si>
  <si>
    <t>Herend Város Önkormányzat  2018.évi közvetett támogatások</t>
  </si>
  <si>
    <t>2018. évi működési és felhalmozási bevételek mérlegszerűen</t>
  </si>
  <si>
    <t>Herend Város Önkormányzat 2018. évi létszámkerete költségvetési szervenként  és a közfoglalkoztatottak száma (fő)</t>
  </si>
  <si>
    <t>2018. évi előirányzat felhasználási ütemterv</t>
  </si>
  <si>
    <t>Herend Város Önkormányzat 2018. évi költségvetési támogatása</t>
  </si>
  <si>
    <t>I.5.</t>
  </si>
  <si>
    <t>Polgármesteri illetmény támogatása</t>
  </si>
  <si>
    <t xml:space="preserve"> Óvodapedagógusok elismert létszáma 4 hónapra</t>
  </si>
  <si>
    <t xml:space="preserve"> Óvodapedagógusok elismert létszáma  8. hónapra</t>
  </si>
  <si>
    <t>II.2. (1) 2</t>
  </si>
  <si>
    <t>II.4. Kiegészítő támogatás az óvodapedagógusok minősítéséből adódó többletkiadásokhoz</t>
  </si>
  <si>
    <t>II.4.a (1)</t>
  </si>
  <si>
    <t>III.5.a.</t>
  </si>
  <si>
    <t>finanszírozás szempontjából elismert dolgozók bértámogatása</t>
  </si>
  <si>
    <t>III.7. Bölcsőde, mini bölcsőde támogatása</t>
  </si>
  <si>
    <t>III.7.a (1)</t>
  </si>
  <si>
    <t xml:space="preserve"> A finanszírozás szempontjából elismerszakmai t dolgozók bértámogatása </t>
  </si>
  <si>
    <t>II.7.b</t>
  </si>
  <si>
    <t>Bölcsődei üzemeltetési támogatás</t>
  </si>
  <si>
    <t>2021. év</t>
  </si>
  <si>
    <t>2018-2021 évre tervezett bevételei és kiadásai</t>
  </si>
  <si>
    <t>Herendi Hétszínvilág Óvoda és Bölcsőde 2018. évi  költségvetése</t>
  </si>
  <si>
    <t>Herendi  Művelődési Ház  kiadások összesen</t>
  </si>
  <si>
    <t>Herendi Polgármesteri Hivatal  2018. évi költségvetése</t>
  </si>
  <si>
    <t>Herend Város Önkormányzat 2018. évi  költségvetése</t>
  </si>
  <si>
    <t>XIV.</t>
  </si>
  <si>
    <t>Kötelező , önként vállalt és állami (államigazgatási) feladatainak kiadásai 2018. évre</t>
  </si>
  <si>
    <t>2018. ÉVI TARTALÉK FELHALSZNÁLÁSA</t>
  </si>
  <si>
    <t xml:space="preserve">TOP-5.2.1-15 A társadalmi együttműködés erősítését szolgáló helyi szintű komplex programok </t>
  </si>
  <si>
    <t>Top-2.1.2. Zöld város kialakítása önerő</t>
  </si>
  <si>
    <t>TOP-4.3.1-15 Leromlott területek rehabilitációja önerő</t>
  </si>
  <si>
    <t>TOP-5.2.1-15 A társadalmi együttműködés erősítését szolgáló helyi szintű komplex programok önerő</t>
  </si>
  <si>
    <t>TOP-3.1.1-15 Városrészeket összekötő kerékpárút</t>
  </si>
  <si>
    <t>VP6-7.2.1.-7.4.1.2.-16 Külterületi helyi közutak fejlesztése, önkormányzati utak kezeléséhez, állapotjavításához önerő</t>
  </si>
  <si>
    <t>…../2018.(…..) önkormányzati rendelethez</t>
  </si>
  <si>
    <t xml:space="preserve">Herend Művelődési Ház </t>
  </si>
  <si>
    <t>Herendi Városüzemeltetési Közszolg.Int.</t>
  </si>
  <si>
    <t>Herend Város Önkormányzata</t>
  </si>
  <si>
    <t>2017. várható évvége</t>
  </si>
  <si>
    <t>Művelődési Ház mellékhelyiség felújítása</t>
  </si>
  <si>
    <t>Herendi Művelődési Ház eszköz beszerzése</t>
  </si>
  <si>
    <t xml:space="preserve">      egyéb működési bevételek</t>
  </si>
  <si>
    <t>II.4.b (1)</t>
  </si>
  <si>
    <t xml:space="preserve"> alapfokozatú végzettségű pedagógus II. kategóriába sorolt óvodapedagógusok kiegészítő támogatása - akik a minősítést 2018. január 1 után szerezték meg</t>
  </si>
  <si>
    <t>TOP-2.3.1.-15 Fenntartaható települési közlekedés fejlesztése önerő</t>
  </si>
  <si>
    <t>TOP-2.1.3.-15 Települési környezetvédelmi infrastruktúra fejlesztése</t>
  </si>
  <si>
    <t>Közművelődési Érdekeltségnövelő támogatás önerő</t>
  </si>
  <si>
    <t>ÉPÜLETEK FELÚJÍTÁSA</t>
  </si>
  <si>
    <t>Polgármesteri Hiv. gép, berendezés (számítógép eszközök, irodai bútor)</t>
  </si>
  <si>
    <t>Óvoda elektromos hálozatának felújítása</t>
  </si>
  <si>
    <t>Könyvtár kialakítása Kossuth u 45</t>
  </si>
  <si>
    <t>Új gázfogadóhoz útépítés</t>
  </si>
  <si>
    <t xml:space="preserve">          felhalmozási célú önkormányzati támogatások</t>
  </si>
  <si>
    <t>Működési célú pénzeszköz átvétel</t>
  </si>
  <si>
    <t>Rendőrség közvetett támogatás</t>
  </si>
  <si>
    <t>Bérleti díj</t>
  </si>
  <si>
    <t xml:space="preserve">6.melléklet </t>
  </si>
  <si>
    <t>7.melléklet</t>
  </si>
  <si>
    <t>MÓD I.</t>
  </si>
  <si>
    <t>MÓD I</t>
  </si>
  <si>
    <t>Könyvtári állomány gyarapítása</t>
  </si>
  <si>
    <t xml:space="preserve">         Dologi kiadások</t>
  </si>
  <si>
    <t>Általános forgalmi adó visszatérítése</t>
  </si>
  <si>
    <t xml:space="preserve">     Általános forgalmi adó visszatérítés</t>
  </si>
  <si>
    <t>Működési célú átvett pénzeszközök OGY választás</t>
  </si>
  <si>
    <t>Országgyülési képviselőválasztás</t>
  </si>
  <si>
    <t>Egyéb kiegészítő szolgáltatások</t>
  </si>
  <si>
    <t>társadalombiztosítás alapjai</t>
  </si>
  <si>
    <t>Gyermekvédelmi pénzbeli és természetbeni ellátások</t>
  </si>
  <si>
    <t>Lakóingatlan szociális bérbeadása</t>
  </si>
  <si>
    <t>Egyéb szociális pénzbeli és természetbeni ellátások</t>
  </si>
  <si>
    <t>Hosszabb időtart. közfoglalkoztatás</t>
  </si>
  <si>
    <t>Szennyvíz gyűjtése</t>
  </si>
  <si>
    <t>ASP bevezetésének támogatása</t>
  </si>
  <si>
    <t>XVI.</t>
  </si>
  <si>
    <t>XVII.</t>
  </si>
  <si>
    <t>TOP-3.1.1.-15 Szociális alapszolgálatatások infrastruktúrájának bővítése</t>
  </si>
  <si>
    <t>TOP-5.2.1-15 Társadalmi együttmükődés erősítést szolgáló helyi szintű komplex programok ( rendezvény eszköz beszerzés)</t>
  </si>
  <si>
    <t>ebből: ingatlan értékesítés ( telkek)</t>
  </si>
  <si>
    <t xml:space="preserve">         Herend, Pipacs u 22/B sz. lakás értékesítése</t>
  </si>
  <si>
    <t>Mód I.</t>
  </si>
  <si>
    <t>Általános forgalmi adó visszatérülése</t>
  </si>
  <si>
    <t>Herendi Művelődési Ház bevétele összesen</t>
  </si>
  <si>
    <t xml:space="preserve">          társadalombiztosítás alapjai</t>
  </si>
  <si>
    <t xml:space="preserve">          Ellátottak pénzbeli juttatása</t>
  </si>
  <si>
    <t>148.</t>
  </si>
  <si>
    <t>149.</t>
  </si>
  <si>
    <t>Intézményi üzemeltetés</t>
  </si>
  <si>
    <t>Egyéb kiegésztő szolgáltatás</t>
  </si>
  <si>
    <t>Országgyülési képviselő választás</t>
  </si>
  <si>
    <t xml:space="preserve">Mükődési célú átvett pénzeszközök </t>
  </si>
  <si>
    <t>KIMUTATÁS</t>
  </si>
  <si>
    <t>az Európai Uniós forrásból finanszírozott támogatással megvalósuló programok, projektek kiadásai és bevételei az Ávr. 24. § (1) bekezdés a)és bd) pontjainak megfelelően</t>
  </si>
  <si>
    <t xml:space="preserve">A projekt neve: </t>
  </si>
  <si>
    <t>Források összesen:</t>
  </si>
  <si>
    <t>2019. után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</si>
  <si>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</si>
  <si>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</si>
  <si>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</si>
  <si>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</si>
  <si>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</si>
  <si>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</si>
  <si>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</si>
  <si>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</si>
  <si>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</si>
  <si>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</si>
  <si>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Önkormányzaton kívüli EU-s projektekhez történő hozzájárulás 2018. évi előirányzat</t>
  </si>
  <si>
    <t>Támogatott neve</t>
  </si>
  <si>
    <t>Hozzájárulás  (E Ft)</t>
  </si>
  <si>
    <t>Céltartalék</t>
  </si>
  <si>
    <t>KÖFOP-1.2.1 Csatlakozási konstrukció az önkormányzati ASP rendszer országos kifejlesztéséhez</t>
  </si>
  <si>
    <t>22. melléklet</t>
  </si>
  <si>
    <t>TOP-3.1.1-15-VE-2016-00004 Városrészeket összekötő kerékpárút Herenden</t>
  </si>
  <si>
    <t>TOP-4.2.1-15-VE1-2016-00001 Herend Környéki Önkormányzatok Család és Gyermekjóléti Szolgálatának infrastrukturáliss fejlesztése</t>
  </si>
  <si>
    <t>TOP-2.1.2-15-VE1-2016-0002  Herend Zöld várossá fejlesztése</t>
  </si>
  <si>
    <t>TOP-5.2.1-15-VE1-2016-00005 A társadalmi együttműködést erősítését szolgáló helyi szintű komplex programok</t>
  </si>
  <si>
    <t xml:space="preserve">TOP-4.2.1-15 Szociális alapszolgáltatások infrastruktúrájának bővítése ( CSSK) önerő </t>
  </si>
  <si>
    <t>Hozzájárulás  ( Ft)</t>
  </si>
  <si>
    <t xml:space="preserve">        munkahelyi értkezés</t>
  </si>
  <si>
    <t>MÓD II.</t>
  </si>
  <si>
    <t>Mód II.</t>
  </si>
  <si>
    <t>Kubinyi Ágoston Program a múzeumok szakmai támogatása állandó kiállítás teljes körű felújítása és korszerűsítése pályázat önerő</t>
  </si>
  <si>
    <t xml:space="preserve">Kubinyi Ágoston Program a múzeumok szakmai támogatása állandó kiállítás teljes körű felújítása és korszerűsítése pályázat </t>
  </si>
  <si>
    <t>Herend 543/19 hrsz-ú ingatlan vásárlása</t>
  </si>
  <si>
    <t>Herend 507/4 hrsz ingatlan vásárlása</t>
  </si>
  <si>
    <t>VP6-19.2.1-1-815-17 Bakonyi rendezvények, képzések, hálozati tevékenységek önerő</t>
  </si>
  <si>
    <t>Óvodafejlesztési pályázat önerő</t>
  </si>
  <si>
    <t>Defirillátor pályázat önerő</t>
  </si>
  <si>
    <t>VP6-19.2.1-1-813-17 Bakonyi települések megújítása, közösségi élettér fejlesztése pályázat önerő</t>
  </si>
  <si>
    <t>MÓD III.</t>
  </si>
  <si>
    <t>KÖFOP-1.2.1-VEKOP-16-2016-00028 ASP projekt fel nem használt összege</t>
  </si>
  <si>
    <t>Mód III.</t>
  </si>
  <si>
    <t>Vis maior támogatás önerő</t>
  </si>
  <si>
    <t>Biztosító által fizetett kártérítés</t>
  </si>
  <si>
    <t>36.37.</t>
  </si>
  <si>
    <t xml:space="preserve">           dologi</t>
  </si>
  <si>
    <t>MÓD IV.</t>
  </si>
  <si>
    <t>Kubinyi Ágoston Program a múzeumok szakmai támogatása állandó kiállítás teljes körű felújítása és korszerűsítése pályázat (5 év)</t>
  </si>
  <si>
    <t>Jó adatszolgáltató önkormányzatok támogatása pályázat</t>
  </si>
  <si>
    <t>Mód IV.</t>
  </si>
  <si>
    <t>Immateriális javak beszerzése</t>
  </si>
  <si>
    <t>MS Office beszerzése bányatelepi pályázat</t>
  </si>
  <si>
    <t>Közfoglalkoztatás keretében eszköz beszerzések</t>
  </si>
  <si>
    <t>Orvosi rendelő tetőszigetelés</t>
  </si>
  <si>
    <t>Városüzemeltetési közszolgáltató intézmény telephelyére garázskapu beszerzés</t>
  </si>
  <si>
    <t>MÓD IV</t>
  </si>
  <si>
    <t>MÓD V.</t>
  </si>
  <si>
    <t>Kubinyi Ágoston program támogatás</t>
  </si>
  <si>
    <t>Traktor gumik vásárlása 2 garnitura</t>
  </si>
  <si>
    <t>Top-2.1.2. Zöld város kialakítása (beruházási költségek)</t>
  </si>
  <si>
    <t>B lakóövezet közvilágítás kialakítása</t>
  </si>
  <si>
    <t xml:space="preserve">Zöld Város pályázat 543/33 </t>
  </si>
  <si>
    <t>önkor</t>
  </si>
  <si>
    <t>VP6 pályázat keretében tolólap beszerzése</t>
  </si>
  <si>
    <t>……./2019.(…....) önkormányzati rendelethez</t>
  </si>
  <si>
    <t>VP6-7.2.1-7.4.1.2-16 Külterületi helyi közútak fejlesztése</t>
  </si>
  <si>
    <t xml:space="preserve">á  </t>
  </si>
  <si>
    <t xml:space="preserve"> c </t>
  </si>
  <si>
    <t>Kamat bevétel</t>
  </si>
  <si>
    <t>Mód V.</t>
  </si>
  <si>
    <t>Városrészeket összekötő kerékpárút pályázat terhére kivitele</t>
  </si>
  <si>
    <t>TOP-3.1.1-15-VE1-2016 pályázat kisajátítás költsége</t>
  </si>
  <si>
    <t>Polgárőrség támogatása</t>
  </si>
  <si>
    <t>Felhalmozási célú támogatások</t>
  </si>
  <si>
    <t xml:space="preserve">     Veszprémi Többcélú Kistérségi társulás támogatása VMJV</t>
  </si>
  <si>
    <t xml:space="preserve">          Egyéb felhalmozási célú kiadások</t>
  </si>
  <si>
    <t xml:space="preserve">         Egyéb felhalmozási célú pénzeszköz átadás</t>
  </si>
  <si>
    <t>felhalmozási célú kiadás</t>
  </si>
  <si>
    <t>Felhalmozási pénzeszköz átvétel</t>
  </si>
  <si>
    <t>MÓD VI.</t>
  </si>
  <si>
    <t>helyi önkormányzatok és költségvetési szerveik</t>
  </si>
  <si>
    <t>dologi kiadások</t>
  </si>
  <si>
    <t>XVIII.</t>
  </si>
  <si>
    <r>
      <t xml:space="preserve">Intézményi ellátottak pénzbeli juttatásai ( </t>
    </r>
    <r>
      <rPr>
        <i/>
        <sz val="10"/>
        <rFont val="Arial"/>
        <family val="2"/>
      </rPr>
      <t>Bursa)</t>
    </r>
  </si>
  <si>
    <t>Egyéb nem intézményi ellátások</t>
  </si>
  <si>
    <t>Mód VI.</t>
  </si>
  <si>
    <t>intézményi ellátottak pénzbeli juttatásai</t>
  </si>
  <si>
    <t>Hosszabb időtart. Közfoglalkoztatás</t>
  </si>
  <si>
    <t xml:space="preserve">       Felhalmozási kiadások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</si>
  <si>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</si>
  <si>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</si>
  <si>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</si>
  <si>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</si>
  <si>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</si>
  <si>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</si>
  <si>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</si>
  <si>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</si>
  <si>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</si>
  <si>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</si>
  <si>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</si>
  <si>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</si>
  <si>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</si>
  <si>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</si>
  <si>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</si>
  <si>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</si>
  <si>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</si>
  <si>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</si>
  <si>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</si>
  <si>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</si>
  <si>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</si>
  <si>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</si>
  <si>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</si>
  <si>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</si>
  <si>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</si>
  <si>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</si>
  <si>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</si>
  <si>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</si>
  <si>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</si>
  <si>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h</t>
  </si>
  <si>
    <t>A 2017. évről áthuzodó bérkompenzáció</t>
  </si>
  <si>
    <t>Szennyvíz gyűjtés</t>
  </si>
  <si>
    <t>Gyermekvédelmi pénzbeli ellátások</t>
  </si>
  <si>
    <t>Hosszabb időtartalmú közfogi</t>
  </si>
  <si>
    <t>MÓD Vi.</t>
  </si>
  <si>
    <t>4/2018.(II.15.) önkormányzati rendelethez</t>
  </si>
  <si>
    <t>9/2019.(IV.17.) önkormányzat rendelethez</t>
  </si>
  <si>
    <t>6. melléklet</t>
  </si>
  <si>
    <t>7. melléklet</t>
  </si>
  <si>
    <t>8. melléklet</t>
  </si>
  <si>
    <t>9. melléklet</t>
  </si>
  <si>
    <t>10. melléklet</t>
  </si>
  <si>
    <t>11. melléklet</t>
  </si>
  <si>
    <t>13. melléklet</t>
  </si>
  <si>
    <t>14. melléklet</t>
  </si>
  <si>
    <t>15. melléklet</t>
  </si>
</sst>
</file>

<file path=xl/styles.xml><?xml version="1.0" encoding="utf-8"?>
<styleSheet xmlns="http://schemas.openxmlformats.org/spreadsheetml/2006/main">
  <numFmts count="2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_-;\-* #,##0_-;_-* &quot;-&quot;_-;_-@_-"/>
    <numFmt numFmtId="170" formatCode="_-* #,##0.00\ &quot;Ft&quot;_-;\-* #,##0.00\ &quot;Ft&quot;_-;_-* &quot;-&quot;??\ &quot;Ft&quot;_-;_-@_-"/>
    <numFmt numFmtId="171" formatCode="_-* #,##0.00_-;\-* #,##0.00_-;_-* &quot;-&quot;??_-;_-@_-"/>
    <numFmt numFmtId="172" formatCode="_-* #,##0\ _F_t_-;\-* #,##0\ _F_t_-;_-* &quot;-&quot;\ _F_t_-;_-@_-"/>
    <numFmt numFmtId="173" formatCode="_-* #,##0.00\ _F_t_-;\-* #,##0.00\ _F_t_-;_-* &quot;-&quot;??\ _F_t_-;_-@_-"/>
    <numFmt numFmtId="174" formatCode="\ * #,##0.00&quot;     &quot;;\-* #,##0.00&quot;     &quot;;\ * \-#&quot;     &quot;;@\ "/>
    <numFmt numFmtId="175" formatCode="\ * #,##0&quot;     &quot;;\-* #,##0&quot;     &quot;;\ * \-#&quot;     &quot;;@\ "/>
    <numFmt numFmtId="176" formatCode="\ * #,##0.00&quot; Ft &quot;;\-* #,##0.00&quot; Ft &quot;;\ * \-#&quot; Ft &quot;;@\ "/>
    <numFmt numFmtId="177" formatCode="0.0"/>
    <numFmt numFmtId="178" formatCode="#,##0.0"/>
    <numFmt numFmtId="179" formatCode="\ * #,##0.0&quot;     &quot;;\-* #,##0.0&quot;     &quot;;\ * \-#&quot;     &quot;;@\ "/>
    <numFmt numFmtId="180" formatCode="[$-40E]yyyy\.\ mmmm\ d\."/>
    <numFmt numFmtId="181" formatCode="0.0%"/>
    <numFmt numFmtId="182" formatCode="[$-40E]yyyy\.\ mmmm\ d\.\,\ dddd"/>
  </numFmts>
  <fonts count="92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Black"/>
      <family val="2"/>
    </font>
    <font>
      <sz val="10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i/>
      <sz val="12"/>
      <name val="Arial Black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6"/>
        <bgColor indexed="64"/>
      </patternFill>
    </fill>
  </fills>
  <borders count="2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8"/>
      </right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7" borderId="5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8" borderId="7" applyNumberFormat="0" applyFont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78" fillId="0" borderId="9" applyNumberFormat="0" applyFill="0" applyAlignment="0" applyProtection="0"/>
    <xf numFmtId="176" fontId="0" fillId="0" borderId="0" applyFill="0" applyBorder="0" applyAlignment="0" applyProtection="0"/>
    <xf numFmtId="168" fontId="0" fillId="0" borderId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ill="0" applyBorder="0" applyAlignment="0" applyProtection="0"/>
  </cellStyleXfs>
  <cellXfs count="193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175" fontId="0" fillId="0" borderId="0" xfId="46" applyNumberFormat="1" applyAlignment="1">
      <alignment/>
    </xf>
    <xf numFmtId="3" fontId="2" fillId="33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3" fontId="8" fillId="0" borderId="2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175" fontId="8" fillId="0" borderId="12" xfId="46" applyNumberFormat="1" applyFont="1" applyBorder="1" applyAlignment="1">
      <alignment/>
    </xf>
    <xf numFmtId="175" fontId="8" fillId="36" borderId="12" xfId="46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2" fillId="0" borderId="2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75" fontId="2" fillId="0" borderId="12" xfId="46" applyNumberFormat="1" applyFont="1" applyBorder="1" applyAlignment="1">
      <alignment/>
    </xf>
    <xf numFmtId="175" fontId="2" fillId="36" borderId="12" xfId="46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3" fontId="8" fillId="0" borderId="21" xfId="0" applyNumberFormat="1" applyFont="1" applyBorder="1" applyAlignment="1">
      <alignment/>
    </xf>
    <xf numFmtId="175" fontId="8" fillId="0" borderId="21" xfId="46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3" fontId="5" fillId="33" borderId="22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3" fontId="10" fillId="0" borderId="0" xfId="0" applyNumberFormat="1" applyFont="1" applyAlignment="1">
      <alignment/>
    </xf>
    <xf numFmtId="3" fontId="2" fillId="33" borderId="12" xfId="0" applyNumberFormat="1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left"/>
    </xf>
    <xf numFmtId="175" fontId="0" fillId="0" borderId="12" xfId="46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5" fontId="0" fillId="36" borderId="12" xfId="46" applyNumberFormat="1" applyFont="1" applyFill="1" applyBorder="1" applyAlignment="1">
      <alignment/>
    </xf>
    <xf numFmtId="175" fontId="0" fillId="36" borderId="12" xfId="46" applyNumberFormat="1" applyFill="1" applyBorder="1" applyAlignment="1">
      <alignment/>
    </xf>
    <xf numFmtId="3" fontId="2" fillId="0" borderId="24" xfId="0" applyNumberFormat="1" applyFont="1" applyBorder="1" applyAlignment="1">
      <alignment horizontal="center"/>
    </xf>
    <xf numFmtId="175" fontId="2" fillId="0" borderId="21" xfId="46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14" xfId="0" applyNumberFormat="1" applyFont="1" applyBorder="1" applyAlignment="1">
      <alignment wrapText="1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wrapText="1"/>
    </xf>
    <xf numFmtId="3" fontId="4" fillId="0" borderId="11" xfId="0" applyNumberFormat="1" applyFont="1" applyBorder="1" applyAlignment="1">
      <alignment horizontal="center"/>
    </xf>
    <xf numFmtId="3" fontId="13" fillId="0" borderId="25" xfId="0" applyNumberFormat="1" applyFont="1" applyBorder="1" applyAlignment="1">
      <alignment/>
    </xf>
    <xf numFmtId="175" fontId="13" fillId="36" borderId="12" xfId="46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0" fillId="0" borderId="21" xfId="0" applyBorder="1" applyAlignment="1">
      <alignment wrapText="1"/>
    </xf>
    <xf numFmtId="175" fontId="8" fillId="36" borderId="21" xfId="46" applyNumberFormat="1" applyFont="1" applyFill="1" applyBorder="1" applyAlignment="1">
      <alignment/>
    </xf>
    <xf numFmtId="0" fontId="0" fillId="0" borderId="14" xfId="0" applyBorder="1" applyAlignment="1">
      <alignment wrapText="1"/>
    </xf>
    <xf numFmtId="175" fontId="0" fillId="36" borderId="14" xfId="46" applyNumberFormat="1" applyFont="1" applyFill="1" applyBorder="1" applyAlignment="1">
      <alignment/>
    </xf>
    <xf numFmtId="3" fontId="2" fillId="0" borderId="26" xfId="0" applyNumberFormat="1" applyFont="1" applyBorder="1" applyAlignment="1">
      <alignment horizontal="center"/>
    </xf>
    <xf numFmtId="0" fontId="14" fillId="33" borderId="0" xfId="0" applyFont="1" applyFill="1" applyAlignment="1">
      <alignment/>
    </xf>
    <xf numFmtId="175" fontId="1" fillId="33" borderId="0" xfId="46" applyNumberFormat="1" applyFont="1" applyFill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27" xfId="0" applyNumberForma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0" fillId="0" borderId="12" xfId="0" applyNumberFormat="1" applyBorder="1" applyAlignment="1">
      <alignment wrapText="1"/>
    </xf>
    <xf numFmtId="175" fontId="0" fillId="0" borderId="12" xfId="46" applyNumberFormat="1" applyFont="1" applyBorder="1" applyAlignment="1">
      <alignment/>
    </xf>
    <xf numFmtId="3" fontId="0" fillId="33" borderId="12" xfId="0" applyNumberFormat="1" applyFill="1" applyBorder="1" applyAlignment="1">
      <alignment horizontal="center"/>
    </xf>
    <xf numFmtId="175" fontId="2" fillId="33" borderId="12" xfId="46" applyNumberFormat="1" applyFont="1" applyFill="1" applyBorder="1" applyAlignment="1">
      <alignment/>
    </xf>
    <xf numFmtId="175" fontId="0" fillId="0" borderId="0" xfId="46" applyNumberFormat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175" fontId="0" fillId="0" borderId="14" xfId="46" applyNumberFormat="1" applyBorder="1" applyAlignment="1">
      <alignment/>
    </xf>
    <xf numFmtId="175" fontId="0" fillId="0" borderId="14" xfId="46" applyNumberFormat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175" fontId="0" fillId="33" borderId="0" xfId="46" applyNumberFormat="1" applyFill="1" applyAlignment="1">
      <alignment/>
    </xf>
    <xf numFmtId="3" fontId="1" fillId="0" borderId="0" xfId="0" applyNumberFormat="1" applyFont="1" applyAlignment="1">
      <alignment horizontal="center"/>
    </xf>
    <xf numFmtId="175" fontId="0" fillId="0" borderId="0" xfId="46" applyNumberFormat="1" applyFont="1" applyAlignment="1">
      <alignment/>
    </xf>
    <xf numFmtId="3" fontId="2" fillId="0" borderId="16" xfId="0" applyNumberFormat="1" applyFont="1" applyBorder="1" applyAlignment="1">
      <alignment horizontal="center"/>
    </xf>
    <xf numFmtId="3" fontId="16" fillId="0" borderId="28" xfId="0" applyNumberFormat="1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" fillId="0" borderId="29" xfId="0" applyNumberFormat="1" applyFont="1" applyBorder="1" applyAlignment="1">
      <alignment horizontal="center"/>
    </xf>
    <xf numFmtId="177" fontId="2" fillId="0" borderId="12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177" fontId="2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3" fontId="0" fillId="0" borderId="30" xfId="0" applyNumberFormat="1" applyBorder="1" applyAlignment="1">
      <alignment horizontal="center"/>
    </xf>
    <xf numFmtId="177" fontId="0" fillId="0" borderId="26" xfId="0" applyNumberFormat="1" applyBorder="1" applyAlignment="1">
      <alignment/>
    </xf>
    <xf numFmtId="3" fontId="2" fillId="0" borderId="3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/>
    </xf>
    <xf numFmtId="175" fontId="0" fillId="33" borderId="12" xfId="46" applyNumberFormat="1" applyFill="1" applyBorder="1" applyAlignment="1">
      <alignment/>
    </xf>
    <xf numFmtId="1" fontId="2" fillId="0" borderId="17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3" fontId="0" fillId="0" borderId="28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177" fontId="0" fillId="0" borderId="32" xfId="0" applyNumberFormat="1" applyBorder="1" applyAlignment="1">
      <alignment/>
    </xf>
    <xf numFmtId="3" fontId="0" fillId="33" borderId="14" xfId="0" applyNumberFormat="1" applyFill="1" applyBorder="1" applyAlignment="1">
      <alignment horizontal="center"/>
    </xf>
    <xf numFmtId="3" fontId="0" fillId="33" borderId="28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/>
    </xf>
    <xf numFmtId="3" fontId="0" fillId="33" borderId="21" xfId="0" applyNumberFormat="1" applyFill="1" applyBorder="1" applyAlignment="1">
      <alignment horizontal="center"/>
    </xf>
    <xf numFmtId="3" fontId="0" fillId="33" borderId="31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/>
    </xf>
    <xf numFmtId="3" fontId="11" fillId="0" borderId="15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177" fontId="2" fillId="0" borderId="14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5" fontId="0" fillId="0" borderId="21" xfId="46" applyNumberFormat="1" applyBorder="1" applyAlignment="1">
      <alignment/>
    </xf>
    <xf numFmtId="3" fontId="2" fillId="33" borderId="21" xfId="0" applyNumberFormat="1" applyFont="1" applyFill="1" applyBorder="1" applyAlignment="1">
      <alignment/>
    </xf>
    <xf numFmtId="177" fontId="2" fillId="33" borderId="12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33" borderId="12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wrapText="1"/>
    </xf>
    <xf numFmtId="177" fontId="2" fillId="0" borderId="12" xfId="0" applyNumberFormat="1" applyFon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77" fontId="0" fillId="0" borderId="21" xfId="0" applyNumberFormat="1" applyBorder="1" applyAlignment="1">
      <alignment/>
    </xf>
    <xf numFmtId="175" fontId="2" fillId="0" borderId="12" xfId="46" applyNumberFormat="1" applyFont="1" applyBorder="1" applyAlignment="1">
      <alignment horizontal="center" vertical="center"/>
    </xf>
    <xf numFmtId="175" fontId="0" fillId="0" borderId="12" xfId="46" applyNumberFormat="1" applyBorder="1" applyAlignment="1">
      <alignment horizontal="center" vertical="center"/>
    </xf>
    <xf numFmtId="3" fontId="16" fillId="33" borderId="12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 wrapText="1"/>
    </xf>
    <xf numFmtId="3" fontId="15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wrapText="1"/>
    </xf>
    <xf numFmtId="3" fontId="1" fillId="33" borderId="21" xfId="0" applyNumberFormat="1" applyFont="1" applyFill="1" applyBorder="1" applyAlignment="1">
      <alignment wrapText="1"/>
    </xf>
    <xf numFmtId="3" fontId="1" fillId="33" borderId="21" xfId="0" applyNumberFormat="1" applyFont="1" applyFill="1" applyBorder="1" applyAlignment="1">
      <alignment/>
    </xf>
    <xf numFmtId="175" fontId="2" fillId="33" borderId="21" xfId="46" applyNumberFormat="1" applyFont="1" applyFill="1" applyBorder="1" applyAlignment="1">
      <alignment/>
    </xf>
    <xf numFmtId="3" fontId="0" fillId="0" borderId="34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36" borderId="12" xfId="0" applyNumberFormat="1" applyFill="1" applyBorder="1" applyAlignment="1">
      <alignment horizontal="center"/>
    </xf>
    <xf numFmtId="175" fontId="0" fillId="0" borderId="13" xfId="46" applyNumberFormat="1" applyBorder="1" applyAlignment="1">
      <alignment/>
    </xf>
    <xf numFmtId="3" fontId="0" fillId="36" borderId="12" xfId="0" applyNumberForma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5" fontId="3" fillId="0" borderId="12" xfId="46" applyNumberFormat="1" applyFont="1" applyBorder="1" applyAlignment="1">
      <alignment/>
    </xf>
    <xf numFmtId="175" fontId="3" fillId="0" borderId="0" xfId="46" applyNumberFormat="1" applyFont="1" applyAlignment="1">
      <alignment/>
    </xf>
    <xf numFmtId="175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/>
    </xf>
    <xf numFmtId="175" fontId="0" fillId="0" borderId="0" xfId="46" applyNumberFormat="1" applyAlignment="1">
      <alignment horizontal="center" vertical="center"/>
    </xf>
    <xf numFmtId="0" fontId="0" fillId="36" borderId="0" xfId="0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175" fontId="2" fillId="0" borderId="13" xfId="46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3" fillId="0" borderId="33" xfId="0" applyNumberFormat="1" applyFont="1" applyBorder="1" applyAlignment="1">
      <alignment/>
    </xf>
    <xf numFmtId="3" fontId="2" fillId="37" borderId="29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0" fillId="0" borderId="32" xfId="0" applyNumberFormat="1" applyBorder="1" applyAlignment="1">
      <alignment horizontal="center"/>
    </xf>
    <xf numFmtId="3" fontId="0" fillId="36" borderId="14" xfId="0" applyNumberFormat="1" applyFill="1" applyBorder="1" applyAlignment="1">
      <alignment horizontal="center"/>
    </xf>
    <xf numFmtId="3" fontId="0" fillId="36" borderId="14" xfId="0" applyNumberFormat="1" applyFill="1" applyBorder="1" applyAlignment="1">
      <alignment/>
    </xf>
    <xf numFmtId="177" fontId="0" fillId="36" borderId="14" xfId="0" applyNumberFormat="1" applyFill="1" applyBorder="1" applyAlignment="1">
      <alignment/>
    </xf>
    <xf numFmtId="175" fontId="0" fillId="36" borderId="14" xfId="46" applyNumberFormat="1" applyFill="1" applyBorder="1" applyAlignment="1">
      <alignment/>
    </xf>
    <xf numFmtId="177" fontId="0" fillId="36" borderId="12" xfId="0" applyNumberFormat="1" applyFill="1" applyBorder="1" applyAlignment="1">
      <alignment/>
    </xf>
    <xf numFmtId="175" fontId="0" fillId="0" borderId="0" xfId="46" applyNumberFormat="1" applyAlignment="1">
      <alignment horizontal="right"/>
    </xf>
    <xf numFmtId="0" fontId="16" fillId="0" borderId="0" xfId="0" applyFont="1" applyAlignment="1">
      <alignment/>
    </xf>
    <xf numFmtId="175" fontId="2" fillId="33" borderId="36" xfId="46" applyNumberFormat="1" applyFont="1" applyFill="1" applyBorder="1" applyAlignment="1">
      <alignment horizontal="center" vertical="center" wrapText="1"/>
    </xf>
    <xf numFmtId="175" fontId="2" fillId="33" borderId="37" xfId="46" applyNumberFormat="1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75" fontId="2" fillId="0" borderId="37" xfId="46" applyNumberFormat="1" applyFont="1" applyBorder="1" applyAlignment="1">
      <alignment horizontal="center" vertical="center"/>
    </xf>
    <xf numFmtId="175" fontId="0" fillId="0" borderId="38" xfId="46" applyNumberFormat="1" applyBorder="1" applyAlignment="1">
      <alignment horizontal="center" vertical="center"/>
    </xf>
    <xf numFmtId="175" fontId="2" fillId="0" borderId="38" xfId="46" applyNumberFormat="1" applyFont="1" applyBorder="1" applyAlignment="1">
      <alignment horizontal="center" vertical="center"/>
    </xf>
    <xf numFmtId="3" fontId="5" fillId="36" borderId="0" xfId="0" applyNumberFormat="1" applyFont="1" applyFill="1" applyAlignment="1">
      <alignment horizontal="center"/>
    </xf>
    <xf numFmtId="3" fontId="5" fillId="36" borderId="0" xfId="0" applyNumberFormat="1" applyFont="1" applyFill="1" applyAlignment="1">
      <alignment horizontal="left"/>
    </xf>
    <xf numFmtId="175" fontId="5" fillId="36" borderId="0" xfId="46" applyNumberFormat="1" applyFont="1" applyFill="1" applyAlignment="1">
      <alignment/>
    </xf>
    <xf numFmtId="177" fontId="2" fillId="0" borderId="21" xfId="0" applyNumberFormat="1" applyFont="1" applyBorder="1" applyAlignment="1">
      <alignment/>
    </xf>
    <xf numFmtId="175" fontId="2" fillId="0" borderId="39" xfId="46" applyNumberFormat="1" applyFont="1" applyBorder="1" applyAlignment="1">
      <alignment horizontal="center" vertical="center"/>
    </xf>
    <xf numFmtId="175" fontId="0" fillId="0" borderId="39" xfId="46" applyNumberForma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8" fillId="0" borderId="40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/>
    </xf>
    <xf numFmtId="3" fontId="2" fillId="33" borderId="41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left" wrapText="1"/>
    </xf>
    <xf numFmtId="177" fontId="2" fillId="0" borderId="14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177" fontId="2" fillId="36" borderId="12" xfId="0" applyNumberFormat="1" applyFont="1" applyFill="1" applyBorder="1" applyAlignment="1">
      <alignment horizontal="center"/>
    </xf>
    <xf numFmtId="177" fontId="0" fillId="36" borderId="12" xfId="0" applyNumberForma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28" fillId="0" borderId="0" xfId="0" applyFont="1" applyAlignment="1">
      <alignment/>
    </xf>
    <xf numFmtId="3" fontId="25" fillId="0" borderId="16" xfId="0" applyNumberFormat="1" applyFont="1" applyBorder="1" applyAlignment="1">
      <alignment horizontal="center"/>
    </xf>
    <xf numFmtId="3" fontId="25" fillId="0" borderId="35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/>
    </xf>
    <xf numFmtId="3" fontId="19" fillId="0" borderId="13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/>
    </xf>
    <xf numFmtId="3" fontId="25" fillId="0" borderId="13" xfId="0" applyNumberFormat="1" applyFont="1" applyBorder="1" applyAlignment="1">
      <alignment horizontal="center"/>
    </xf>
    <xf numFmtId="3" fontId="25" fillId="0" borderId="2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36" borderId="12" xfId="0" applyNumberFormat="1" applyFont="1" applyFill="1" applyBorder="1" applyAlignment="1">
      <alignment/>
    </xf>
    <xf numFmtId="3" fontId="19" fillId="0" borderId="30" xfId="0" applyNumberFormat="1" applyFont="1" applyBorder="1" applyAlignment="1">
      <alignment horizontal="center"/>
    </xf>
    <xf numFmtId="3" fontId="25" fillId="0" borderId="30" xfId="0" applyNumberFormat="1" applyFont="1" applyBorder="1" applyAlignment="1">
      <alignment horizontal="center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25" fillId="0" borderId="11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3" fontId="19" fillId="0" borderId="42" xfId="0" applyNumberFormat="1" applyFont="1" applyBorder="1" applyAlignment="1">
      <alignment/>
    </xf>
    <xf numFmtId="3" fontId="19" fillId="33" borderId="43" xfId="0" applyNumberFormat="1" applyFont="1" applyFill="1" applyBorder="1" applyAlignment="1">
      <alignment horizontal="center"/>
    </xf>
    <xf numFmtId="3" fontId="28" fillId="33" borderId="23" xfId="0" applyNumberFormat="1" applyFont="1" applyFill="1" applyBorder="1" applyAlignment="1">
      <alignment/>
    </xf>
    <xf numFmtId="3" fontId="25" fillId="33" borderId="36" xfId="0" applyNumberFormat="1" applyFont="1" applyFill="1" applyBorder="1" applyAlignment="1">
      <alignment/>
    </xf>
    <xf numFmtId="3" fontId="19" fillId="33" borderId="44" xfId="0" applyNumberFormat="1" applyFont="1" applyFill="1" applyBorder="1" applyAlignment="1">
      <alignment horizontal="center"/>
    </xf>
    <xf numFmtId="3" fontId="19" fillId="33" borderId="14" xfId="0" applyNumberFormat="1" applyFont="1" applyFill="1" applyBorder="1" applyAlignment="1">
      <alignment/>
    </xf>
    <xf numFmtId="3" fontId="19" fillId="33" borderId="45" xfId="0" applyNumberFormat="1" applyFont="1" applyFill="1" applyBorder="1" applyAlignment="1">
      <alignment horizontal="center"/>
    </xf>
    <xf numFmtId="3" fontId="19" fillId="33" borderId="12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 horizontal="left"/>
    </xf>
    <xf numFmtId="3" fontId="19" fillId="33" borderId="46" xfId="0" applyNumberFormat="1" applyFont="1" applyFill="1" applyBorder="1" applyAlignment="1">
      <alignment horizontal="center"/>
    </xf>
    <xf numFmtId="3" fontId="19" fillId="33" borderId="21" xfId="0" applyNumberFormat="1" applyFont="1" applyFill="1" applyBorder="1" applyAlignment="1">
      <alignment/>
    </xf>
    <xf numFmtId="0" fontId="27" fillId="38" borderId="0" xfId="0" applyFont="1" applyFill="1" applyAlignment="1">
      <alignment/>
    </xf>
    <xf numFmtId="3" fontId="27" fillId="38" borderId="0" xfId="0" applyNumberFormat="1" applyFont="1" applyFill="1" applyAlignment="1">
      <alignment/>
    </xf>
    <xf numFmtId="0" fontId="2" fillId="0" borderId="21" xfId="0" applyFont="1" applyBorder="1" applyAlignment="1">
      <alignment horizontal="center" vertical="center"/>
    </xf>
    <xf numFmtId="175" fontId="0" fillId="0" borderId="12" xfId="46" applyNumberFormat="1" applyFont="1" applyBorder="1" applyAlignment="1">
      <alignment horizontal="center"/>
    </xf>
    <xf numFmtId="0" fontId="0" fillId="0" borderId="21" xfId="0" applyBorder="1" applyAlignment="1">
      <alignment/>
    </xf>
    <xf numFmtId="175" fontId="0" fillId="0" borderId="21" xfId="46" applyNumberFormat="1" applyFont="1" applyBorder="1" applyAlignment="1">
      <alignment/>
    </xf>
    <xf numFmtId="175" fontId="2" fillId="0" borderId="23" xfId="46" applyNumberFormat="1" applyFont="1" applyBorder="1" applyAlignment="1">
      <alignment/>
    </xf>
    <xf numFmtId="175" fontId="8" fillId="0" borderId="14" xfId="46" applyNumberFormat="1" applyFont="1" applyBorder="1" applyAlignment="1">
      <alignment/>
    </xf>
    <xf numFmtId="0" fontId="0" fillId="0" borderId="14" xfId="0" applyBorder="1" applyAlignment="1">
      <alignment/>
    </xf>
    <xf numFmtId="175" fontId="0" fillId="0" borderId="14" xfId="46" applyNumberFormat="1" applyFont="1" applyBorder="1" applyAlignment="1">
      <alignment/>
    </xf>
    <xf numFmtId="175" fontId="2" fillId="0" borderId="14" xfId="46" applyNumberFormat="1" applyFont="1" applyBorder="1" applyAlignment="1">
      <alignment/>
    </xf>
    <xf numFmtId="175" fontId="8" fillId="0" borderId="12" xfId="46" applyNumberFormat="1" applyFont="1" applyBorder="1" applyAlignment="1">
      <alignment horizontal="center"/>
    </xf>
    <xf numFmtId="175" fontId="8" fillId="0" borderId="21" xfId="46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 vertical="center"/>
    </xf>
    <xf numFmtId="175" fontId="2" fillId="0" borderId="10" xfId="46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175" fontId="0" fillId="0" borderId="12" xfId="46" applyNumberFormat="1" applyBorder="1" applyAlignment="1">
      <alignment vertical="center" wrapText="1"/>
    </xf>
    <xf numFmtId="0" fontId="0" fillId="36" borderId="26" xfId="0" applyFill="1" applyBorder="1" applyAlignment="1">
      <alignment horizontal="center"/>
    </xf>
    <xf numFmtId="175" fontId="0" fillId="36" borderId="21" xfId="46" applyNumberFormat="1" applyFill="1" applyBorder="1" applyAlignment="1">
      <alignment vertical="center"/>
    </xf>
    <xf numFmtId="3" fontId="0" fillId="0" borderId="33" xfId="0" applyNumberFormat="1" applyBorder="1" applyAlignment="1">
      <alignment wrapText="1"/>
    </xf>
    <xf numFmtId="3" fontId="2" fillId="36" borderId="12" xfId="0" applyNumberFormat="1" applyFont="1" applyFill="1" applyBorder="1" applyAlignment="1">
      <alignment horizontal="right"/>
    </xf>
    <xf numFmtId="0" fontId="2" fillId="36" borderId="26" xfId="0" applyFont="1" applyFill="1" applyBorder="1" applyAlignment="1">
      <alignment horizontal="center"/>
    </xf>
    <xf numFmtId="175" fontId="0" fillId="0" borderId="30" xfId="46" applyNumberFormat="1" applyBorder="1" applyAlignment="1">
      <alignment/>
    </xf>
    <xf numFmtId="3" fontId="0" fillId="0" borderId="12" xfId="0" applyNumberFormat="1" applyBorder="1" applyAlignment="1">
      <alignment horizontal="left" wrapText="1"/>
    </xf>
    <xf numFmtId="0" fontId="2" fillId="35" borderId="0" xfId="0" applyFont="1" applyFill="1" applyAlignment="1">
      <alignment horizontal="center"/>
    </xf>
    <xf numFmtId="0" fontId="2" fillId="35" borderId="41" xfId="0" applyFont="1" applyFill="1" applyBorder="1" applyAlignment="1">
      <alignment/>
    </xf>
    <xf numFmtId="0" fontId="2" fillId="35" borderId="47" xfId="0" applyFont="1" applyFill="1" applyBorder="1" applyAlignment="1">
      <alignment wrapText="1"/>
    </xf>
    <xf numFmtId="0" fontId="2" fillId="35" borderId="48" xfId="0" applyFont="1" applyFill="1" applyBorder="1" applyAlignment="1">
      <alignment/>
    </xf>
    <xf numFmtId="175" fontId="2" fillId="35" borderId="12" xfId="46" applyNumberFormat="1" applyFont="1" applyFill="1" applyBorder="1" applyAlignment="1">
      <alignment/>
    </xf>
    <xf numFmtId="175" fontId="2" fillId="35" borderId="18" xfId="46" applyNumberFormat="1" applyFont="1" applyFill="1" applyBorder="1" applyAlignment="1">
      <alignment/>
    </xf>
    <xf numFmtId="175" fontId="2" fillId="35" borderId="49" xfId="46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75" fontId="8" fillId="35" borderId="14" xfId="46" applyNumberFormat="1" applyFont="1" applyFill="1" applyBorder="1" applyAlignment="1">
      <alignment/>
    </xf>
    <xf numFmtId="175" fontId="8" fillId="35" borderId="37" xfId="46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20" xfId="0" applyFont="1" applyFill="1" applyBorder="1" applyAlignment="1">
      <alignment/>
    </xf>
    <xf numFmtId="175" fontId="8" fillId="35" borderId="12" xfId="46" applyNumberFormat="1" applyFont="1" applyFill="1" applyBorder="1" applyAlignment="1">
      <alignment/>
    </xf>
    <xf numFmtId="0" fontId="2" fillId="35" borderId="20" xfId="0" applyFont="1" applyFill="1" applyBorder="1" applyAlignment="1">
      <alignment/>
    </xf>
    <xf numFmtId="175" fontId="2" fillId="35" borderId="38" xfId="46" applyNumberFormat="1" applyFont="1" applyFill="1" applyBorder="1" applyAlignment="1">
      <alignment/>
    </xf>
    <xf numFmtId="175" fontId="8" fillId="35" borderId="38" xfId="46" applyNumberFormat="1" applyFont="1" applyFill="1" applyBorder="1" applyAlignment="1">
      <alignment/>
    </xf>
    <xf numFmtId="175" fontId="2" fillId="35" borderId="14" xfId="46" applyNumberFormat="1" applyFont="1" applyFill="1" applyBorder="1" applyAlignment="1">
      <alignment/>
    </xf>
    <xf numFmtId="175" fontId="2" fillId="35" borderId="37" xfId="46" applyNumberFormat="1" applyFont="1" applyFill="1" applyBorder="1" applyAlignment="1">
      <alignment/>
    </xf>
    <xf numFmtId="0" fontId="2" fillId="35" borderId="50" xfId="0" applyFont="1" applyFill="1" applyBorder="1" applyAlignment="1">
      <alignment/>
    </xf>
    <xf numFmtId="175" fontId="2" fillId="35" borderId="41" xfId="46" applyNumberFormat="1" applyFont="1" applyFill="1" applyBorder="1" applyAlignment="1">
      <alignment/>
    </xf>
    <xf numFmtId="3" fontId="25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33" borderId="51" xfId="0" applyNumberFormat="1" applyFont="1" applyFill="1" applyBorder="1" applyAlignment="1">
      <alignment horizontal="center" vertical="center" wrapText="1"/>
    </xf>
    <xf numFmtId="175" fontId="2" fillId="33" borderId="51" xfId="46" applyNumberFormat="1" applyFont="1" applyFill="1" applyBorder="1" applyAlignment="1">
      <alignment horizontal="center"/>
    </xf>
    <xf numFmtId="3" fontId="2" fillId="39" borderId="16" xfId="0" applyNumberFormat="1" applyFont="1" applyFill="1" applyBorder="1" applyAlignment="1">
      <alignment horizontal="center"/>
    </xf>
    <xf numFmtId="3" fontId="2" fillId="39" borderId="31" xfId="0" applyNumberFormat="1" applyFont="1" applyFill="1" applyBorder="1" applyAlignment="1">
      <alignment horizontal="center"/>
    </xf>
    <xf numFmtId="3" fontId="2" fillId="39" borderId="21" xfId="0" applyNumberFormat="1" applyFont="1" applyFill="1" applyBorder="1" applyAlignment="1">
      <alignment/>
    </xf>
    <xf numFmtId="175" fontId="2" fillId="39" borderId="21" xfId="46" applyNumberFormat="1" applyFont="1" applyFill="1" applyBorder="1" applyAlignment="1">
      <alignment/>
    </xf>
    <xf numFmtId="0" fontId="0" fillId="39" borderId="12" xfId="0" applyFill="1" applyBorder="1" applyAlignment="1">
      <alignment/>
    </xf>
    <xf numFmtId="3" fontId="4" fillId="39" borderId="12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175" fontId="2" fillId="39" borderId="12" xfId="46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39" borderId="30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 horizontal="center"/>
    </xf>
    <xf numFmtId="0" fontId="32" fillId="0" borderId="21" xfId="0" applyFont="1" applyBorder="1" applyAlignment="1">
      <alignment horizontal="left" wrapText="1"/>
    </xf>
    <xf numFmtId="175" fontId="32" fillId="36" borderId="21" xfId="46" applyNumberFormat="1" applyFont="1" applyFill="1" applyBorder="1" applyAlignment="1">
      <alignment/>
    </xf>
    <xf numFmtId="0" fontId="32" fillId="0" borderId="0" xfId="0" applyFont="1" applyAlignment="1">
      <alignment/>
    </xf>
    <xf numFmtId="3" fontId="33" fillId="0" borderId="11" xfId="0" applyNumberFormat="1" applyFont="1" applyBorder="1" applyAlignment="1">
      <alignment horizontal="center"/>
    </xf>
    <xf numFmtId="175" fontId="32" fillId="36" borderId="12" xfId="46" applyNumberFormat="1" applyFont="1" applyFill="1" applyBorder="1" applyAlignment="1">
      <alignment/>
    </xf>
    <xf numFmtId="0" fontId="31" fillId="0" borderId="0" xfId="0" applyFont="1" applyAlignment="1">
      <alignment/>
    </xf>
    <xf numFmtId="3" fontId="2" fillId="0" borderId="33" xfId="0" applyNumberFormat="1" applyFont="1" applyBorder="1" applyAlignment="1">
      <alignment horizontal="center"/>
    </xf>
    <xf numFmtId="0" fontId="0" fillId="0" borderId="21" xfId="0" applyBorder="1" applyAlignment="1">
      <alignment horizontal="left" wrapText="1"/>
    </xf>
    <xf numFmtId="3" fontId="0" fillId="0" borderId="52" xfId="0" applyNumberForma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/>
    </xf>
    <xf numFmtId="175" fontId="1" fillId="36" borderId="54" xfId="46" applyNumberFormat="1" applyFont="1" applyFill="1" applyBorder="1" applyAlignment="1">
      <alignment/>
    </xf>
    <xf numFmtId="175" fontId="0" fillId="36" borderId="21" xfId="46" applyNumberFormat="1" applyFont="1" applyFill="1" applyBorder="1" applyAlignment="1">
      <alignment/>
    </xf>
    <xf numFmtId="175" fontId="8" fillId="36" borderId="14" xfId="46" applyNumberFormat="1" applyFont="1" applyFill="1" applyBorder="1" applyAlignment="1">
      <alignment/>
    </xf>
    <xf numFmtId="175" fontId="2" fillId="36" borderId="54" xfId="46" applyNumberFormat="1" applyFont="1" applyFill="1" applyBorder="1" applyAlignment="1">
      <alignment/>
    </xf>
    <xf numFmtId="0" fontId="0" fillId="0" borderId="14" xfId="0" applyBorder="1" applyAlignment="1">
      <alignment horizontal="left" wrapText="1"/>
    </xf>
    <xf numFmtId="3" fontId="2" fillId="0" borderId="54" xfId="0" applyNumberFormat="1" applyFont="1" applyBorder="1" applyAlignment="1">
      <alignment/>
    </xf>
    <xf numFmtId="3" fontId="2" fillId="37" borderId="55" xfId="0" applyNumberFormat="1" applyFont="1" applyFill="1" applyBorder="1" applyAlignment="1">
      <alignment horizontal="center" vertical="center"/>
    </xf>
    <xf numFmtId="3" fontId="2" fillId="37" borderId="56" xfId="0" applyNumberFormat="1" applyFont="1" applyFill="1" applyBorder="1" applyAlignment="1">
      <alignment horizontal="center" vertical="center" wrapText="1"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 horizontal="center"/>
    </xf>
    <xf numFmtId="3" fontId="0" fillId="0" borderId="58" xfId="0" applyNumberFormat="1" applyBorder="1" applyAlignment="1">
      <alignment/>
    </xf>
    <xf numFmtId="3" fontId="0" fillId="0" borderId="27" xfId="0" applyNumberFormat="1" applyBorder="1" applyAlignment="1">
      <alignment wrapText="1"/>
    </xf>
    <xf numFmtId="3" fontId="32" fillId="0" borderId="27" xfId="0" applyNumberFormat="1" applyFont="1" applyBorder="1" applyAlignment="1">
      <alignment/>
    </xf>
    <xf numFmtId="9" fontId="32" fillId="0" borderId="12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3" fontId="2" fillId="40" borderId="27" xfId="0" applyNumberFormat="1" applyFont="1" applyFill="1" applyBorder="1" applyAlignment="1">
      <alignment wrapText="1"/>
    </xf>
    <xf numFmtId="3" fontId="2" fillId="40" borderId="12" xfId="0" applyNumberFormat="1" applyFont="1" applyFill="1" applyBorder="1" applyAlignment="1">
      <alignment/>
    </xf>
    <xf numFmtId="3" fontId="2" fillId="40" borderId="0" xfId="0" applyNumberFormat="1" applyFont="1" applyFill="1" applyAlignment="1">
      <alignment/>
    </xf>
    <xf numFmtId="3" fontId="0" fillId="0" borderId="40" xfId="0" applyNumberFormat="1" applyBorder="1" applyAlignment="1">
      <alignment/>
    </xf>
    <xf numFmtId="3" fontId="0" fillId="0" borderId="57" xfId="0" applyNumberFormat="1" applyBorder="1" applyAlignment="1">
      <alignment wrapText="1"/>
    </xf>
    <xf numFmtId="3" fontId="2" fillId="37" borderId="59" xfId="0" applyNumberFormat="1" applyFont="1" applyFill="1" applyBorder="1" applyAlignment="1">
      <alignment vertical="center" wrapText="1"/>
    </xf>
    <xf numFmtId="3" fontId="2" fillId="37" borderId="54" xfId="0" applyNumberFormat="1" applyFont="1" applyFill="1" applyBorder="1" applyAlignment="1">
      <alignment vertical="center"/>
    </xf>
    <xf numFmtId="3" fontId="32" fillId="0" borderId="40" xfId="0" applyNumberFormat="1" applyFont="1" applyBorder="1" applyAlignment="1">
      <alignment/>
    </xf>
    <xf numFmtId="3" fontId="32" fillId="0" borderId="21" xfId="0" applyNumberFormat="1" applyFont="1" applyBorder="1" applyAlignment="1">
      <alignment/>
    </xf>
    <xf numFmtId="3" fontId="2" fillId="33" borderId="59" xfId="0" applyNumberFormat="1" applyFont="1" applyFill="1" applyBorder="1" applyAlignment="1">
      <alignment wrapText="1"/>
    </xf>
    <xf numFmtId="3" fontId="2" fillId="33" borderId="60" xfId="0" applyNumberFormat="1" applyFont="1" applyFill="1" applyBorder="1" applyAlignment="1">
      <alignment horizontal="center" vertical="center"/>
    </xf>
    <xf numFmtId="3" fontId="2" fillId="33" borderId="61" xfId="0" applyNumberFormat="1" applyFont="1" applyFill="1" applyBorder="1" applyAlignment="1">
      <alignment horizontal="center" vertical="center" wrapText="1"/>
    </xf>
    <xf numFmtId="3" fontId="2" fillId="33" borderId="62" xfId="0" applyNumberFormat="1" applyFont="1" applyFill="1" applyBorder="1" applyAlignment="1">
      <alignment horizontal="center" vertical="center"/>
    </xf>
    <xf numFmtId="3" fontId="2" fillId="33" borderId="63" xfId="0" applyNumberFormat="1" applyFont="1" applyFill="1" applyBorder="1" applyAlignment="1">
      <alignment horizontal="center" vertical="center"/>
    </xf>
    <xf numFmtId="3" fontId="2" fillId="41" borderId="59" xfId="0" applyNumberFormat="1" applyFont="1" applyFill="1" applyBorder="1" applyAlignment="1">
      <alignment wrapText="1"/>
    </xf>
    <xf numFmtId="3" fontId="2" fillId="37" borderId="64" xfId="0" applyNumberFormat="1" applyFont="1" applyFill="1" applyBorder="1" applyAlignment="1">
      <alignment/>
    </xf>
    <xf numFmtId="3" fontId="2" fillId="37" borderId="65" xfId="0" applyNumberFormat="1" applyFont="1" applyFill="1" applyBorder="1" applyAlignment="1">
      <alignment/>
    </xf>
    <xf numFmtId="3" fontId="8" fillId="0" borderId="58" xfId="0" applyNumberFormat="1" applyFont="1" applyBorder="1" applyAlignment="1">
      <alignment/>
    </xf>
    <xf numFmtId="3" fontId="13" fillId="0" borderId="58" xfId="0" applyNumberFormat="1" applyFont="1" applyBorder="1" applyAlignment="1">
      <alignment/>
    </xf>
    <xf numFmtId="3" fontId="32" fillId="0" borderId="58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3" fontId="3" fillId="0" borderId="66" xfId="0" applyNumberFormat="1" applyFont="1" applyBorder="1" applyAlignment="1">
      <alignment/>
    </xf>
    <xf numFmtId="3" fontId="0" fillId="0" borderId="67" xfId="0" applyNumberFormat="1" applyBorder="1" applyAlignment="1">
      <alignment/>
    </xf>
    <xf numFmtId="3" fontId="2" fillId="41" borderId="68" xfId="0" applyNumberFormat="1" applyFont="1" applyFill="1" applyBorder="1" applyAlignment="1">
      <alignment/>
    </xf>
    <xf numFmtId="3" fontId="32" fillId="0" borderId="6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67" xfId="0" applyNumberFormat="1" applyFont="1" applyBorder="1" applyAlignment="1">
      <alignment wrapText="1"/>
    </xf>
    <xf numFmtId="3" fontId="13" fillId="0" borderId="67" xfId="0" applyNumberFormat="1" applyFont="1" applyBorder="1" applyAlignment="1">
      <alignment/>
    </xf>
    <xf numFmtId="3" fontId="8" fillId="0" borderId="58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3" fontId="0" fillId="40" borderId="27" xfId="0" applyNumberFormat="1" applyFill="1" applyBorder="1" applyAlignment="1">
      <alignment wrapText="1"/>
    </xf>
    <xf numFmtId="3" fontId="2" fillId="0" borderId="69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75" fontId="0" fillId="0" borderId="70" xfId="46" applyNumberFormat="1" applyBorder="1" applyAlignment="1">
      <alignment/>
    </xf>
    <xf numFmtId="3" fontId="0" fillId="40" borderId="58" xfId="0" applyNumberFormat="1" applyFill="1" applyBorder="1" applyAlignment="1">
      <alignment wrapText="1"/>
    </xf>
    <xf numFmtId="3" fontId="4" fillId="0" borderId="12" xfId="0" applyNumberFormat="1" applyFont="1" applyBorder="1" applyAlignment="1">
      <alignment horizontal="center"/>
    </xf>
    <xf numFmtId="3" fontId="2" fillId="42" borderId="58" xfId="0" applyNumberFormat="1" applyFont="1" applyFill="1" applyBorder="1" applyAlignment="1">
      <alignment wrapText="1"/>
    </xf>
    <xf numFmtId="175" fontId="2" fillId="0" borderId="30" xfId="46" applyNumberFormat="1" applyFont="1" applyBorder="1" applyAlignment="1">
      <alignment/>
    </xf>
    <xf numFmtId="3" fontId="2" fillId="40" borderId="58" xfId="0" applyNumberFormat="1" applyFont="1" applyFill="1" applyBorder="1" applyAlignment="1">
      <alignment wrapText="1"/>
    </xf>
    <xf numFmtId="3" fontId="2" fillId="43" borderId="58" xfId="0" applyNumberFormat="1" applyFont="1" applyFill="1" applyBorder="1" applyAlignment="1">
      <alignment/>
    </xf>
    <xf numFmtId="3" fontId="2" fillId="40" borderId="58" xfId="0" applyNumberFormat="1" applyFont="1" applyFill="1" applyBorder="1" applyAlignment="1">
      <alignment/>
    </xf>
    <xf numFmtId="3" fontId="31" fillId="0" borderId="0" xfId="0" applyNumberFormat="1" applyFont="1" applyAlignment="1">
      <alignment/>
    </xf>
    <xf numFmtId="0" fontId="18" fillId="0" borderId="0" xfId="0" applyFont="1" applyAlignment="1">
      <alignment/>
    </xf>
    <xf numFmtId="3" fontId="31" fillId="0" borderId="12" xfId="0" applyNumberFormat="1" applyFont="1" applyBorder="1" applyAlignment="1">
      <alignment horizontal="center"/>
    </xf>
    <xf numFmtId="3" fontId="31" fillId="0" borderId="11" xfId="0" applyNumberFormat="1" applyFont="1" applyBorder="1" applyAlignment="1">
      <alignment horizontal="center"/>
    </xf>
    <xf numFmtId="175" fontId="31" fillId="0" borderId="12" xfId="46" applyNumberFormat="1" applyFont="1" applyBorder="1" applyAlignment="1">
      <alignment/>
    </xf>
    <xf numFmtId="3" fontId="32" fillId="0" borderId="58" xfId="0" applyNumberFormat="1" applyFont="1" applyBorder="1" applyAlignment="1">
      <alignment horizontal="center"/>
    </xf>
    <xf numFmtId="3" fontId="14" fillId="0" borderId="69" xfId="0" applyNumberFormat="1" applyFont="1" applyBorder="1" applyAlignment="1">
      <alignment horizontal="center"/>
    </xf>
    <xf numFmtId="3" fontId="32" fillId="0" borderId="58" xfId="0" applyNumberFormat="1" applyFont="1" applyBorder="1" applyAlignment="1">
      <alignment wrapText="1"/>
    </xf>
    <xf numFmtId="3" fontId="0" fillId="0" borderId="69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2" fillId="0" borderId="67" xfId="0" applyNumberFormat="1" applyFont="1" applyBorder="1" applyAlignment="1">
      <alignment horizontal="center"/>
    </xf>
    <xf numFmtId="3" fontId="14" fillId="0" borderId="71" xfId="0" applyNumberFormat="1" applyFont="1" applyBorder="1" applyAlignment="1">
      <alignment horizontal="center"/>
    </xf>
    <xf numFmtId="3" fontId="32" fillId="0" borderId="67" xfId="0" applyNumberFormat="1" applyFont="1" applyBorder="1" applyAlignment="1">
      <alignment horizontal="left" wrapText="1"/>
    </xf>
    <xf numFmtId="175" fontId="32" fillId="0" borderId="72" xfId="46" applyNumberFormat="1" applyFont="1" applyBorder="1" applyAlignment="1">
      <alignment/>
    </xf>
    <xf numFmtId="3" fontId="2" fillId="33" borderId="73" xfId="0" applyNumberFormat="1" applyFont="1" applyFill="1" applyBorder="1" applyAlignment="1">
      <alignment horizontal="center" vertical="center"/>
    </xf>
    <xf numFmtId="175" fontId="2" fillId="33" borderId="74" xfId="46" applyNumberFormat="1" applyFont="1" applyFill="1" applyBorder="1" applyAlignment="1">
      <alignment horizontal="center" vertical="center" wrapText="1"/>
    </xf>
    <xf numFmtId="3" fontId="2" fillId="33" borderId="75" xfId="0" applyNumberFormat="1" applyFont="1" applyFill="1" applyBorder="1" applyAlignment="1">
      <alignment horizontal="center" vertical="center"/>
    </xf>
    <xf numFmtId="175" fontId="2" fillId="33" borderId="76" xfId="46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2" fillId="40" borderId="66" xfId="0" applyNumberFormat="1" applyFont="1" applyFill="1" applyBorder="1" applyAlignment="1">
      <alignment/>
    </xf>
    <xf numFmtId="175" fontId="2" fillId="0" borderId="31" xfId="46" applyNumberFormat="1" applyFont="1" applyBorder="1" applyAlignment="1">
      <alignment/>
    </xf>
    <xf numFmtId="3" fontId="5" fillId="33" borderId="52" xfId="0" applyNumberFormat="1" applyFont="1" applyFill="1" applyBorder="1" applyAlignment="1">
      <alignment horizontal="center"/>
    </xf>
    <xf numFmtId="3" fontId="18" fillId="33" borderId="54" xfId="0" applyNumberFormat="1" applyFont="1" applyFill="1" applyBorder="1" applyAlignment="1">
      <alignment horizontal="center"/>
    </xf>
    <xf numFmtId="3" fontId="5" fillId="33" borderId="54" xfId="0" applyNumberFormat="1" applyFont="1" applyFill="1" applyBorder="1" applyAlignment="1">
      <alignment/>
    </xf>
    <xf numFmtId="175" fontId="5" fillId="33" borderId="77" xfId="46" applyNumberFormat="1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5" fontId="2" fillId="33" borderId="76" xfId="46" applyNumberFormat="1" applyFont="1" applyFill="1" applyBorder="1" applyAlignment="1">
      <alignment horizontal="center" vertical="center" wrapText="1"/>
    </xf>
    <xf numFmtId="3" fontId="2" fillId="40" borderId="58" xfId="0" applyNumberFormat="1" applyFont="1" applyFill="1" applyBorder="1" applyAlignment="1">
      <alignment horizontal="center"/>
    </xf>
    <xf numFmtId="175" fontId="2" fillId="40" borderId="58" xfId="46" applyNumberFormat="1" applyFont="1" applyFill="1" applyBorder="1" applyAlignment="1">
      <alignment/>
    </xf>
    <xf numFmtId="175" fontId="2" fillId="42" borderId="14" xfId="46" applyNumberFormat="1" applyFont="1" applyFill="1" applyBorder="1" applyAlignment="1">
      <alignment horizontal="center" vertical="center" wrapText="1"/>
    </xf>
    <xf numFmtId="3" fontId="4" fillId="42" borderId="58" xfId="0" applyNumberFormat="1" applyFont="1" applyFill="1" applyBorder="1" applyAlignment="1">
      <alignment horizontal="center" vertical="center" wrapText="1"/>
    </xf>
    <xf numFmtId="3" fontId="3" fillId="42" borderId="58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175" fontId="2" fillId="0" borderId="28" xfId="46" applyNumberFormat="1" applyFont="1" applyBorder="1" applyAlignment="1">
      <alignment/>
    </xf>
    <xf numFmtId="3" fontId="2" fillId="44" borderId="78" xfId="0" applyNumberFormat="1" applyFont="1" applyFill="1" applyBorder="1" applyAlignment="1">
      <alignment horizontal="center" vertical="center"/>
    </xf>
    <xf numFmtId="3" fontId="2" fillId="44" borderId="55" xfId="0" applyNumberFormat="1" applyFont="1" applyFill="1" applyBorder="1" applyAlignment="1">
      <alignment horizontal="center" vertical="center"/>
    </xf>
    <xf numFmtId="3" fontId="4" fillId="0" borderId="66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3" fontId="2" fillId="33" borderId="52" xfId="0" applyNumberFormat="1" applyFont="1" applyFill="1" applyBorder="1" applyAlignment="1">
      <alignment horizontal="center"/>
    </xf>
    <xf numFmtId="0" fontId="0" fillId="33" borderId="54" xfId="0" applyFill="1" applyBorder="1" applyAlignment="1">
      <alignment/>
    </xf>
    <xf numFmtId="175" fontId="2" fillId="33" borderId="54" xfId="46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4" xfId="0" applyFont="1" applyFill="1" applyBorder="1" applyAlignment="1">
      <alignment/>
    </xf>
    <xf numFmtId="0" fontId="2" fillId="0" borderId="11" xfId="0" applyFont="1" applyBorder="1" applyAlignment="1">
      <alignment/>
    </xf>
    <xf numFmtId="3" fontId="2" fillId="0" borderId="66" xfId="0" applyNumberFormat="1" applyFont="1" applyBorder="1" applyAlignment="1">
      <alignment horizontal="center"/>
    </xf>
    <xf numFmtId="0" fontId="2" fillId="0" borderId="66" xfId="0" applyFont="1" applyBorder="1" applyAlignment="1">
      <alignment/>
    </xf>
    <xf numFmtId="175" fontId="2" fillId="0" borderId="66" xfId="46" applyNumberFormat="1" applyFont="1" applyBorder="1" applyAlignment="1">
      <alignment/>
    </xf>
    <xf numFmtId="0" fontId="2" fillId="33" borderId="54" xfId="0" applyFont="1" applyFill="1" applyBorder="1" applyAlignment="1">
      <alignment wrapText="1"/>
    </xf>
    <xf numFmtId="3" fontId="2" fillId="33" borderId="79" xfId="0" applyNumberFormat="1" applyFont="1" applyFill="1" applyBorder="1" applyAlignment="1">
      <alignment horizontal="center" vertical="center" wrapText="1"/>
    </xf>
    <xf numFmtId="3" fontId="2" fillId="33" borderId="7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3" fontId="1" fillId="33" borderId="58" xfId="0" applyNumberFormat="1" applyFont="1" applyFill="1" applyBorder="1" applyAlignment="1">
      <alignment horizontal="center"/>
    </xf>
    <xf numFmtId="3" fontId="0" fillId="33" borderId="58" xfId="0" applyNumberFormat="1" applyFill="1" applyBorder="1" applyAlignment="1">
      <alignment horizontal="center"/>
    </xf>
    <xf numFmtId="3" fontId="1" fillId="33" borderId="58" xfId="0" applyNumberFormat="1" applyFont="1" applyFill="1" applyBorder="1" applyAlignment="1">
      <alignment/>
    </xf>
    <xf numFmtId="3" fontId="2" fillId="33" borderId="58" xfId="0" applyNumberFormat="1" applyFont="1" applyFill="1" applyBorder="1" applyAlignment="1">
      <alignment/>
    </xf>
    <xf numFmtId="175" fontId="2" fillId="33" borderId="58" xfId="46" applyNumberFormat="1" applyFont="1" applyFill="1" applyBorder="1" applyAlignment="1">
      <alignment/>
    </xf>
    <xf numFmtId="3" fontId="0" fillId="33" borderId="58" xfId="0" applyNumberFormat="1" applyFill="1" applyBorder="1" applyAlignment="1">
      <alignment/>
    </xf>
    <xf numFmtId="175" fontId="0" fillId="33" borderId="58" xfId="46" applyNumberFormat="1" applyFill="1" applyBorder="1" applyAlignment="1">
      <alignment/>
    </xf>
    <xf numFmtId="3" fontId="1" fillId="33" borderId="16" xfId="0" applyNumberFormat="1" applyFon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3" fontId="1" fillId="33" borderId="16" xfId="0" applyNumberFormat="1" applyFont="1" applyFill="1" applyBorder="1" applyAlignment="1">
      <alignment/>
    </xf>
    <xf numFmtId="3" fontId="2" fillId="0" borderId="58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/>
    </xf>
    <xf numFmtId="175" fontId="0" fillId="0" borderId="58" xfId="46" applyNumberFormat="1" applyBorder="1" applyAlignment="1">
      <alignment/>
    </xf>
    <xf numFmtId="3" fontId="0" fillId="36" borderId="58" xfId="0" applyNumberFormat="1" applyFill="1" applyBorder="1" applyAlignment="1">
      <alignment/>
    </xf>
    <xf numFmtId="0" fontId="19" fillId="33" borderId="80" xfId="0" applyFont="1" applyFill="1" applyBorder="1" applyAlignment="1">
      <alignment horizontal="left" vertical="center" wrapText="1"/>
    </xf>
    <xf numFmtId="49" fontId="20" fillId="33" borderId="79" xfId="0" applyNumberFormat="1" applyFont="1" applyFill="1" applyBorder="1" applyAlignment="1">
      <alignment horizontal="center" vertical="center" wrapText="1"/>
    </xf>
    <xf numFmtId="49" fontId="20" fillId="33" borderId="74" xfId="0" applyNumberFormat="1" applyFont="1" applyFill="1" applyBorder="1" applyAlignment="1">
      <alignment horizontal="center" vertical="center" wrapText="1"/>
    </xf>
    <xf numFmtId="0" fontId="2" fillId="45" borderId="81" xfId="0" applyFont="1" applyFill="1" applyBorder="1" applyAlignment="1">
      <alignment horizontal="left" vertical="center" wrapText="1"/>
    </xf>
    <xf numFmtId="175" fontId="3" fillId="0" borderId="82" xfId="46" applyNumberFormat="1" applyFont="1" applyBorder="1" applyAlignment="1">
      <alignment/>
    </xf>
    <xf numFmtId="0" fontId="0" fillId="45" borderId="81" xfId="0" applyFill="1" applyBorder="1" applyAlignment="1">
      <alignment horizontal="left" vertical="center" wrapText="1"/>
    </xf>
    <xf numFmtId="0" fontId="2" fillId="33" borderId="81" xfId="0" applyFont="1" applyFill="1" applyBorder="1" applyAlignment="1">
      <alignment horizontal="left" vertical="center" wrapText="1"/>
    </xf>
    <xf numFmtId="3" fontId="2" fillId="33" borderId="82" xfId="0" applyNumberFormat="1" applyFont="1" applyFill="1" applyBorder="1" applyAlignment="1">
      <alignment/>
    </xf>
    <xf numFmtId="3" fontId="0" fillId="0" borderId="82" xfId="0" applyNumberFormat="1" applyBorder="1" applyAlignment="1">
      <alignment/>
    </xf>
    <xf numFmtId="0" fontId="2" fillId="45" borderId="83" xfId="0" applyFont="1" applyFill="1" applyBorder="1" applyAlignment="1">
      <alignment horizontal="left" vertical="center" wrapText="1"/>
    </xf>
    <xf numFmtId="3" fontId="2" fillId="45" borderId="75" xfId="0" applyNumberFormat="1" applyFont="1" applyFill="1" applyBorder="1" applyAlignment="1">
      <alignment/>
    </xf>
    <xf numFmtId="3" fontId="2" fillId="45" borderId="76" xfId="0" applyNumberFormat="1" applyFont="1" applyFill="1" applyBorder="1" applyAlignment="1">
      <alignment/>
    </xf>
    <xf numFmtId="175" fontId="32" fillId="0" borderId="58" xfId="46" applyNumberFormat="1" applyFont="1" applyBorder="1" applyAlignment="1">
      <alignment/>
    </xf>
    <xf numFmtId="175" fontId="2" fillId="0" borderId="58" xfId="46" applyNumberFormat="1" applyFont="1" applyBorder="1" applyAlignment="1">
      <alignment/>
    </xf>
    <xf numFmtId="3" fontId="2" fillId="37" borderId="84" xfId="0" applyNumberFormat="1" applyFont="1" applyFill="1" applyBorder="1" applyAlignment="1">
      <alignment horizontal="center" vertical="center"/>
    </xf>
    <xf numFmtId="3" fontId="4" fillId="37" borderId="85" xfId="0" applyNumberFormat="1" applyFont="1" applyFill="1" applyBorder="1" applyAlignment="1">
      <alignment horizontal="center" vertical="center" wrapText="1"/>
    </xf>
    <xf numFmtId="175" fontId="2" fillId="37" borderId="86" xfId="46" applyNumberFormat="1" applyFont="1" applyFill="1" applyBorder="1" applyAlignment="1">
      <alignment horizontal="center" vertical="center" wrapText="1"/>
    </xf>
    <xf numFmtId="3" fontId="2" fillId="37" borderId="87" xfId="0" applyNumberFormat="1" applyFont="1" applyFill="1" applyBorder="1" applyAlignment="1">
      <alignment horizontal="center" vertical="center"/>
    </xf>
    <xf numFmtId="175" fontId="2" fillId="37" borderId="88" xfId="46" applyNumberFormat="1" applyFont="1" applyFill="1" applyBorder="1" applyAlignment="1">
      <alignment horizontal="center"/>
    </xf>
    <xf numFmtId="175" fontId="2" fillId="0" borderId="89" xfId="46" applyNumberFormat="1" applyFont="1" applyBorder="1" applyAlignment="1">
      <alignment/>
    </xf>
    <xf numFmtId="175" fontId="32" fillId="0" borderId="89" xfId="46" applyNumberFormat="1" applyFont="1" applyBorder="1" applyAlignment="1">
      <alignment/>
    </xf>
    <xf numFmtId="175" fontId="6" fillId="0" borderId="90" xfId="46" applyNumberFormat="1" applyFont="1" applyBorder="1" applyAlignment="1">
      <alignment/>
    </xf>
    <xf numFmtId="0" fontId="0" fillId="0" borderId="0" xfId="0" applyAlignment="1">
      <alignment vertical="center"/>
    </xf>
    <xf numFmtId="177" fontId="2" fillId="0" borderId="58" xfId="0" applyNumberFormat="1" applyFont="1" applyBorder="1" applyAlignment="1">
      <alignment/>
    </xf>
    <xf numFmtId="177" fontId="5" fillId="33" borderId="23" xfId="0" applyNumberFormat="1" applyFont="1" applyFill="1" applyBorder="1" applyAlignment="1">
      <alignment vertical="center"/>
    </xf>
    <xf numFmtId="0" fontId="18" fillId="36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3" fontId="2" fillId="37" borderId="78" xfId="0" applyNumberFormat="1" applyFont="1" applyFill="1" applyBorder="1" applyAlignment="1">
      <alignment horizontal="center" vertical="center"/>
    </xf>
    <xf numFmtId="3" fontId="4" fillId="37" borderId="65" xfId="0" applyNumberFormat="1" applyFont="1" applyFill="1" applyBorder="1" applyAlignment="1">
      <alignment horizontal="center" vertical="center" wrapText="1"/>
    </xf>
    <xf numFmtId="175" fontId="2" fillId="37" borderId="82" xfId="46" applyNumberFormat="1" applyFont="1" applyFill="1" applyBorder="1" applyAlignment="1">
      <alignment horizontal="center"/>
    </xf>
    <xf numFmtId="0" fontId="2" fillId="0" borderId="91" xfId="0" applyFont="1" applyBorder="1" applyAlignment="1">
      <alignment horizontal="center"/>
    </xf>
    <xf numFmtId="175" fontId="2" fillId="0" borderId="82" xfId="46" applyNumberFormat="1" applyFont="1" applyBorder="1" applyAlignment="1">
      <alignment/>
    </xf>
    <xf numFmtId="0" fontId="0" fillId="0" borderId="91" xfId="0" applyBorder="1" applyAlignment="1">
      <alignment horizontal="center"/>
    </xf>
    <xf numFmtId="175" fontId="0" fillId="0" borderId="82" xfId="46" applyNumberFormat="1" applyBorder="1" applyAlignment="1">
      <alignment/>
    </xf>
    <xf numFmtId="175" fontId="0" fillId="36" borderId="82" xfId="46" applyNumberFormat="1" applyFill="1" applyBorder="1" applyAlignment="1">
      <alignment/>
    </xf>
    <xf numFmtId="175" fontId="0" fillId="0" borderId="92" xfId="46" applyNumberFormat="1" applyBorder="1" applyAlignment="1">
      <alignment/>
    </xf>
    <xf numFmtId="175" fontId="0" fillId="0" borderId="89" xfId="46" applyNumberFormat="1" applyBorder="1" applyAlignment="1">
      <alignment/>
    </xf>
    <xf numFmtId="175" fontId="0" fillId="0" borderId="93" xfId="46" applyNumberFormat="1" applyBorder="1" applyAlignment="1">
      <alignment/>
    </xf>
    <xf numFmtId="3" fontId="5" fillId="33" borderId="94" xfId="0" applyNumberFormat="1" applyFont="1" applyFill="1" applyBorder="1" applyAlignment="1">
      <alignment horizontal="center" vertical="center"/>
    </xf>
    <xf numFmtId="175" fontId="5" fillId="33" borderId="95" xfId="46" applyNumberFormat="1" applyFont="1" applyFill="1" applyBorder="1" applyAlignment="1">
      <alignment vertical="center"/>
    </xf>
    <xf numFmtId="175" fontId="8" fillId="0" borderId="58" xfId="46" applyNumberFormat="1" applyFont="1" applyBorder="1" applyAlignment="1">
      <alignment/>
    </xf>
    <xf numFmtId="175" fontId="2" fillId="0" borderId="61" xfId="46" applyNumberFormat="1" applyFont="1" applyBorder="1" applyAlignment="1">
      <alignment/>
    </xf>
    <xf numFmtId="175" fontId="8" fillId="0" borderId="89" xfId="46" applyNumberFormat="1" applyFont="1" applyBorder="1" applyAlignment="1">
      <alignment/>
    </xf>
    <xf numFmtId="175" fontId="2" fillId="0" borderId="67" xfId="46" applyNumberFormat="1" applyFont="1" applyBorder="1" applyAlignment="1">
      <alignment/>
    </xf>
    <xf numFmtId="175" fontId="2" fillId="0" borderId="96" xfId="46" applyNumberFormat="1" applyFont="1" applyBorder="1" applyAlignment="1">
      <alignment/>
    </xf>
    <xf numFmtId="175" fontId="6" fillId="0" borderId="97" xfId="46" applyNumberFormat="1" applyFont="1" applyBorder="1" applyAlignment="1">
      <alignment vertical="center"/>
    </xf>
    <xf numFmtId="175" fontId="8" fillId="0" borderId="98" xfId="46" applyNumberFormat="1" applyFont="1" applyBorder="1" applyAlignment="1">
      <alignment/>
    </xf>
    <xf numFmtId="175" fontId="5" fillId="39" borderId="99" xfId="46" applyNumberFormat="1" applyFont="1" applyFill="1" applyBorder="1" applyAlignment="1">
      <alignment/>
    </xf>
    <xf numFmtId="175" fontId="6" fillId="36" borderId="97" xfId="46" applyNumberFormat="1" applyFont="1" applyFill="1" applyBorder="1" applyAlignment="1">
      <alignment vertical="center"/>
    </xf>
    <xf numFmtId="3" fontId="2" fillId="33" borderId="100" xfId="0" applyNumberFormat="1" applyFont="1" applyFill="1" applyBorder="1" applyAlignment="1">
      <alignment horizontal="center" vertical="center" wrapText="1"/>
    </xf>
    <xf numFmtId="0" fontId="5" fillId="37" borderId="101" xfId="0" applyFont="1" applyFill="1" applyBorder="1" applyAlignment="1">
      <alignment/>
    </xf>
    <xf numFmtId="175" fontId="5" fillId="37" borderId="102" xfId="46" applyNumberFormat="1" applyFont="1" applyFill="1" applyBorder="1" applyAlignment="1">
      <alignment/>
    </xf>
    <xf numFmtId="177" fontId="0" fillId="0" borderId="58" xfId="0" applyNumberFormat="1" applyBorder="1" applyAlignment="1">
      <alignment/>
    </xf>
    <xf numFmtId="3" fontId="2" fillId="0" borderId="103" xfId="0" applyNumberFormat="1" applyFont="1" applyBorder="1" applyAlignment="1">
      <alignment horizontal="center"/>
    </xf>
    <xf numFmtId="3" fontId="0" fillId="0" borderId="103" xfId="0" applyNumberFormat="1" applyBorder="1" applyAlignment="1">
      <alignment horizontal="center"/>
    </xf>
    <xf numFmtId="175" fontId="0" fillId="0" borderId="89" xfId="46" applyNumberFormat="1" applyFont="1" applyBorder="1" applyAlignment="1">
      <alignment/>
    </xf>
    <xf numFmtId="3" fontId="13" fillId="0" borderId="103" xfId="0" applyNumberFormat="1" applyFont="1" applyBorder="1" applyAlignment="1">
      <alignment horizontal="center"/>
    </xf>
    <xf numFmtId="175" fontId="13" fillId="0" borderId="89" xfId="46" applyNumberFormat="1" applyFont="1" applyBorder="1" applyAlignment="1">
      <alignment/>
    </xf>
    <xf numFmtId="0" fontId="2" fillId="0" borderId="103" xfId="0" applyFont="1" applyBorder="1" applyAlignment="1">
      <alignment/>
    </xf>
    <xf numFmtId="3" fontId="2" fillId="0" borderId="104" xfId="0" applyNumberFormat="1" applyFont="1" applyBorder="1" applyAlignment="1">
      <alignment horizontal="center"/>
    </xf>
    <xf numFmtId="3" fontId="0" fillId="0" borderId="10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175" fontId="0" fillId="0" borderId="98" xfId="46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5" fillId="37" borderId="106" xfId="0" applyNumberFormat="1" applyFont="1" applyFill="1" applyBorder="1" applyAlignment="1">
      <alignment horizontal="left"/>
    </xf>
    <xf numFmtId="3" fontId="5" fillId="37" borderId="107" xfId="0" applyNumberFormat="1" applyFont="1" applyFill="1" applyBorder="1" applyAlignment="1">
      <alignment horizontal="left"/>
    </xf>
    <xf numFmtId="175" fontId="5" fillId="37" borderId="108" xfId="46" applyNumberFormat="1" applyFont="1" applyFill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175" fontId="8" fillId="0" borderId="37" xfId="46" applyNumberFormat="1" applyFont="1" applyBorder="1" applyAlignment="1">
      <alignment horizontal="center" vertical="center"/>
    </xf>
    <xf numFmtId="175" fontId="6" fillId="0" borderId="109" xfId="46" applyNumberFormat="1" applyFont="1" applyBorder="1" applyAlignment="1">
      <alignment horizontal="right" vertical="center"/>
    </xf>
    <xf numFmtId="175" fontId="6" fillId="36" borderId="97" xfId="46" applyNumberFormat="1" applyFont="1" applyFill="1" applyBorder="1" applyAlignment="1">
      <alignment horizontal="right" vertical="center"/>
    </xf>
    <xf numFmtId="175" fontId="5" fillId="37" borderId="77" xfId="46" applyNumberFormat="1" applyFont="1" applyFill="1" applyBorder="1" applyAlignment="1">
      <alignment horizontal="center" vertical="center"/>
    </xf>
    <xf numFmtId="3" fontId="5" fillId="37" borderId="110" xfId="0" applyNumberFormat="1" applyFont="1" applyFill="1" applyBorder="1" applyAlignment="1">
      <alignment horizontal="center" vertical="center"/>
    </xf>
    <xf numFmtId="3" fontId="5" fillId="37" borderId="59" xfId="0" applyNumberFormat="1" applyFont="1" applyFill="1" applyBorder="1" applyAlignment="1">
      <alignment horizontal="center" vertical="center"/>
    </xf>
    <xf numFmtId="3" fontId="5" fillId="37" borderId="53" xfId="0" applyNumberFormat="1" applyFont="1" applyFill="1" applyBorder="1" applyAlignment="1">
      <alignment horizontal="left" vertical="center"/>
    </xf>
    <xf numFmtId="3" fontId="5" fillId="37" borderId="111" xfId="0" applyNumberFormat="1" applyFont="1" applyFill="1" applyBorder="1" applyAlignment="1">
      <alignment horizontal="left" vertical="center"/>
    </xf>
    <xf numFmtId="3" fontId="6" fillId="0" borderId="110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12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3" fontId="8" fillId="0" borderId="113" xfId="0" applyNumberFormat="1" applyFont="1" applyBorder="1" applyAlignment="1">
      <alignment horizontal="center"/>
    </xf>
    <xf numFmtId="175" fontId="8" fillId="0" borderId="82" xfId="46" applyNumberFormat="1" applyFont="1" applyBorder="1" applyAlignment="1">
      <alignment horizontal="right" vertical="center"/>
    </xf>
    <xf numFmtId="3" fontId="8" fillId="0" borderId="114" xfId="0" applyNumberFormat="1" applyFont="1" applyBorder="1" applyAlignment="1">
      <alignment horizontal="center"/>
    </xf>
    <xf numFmtId="175" fontId="8" fillId="0" borderId="92" xfId="46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center"/>
    </xf>
    <xf numFmtId="3" fontId="2" fillId="0" borderId="113" xfId="0" applyNumberFormat="1" applyFon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3" fontId="2" fillId="0" borderId="91" xfId="0" applyNumberFormat="1" applyFont="1" applyBorder="1" applyAlignment="1">
      <alignment horizontal="center"/>
    </xf>
    <xf numFmtId="3" fontId="0" fillId="0" borderId="91" xfId="0" applyNumberForma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3" fontId="5" fillId="46" borderId="68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5" fontId="2" fillId="36" borderId="58" xfId="46" applyNumberFormat="1" applyFont="1" applyFill="1" applyBorder="1" applyAlignment="1">
      <alignment/>
    </xf>
    <xf numFmtId="3" fontId="8" fillId="0" borderId="58" xfId="0" applyNumberFormat="1" applyFont="1" applyBorder="1" applyAlignment="1">
      <alignment horizontal="center"/>
    </xf>
    <xf numFmtId="175" fontId="8" fillId="36" borderId="58" xfId="46" applyNumberFormat="1" applyFont="1" applyFill="1" applyBorder="1" applyAlignment="1">
      <alignment/>
    </xf>
    <xf numFmtId="3" fontId="35" fillId="0" borderId="12" xfId="0" applyNumberFormat="1" applyFont="1" applyBorder="1" applyAlignment="1">
      <alignment horizontal="center"/>
    </xf>
    <xf numFmtId="0" fontId="35" fillId="0" borderId="0" xfId="0" applyFont="1" applyAlignment="1">
      <alignment/>
    </xf>
    <xf numFmtId="3" fontId="36" fillId="0" borderId="12" xfId="0" applyNumberFormat="1" applyFont="1" applyBorder="1" applyAlignment="1">
      <alignment horizontal="center"/>
    </xf>
    <xf numFmtId="0" fontId="36" fillId="0" borderId="0" xfId="0" applyFont="1" applyAlignment="1">
      <alignment/>
    </xf>
    <xf numFmtId="3" fontId="37" fillId="0" borderId="12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75" fontId="25" fillId="0" borderId="12" xfId="46" applyNumberFormat="1" applyFont="1" applyBorder="1" applyAlignment="1">
      <alignment/>
    </xf>
    <xf numFmtId="3" fontId="25" fillId="0" borderId="12" xfId="0" applyNumberFormat="1" applyFont="1" applyBorder="1" applyAlignment="1">
      <alignment horizontal="center" vertical="center"/>
    </xf>
    <xf numFmtId="3" fontId="37" fillId="0" borderId="12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21" fillId="0" borderId="0" xfId="0" applyFont="1" applyAlignment="1">
      <alignment/>
    </xf>
    <xf numFmtId="3" fontId="28" fillId="0" borderId="21" xfId="0" applyNumberFormat="1" applyFont="1" applyBorder="1" applyAlignment="1">
      <alignment horizontal="center"/>
    </xf>
    <xf numFmtId="0" fontId="38" fillId="0" borderId="0" xfId="0" applyFont="1" applyAlignment="1">
      <alignment/>
    </xf>
    <xf numFmtId="3" fontId="26" fillId="33" borderId="74" xfId="0" applyNumberFormat="1" applyFont="1" applyFill="1" applyBorder="1" applyAlignment="1">
      <alignment horizontal="center" vertical="center" wrapText="1"/>
    </xf>
    <xf numFmtId="3" fontId="36" fillId="0" borderId="81" xfId="0" applyNumberFormat="1" applyFont="1" applyBorder="1" applyAlignment="1">
      <alignment horizontal="center"/>
    </xf>
    <xf numFmtId="175" fontId="36" fillId="0" borderId="116" xfId="46" applyNumberFormat="1" applyFont="1" applyBorder="1" applyAlignment="1">
      <alignment/>
    </xf>
    <xf numFmtId="175" fontId="36" fillId="0" borderId="82" xfId="46" applyNumberFormat="1" applyFont="1" applyBorder="1" applyAlignment="1">
      <alignment/>
    </xf>
    <xf numFmtId="3" fontId="36" fillId="0" borderId="117" xfId="0" applyNumberFormat="1" applyFont="1" applyBorder="1" applyAlignment="1">
      <alignment horizontal="center"/>
    </xf>
    <xf numFmtId="3" fontId="36" fillId="0" borderId="118" xfId="0" applyNumberFormat="1" applyFont="1" applyBorder="1" applyAlignment="1">
      <alignment horizontal="center"/>
    </xf>
    <xf numFmtId="175" fontId="36" fillId="36" borderId="82" xfId="46" applyNumberFormat="1" applyFont="1" applyFill="1" applyBorder="1" applyAlignment="1">
      <alignment/>
    </xf>
    <xf numFmtId="3" fontId="19" fillId="0" borderId="118" xfId="0" applyNumberFormat="1" applyFont="1" applyBorder="1" applyAlignment="1">
      <alignment horizontal="center"/>
    </xf>
    <xf numFmtId="175" fontId="19" fillId="0" borderId="82" xfId="46" applyNumberFormat="1" applyFont="1" applyBorder="1" applyAlignment="1">
      <alignment/>
    </xf>
    <xf numFmtId="3" fontId="35" fillId="0" borderId="118" xfId="0" applyNumberFormat="1" applyFont="1" applyBorder="1" applyAlignment="1">
      <alignment horizontal="center"/>
    </xf>
    <xf numFmtId="175" fontId="35" fillId="0" borderId="82" xfId="46" applyNumberFormat="1" applyFont="1" applyBorder="1" applyAlignment="1">
      <alignment/>
    </xf>
    <xf numFmtId="3" fontId="25" fillId="0" borderId="118" xfId="0" applyNumberFormat="1" applyFont="1" applyBorder="1" applyAlignment="1">
      <alignment horizontal="center" vertical="center" wrapText="1"/>
    </xf>
    <xf numFmtId="3" fontId="25" fillId="0" borderId="118" xfId="0" applyNumberFormat="1" applyFont="1" applyBorder="1" applyAlignment="1">
      <alignment horizontal="center"/>
    </xf>
    <xf numFmtId="175" fontId="25" fillId="0" borderId="82" xfId="46" applyNumberFormat="1" applyFont="1" applyBorder="1" applyAlignment="1">
      <alignment/>
    </xf>
    <xf numFmtId="175" fontId="25" fillId="0" borderId="82" xfId="46" applyNumberFormat="1" applyFont="1" applyBorder="1" applyAlignment="1">
      <alignment horizontal="right"/>
    </xf>
    <xf numFmtId="3" fontId="28" fillId="0" borderId="114" xfId="0" applyNumberFormat="1" applyFont="1" applyBorder="1" applyAlignment="1">
      <alignment horizontal="center"/>
    </xf>
    <xf numFmtId="3" fontId="38" fillId="37" borderId="119" xfId="0" applyNumberFormat="1" applyFont="1" applyFill="1" applyBorder="1" applyAlignment="1">
      <alignment horizontal="center"/>
    </xf>
    <xf numFmtId="3" fontId="23" fillId="37" borderId="119" xfId="0" applyNumberFormat="1" applyFont="1" applyFill="1" applyBorder="1" applyAlignment="1">
      <alignment/>
    </xf>
    <xf numFmtId="3" fontId="23" fillId="37" borderId="101" xfId="0" applyNumberFormat="1" applyFont="1" applyFill="1" applyBorder="1" applyAlignment="1">
      <alignment/>
    </xf>
    <xf numFmtId="3" fontId="23" fillId="37" borderId="120" xfId="0" applyNumberFormat="1" applyFont="1" applyFill="1" applyBorder="1" applyAlignment="1">
      <alignment/>
    </xf>
    <xf numFmtId="3" fontId="36" fillId="0" borderId="91" xfId="0" applyNumberFormat="1" applyFont="1" applyBorder="1" applyAlignment="1">
      <alignment horizontal="center"/>
    </xf>
    <xf numFmtId="3" fontId="37" fillId="0" borderId="26" xfId="0" applyNumberFormat="1" applyFont="1" applyBorder="1" applyAlignment="1">
      <alignment horizontal="center"/>
    </xf>
    <xf numFmtId="3" fontId="25" fillId="33" borderId="76" xfId="0" applyNumberFormat="1" applyFont="1" applyFill="1" applyBorder="1" applyAlignment="1">
      <alignment horizontal="center"/>
    </xf>
    <xf numFmtId="3" fontId="25" fillId="0" borderId="121" xfId="0" applyNumberFormat="1" applyFont="1" applyBorder="1" applyAlignment="1">
      <alignment horizontal="center"/>
    </xf>
    <xf numFmtId="175" fontId="25" fillId="0" borderId="21" xfId="46" applyNumberFormat="1" applyFont="1" applyBorder="1" applyAlignment="1">
      <alignment horizontal="center"/>
    </xf>
    <xf numFmtId="175" fontId="25" fillId="0" borderId="92" xfId="46" applyNumberFormat="1" applyFont="1" applyBorder="1" applyAlignment="1">
      <alignment/>
    </xf>
    <xf numFmtId="3" fontId="21" fillId="0" borderId="110" xfId="0" applyNumberFormat="1" applyFont="1" applyBorder="1" applyAlignment="1">
      <alignment horizontal="center"/>
    </xf>
    <xf numFmtId="175" fontId="21" fillId="0" borderId="54" xfId="46" applyNumberFormat="1" applyFont="1" applyBorder="1" applyAlignment="1">
      <alignment horizontal="center"/>
    </xf>
    <xf numFmtId="175" fontId="21" fillId="0" borderId="77" xfId="46" applyNumberFormat="1" applyFont="1" applyBorder="1" applyAlignment="1">
      <alignment horizontal="right"/>
    </xf>
    <xf numFmtId="175" fontId="35" fillId="40" borderId="82" xfId="46" applyNumberFormat="1" applyFont="1" applyFill="1" applyBorder="1" applyAlignment="1">
      <alignment/>
    </xf>
    <xf numFmtId="3" fontId="23" fillId="37" borderId="122" xfId="0" applyNumberFormat="1" applyFont="1" applyFill="1" applyBorder="1" applyAlignment="1">
      <alignment horizontal="center"/>
    </xf>
    <xf numFmtId="3" fontId="19" fillId="0" borderId="12" xfId="0" applyNumberFormat="1" applyFont="1" applyBorder="1" applyAlignment="1">
      <alignment horizontal="left" wrapText="1"/>
    </xf>
    <xf numFmtId="3" fontId="8" fillId="0" borderId="12" xfId="0" applyNumberFormat="1" applyFont="1" applyBorder="1" applyAlignment="1">
      <alignment wrapText="1"/>
    </xf>
    <xf numFmtId="3" fontId="19" fillId="0" borderId="11" xfId="0" applyNumberFormat="1" applyFont="1" applyBorder="1" applyAlignment="1">
      <alignment/>
    </xf>
    <xf numFmtId="3" fontId="25" fillId="0" borderId="11" xfId="0" applyNumberFormat="1" applyFont="1" applyBorder="1" applyAlignment="1">
      <alignment wrapText="1"/>
    </xf>
    <xf numFmtId="3" fontId="25" fillId="0" borderId="58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36" fillId="0" borderId="13" xfId="0" applyNumberFormat="1" applyFont="1" applyBorder="1" applyAlignment="1">
      <alignment horizontal="center"/>
    </xf>
    <xf numFmtId="3" fontId="36" fillId="0" borderId="30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/>
    </xf>
    <xf numFmtId="3" fontId="36" fillId="0" borderId="12" xfId="0" applyNumberFormat="1" applyFont="1" applyBorder="1" applyAlignment="1">
      <alignment horizontal="right" wrapText="1"/>
    </xf>
    <xf numFmtId="3" fontId="36" fillId="0" borderId="12" xfId="0" applyNumberFormat="1" applyFont="1" applyBorder="1" applyAlignment="1">
      <alignment horizontal="right"/>
    </xf>
    <xf numFmtId="3" fontId="19" fillId="40" borderId="12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5" fontId="8" fillId="0" borderId="13" xfId="46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75" fontId="6" fillId="0" borderId="13" xfId="46" applyNumberFormat="1" applyFont="1" applyBorder="1" applyAlignment="1">
      <alignment/>
    </xf>
    <xf numFmtId="0" fontId="6" fillId="0" borderId="0" xfId="0" applyFont="1" applyAlignment="1">
      <alignment/>
    </xf>
    <xf numFmtId="0" fontId="5" fillId="47" borderId="13" xfId="0" applyFont="1" applyFill="1" applyBorder="1" applyAlignment="1">
      <alignment/>
    </xf>
    <xf numFmtId="175" fontId="5" fillId="47" borderId="13" xfId="46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wrapText="1"/>
    </xf>
    <xf numFmtId="175" fontId="0" fillId="0" borderId="10" xfId="46" applyNumberFormat="1" applyBorder="1" applyAlignment="1">
      <alignment/>
    </xf>
    <xf numFmtId="0" fontId="5" fillId="47" borderId="16" xfId="0" applyFont="1" applyFill="1" applyBorder="1" applyAlignment="1">
      <alignment horizontal="center"/>
    </xf>
    <xf numFmtId="0" fontId="5" fillId="47" borderId="16" xfId="0" applyFont="1" applyFill="1" applyBorder="1" applyAlignment="1">
      <alignment/>
    </xf>
    <xf numFmtId="175" fontId="5" fillId="47" borderId="16" xfId="46" applyNumberFormat="1" applyFont="1" applyFill="1" applyBorder="1" applyAlignment="1">
      <alignment/>
    </xf>
    <xf numFmtId="3" fontId="6" fillId="0" borderId="58" xfId="0" applyNumberFormat="1" applyFont="1" applyBorder="1" applyAlignment="1">
      <alignment horizontal="center"/>
    </xf>
    <xf numFmtId="3" fontId="6" fillId="0" borderId="58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33" borderId="21" xfId="0" applyNumberFormat="1" applyFont="1" applyFill="1" applyBorder="1" applyAlignment="1">
      <alignment horizontal="left" wrapText="1"/>
    </xf>
    <xf numFmtId="3" fontId="19" fillId="33" borderId="58" xfId="0" applyNumberFormat="1" applyFont="1" applyFill="1" applyBorder="1" applyAlignment="1">
      <alignment horizontal="center"/>
    </xf>
    <xf numFmtId="3" fontId="19" fillId="41" borderId="58" xfId="0" applyNumberFormat="1" applyFont="1" applyFill="1" applyBorder="1" applyAlignment="1">
      <alignment wrapText="1"/>
    </xf>
    <xf numFmtId="3" fontId="19" fillId="33" borderId="58" xfId="0" applyNumberFormat="1" applyFont="1" applyFill="1" applyBorder="1" applyAlignment="1">
      <alignment/>
    </xf>
    <xf numFmtId="177" fontId="0" fillId="0" borderId="58" xfId="0" applyNumberFormat="1" applyBorder="1" applyAlignment="1">
      <alignment horizontal="center"/>
    </xf>
    <xf numFmtId="177" fontId="0" fillId="0" borderId="66" xfId="0" applyNumberFormat="1" applyBorder="1" applyAlignment="1">
      <alignment horizontal="center"/>
    </xf>
    <xf numFmtId="3" fontId="2" fillId="36" borderId="58" xfId="0" applyNumberFormat="1" applyFont="1" applyFill="1" applyBorder="1" applyAlignment="1">
      <alignment/>
    </xf>
    <xf numFmtId="177" fontId="2" fillId="0" borderId="58" xfId="0" applyNumberFormat="1" applyFont="1" applyBorder="1" applyAlignment="1">
      <alignment horizontal="center"/>
    </xf>
    <xf numFmtId="175" fontId="2" fillId="33" borderId="92" xfId="46" applyNumberFormat="1" applyFont="1" applyFill="1" applyBorder="1" applyAlignment="1">
      <alignment horizontal="center" vertical="center"/>
    </xf>
    <xf numFmtId="175" fontId="2" fillId="0" borderId="123" xfId="46" applyNumberFormat="1" applyFont="1" applyBorder="1" applyAlignment="1">
      <alignment horizontal="right" vertical="center"/>
    </xf>
    <xf numFmtId="175" fontId="0" fillId="36" borderId="124" xfId="46" applyNumberFormat="1" applyFill="1" applyBorder="1" applyAlignment="1">
      <alignment horizontal="right" vertical="center"/>
    </xf>
    <xf numFmtId="175" fontId="2" fillId="36" borderId="124" xfId="46" applyNumberFormat="1" applyFont="1" applyFill="1" applyBorder="1" applyAlignment="1">
      <alignment horizontal="right" vertical="center"/>
    </xf>
    <xf numFmtId="175" fontId="0" fillId="0" borderId="124" xfId="46" applyNumberFormat="1" applyBorder="1" applyAlignment="1">
      <alignment horizontal="right" vertical="center"/>
    </xf>
    <xf numFmtId="175" fontId="2" fillId="0" borderId="124" xfId="46" applyNumberFormat="1" applyFont="1" applyBorder="1" applyAlignment="1">
      <alignment horizontal="right" vertical="center"/>
    </xf>
    <xf numFmtId="175" fontId="0" fillId="0" borderId="125" xfId="46" applyNumberFormat="1" applyBorder="1" applyAlignment="1">
      <alignment horizontal="right" vertical="center"/>
    </xf>
    <xf numFmtId="175" fontId="0" fillId="0" borderId="126" xfId="46" applyNumberFormat="1" applyBorder="1" applyAlignment="1">
      <alignment horizontal="right" vertical="center"/>
    </xf>
    <xf numFmtId="175" fontId="0" fillId="0" borderId="127" xfId="46" applyNumberFormat="1" applyBorder="1" applyAlignment="1">
      <alignment horizontal="right" vertical="center"/>
    </xf>
    <xf numFmtId="175" fontId="2" fillId="0" borderId="126" xfId="46" applyNumberFormat="1" applyFont="1" applyBorder="1" applyAlignment="1">
      <alignment horizontal="right" vertical="center"/>
    </xf>
    <xf numFmtId="175" fontId="2" fillId="0" borderId="128" xfId="46" applyNumberFormat="1" applyFont="1" applyBorder="1" applyAlignment="1">
      <alignment horizontal="right" vertical="center"/>
    </xf>
    <xf numFmtId="175" fontId="8" fillId="0" borderId="129" xfId="46" applyNumberFormat="1" applyFont="1" applyBorder="1" applyAlignment="1">
      <alignment horizontal="right" vertical="center"/>
    </xf>
    <xf numFmtId="175" fontId="8" fillId="36" borderId="130" xfId="46" applyNumberFormat="1" applyFont="1" applyFill="1" applyBorder="1" applyAlignment="1">
      <alignment horizontal="right" vertical="center"/>
    </xf>
    <xf numFmtId="3" fontId="34" fillId="0" borderId="131" xfId="0" applyNumberFormat="1" applyFont="1" applyBorder="1" applyAlignment="1">
      <alignment horizontal="center"/>
    </xf>
    <xf numFmtId="3" fontId="2" fillId="0" borderId="132" xfId="0" applyNumberFormat="1" applyFont="1" applyBorder="1" applyAlignment="1">
      <alignment horizontal="center"/>
    </xf>
    <xf numFmtId="3" fontId="8" fillId="0" borderId="133" xfId="0" applyNumberFormat="1" applyFont="1" applyBorder="1" applyAlignment="1">
      <alignment horizontal="center"/>
    </xf>
    <xf numFmtId="3" fontId="8" fillId="0" borderId="134" xfId="0" applyNumberFormat="1" applyFont="1" applyBorder="1" applyAlignment="1">
      <alignment horizontal="center"/>
    </xf>
    <xf numFmtId="175" fontId="5" fillId="46" borderId="135" xfId="46" applyNumberFormat="1" applyFont="1" applyFill="1" applyBorder="1" applyAlignment="1">
      <alignment horizontal="center" vertical="center"/>
    </xf>
    <xf numFmtId="3" fontId="5" fillId="41" borderId="112" xfId="0" applyNumberFormat="1" applyFont="1" applyFill="1" applyBorder="1" applyAlignment="1">
      <alignment horizontal="center" vertical="center"/>
    </xf>
    <xf numFmtId="3" fontId="36" fillId="40" borderId="12" xfId="0" applyNumberFormat="1" applyFont="1" applyFill="1" applyBorder="1" applyAlignment="1">
      <alignment/>
    </xf>
    <xf numFmtId="175" fontId="8" fillId="40" borderId="89" xfId="46" applyNumberFormat="1" applyFont="1" applyFill="1" applyBorder="1" applyAlignment="1">
      <alignment/>
    </xf>
    <xf numFmtId="3" fontId="19" fillId="48" borderId="12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 vertical="center" wrapText="1"/>
    </xf>
    <xf numFmtId="3" fontId="25" fillId="0" borderId="58" xfId="0" applyNumberFormat="1" applyFont="1" applyBorder="1" applyAlignment="1">
      <alignment horizontal="center"/>
    </xf>
    <xf numFmtId="175" fontId="25" fillId="0" borderId="58" xfId="46" applyNumberFormat="1" applyFont="1" applyBorder="1" applyAlignment="1">
      <alignment/>
    </xf>
    <xf numFmtId="3" fontId="2" fillId="0" borderId="67" xfId="0" applyNumberFormat="1" applyFont="1" applyBorder="1" applyAlignment="1">
      <alignment horizontal="center"/>
    </xf>
    <xf numFmtId="0" fontId="2" fillId="0" borderId="67" xfId="0" applyFont="1" applyBorder="1" applyAlignment="1">
      <alignment/>
    </xf>
    <xf numFmtId="3" fontId="2" fillId="33" borderId="136" xfId="0" applyNumberFormat="1" applyFont="1" applyFill="1" applyBorder="1" applyAlignment="1">
      <alignment horizontal="center" vertical="center" wrapText="1"/>
    </xf>
    <xf numFmtId="175" fontId="2" fillId="33" borderId="137" xfId="46" applyNumberFormat="1" applyFont="1" applyFill="1" applyBorder="1" applyAlignment="1">
      <alignment horizontal="center"/>
    </xf>
    <xf numFmtId="175" fontId="0" fillId="0" borderId="66" xfId="46" applyNumberFormat="1" applyBorder="1" applyAlignment="1">
      <alignment/>
    </xf>
    <xf numFmtId="3" fontId="2" fillId="37" borderId="112" xfId="0" applyNumberFormat="1" applyFont="1" applyFill="1" applyBorder="1" applyAlignment="1">
      <alignment horizontal="center"/>
    </xf>
    <xf numFmtId="3" fontId="2" fillId="37" borderId="68" xfId="0" applyNumberFormat="1" applyFont="1" applyFill="1" applyBorder="1" applyAlignment="1">
      <alignment horizontal="center"/>
    </xf>
    <xf numFmtId="175" fontId="2" fillId="37" borderId="97" xfId="46" applyNumberFormat="1" applyFont="1" applyFill="1" applyBorder="1" applyAlignment="1">
      <alignment/>
    </xf>
    <xf numFmtId="3" fontId="5" fillId="33" borderId="52" xfId="0" applyNumberFormat="1" applyFont="1" applyFill="1" applyBorder="1" applyAlignment="1">
      <alignment horizontal="center" vertical="center"/>
    </xf>
    <xf numFmtId="3" fontId="5" fillId="33" borderId="54" xfId="0" applyNumberFormat="1" applyFont="1" applyFill="1" applyBorder="1" applyAlignment="1">
      <alignment vertical="center"/>
    </xf>
    <xf numFmtId="175" fontId="5" fillId="33" borderId="54" xfId="46" applyNumberFormat="1" applyFont="1" applyFill="1" applyBorder="1" applyAlignment="1">
      <alignment vertical="center"/>
    </xf>
    <xf numFmtId="3" fontId="6" fillId="0" borderId="138" xfId="0" applyNumberFormat="1" applyFont="1" applyBorder="1" applyAlignment="1">
      <alignment horizontal="center"/>
    </xf>
    <xf numFmtId="3" fontId="9" fillId="0" borderId="139" xfId="0" applyNumberFormat="1" applyFont="1" applyBorder="1" applyAlignment="1">
      <alignment horizontal="center"/>
    </xf>
    <xf numFmtId="3" fontId="6" fillId="0" borderId="139" xfId="0" applyNumberFormat="1" applyFont="1" applyBorder="1" applyAlignment="1">
      <alignment horizontal="center"/>
    </xf>
    <xf numFmtId="175" fontId="6" fillId="0" borderId="139" xfId="46" applyNumberFormat="1" applyFont="1" applyBorder="1" applyAlignment="1">
      <alignment/>
    </xf>
    <xf numFmtId="3" fontId="2" fillId="0" borderId="140" xfId="0" applyNumberFormat="1" applyFon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2" fillId="0" borderId="65" xfId="0" applyNumberFormat="1" applyFont="1" applyBorder="1" applyAlignment="1">
      <alignment/>
    </xf>
    <xf numFmtId="3" fontId="2" fillId="0" borderId="141" xfId="0" applyNumberFormat="1" applyFont="1" applyBorder="1" applyAlignment="1">
      <alignment horizontal="center"/>
    </xf>
    <xf numFmtId="3" fontId="0" fillId="0" borderId="141" xfId="0" applyNumberFormat="1" applyBorder="1" applyAlignment="1">
      <alignment horizontal="center"/>
    </xf>
    <xf numFmtId="3" fontId="0" fillId="0" borderId="142" xfId="0" applyNumberFormat="1" applyBorder="1" applyAlignment="1">
      <alignment horizontal="center"/>
    </xf>
    <xf numFmtId="3" fontId="0" fillId="0" borderId="143" xfId="0" applyNumberFormat="1" applyBorder="1" applyAlignment="1">
      <alignment horizontal="center"/>
    </xf>
    <xf numFmtId="3" fontId="2" fillId="0" borderId="144" xfId="0" applyNumberFormat="1" applyFont="1" applyBorder="1" applyAlignment="1">
      <alignment horizontal="center"/>
    </xf>
    <xf numFmtId="3" fontId="2" fillId="0" borderId="134" xfId="0" applyNumberFormat="1" applyFont="1" applyBorder="1" applyAlignment="1">
      <alignment horizontal="center"/>
    </xf>
    <xf numFmtId="3" fontId="6" fillId="0" borderId="134" xfId="0" applyNumberFormat="1" applyFont="1" applyBorder="1" applyAlignment="1">
      <alignment horizontal="center"/>
    </xf>
    <xf numFmtId="175" fontId="2" fillId="0" borderId="134" xfId="46" applyNumberFormat="1" applyFont="1" applyBorder="1" applyAlignment="1">
      <alignment/>
    </xf>
    <xf numFmtId="3" fontId="6" fillId="36" borderId="139" xfId="0" applyNumberFormat="1" applyFont="1" applyFill="1" applyBorder="1" applyAlignment="1">
      <alignment horizontal="center" vertical="center" wrapText="1"/>
    </xf>
    <xf numFmtId="175" fontId="6" fillId="36" borderId="139" xfId="46" applyNumberFormat="1" applyFont="1" applyFill="1" applyBorder="1" applyAlignment="1">
      <alignment vertical="center"/>
    </xf>
    <xf numFmtId="3" fontId="2" fillId="0" borderId="58" xfId="0" applyNumberFormat="1" applyFont="1" applyBorder="1" applyAlignment="1">
      <alignment wrapText="1"/>
    </xf>
    <xf numFmtId="3" fontId="6" fillId="0" borderId="58" xfId="0" applyNumberFormat="1" applyFont="1" applyBorder="1" applyAlignment="1">
      <alignment horizontal="center" vertical="center"/>
    </xf>
    <xf numFmtId="175" fontId="6" fillId="0" borderId="58" xfId="46" applyNumberFormat="1" applyFont="1" applyBorder="1" applyAlignment="1">
      <alignment vertical="center"/>
    </xf>
    <xf numFmtId="3" fontId="2" fillId="0" borderId="145" xfId="0" applyNumberFormat="1" applyFont="1" applyBorder="1" applyAlignment="1">
      <alignment horizontal="center"/>
    </xf>
    <xf numFmtId="3" fontId="2" fillId="0" borderId="146" xfId="0" applyNumberFormat="1" applyFont="1" applyBorder="1" applyAlignment="1">
      <alignment horizontal="center"/>
    </xf>
    <xf numFmtId="3" fontId="2" fillId="0" borderId="146" xfId="0" applyNumberFormat="1" applyFont="1" applyBorder="1" applyAlignment="1">
      <alignment wrapText="1"/>
    </xf>
    <xf numFmtId="3" fontId="5" fillId="37" borderId="147" xfId="0" applyNumberFormat="1" applyFont="1" applyFill="1" applyBorder="1" applyAlignment="1">
      <alignment horizontal="center" vertical="center"/>
    </xf>
    <xf numFmtId="175" fontId="5" fillId="37" borderId="147" xfId="46" applyNumberFormat="1" applyFont="1" applyFill="1" applyBorder="1" applyAlignment="1">
      <alignment horizontal="center" vertical="center"/>
    </xf>
    <xf numFmtId="175" fontId="0" fillId="40" borderId="37" xfId="46" applyNumberFormat="1" applyFill="1" applyBorder="1" applyAlignment="1">
      <alignment horizontal="center" vertical="center"/>
    </xf>
    <xf numFmtId="175" fontId="0" fillId="36" borderId="42" xfId="46" applyNumberFormat="1" applyFont="1" applyFill="1" applyBorder="1" applyAlignment="1">
      <alignment/>
    </xf>
    <xf numFmtId="3" fontId="0" fillId="0" borderId="148" xfId="0" applyNumberFormat="1" applyBorder="1" applyAlignment="1">
      <alignment horizontal="center"/>
    </xf>
    <xf numFmtId="3" fontId="2" fillId="0" borderId="147" xfId="0" applyNumberFormat="1" applyFont="1" applyBorder="1" applyAlignment="1">
      <alignment horizontal="center"/>
    </xf>
    <xf numFmtId="0" fontId="2" fillId="0" borderId="147" xfId="0" applyFont="1" applyBorder="1" applyAlignment="1">
      <alignment/>
    </xf>
    <xf numFmtId="175" fontId="2" fillId="36" borderId="147" xfId="46" applyNumberFormat="1" applyFont="1" applyFill="1" applyBorder="1" applyAlignment="1">
      <alignment/>
    </xf>
    <xf numFmtId="175" fontId="0" fillId="36" borderId="58" xfId="46" applyNumberFormat="1" applyFont="1" applyFill="1" applyBorder="1" applyAlignment="1">
      <alignment/>
    </xf>
    <xf numFmtId="175" fontId="2" fillId="0" borderId="149" xfId="46" applyNumberFormat="1" applyFont="1" applyBorder="1" applyAlignment="1">
      <alignment horizontal="right" vertical="center"/>
    </xf>
    <xf numFmtId="3" fontId="2" fillId="43" borderId="66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2" fillId="40" borderId="67" xfId="0" applyNumberFormat="1" applyFont="1" applyFill="1" applyBorder="1" applyAlignment="1">
      <alignment/>
    </xf>
    <xf numFmtId="3" fontId="32" fillId="0" borderId="58" xfId="0" applyNumberFormat="1" applyFont="1" applyBorder="1" applyAlignment="1">
      <alignment horizontal="left" wrapText="1"/>
    </xf>
    <xf numFmtId="3" fontId="2" fillId="33" borderId="54" xfId="0" applyNumberFormat="1" applyFont="1" applyFill="1" applyBorder="1" applyAlignment="1">
      <alignment horizontal="center" vertical="center"/>
    </xf>
    <xf numFmtId="175" fontId="2" fillId="33" borderId="54" xfId="46" applyNumberFormat="1" applyFont="1" applyFill="1" applyBorder="1" applyAlignment="1">
      <alignment horizontal="center" vertical="center"/>
    </xf>
    <xf numFmtId="175" fontId="0" fillId="0" borderId="42" xfId="46" applyNumberFormat="1" applyBorder="1" applyAlignment="1">
      <alignment horizontal="center"/>
    </xf>
    <xf numFmtId="175" fontId="0" fillId="0" borderId="58" xfId="46" applyNumberFormat="1" applyBorder="1" applyAlignment="1">
      <alignment horizontal="center"/>
    </xf>
    <xf numFmtId="0" fontId="2" fillId="0" borderId="58" xfId="0" applyFont="1" applyBorder="1" applyAlignment="1">
      <alignment/>
    </xf>
    <xf numFmtId="175" fontId="0" fillId="0" borderId="11" xfId="46" applyNumberFormat="1" applyBorder="1" applyAlignment="1">
      <alignment/>
    </xf>
    <xf numFmtId="175" fontId="2" fillId="0" borderId="11" xfId="46" applyNumberFormat="1" applyFont="1" applyBorder="1" applyAlignment="1">
      <alignment/>
    </xf>
    <xf numFmtId="3" fontId="0" fillId="0" borderId="57" xfId="0" applyNumberFormat="1" applyBorder="1" applyAlignment="1">
      <alignment horizontal="center"/>
    </xf>
    <xf numFmtId="175" fontId="0" fillId="0" borderId="21" xfId="46" applyNumberFormat="1" applyBorder="1" applyAlignment="1">
      <alignment horizontal="center" vertical="center"/>
    </xf>
    <xf numFmtId="175" fontId="2" fillId="33" borderId="14" xfId="46" applyNumberFormat="1" applyFont="1" applyFill="1" applyBorder="1" applyAlignment="1">
      <alignment/>
    </xf>
    <xf numFmtId="175" fontId="0" fillId="0" borderId="58" xfId="46" applyNumberFormat="1" applyBorder="1" applyAlignment="1">
      <alignment horizontal="center" vertical="center"/>
    </xf>
    <xf numFmtId="175" fontId="2" fillId="0" borderId="58" xfId="46" applyNumberFormat="1" applyFont="1" applyBorder="1" applyAlignment="1">
      <alignment horizontal="center" vertical="center"/>
    </xf>
    <xf numFmtId="175" fontId="0" fillId="0" borderId="21" xfId="46" applyNumberFormat="1" applyFont="1" applyBorder="1" applyAlignment="1">
      <alignment horizontal="center"/>
    </xf>
    <xf numFmtId="175" fontId="2" fillId="0" borderId="54" xfId="46" applyNumberFormat="1" applyFont="1" applyBorder="1" applyAlignment="1">
      <alignment/>
    </xf>
    <xf numFmtId="175" fontId="2" fillId="0" borderId="77" xfId="46" applyNumberFormat="1" applyFont="1" applyBorder="1" applyAlignment="1">
      <alignment/>
    </xf>
    <xf numFmtId="3" fontId="28" fillId="0" borderId="58" xfId="0" applyNumberFormat="1" applyFont="1" applyBorder="1" applyAlignment="1">
      <alignment horizontal="center"/>
    </xf>
    <xf numFmtId="3" fontId="21" fillId="0" borderId="150" xfId="0" applyNumberFormat="1" applyFont="1" applyBorder="1" applyAlignment="1">
      <alignment horizontal="center"/>
    </xf>
    <xf numFmtId="3" fontId="21" fillId="0" borderId="151" xfId="0" applyNumberFormat="1" applyFont="1" applyBorder="1" applyAlignment="1">
      <alignment horizontal="center"/>
    </xf>
    <xf numFmtId="175" fontId="21" fillId="0" borderId="99" xfId="46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center"/>
    </xf>
    <xf numFmtId="3" fontId="19" fillId="0" borderId="131" xfId="0" applyNumberFormat="1" applyFont="1" applyBorder="1" applyAlignment="1">
      <alignment horizontal="center"/>
    </xf>
    <xf numFmtId="175" fontId="19" fillId="0" borderId="79" xfId="46" applyNumberFormat="1" applyFont="1" applyBorder="1" applyAlignment="1">
      <alignment horizontal="center"/>
    </xf>
    <xf numFmtId="175" fontId="19" fillId="0" borderId="74" xfId="46" applyNumberFormat="1" applyFont="1" applyBorder="1" applyAlignment="1">
      <alignment/>
    </xf>
    <xf numFmtId="3" fontId="28" fillId="0" borderId="103" xfId="0" applyNumberFormat="1" applyFont="1" applyBorder="1" applyAlignment="1">
      <alignment horizontal="center"/>
    </xf>
    <xf numFmtId="175" fontId="27" fillId="40" borderId="89" xfId="46" applyNumberFormat="1" applyFont="1" applyFill="1" applyBorder="1" applyAlignment="1">
      <alignment/>
    </xf>
    <xf numFmtId="3" fontId="19" fillId="0" borderId="103" xfId="0" applyNumberFormat="1" applyFont="1" applyBorder="1" applyAlignment="1">
      <alignment horizontal="center"/>
    </xf>
    <xf numFmtId="175" fontId="19" fillId="40" borderId="92" xfId="46" applyNumberFormat="1" applyFont="1" applyFill="1" applyBorder="1" applyAlignment="1">
      <alignment/>
    </xf>
    <xf numFmtId="3" fontId="5" fillId="0" borderId="58" xfId="0" applyNumberFormat="1" applyFont="1" applyBorder="1" applyAlignment="1">
      <alignment/>
    </xf>
    <xf numFmtId="3" fontId="2" fillId="41" borderId="58" xfId="0" applyNumberFormat="1" applyFont="1" applyFill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40" borderId="17" xfId="0" applyNumberFormat="1" applyFont="1" applyFill="1" applyBorder="1" applyAlignment="1">
      <alignment horizontal="center"/>
    </xf>
    <xf numFmtId="3" fontId="32" fillId="0" borderId="17" xfId="0" applyNumberFormat="1" applyFont="1" applyBorder="1" applyAlignment="1">
      <alignment horizontal="center"/>
    </xf>
    <xf numFmtId="3" fontId="32" fillId="0" borderId="152" xfId="0" applyNumberFormat="1" applyFont="1" applyBorder="1" applyAlignment="1">
      <alignment horizontal="center"/>
    </xf>
    <xf numFmtId="3" fontId="2" fillId="33" borderId="153" xfId="0" applyNumberFormat="1" applyFont="1" applyFill="1" applyBorder="1" applyAlignment="1">
      <alignment horizontal="center"/>
    </xf>
    <xf numFmtId="3" fontId="2" fillId="41" borderId="153" xfId="0" applyNumberFormat="1" applyFont="1" applyFill="1" applyBorder="1" applyAlignment="1">
      <alignment horizontal="center"/>
    </xf>
    <xf numFmtId="3" fontId="0" fillId="0" borderId="152" xfId="0" applyNumberFormat="1" applyBorder="1" applyAlignment="1">
      <alignment horizontal="center"/>
    </xf>
    <xf numFmtId="3" fontId="2" fillId="37" borderId="153" xfId="0" applyNumberFormat="1" applyFont="1" applyFill="1" applyBorder="1" applyAlignment="1">
      <alignment horizontal="center" vertical="center"/>
    </xf>
    <xf numFmtId="3" fontId="0" fillId="0" borderId="70" xfId="0" applyNumberFormat="1" applyBorder="1" applyAlignment="1">
      <alignment horizontal="center"/>
    </xf>
    <xf numFmtId="3" fontId="2" fillId="37" borderId="78" xfId="0" applyNumberFormat="1" applyFont="1" applyFill="1" applyBorder="1" applyAlignment="1">
      <alignment horizontal="center"/>
    </xf>
    <xf numFmtId="3" fontId="0" fillId="0" borderId="70" xfId="0" applyNumberFormat="1" applyBorder="1" applyAlignment="1">
      <alignment/>
    </xf>
    <xf numFmtId="3" fontId="0" fillId="0" borderId="154" xfId="0" applyNumberFormat="1" applyBorder="1" applyAlignment="1">
      <alignment/>
    </xf>
    <xf numFmtId="3" fontId="2" fillId="41" borderId="155" xfId="0" applyNumberFormat="1" applyFont="1" applyFill="1" applyBorder="1" applyAlignment="1">
      <alignment/>
    </xf>
    <xf numFmtId="3" fontId="0" fillId="0" borderId="72" xfId="0" applyNumberFormat="1" applyBorder="1" applyAlignment="1">
      <alignment/>
    </xf>
    <xf numFmtId="3" fontId="32" fillId="0" borderId="70" xfId="0" applyNumberFormat="1" applyFont="1" applyBorder="1" applyAlignment="1">
      <alignment/>
    </xf>
    <xf numFmtId="3" fontId="32" fillId="0" borderId="154" xfId="0" applyNumberFormat="1" applyFont="1" applyBorder="1" applyAlignment="1">
      <alignment/>
    </xf>
    <xf numFmtId="3" fontId="8" fillId="0" borderId="72" xfId="0" applyNumberFormat="1" applyFont="1" applyBorder="1" applyAlignment="1">
      <alignment/>
    </xf>
    <xf numFmtId="3" fontId="8" fillId="0" borderId="70" xfId="0" applyNumberFormat="1" applyFont="1" applyBorder="1" applyAlignment="1">
      <alignment/>
    </xf>
    <xf numFmtId="3" fontId="2" fillId="41" borderId="70" xfId="0" applyNumberFormat="1" applyFont="1" applyFill="1" applyBorder="1" applyAlignment="1">
      <alignment/>
    </xf>
    <xf numFmtId="3" fontId="5" fillId="0" borderId="70" xfId="0" applyNumberFormat="1" applyFont="1" applyBorder="1" applyAlignment="1">
      <alignment/>
    </xf>
    <xf numFmtId="3" fontId="2" fillId="37" borderId="58" xfId="0" applyNumberFormat="1" applyFont="1" applyFill="1" applyBorder="1" applyAlignment="1">
      <alignment horizontal="center" vertical="center"/>
    </xf>
    <xf numFmtId="3" fontId="2" fillId="37" borderId="58" xfId="0" applyNumberFormat="1" applyFont="1" applyFill="1" applyBorder="1" applyAlignment="1">
      <alignment horizontal="center"/>
    </xf>
    <xf numFmtId="3" fontId="0" fillId="0" borderId="81" xfId="0" applyNumberFormat="1" applyBorder="1" applyAlignment="1">
      <alignment horizontal="center"/>
    </xf>
    <xf numFmtId="3" fontId="0" fillId="0" borderId="156" xfId="0" applyNumberFormat="1" applyBorder="1" applyAlignment="1">
      <alignment horizontal="center"/>
    </xf>
    <xf numFmtId="3" fontId="31" fillId="0" borderId="81" xfId="0" applyNumberFormat="1" applyFont="1" applyBorder="1" applyAlignment="1">
      <alignment horizontal="center"/>
    </xf>
    <xf numFmtId="3" fontId="3" fillId="0" borderId="81" xfId="0" applyNumberFormat="1" applyFont="1" applyBorder="1" applyAlignment="1">
      <alignment horizontal="center"/>
    </xf>
    <xf numFmtId="3" fontId="32" fillId="0" borderId="81" xfId="0" applyNumberFormat="1" applyFont="1" applyBorder="1" applyAlignment="1">
      <alignment horizontal="center"/>
    </xf>
    <xf numFmtId="176" fontId="11" fillId="0" borderId="0" xfId="61" applyFont="1" applyAlignment="1">
      <alignment horizontal="center" vertical="center" wrapText="1"/>
    </xf>
    <xf numFmtId="3" fontId="0" fillId="0" borderId="157" xfId="0" applyNumberFormat="1" applyBorder="1" applyAlignment="1">
      <alignment horizontal="left" vertical="center"/>
    </xf>
    <xf numFmtId="3" fontId="0" fillId="0" borderId="158" xfId="0" applyNumberFormat="1" applyBorder="1" applyAlignment="1">
      <alignment horizontal="left" vertical="center"/>
    </xf>
    <xf numFmtId="3" fontId="19" fillId="0" borderId="89" xfId="0" applyNumberFormat="1" applyFont="1" applyBorder="1" applyAlignment="1">
      <alignment horizontal="center" vertical="center"/>
    </xf>
    <xf numFmtId="3" fontId="11" fillId="40" borderId="0" xfId="0" applyNumberFormat="1" applyFont="1" applyFill="1" applyAlignment="1">
      <alignment/>
    </xf>
    <xf numFmtId="3" fontId="0" fillId="40" borderId="0" xfId="0" applyNumberFormat="1" applyFill="1" applyAlignment="1">
      <alignment/>
    </xf>
    <xf numFmtId="3" fontId="0" fillId="40" borderId="0" xfId="0" applyNumberFormat="1" applyFill="1" applyAlignment="1">
      <alignment horizontal="right"/>
    </xf>
    <xf numFmtId="3" fontId="3" fillId="40" borderId="0" xfId="0" applyNumberFormat="1" applyFont="1" applyFill="1" applyAlignment="1">
      <alignment/>
    </xf>
    <xf numFmtId="3" fontId="0" fillId="40" borderId="0" xfId="0" applyNumberFormat="1" applyFill="1" applyAlignment="1">
      <alignment/>
    </xf>
    <xf numFmtId="3" fontId="1" fillId="40" borderId="0" xfId="0" applyNumberFormat="1" applyFont="1" applyFill="1" applyAlignment="1">
      <alignment horizontal="center"/>
    </xf>
    <xf numFmtId="3" fontId="0" fillId="40" borderId="0" xfId="0" applyNumberFormat="1" applyFill="1" applyAlignment="1">
      <alignment horizontal="center"/>
    </xf>
    <xf numFmtId="3" fontId="0" fillId="48" borderId="0" xfId="0" applyNumberFormat="1" applyFill="1" applyAlignment="1">
      <alignment/>
    </xf>
    <xf numFmtId="3" fontId="0" fillId="40" borderId="0" xfId="0" applyNumberFormat="1" applyFill="1" applyAlignment="1">
      <alignment/>
    </xf>
    <xf numFmtId="3" fontId="0" fillId="48" borderId="0" xfId="0" applyNumberFormat="1" applyFill="1" applyAlignment="1">
      <alignment/>
    </xf>
    <xf numFmtId="0" fontId="5" fillId="40" borderId="0" xfId="0" applyFont="1" applyFill="1" applyAlignment="1">
      <alignment vertical="center" wrapText="1"/>
    </xf>
    <xf numFmtId="0" fontId="0" fillId="40" borderId="0" xfId="0" applyFill="1" applyAlignment="1">
      <alignment/>
    </xf>
    <xf numFmtId="0" fontId="2" fillId="40" borderId="12" xfId="0" applyFont="1" applyFill="1" applyBorder="1" applyAlignment="1">
      <alignment/>
    </xf>
    <xf numFmtId="175" fontId="2" fillId="40" borderId="12" xfId="46" applyNumberFormat="1" applyFont="1" applyFill="1" applyBorder="1" applyAlignment="1">
      <alignment/>
    </xf>
    <xf numFmtId="0" fontId="0" fillId="40" borderId="12" xfId="0" applyFill="1" applyBorder="1" applyAlignment="1">
      <alignment/>
    </xf>
    <xf numFmtId="175" fontId="0" fillId="40" borderId="12" xfId="46" applyNumberFormat="1" applyFill="1" applyBorder="1" applyAlignment="1">
      <alignment/>
    </xf>
    <xf numFmtId="0" fontId="0" fillId="40" borderId="12" xfId="0" applyFill="1" applyBorder="1" applyAlignment="1">
      <alignment/>
    </xf>
    <xf numFmtId="0" fontId="2" fillId="49" borderId="13" xfId="0" applyFont="1" applyFill="1" applyBorder="1" applyAlignment="1">
      <alignment/>
    </xf>
    <xf numFmtId="0" fontId="0" fillId="40" borderId="10" xfId="0" applyFill="1" applyBorder="1" applyAlignment="1">
      <alignment/>
    </xf>
    <xf numFmtId="175" fontId="0" fillId="40" borderId="10" xfId="46" applyNumberFormat="1" applyFill="1" applyBorder="1" applyAlignment="1">
      <alignment/>
    </xf>
    <xf numFmtId="0" fontId="2" fillId="42" borderId="13" xfId="0" applyFont="1" applyFill="1" applyBorder="1" applyAlignment="1">
      <alignment/>
    </xf>
    <xf numFmtId="175" fontId="2" fillId="42" borderId="13" xfId="46" applyNumberFormat="1" applyFont="1" applyFill="1" applyBorder="1" applyAlignment="1">
      <alignment/>
    </xf>
    <xf numFmtId="175" fontId="2" fillId="33" borderId="159" xfId="46" applyNumberFormat="1" applyFont="1" applyFill="1" applyBorder="1" applyAlignment="1">
      <alignment horizontal="center" vertical="center" wrapText="1"/>
    </xf>
    <xf numFmtId="175" fontId="2" fillId="36" borderId="84" xfId="46" applyNumberFormat="1" applyFont="1" applyFill="1" applyBorder="1" applyAlignment="1">
      <alignment/>
    </xf>
    <xf numFmtId="175" fontId="2" fillId="33" borderId="11" xfId="46" applyNumberFormat="1" applyFont="1" applyFill="1" applyBorder="1" applyAlignment="1">
      <alignment horizontal="center"/>
    </xf>
    <xf numFmtId="175" fontId="2" fillId="36" borderId="160" xfId="46" applyNumberFormat="1" applyFont="1" applyFill="1" applyBorder="1" applyAlignment="1">
      <alignment/>
    </xf>
    <xf numFmtId="3" fontId="8" fillId="0" borderId="20" xfId="0" applyNumberFormat="1" applyFont="1" applyBorder="1" applyAlignment="1">
      <alignment horizontal="left"/>
    </xf>
    <xf numFmtId="3" fontId="0" fillId="0" borderId="67" xfId="0" applyNumberFormat="1" applyBorder="1" applyAlignment="1">
      <alignment horizontal="center"/>
    </xf>
    <xf numFmtId="175" fontId="82" fillId="33" borderId="58" xfId="46" applyNumberFormat="1" applyFont="1" applyFill="1" applyBorder="1" applyAlignment="1">
      <alignment/>
    </xf>
    <xf numFmtId="3" fontId="83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85" fillId="33" borderId="58" xfId="0" applyFont="1" applyFill="1" applyBorder="1" applyAlignment="1">
      <alignment horizontal="left" vertical="center" wrapText="1"/>
    </xf>
    <xf numFmtId="0" fontId="86" fillId="33" borderId="58" xfId="0" applyFont="1" applyFill="1" applyBorder="1" applyAlignment="1">
      <alignment/>
    </xf>
    <xf numFmtId="0" fontId="82" fillId="33" borderId="58" xfId="0" applyFont="1" applyFill="1" applyBorder="1" applyAlignment="1">
      <alignment/>
    </xf>
    <xf numFmtId="0" fontId="87" fillId="45" borderId="58" xfId="0" applyFont="1" applyFill="1" applyBorder="1" applyAlignment="1">
      <alignment horizontal="left" vertical="center" wrapText="1"/>
    </xf>
    <xf numFmtId="3" fontId="82" fillId="0" borderId="58" xfId="0" applyNumberFormat="1" applyFont="1" applyBorder="1" applyAlignment="1">
      <alignment/>
    </xf>
    <xf numFmtId="175" fontId="82" fillId="0" borderId="58" xfId="46" applyNumberFormat="1" applyFont="1" applyBorder="1" applyAlignment="1">
      <alignment/>
    </xf>
    <xf numFmtId="3" fontId="82" fillId="48" borderId="58" xfId="0" applyNumberFormat="1" applyFont="1" applyFill="1" applyBorder="1" applyAlignment="1">
      <alignment/>
    </xf>
    <xf numFmtId="3" fontId="82" fillId="0" borderId="58" xfId="0" applyNumberFormat="1" applyFont="1" applyBorder="1" applyAlignment="1">
      <alignment/>
    </xf>
    <xf numFmtId="3" fontId="87" fillId="0" borderId="58" xfId="0" applyNumberFormat="1" applyFont="1" applyBorder="1" applyAlignment="1">
      <alignment/>
    </xf>
    <xf numFmtId="0" fontId="82" fillId="0" borderId="58" xfId="0" applyFont="1" applyBorder="1" applyAlignment="1">
      <alignment/>
    </xf>
    <xf numFmtId="175" fontId="82" fillId="0" borderId="58" xfId="46" applyNumberFormat="1" applyFont="1" applyBorder="1" applyAlignment="1">
      <alignment/>
    </xf>
    <xf numFmtId="0" fontId="85" fillId="45" borderId="58" xfId="0" applyFont="1" applyFill="1" applyBorder="1" applyAlignment="1">
      <alignment horizontal="left" vertical="center" wrapText="1"/>
    </xf>
    <xf numFmtId="3" fontId="84" fillId="45" borderId="58" xfId="0" applyNumberFormat="1" applyFont="1" applyFill="1" applyBorder="1" applyAlignment="1">
      <alignment/>
    </xf>
    <xf numFmtId="0" fontId="84" fillId="33" borderId="58" xfId="0" applyFont="1" applyFill="1" applyBorder="1" applyAlignment="1">
      <alignment/>
    </xf>
    <xf numFmtId="3" fontId="82" fillId="36" borderId="58" xfId="0" applyNumberFormat="1" applyFont="1" applyFill="1" applyBorder="1" applyAlignment="1">
      <alignment/>
    </xf>
    <xf numFmtId="3" fontId="84" fillId="0" borderId="58" xfId="0" applyNumberFormat="1" applyFont="1" applyBorder="1" applyAlignment="1">
      <alignment/>
    </xf>
    <xf numFmtId="3" fontId="84" fillId="33" borderId="58" xfId="0" applyNumberFormat="1" applyFont="1" applyFill="1" applyBorder="1" applyAlignment="1">
      <alignment/>
    </xf>
    <xf numFmtId="3" fontId="87" fillId="0" borderId="0" xfId="0" applyNumberFormat="1" applyFont="1" applyAlignment="1">
      <alignment/>
    </xf>
    <xf numFmtId="3" fontId="8" fillId="0" borderId="161" xfId="0" applyNumberFormat="1" applyFont="1" applyBorder="1" applyAlignment="1">
      <alignment/>
    </xf>
    <xf numFmtId="3" fontId="8" fillId="0" borderId="162" xfId="0" applyNumberFormat="1" applyFont="1" applyBorder="1" applyAlignment="1">
      <alignment/>
    </xf>
    <xf numFmtId="175" fontId="8" fillId="0" borderId="163" xfId="46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left"/>
    </xf>
    <xf numFmtId="3" fontId="8" fillId="0" borderId="31" xfId="0" applyNumberFormat="1" applyFont="1" applyBorder="1" applyAlignment="1">
      <alignment horizontal="left"/>
    </xf>
    <xf numFmtId="3" fontId="25" fillId="33" borderId="14" xfId="0" applyNumberFormat="1" applyFont="1" applyFill="1" applyBorder="1" applyAlignment="1">
      <alignment horizontal="center" vertical="center" wrapText="1"/>
    </xf>
    <xf numFmtId="3" fontId="25" fillId="33" borderId="58" xfId="0" applyNumberFormat="1" applyFont="1" applyFill="1" applyBorder="1" applyAlignment="1">
      <alignment vertical="center" wrapText="1"/>
    </xf>
    <xf numFmtId="3" fontId="26" fillId="33" borderId="58" xfId="0" applyNumberFormat="1" applyFont="1" applyFill="1" applyBorder="1" applyAlignment="1">
      <alignment horizontal="center" vertical="center" wrapText="1"/>
    </xf>
    <xf numFmtId="3" fontId="0" fillId="40" borderId="0" xfId="0" applyNumberFormat="1" applyFill="1" applyAlignment="1">
      <alignment horizontal="right"/>
    </xf>
    <xf numFmtId="175" fontId="0" fillId="40" borderId="30" xfId="46" applyNumberFormat="1" applyFill="1" applyBorder="1" applyAlignment="1">
      <alignment/>
    </xf>
    <xf numFmtId="0" fontId="2" fillId="0" borderId="92" xfId="0" applyFont="1" applyBorder="1" applyAlignment="1">
      <alignment horizontal="center" vertical="center" wrapText="1"/>
    </xf>
    <xf numFmtId="175" fontId="2" fillId="0" borderId="81" xfId="46" applyNumberFormat="1" applyFont="1" applyBorder="1" applyAlignment="1">
      <alignment/>
    </xf>
    <xf numFmtId="175" fontId="0" fillId="36" borderId="81" xfId="46" applyNumberFormat="1" applyFont="1" applyFill="1" applyBorder="1" applyAlignment="1">
      <alignment/>
    </xf>
    <xf numFmtId="175" fontId="0" fillId="0" borderId="82" xfId="46" applyNumberFormat="1" applyFont="1" applyBorder="1" applyAlignment="1">
      <alignment/>
    </xf>
    <xf numFmtId="175" fontId="0" fillId="0" borderId="92" xfId="46" applyNumberFormat="1" applyFont="1" applyBorder="1" applyAlignment="1">
      <alignment/>
    </xf>
    <xf numFmtId="175" fontId="2" fillId="0" borderId="52" xfId="46" applyNumberFormat="1" applyFont="1" applyBorder="1" applyAlignment="1">
      <alignment/>
    </xf>
    <xf numFmtId="175" fontId="0" fillId="36" borderId="91" xfId="46" applyNumberFormat="1" applyFont="1" applyFill="1" applyBorder="1" applyAlignment="1">
      <alignment/>
    </xf>
    <xf numFmtId="175" fontId="0" fillId="0" borderId="93" xfId="46" applyNumberFormat="1" applyFont="1" applyBorder="1" applyAlignment="1">
      <alignment/>
    </xf>
    <xf numFmtId="175" fontId="2" fillId="0" borderId="94" xfId="46" applyNumberFormat="1" applyFont="1" applyBorder="1" applyAlignment="1">
      <alignment/>
    </xf>
    <xf numFmtId="175" fontId="2" fillId="0" borderId="95" xfId="46" applyNumberFormat="1" applyFont="1" applyBorder="1" applyAlignment="1">
      <alignment/>
    </xf>
    <xf numFmtId="175" fontId="8" fillId="0" borderId="91" xfId="46" applyNumberFormat="1" applyFont="1" applyBorder="1" applyAlignment="1">
      <alignment/>
    </xf>
    <xf numFmtId="175" fontId="8" fillId="0" borderId="93" xfId="46" applyNumberFormat="1" applyFont="1" applyBorder="1" applyAlignment="1">
      <alignment/>
    </xf>
    <xf numFmtId="175" fontId="8" fillId="0" borderId="92" xfId="46" applyNumberFormat="1" applyFont="1" applyBorder="1" applyAlignment="1">
      <alignment/>
    </xf>
    <xf numFmtId="175" fontId="8" fillId="0" borderId="82" xfId="46" applyNumberFormat="1" applyFont="1" applyBorder="1" applyAlignment="1">
      <alignment/>
    </xf>
    <xf numFmtId="175" fontId="0" fillId="0" borderId="91" xfId="46" applyNumberFormat="1" applyFont="1" applyBorder="1" applyAlignment="1">
      <alignment/>
    </xf>
    <xf numFmtId="175" fontId="2" fillId="0" borderId="93" xfId="46" applyNumberFormat="1" applyFont="1" applyBorder="1" applyAlignment="1">
      <alignment/>
    </xf>
    <xf numFmtId="175" fontId="2" fillId="0" borderId="164" xfId="46" applyNumberFormat="1" applyFont="1" applyBorder="1" applyAlignment="1">
      <alignment/>
    </xf>
    <xf numFmtId="175" fontId="2" fillId="0" borderId="165" xfId="46" applyNumberFormat="1" applyFont="1" applyBorder="1" applyAlignment="1">
      <alignment/>
    </xf>
    <xf numFmtId="175" fontId="2" fillId="0" borderId="166" xfId="46" applyNumberFormat="1" applyFont="1" applyBorder="1" applyAlignment="1">
      <alignment/>
    </xf>
    <xf numFmtId="0" fontId="2" fillId="0" borderId="167" xfId="0" applyFont="1" applyBorder="1" applyAlignment="1">
      <alignment/>
    </xf>
    <xf numFmtId="0" fontId="0" fillId="0" borderId="167" xfId="0" applyBorder="1" applyAlignment="1">
      <alignment/>
    </xf>
    <xf numFmtId="0" fontId="0" fillId="0" borderId="143" xfId="0" applyBorder="1" applyAlignment="1">
      <alignment/>
    </xf>
    <xf numFmtId="0" fontId="0" fillId="0" borderId="168" xfId="0" applyBorder="1" applyAlignment="1">
      <alignment/>
    </xf>
    <xf numFmtId="0" fontId="2" fillId="0" borderId="169" xfId="0" applyFont="1" applyBorder="1" applyAlignment="1">
      <alignment/>
    </xf>
    <xf numFmtId="0" fontId="0" fillId="0" borderId="141" xfId="0" applyBorder="1" applyAlignment="1">
      <alignment/>
    </xf>
    <xf numFmtId="0" fontId="0" fillId="0" borderId="141" xfId="0" applyBorder="1" applyAlignment="1">
      <alignment horizontal="left"/>
    </xf>
    <xf numFmtId="0" fontId="0" fillId="0" borderId="142" xfId="0" applyBorder="1" applyAlignment="1">
      <alignment horizontal="left"/>
    </xf>
    <xf numFmtId="3" fontId="0" fillId="0" borderId="167" xfId="0" applyNumberFormat="1" applyBorder="1" applyAlignment="1">
      <alignment/>
    </xf>
    <xf numFmtId="0" fontId="2" fillId="0" borderId="170" xfId="0" applyFont="1" applyBorder="1" applyAlignment="1">
      <alignment/>
    </xf>
    <xf numFmtId="175" fontId="8" fillId="40" borderId="12" xfId="46" applyNumberFormat="1" applyFont="1" applyFill="1" applyBorder="1" applyAlignment="1">
      <alignment/>
    </xf>
    <xf numFmtId="175" fontId="8" fillId="48" borderId="12" xfId="46" applyNumberFormat="1" applyFont="1" applyFill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58" xfId="0" applyFont="1" applyBorder="1" applyAlignment="1">
      <alignment horizontal="center" vertical="center" wrapText="1"/>
    </xf>
    <xf numFmtId="0" fontId="0" fillId="40" borderId="58" xfId="0" applyFont="1" applyFill="1" applyBorder="1" applyAlignment="1">
      <alignment horizontal="left" vertical="top" wrapText="1"/>
    </xf>
    <xf numFmtId="0" fontId="2" fillId="40" borderId="58" xfId="0" applyFont="1" applyFill="1" applyBorder="1" applyAlignment="1">
      <alignment horizontal="left" vertical="top" wrapText="1"/>
    </xf>
    <xf numFmtId="0" fontId="8" fillId="0" borderId="58" xfId="0" applyFont="1" applyBorder="1" applyAlignment="1">
      <alignment/>
    </xf>
    <xf numFmtId="0" fontId="8" fillId="40" borderId="58" xfId="0" applyFont="1" applyFill="1" applyBorder="1" applyAlignment="1">
      <alignment horizontal="left" vertical="top" wrapText="1"/>
    </xf>
    <xf numFmtId="0" fontId="2" fillId="0" borderId="66" xfId="0" applyFont="1" applyBorder="1" applyAlignment="1">
      <alignment horizontal="center" vertical="center" wrapText="1"/>
    </xf>
    <xf numFmtId="0" fontId="8" fillId="40" borderId="67" xfId="0" applyFont="1" applyFill="1" applyBorder="1" applyAlignment="1">
      <alignment horizontal="left" vertical="top" wrapText="1"/>
    </xf>
    <xf numFmtId="175" fontId="0" fillId="0" borderId="67" xfId="46" applyNumberFormat="1" applyBorder="1" applyAlignment="1">
      <alignment/>
    </xf>
    <xf numFmtId="0" fontId="2" fillId="0" borderId="68" xfId="0" applyFont="1" applyBorder="1" applyAlignment="1">
      <alignment wrapText="1"/>
    </xf>
    <xf numFmtId="0" fontId="8" fillId="40" borderId="171" xfId="0" applyFont="1" applyFill="1" applyBorder="1" applyAlignment="1">
      <alignment horizontal="left" vertical="top" wrapText="1"/>
    </xf>
    <xf numFmtId="0" fontId="0" fillId="0" borderId="67" xfId="0" applyBorder="1" applyAlignment="1">
      <alignment/>
    </xf>
    <xf numFmtId="0" fontId="2" fillId="40" borderId="68" xfId="0" applyFont="1" applyFill="1" applyBorder="1" applyAlignment="1">
      <alignment horizontal="left" vertical="top" wrapText="1"/>
    </xf>
    <xf numFmtId="0" fontId="0" fillId="0" borderId="66" xfId="0" applyBorder="1" applyAlignment="1">
      <alignment/>
    </xf>
    <xf numFmtId="0" fontId="0" fillId="40" borderId="66" xfId="0" applyFont="1" applyFill="1" applyBorder="1" applyAlignment="1">
      <alignment horizontal="left" vertical="top" wrapText="1"/>
    </xf>
    <xf numFmtId="0" fontId="5" fillId="40" borderId="58" xfId="0" applyFont="1" applyFill="1" applyBorder="1" applyAlignment="1">
      <alignment horizontal="left" vertical="top" wrapText="1"/>
    </xf>
    <xf numFmtId="0" fontId="0" fillId="0" borderId="112" xfId="0" applyBorder="1" applyAlignment="1">
      <alignment/>
    </xf>
    <xf numFmtId="0" fontId="5" fillId="40" borderId="68" xfId="0" applyFont="1" applyFill="1" applyBorder="1" applyAlignment="1">
      <alignment horizontal="left" vertical="top" wrapText="1"/>
    </xf>
    <xf numFmtId="0" fontId="8" fillId="0" borderId="66" xfId="0" applyFont="1" applyBorder="1" applyAlignment="1">
      <alignment/>
    </xf>
    <xf numFmtId="0" fontId="8" fillId="40" borderId="66" xfId="0" applyFont="1" applyFill="1" applyBorder="1" applyAlignment="1">
      <alignment horizontal="left" vertical="top" wrapText="1"/>
    </xf>
    <xf numFmtId="175" fontId="8" fillId="0" borderId="58" xfId="46" applyNumberFormat="1" applyFont="1" applyBorder="1" applyAlignment="1">
      <alignment horizontal="center" vertical="center"/>
    </xf>
    <xf numFmtId="175" fontId="8" fillId="0" borderId="66" xfId="46" applyNumberFormat="1" applyFont="1" applyBorder="1" applyAlignment="1">
      <alignment horizontal="center" vertical="center"/>
    </xf>
    <xf numFmtId="175" fontId="2" fillId="0" borderId="68" xfId="46" applyNumberFormat="1" applyFont="1" applyBorder="1" applyAlignment="1">
      <alignment horizontal="center" vertical="center"/>
    </xf>
    <xf numFmtId="175" fontId="2" fillId="0" borderId="97" xfId="46" applyNumberFormat="1" applyFont="1" applyBorder="1" applyAlignment="1">
      <alignment horizontal="center" vertical="center"/>
    </xf>
    <xf numFmtId="175" fontId="0" fillId="0" borderId="171" xfId="46" applyNumberFormat="1" applyBorder="1" applyAlignment="1">
      <alignment horizontal="center" vertical="center"/>
    </xf>
    <xf numFmtId="175" fontId="8" fillId="40" borderId="67" xfId="46" applyNumberFormat="1" applyFont="1" applyFill="1" applyBorder="1" applyAlignment="1">
      <alignment horizontal="center" vertical="center" wrapText="1"/>
    </xf>
    <xf numFmtId="175" fontId="8" fillId="0" borderId="67" xfId="46" applyNumberFormat="1" applyFont="1" applyBorder="1" applyAlignment="1">
      <alignment horizontal="center" vertical="center"/>
    </xf>
    <xf numFmtId="175" fontId="8" fillId="40" borderId="58" xfId="46" applyNumberFormat="1" applyFont="1" applyFill="1" applyBorder="1" applyAlignment="1">
      <alignment horizontal="center" vertical="center" wrapText="1"/>
    </xf>
    <xf numFmtId="175" fontId="8" fillId="40" borderId="66" xfId="46" applyNumberFormat="1" applyFont="1" applyFill="1" applyBorder="1" applyAlignment="1">
      <alignment horizontal="center" vertical="center" wrapText="1"/>
    </xf>
    <xf numFmtId="175" fontId="5" fillId="0" borderId="68" xfId="46" applyNumberFormat="1" applyFont="1" applyBorder="1" applyAlignment="1">
      <alignment horizontal="center" vertical="center"/>
    </xf>
    <xf numFmtId="175" fontId="5" fillId="0" borderId="97" xfId="46" applyNumberFormat="1" applyFont="1" applyBorder="1" applyAlignment="1">
      <alignment horizontal="center" vertical="center"/>
    </xf>
    <xf numFmtId="175" fontId="0" fillId="0" borderId="67" xfId="46" applyNumberFormat="1" applyBorder="1" applyAlignment="1">
      <alignment horizontal="center" vertical="center"/>
    </xf>
    <xf numFmtId="175" fontId="0" fillId="0" borderId="66" xfId="46" applyNumberFormat="1" applyBorder="1" applyAlignment="1">
      <alignment horizontal="center" vertical="center"/>
    </xf>
    <xf numFmtId="175" fontId="0" fillId="0" borderId="68" xfId="46" applyNumberFormat="1" applyBorder="1" applyAlignment="1">
      <alignment horizontal="center" vertical="center"/>
    </xf>
    <xf numFmtId="175" fontId="5" fillId="50" borderId="68" xfId="46" applyNumberFormat="1" applyFont="1" applyFill="1" applyBorder="1" applyAlignment="1">
      <alignment horizontal="center" vertical="center"/>
    </xf>
    <xf numFmtId="175" fontId="5" fillId="50" borderId="97" xfId="46" applyNumberFormat="1" applyFont="1" applyFill="1" applyBorder="1" applyAlignment="1">
      <alignment horizontal="center" vertical="center"/>
    </xf>
    <xf numFmtId="0" fontId="2" fillId="0" borderId="112" xfId="0" applyFont="1" applyBorder="1" applyAlignment="1">
      <alignment horizontal="right"/>
    </xf>
    <xf numFmtId="0" fontId="8" fillId="0" borderId="171" xfId="0" applyFont="1" applyBorder="1" applyAlignment="1">
      <alignment horizontal="right"/>
    </xf>
    <xf numFmtId="0" fontId="8" fillId="0" borderId="67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8" fillId="0" borderId="66" xfId="0" applyFont="1" applyBorder="1" applyAlignment="1">
      <alignment horizontal="right"/>
    </xf>
    <xf numFmtId="0" fontId="2" fillId="0" borderId="150" xfId="0" applyFont="1" applyBorder="1" applyAlignment="1">
      <alignment horizontal="right"/>
    </xf>
    <xf numFmtId="0" fontId="2" fillId="0" borderId="151" xfId="0" applyFont="1" applyBorder="1" applyAlignment="1">
      <alignment wrapText="1"/>
    </xf>
    <xf numFmtId="175" fontId="2" fillId="0" borderId="151" xfId="46" applyNumberFormat="1" applyFont="1" applyBorder="1" applyAlignment="1">
      <alignment horizontal="center" vertical="center"/>
    </xf>
    <xf numFmtId="175" fontId="2" fillId="0" borderId="99" xfId="46" applyNumberFormat="1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175" fontId="2" fillId="0" borderId="58" xfId="0" applyNumberFormat="1" applyFont="1" applyBorder="1" applyAlignment="1">
      <alignment/>
    </xf>
    <xf numFmtId="0" fontId="5" fillId="50" borderId="112" xfId="0" applyFont="1" applyFill="1" applyBorder="1" applyAlignment="1">
      <alignment/>
    </xf>
    <xf numFmtId="0" fontId="5" fillId="50" borderId="68" xfId="0" applyFont="1" applyFill="1" applyBorder="1" applyAlignment="1">
      <alignment/>
    </xf>
    <xf numFmtId="175" fontId="5" fillId="50" borderId="68" xfId="0" applyNumberFormat="1" applyFont="1" applyFill="1" applyBorder="1" applyAlignment="1">
      <alignment/>
    </xf>
    <xf numFmtId="175" fontId="5" fillId="50" borderId="97" xfId="0" applyNumberFormat="1" applyFont="1" applyFill="1" applyBorder="1" applyAlignment="1">
      <alignment/>
    </xf>
    <xf numFmtId="0" fontId="2" fillId="0" borderId="67" xfId="0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175" fontId="0" fillId="0" borderId="58" xfId="46" applyNumberFormat="1" applyBorder="1" applyAlignment="1">
      <alignment horizontal="right"/>
    </xf>
    <xf numFmtId="175" fontId="0" fillId="0" borderId="66" xfId="46" applyNumberFormat="1" applyBorder="1" applyAlignment="1">
      <alignment horizontal="right"/>
    </xf>
    <xf numFmtId="0" fontId="1" fillId="40" borderId="58" xfId="0" applyFont="1" applyFill="1" applyBorder="1" applyAlignment="1">
      <alignment horizontal="left" vertical="top" wrapText="1"/>
    </xf>
    <xf numFmtId="0" fontId="32" fillId="40" borderId="58" xfId="0" applyFont="1" applyFill="1" applyBorder="1" applyAlignment="1">
      <alignment horizontal="left" vertical="top" wrapText="1"/>
    </xf>
    <xf numFmtId="0" fontId="2" fillId="0" borderId="98" xfId="0" applyFont="1" applyBorder="1" applyAlignment="1">
      <alignment horizontal="center" vertical="center" wrapText="1"/>
    </xf>
    <xf numFmtId="175" fontId="0" fillId="0" borderId="58" xfId="46" applyNumberFormat="1" applyBorder="1" applyAlignment="1">
      <alignment horizontal="center" vertical="center" wrapText="1"/>
    </xf>
    <xf numFmtId="175" fontId="1" fillId="0" borderId="58" xfId="46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5" fontId="5" fillId="0" borderId="58" xfId="46" applyNumberFormat="1" applyFont="1" applyBorder="1" applyAlignment="1">
      <alignment horizontal="center" vertical="center" wrapText="1"/>
    </xf>
    <xf numFmtId="175" fontId="5" fillId="0" borderId="58" xfId="0" applyNumberFormat="1" applyFont="1" applyBorder="1" applyAlignment="1">
      <alignment horizontal="center" vertical="center" wrapText="1"/>
    </xf>
    <xf numFmtId="0" fontId="0" fillId="40" borderId="66" xfId="0" applyFill="1" applyBorder="1" applyAlignment="1">
      <alignment horizontal="left" vertical="top" wrapText="1"/>
    </xf>
    <xf numFmtId="0" fontId="5" fillId="50" borderId="172" xfId="0" applyFont="1" applyFill="1" applyBorder="1" applyAlignment="1">
      <alignment/>
    </xf>
    <xf numFmtId="0" fontId="5" fillId="50" borderId="171" xfId="0" applyFont="1" applyFill="1" applyBorder="1" applyAlignment="1">
      <alignment/>
    </xf>
    <xf numFmtId="175" fontId="5" fillId="50" borderId="171" xfId="0" applyNumberFormat="1" applyFont="1" applyFill="1" applyBorder="1" applyAlignment="1">
      <alignment/>
    </xf>
    <xf numFmtId="175" fontId="5" fillId="50" borderId="17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0" borderId="66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vertical="center" wrapText="1"/>
    </xf>
    <xf numFmtId="0" fontId="0" fillId="0" borderId="115" xfId="0" applyBorder="1" applyAlignment="1">
      <alignment horizontal="center"/>
    </xf>
    <xf numFmtId="3" fontId="0" fillId="36" borderId="21" xfId="0" applyNumberFormat="1" applyFill="1" applyBorder="1" applyAlignment="1">
      <alignment horizontal="center"/>
    </xf>
    <xf numFmtId="3" fontId="0" fillId="36" borderId="21" xfId="0" applyNumberFormat="1" applyFill="1" applyBorder="1" applyAlignment="1">
      <alignment/>
    </xf>
    <xf numFmtId="177" fontId="0" fillId="36" borderId="21" xfId="0" applyNumberFormat="1" applyFill="1" applyBorder="1" applyAlignment="1">
      <alignment/>
    </xf>
    <xf numFmtId="175" fontId="0" fillId="36" borderId="92" xfId="46" applyNumberFormat="1" applyFill="1" applyBorder="1" applyAlignment="1">
      <alignment/>
    </xf>
    <xf numFmtId="3" fontId="0" fillId="36" borderId="58" xfId="0" applyNumberFormat="1" applyFill="1" applyBorder="1" applyAlignment="1">
      <alignment horizontal="center"/>
    </xf>
    <xf numFmtId="177" fontId="0" fillId="36" borderId="58" xfId="0" applyNumberFormat="1" applyFill="1" applyBorder="1" applyAlignment="1">
      <alignment/>
    </xf>
    <xf numFmtId="3" fontId="8" fillId="36" borderId="58" xfId="0" applyNumberFormat="1" applyFont="1" applyFill="1" applyBorder="1" applyAlignment="1">
      <alignment horizontal="right"/>
    </xf>
    <xf numFmtId="0" fontId="8" fillId="36" borderId="58" xfId="0" applyFont="1" applyFill="1" applyBorder="1" applyAlignment="1">
      <alignment horizontal="right"/>
    </xf>
    <xf numFmtId="177" fontId="8" fillId="36" borderId="58" xfId="0" applyNumberFormat="1" applyFont="1" applyFill="1" applyBorder="1" applyAlignment="1">
      <alignment horizontal="right"/>
    </xf>
    <xf numFmtId="175" fontId="8" fillId="36" borderId="58" xfId="46" applyNumberFormat="1" applyFont="1" applyFill="1" applyBorder="1" applyAlignment="1">
      <alignment horizontal="right"/>
    </xf>
    <xf numFmtId="0" fontId="8" fillId="36" borderId="0" xfId="0" applyFont="1" applyFill="1" applyAlignment="1">
      <alignment horizontal="right"/>
    </xf>
    <xf numFmtId="175" fontId="8" fillId="0" borderId="58" xfId="46" applyNumberFormat="1" applyFont="1" applyBorder="1" applyAlignment="1">
      <alignment horizontal="right"/>
    </xf>
    <xf numFmtId="175" fontId="5" fillId="37" borderId="61" xfId="46" applyNumberFormat="1" applyFont="1" applyFill="1" applyBorder="1" applyAlignment="1">
      <alignment/>
    </xf>
    <xf numFmtId="3" fontId="0" fillId="0" borderId="145" xfId="0" applyNumberFormat="1" applyBorder="1" applyAlignment="1">
      <alignment horizontal="center"/>
    </xf>
    <xf numFmtId="3" fontId="0" fillId="36" borderId="146" xfId="0" applyNumberFormat="1" applyFill="1" applyBorder="1" applyAlignment="1">
      <alignment horizontal="center"/>
    </xf>
    <xf numFmtId="3" fontId="0" fillId="36" borderId="146" xfId="0" applyNumberFormat="1" applyFill="1" applyBorder="1" applyAlignment="1">
      <alignment/>
    </xf>
    <xf numFmtId="177" fontId="0" fillId="36" borderId="146" xfId="0" applyNumberFormat="1" applyFill="1" applyBorder="1" applyAlignment="1">
      <alignment/>
    </xf>
    <xf numFmtId="175" fontId="0" fillId="36" borderId="136" xfId="46" applyNumberFormat="1" applyFill="1" applyBorder="1" applyAlignment="1">
      <alignment/>
    </xf>
    <xf numFmtId="175" fontId="0" fillId="36" borderId="89" xfId="46" applyNumberFormat="1" applyFill="1" applyBorder="1" applyAlignment="1">
      <alignment/>
    </xf>
    <xf numFmtId="175" fontId="0" fillId="36" borderId="89" xfId="46" applyNumberFormat="1" applyFill="1" applyBorder="1" applyAlignment="1">
      <alignment horizontal="right"/>
    </xf>
    <xf numFmtId="0" fontId="8" fillId="36" borderId="103" xfId="0" applyFont="1" applyFill="1" applyBorder="1" applyAlignment="1">
      <alignment horizontal="right"/>
    </xf>
    <xf numFmtId="175" fontId="8" fillId="36" borderId="89" xfId="46" applyNumberFormat="1" applyFont="1" applyFill="1" applyBorder="1" applyAlignment="1">
      <alignment horizontal="right"/>
    </xf>
    <xf numFmtId="0" fontId="8" fillId="0" borderId="133" xfId="0" applyFont="1" applyBorder="1" applyAlignment="1">
      <alignment horizontal="right"/>
    </xf>
    <xf numFmtId="0" fontId="8" fillId="0" borderId="134" xfId="0" applyFont="1" applyBorder="1" applyAlignment="1">
      <alignment horizontal="right"/>
    </xf>
    <xf numFmtId="175" fontId="8" fillId="0" borderId="137" xfId="46" applyNumberFormat="1" applyFont="1" applyBorder="1" applyAlignment="1">
      <alignment horizontal="right"/>
    </xf>
    <xf numFmtId="175" fontId="0" fillId="36" borderId="89" xfId="46" applyNumberFormat="1" applyFill="1" applyBorder="1" applyAlignment="1">
      <alignment horizontal="center" vertical="center"/>
    </xf>
    <xf numFmtId="3" fontId="15" fillId="37" borderId="139" xfId="0" applyNumberFormat="1" applyFont="1" applyFill="1" applyBorder="1" applyAlignment="1">
      <alignment wrapText="1"/>
    </xf>
    <xf numFmtId="177" fontId="5" fillId="37" borderId="139" xfId="0" applyNumberFormat="1" applyFont="1" applyFill="1" applyBorder="1" applyAlignment="1">
      <alignment/>
    </xf>
    <xf numFmtId="175" fontId="5" fillId="37" borderId="174" xfId="46" applyNumberFormat="1" applyFont="1" applyFill="1" applyBorder="1" applyAlignment="1">
      <alignment/>
    </xf>
    <xf numFmtId="3" fontId="0" fillId="36" borderId="79" xfId="0" applyNumberFormat="1" applyFill="1" applyBorder="1" applyAlignment="1">
      <alignment/>
    </xf>
    <xf numFmtId="177" fontId="0" fillId="36" borderId="79" xfId="0" applyNumberFormat="1" applyFill="1" applyBorder="1" applyAlignment="1">
      <alignment/>
    </xf>
    <xf numFmtId="175" fontId="0" fillId="36" borderId="74" xfId="46" applyNumberFormat="1" applyFill="1" applyBorder="1" applyAlignment="1">
      <alignment horizontal="center" vertical="center"/>
    </xf>
    <xf numFmtId="175" fontId="0" fillId="36" borderId="175" xfId="46" applyNumberFormat="1" applyFill="1" applyBorder="1" applyAlignment="1">
      <alignment horizontal="center" vertical="center"/>
    </xf>
    <xf numFmtId="175" fontId="8" fillId="36" borderId="89" xfId="46" applyNumberFormat="1" applyFont="1" applyFill="1" applyBorder="1" applyAlignment="1">
      <alignment horizontal="right" vertical="center"/>
    </xf>
    <xf numFmtId="175" fontId="8" fillId="0" borderId="137" xfId="46" applyNumberFormat="1" applyFont="1" applyBorder="1" applyAlignment="1">
      <alignment horizontal="right" vertical="center"/>
    </xf>
    <xf numFmtId="3" fontId="0" fillId="36" borderId="21" xfId="0" applyNumberFormat="1" applyFill="1" applyBorder="1" applyAlignment="1">
      <alignment horizontal="left"/>
    </xf>
    <xf numFmtId="175" fontId="0" fillId="36" borderId="176" xfId="46" applyNumberFormat="1" applyFill="1" applyBorder="1" applyAlignment="1">
      <alignment horizontal="right" vertical="center"/>
    </xf>
    <xf numFmtId="3" fontId="0" fillId="36" borderId="58" xfId="0" applyNumberFormat="1" applyFill="1" applyBorder="1" applyAlignment="1">
      <alignment horizontal="left"/>
    </xf>
    <xf numFmtId="3" fontId="0" fillId="0" borderId="80" xfId="0" applyNumberFormat="1" applyBorder="1" applyAlignment="1">
      <alignment horizontal="center"/>
    </xf>
    <xf numFmtId="1" fontId="0" fillId="36" borderId="79" xfId="0" applyNumberFormat="1" applyFill="1" applyBorder="1" applyAlignment="1">
      <alignment horizontal="center"/>
    </xf>
    <xf numFmtId="177" fontId="2" fillId="36" borderId="79" xfId="0" applyNumberFormat="1" applyFont="1" applyFill="1" applyBorder="1" applyAlignment="1">
      <alignment/>
    </xf>
    <xf numFmtId="175" fontId="0" fillId="36" borderId="123" xfId="46" applyNumberFormat="1" applyFill="1" applyBorder="1" applyAlignment="1">
      <alignment horizontal="right" vertical="center"/>
    </xf>
    <xf numFmtId="175" fontId="0" fillId="36" borderId="89" xfId="46" applyNumberFormat="1" applyFill="1" applyBorder="1" applyAlignment="1">
      <alignment horizontal="right" vertical="center"/>
    </xf>
    <xf numFmtId="0" fontId="8" fillId="0" borderId="103" xfId="0" applyFont="1" applyBorder="1" applyAlignment="1">
      <alignment horizontal="right"/>
    </xf>
    <xf numFmtId="175" fontId="8" fillId="0" borderId="89" xfId="46" applyNumberFormat="1" applyFont="1" applyBorder="1" applyAlignment="1">
      <alignment horizontal="right" vertical="center"/>
    </xf>
    <xf numFmtId="3" fontId="27" fillId="0" borderId="13" xfId="0" applyNumberFormat="1" applyFont="1" applyBorder="1" applyAlignment="1">
      <alignment horizontal="right"/>
    </xf>
    <xf numFmtId="3" fontId="27" fillId="33" borderId="45" xfId="0" applyNumberFormat="1" applyFont="1" applyFill="1" applyBorder="1" applyAlignment="1">
      <alignment horizontal="right"/>
    </xf>
    <xf numFmtId="3" fontId="27" fillId="33" borderId="12" xfId="0" applyNumberFormat="1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3" fontId="0" fillId="0" borderId="69" xfId="0" applyNumberFormat="1" applyBorder="1" applyAlignment="1">
      <alignment horizontal="left"/>
    </xf>
    <xf numFmtId="3" fontId="0" fillId="0" borderId="70" xfId="0" applyNumberFormat="1" applyBorder="1" applyAlignment="1">
      <alignment horizontal="left"/>
    </xf>
    <xf numFmtId="175" fontId="2" fillId="0" borderId="0" xfId="46" applyNumberFormat="1" applyFont="1" applyAlignment="1">
      <alignment/>
    </xf>
    <xf numFmtId="175" fontId="6" fillId="0" borderId="102" xfId="46" applyNumberFormat="1" applyFont="1" applyBorder="1" applyAlignment="1">
      <alignment/>
    </xf>
    <xf numFmtId="3" fontId="0" fillId="0" borderId="177" xfId="0" applyNumberForma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175" fontId="2" fillId="0" borderId="93" xfId="46" applyNumberFormat="1" applyFont="1" applyBorder="1" applyAlignment="1">
      <alignment horizontal="right" vertical="center"/>
    </xf>
    <xf numFmtId="175" fontId="2" fillId="42" borderId="58" xfId="46" applyNumberFormat="1" applyFont="1" applyFill="1" applyBorder="1" applyAlignment="1">
      <alignment horizontal="center" vertical="center"/>
    </xf>
    <xf numFmtId="175" fontId="8" fillId="42" borderId="58" xfId="46" applyNumberFormat="1" applyFont="1" applyFill="1" applyBorder="1" applyAlignment="1">
      <alignment horizontal="center" vertical="center"/>
    </xf>
    <xf numFmtId="3" fontId="8" fillId="42" borderId="58" xfId="0" applyNumberFormat="1" applyFont="1" applyFill="1" applyBorder="1" applyAlignment="1">
      <alignment vertical="center" wrapText="1"/>
    </xf>
    <xf numFmtId="3" fontId="2" fillId="42" borderId="58" xfId="0" applyNumberFormat="1" applyFont="1" applyFill="1" applyBorder="1" applyAlignment="1">
      <alignment vertical="center" wrapText="1"/>
    </xf>
    <xf numFmtId="3" fontId="19" fillId="0" borderId="118" xfId="0" applyNumberFormat="1" applyFont="1" applyBorder="1" applyAlignment="1">
      <alignment horizontal="left" vertical="center" wrapText="1"/>
    </xf>
    <xf numFmtId="3" fontId="19" fillId="0" borderId="12" xfId="0" applyNumberFormat="1" applyFont="1" applyBorder="1" applyAlignment="1">
      <alignment horizontal="left" vertical="center" wrapText="1"/>
    </xf>
    <xf numFmtId="175" fontId="19" fillId="0" borderId="82" xfId="46" applyNumberFormat="1" applyFont="1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3" fontId="35" fillId="0" borderId="118" xfId="0" applyNumberFormat="1" applyFont="1" applyBorder="1" applyAlignment="1">
      <alignment horizontal="left" vertical="center" wrapText="1"/>
    </xf>
    <xf numFmtId="3" fontId="35" fillId="0" borderId="12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75" fontId="36" fillId="0" borderId="82" xfId="46" applyNumberFormat="1" applyFont="1" applyBorder="1" applyAlignment="1">
      <alignment horizontal="left"/>
    </xf>
    <xf numFmtId="3" fontId="0" fillId="0" borderId="161" xfId="0" applyNumberFormat="1" applyBorder="1" applyAlignment="1">
      <alignment horizontal="left" vertical="center"/>
    </xf>
    <xf numFmtId="3" fontId="0" fillId="0" borderId="162" xfId="0" applyNumberFormat="1" applyBorder="1" applyAlignment="1">
      <alignment horizontal="left" vertical="center"/>
    </xf>
    <xf numFmtId="175" fontId="36" fillId="0" borderId="11" xfId="46" applyNumberFormat="1" applyFont="1" applyBorder="1" applyAlignment="1">
      <alignment horizontal="left"/>
    </xf>
    <xf numFmtId="175" fontId="36" fillId="0" borderId="30" xfId="46" applyNumberFormat="1" applyFont="1" applyBorder="1" applyAlignment="1">
      <alignment horizontal="left"/>
    </xf>
    <xf numFmtId="175" fontId="32" fillId="0" borderId="82" xfId="46" applyNumberFormat="1" applyFont="1" applyBorder="1" applyAlignment="1">
      <alignment/>
    </xf>
    <xf numFmtId="3" fontId="36" fillId="0" borderId="121" xfId="0" applyNumberFormat="1" applyFont="1" applyBorder="1" applyAlignment="1">
      <alignment horizontal="center"/>
    </xf>
    <xf numFmtId="175" fontId="36" fillId="0" borderId="21" xfId="46" applyNumberFormat="1" applyFont="1" applyBorder="1" applyAlignment="1">
      <alignment/>
    </xf>
    <xf numFmtId="175" fontId="36" fillId="0" borderId="33" xfId="46" applyNumberFormat="1" applyFont="1" applyBorder="1" applyAlignment="1">
      <alignment horizontal="left"/>
    </xf>
    <xf numFmtId="175" fontId="36" fillId="0" borderId="31" xfId="46" applyNumberFormat="1" applyFont="1" applyBorder="1" applyAlignment="1">
      <alignment horizontal="left"/>
    </xf>
    <xf numFmtId="175" fontId="36" fillId="0" borderId="92" xfId="46" applyNumberFormat="1" applyFont="1" applyBorder="1" applyAlignment="1">
      <alignment/>
    </xf>
    <xf numFmtId="175" fontId="36" fillId="0" borderId="33" xfId="46" applyNumberFormat="1" applyFont="1" applyBorder="1" applyAlignment="1">
      <alignment horizontal="left" wrapText="1"/>
    </xf>
    <xf numFmtId="0" fontId="2" fillId="0" borderId="178" xfId="0" applyFont="1" applyBorder="1" applyAlignment="1">
      <alignment wrapText="1"/>
    </xf>
    <xf numFmtId="0" fontId="2" fillId="0" borderId="150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0" fillId="40" borderId="58" xfId="0" applyFill="1" applyBorder="1" applyAlignment="1">
      <alignment horizontal="left" vertical="top" wrapText="1"/>
    </xf>
    <xf numFmtId="3" fontId="32" fillId="0" borderId="27" xfId="0" applyNumberFormat="1" applyFont="1" applyBorder="1" applyAlignment="1">
      <alignment wrapText="1"/>
    </xf>
    <xf numFmtId="1" fontId="8" fillId="0" borderId="12" xfId="46" applyNumberFormat="1" applyFont="1" applyBorder="1" applyAlignment="1">
      <alignment/>
    </xf>
    <xf numFmtId="3" fontId="32" fillId="0" borderId="66" xfId="0" applyNumberFormat="1" applyFont="1" applyBorder="1" applyAlignment="1">
      <alignment horizontal="center"/>
    </xf>
    <xf numFmtId="3" fontId="2" fillId="33" borderId="112" xfId="0" applyNumberFormat="1" applyFont="1" applyFill="1" applyBorder="1" applyAlignment="1">
      <alignment horizontal="center"/>
    </xf>
    <xf numFmtId="3" fontId="2" fillId="33" borderId="77" xfId="0" applyNumberFormat="1" applyFont="1" applyFill="1" applyBorder="1" applyAlignment="1">
      <alignment/>
    </xf>
    <xf numFmtId="3" fontId="0" fillId="42" borderId="67" xfId="0" applyNumberFormat="1" applyFill="1" applyBorder="1" applyAlignment="1">
      <alignment horizontal="center"/>
    </xf>
    <xf numFmtId="3" fontId="0" fillId="42" borderId="67" xfId="0" applyNumberFormat="1" applyFill="1" applyBorder="1" applyAlignment="1">
      <alignment wrapText="1"/>
    </xf>
    <xf numFmtId="3" fontId="0" fillId="42" borderId="67" xfId="0" applyNumberFormat="1" applyFill="1" applyBorder="1" applyAlignment="1">
      <alignment/>
    </xf>
    <xf numFmtId="3" fontId="8" fillId="42" borderId="66" xfId="0" applyNumberFormat="1" applyFont="1" applyFill="1" applyBorder="1" applyAlignment="1">
      <alignment horizontal="center"/>
    </xf>
    <xf numFmtId="3" fontId="8" fillId="42" borderId="66" xfId="0" applyNumberFormat="1" applyFont="1" applyFill="1" applyBorder="1" applyAlignment="1">
      <alignment wrapText="1"/>
    </xf>
    <xf numFmtId="3" fontId="8" fillId="42" borderId="66" xfId="0" applyNumberFormat="1" applyFont="1" applyFill="1" applyBorder="1" applyAlignment="1">
      <alignment/>
    </xf>
    <xf numFmtId="3" fontId="2" fillId="41" borderId="112" xfId="0" applyNumberFormat="1" applyFont="1" applyFill="1" applyBorder="1" applyAlignment="1">
      <alignment horizontal="center"/>
    </xf>
    <xf numFmtId="3" fontId="2" fillId="41" borderId="77" xfId="0" applyNumberFormat="1" applyFont="1" applyFill="1" applyBorder="1" applyAlignment="1">
      <alignment/>
    </xf>
    <xf numFmtId="3" fontId="0" fillId="0" borderId="179" xfId="0" applyNumberFormat="1" applyBorder="1" applyAlignment="1">
      <alignment horizontal="center"/>
    </xf>
    <xf numFmtId="3" fontId="0" fillId="0" borderId="180" xfId="0" applyNumberFormat="1" applyBorder="1" applyAlignment="1">
      <alignment/>
    </xf>
    <xf numFmtId="1" fontId="32" fillId="0" borderId="21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175" fontId="0" fillId="42" borderId="14" xfId="46" applyNumberFormat="1" applyFill="1" applyBorder="1" applyAlignment="1">
      <alignment horizontal="center" vertical="center" wrapText="1"/>
    </xf>
    <xf numFmtId="3" fontId="2" fillId="43" borderId="58" xfId="0" applyNumberFormat="1" applyFont="1" applyFill="1" applyBorder="1" applyAlignment="1">
      <alignment wrapText="1"/>
    </xf>
    <xf numFmtId="0" fontId="6" fillId="0" borderId="0" xfId="0" applyFont="1" applyAlignment="1">
      <alignment horizontal="right" vertical="center" wrapText="1"/>
    </xf>
    <xf numFmtId="176" fontId="6" fillId="0" borderId="0" xfId="61" applyFont="1" applyAlignment="1">
      <alignment horizontal="right" vertical="center"/>
    </xf>
    <xf numFmtId="0" fontId="0" fillId="0" borderId="181" xfId="0" applyBorder="1" applyAlignment="1">
      <alignment horizontal="right"/>
    </xf>
    <xf numFmtId="3" fontId="0" fillId="0" borderId="181" xfId="0" applyNumberFormat="1" applyBorder="1" applyAlignment="1">
      <alignment horizontal="right"/>
    </xf>
    <xf numFmtId="175" fontId="0" fillId="0" borderId="181" xfId="46" applyNumberFormat="1" applyFont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175" fontId="0" fillId="0" borderId="181" xfId="46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175" fontId="0" fillId="0" borderId="182" xfId="46" applyNumberFormat="1" applyFont="1" applyBorder="1" applyAlignment="1">
      <alignment horizontal="right"/>
    </xf>
    <xf numFmtId="3" fontId="19" fillId="0" borderId="18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45" borderId="16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45" borderId="13" xfId="0" applyFill="1" applyBorder="1" applyAlignment="1">
      <alignment horizontal="left" vertical="center" wrapText="1"/>
    </xf>
    <xf numFmtId="0" fontId="2" fillId="45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175" fontId="5" fillId="39" borderId="183" xfId="46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0" fontId="5" fillId="39" borderId="12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/>
    </xf>
    <xf numFmtId="0" fontId="5" fillId="39" borderId="12" xfId="0" applyFont="1" applyFill="1" applyBorder="1" applyAlignment="1">
      <alignment wrapText="1"/>
    </xf>
    <xf numFmtId="175" fontId="5" fillId="39" borderId="12" xfId="46" applyNumberFormat="1" applyFont="1" applyFill="1" applyBorder="1" applyAlignment="1">
      <alignment/>
    </xf>
    <xf numFmtId="178" fontId="0" fillId="0" borderId="12" xfId="0" applyNumberFormat="1" applyBorder="1" applyAlignment="1">
      <alignment/>
    </xf>
    <xf numFmtId="175" fontId="0" fillId="0" borderId="12" xfId="46" applyNumberFormat="1" applyBorder="1" applyAlignment="1">
      <alignment horizontal="right"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wrapText="1"/>
    </xf>
    <xf numFmtId="175" fontId="0" fillId="36" borderId="0" xfId="46" applyNumberFormat="1" applyFill="1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2" fillId="49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75" fontId="0" fillId="0" borderId="12" xfId="46" applyNumberFormat="1" applyBorder="1" applyAlignment="1">
      <alignment vertical="center"/>
    </xf>
    <xf numFmtId="175" fontId="0" fillId="0" borderId="0" xfId="46" applyNumberFormat="1" applyAlignment="1">
      <alignment vertical="center"/>
    </xf>
    <xf numFmtId="0" fontId="5" fillId="39" borderId="12" xfId="0" applyFont="1" applyFill="1" applyBorder="1" applyAlignment="1">
      <alignment vertical="center"/>
    </xf>
    <xf numFmtId="175" fontId="0" fillId="39" borderId="12" xfId="46" applyNumberFormat="1" applyFill="1" applyBorder="1" applyAlignment="1">
      <alignment/>
    </xf>
    <xf numFmtId="175" fontId="2" fillId="0" borderId="12" xfId="46" applyNumberFormat="1" applyFont="1" applyBorder="1" applyAlignment="1">
      <alignment horizontal="center" vertical="center" wrapText="1"/>
    </xf>
    <xf numFmtId="3" fontId="2" fillId="33" borderId="58" xfId="0" applyNumberFormat="1" applyFont="1" applyFill="1" applyBorder="1" applyAlignment="1">
      <alignment horizontal="center" vertical="center" wrapText="1"/>
    </xf>
    <xf numFmtId="175" fontId="2" fillId="33" borderId="58" xfId="46" applyNumberFormat="1" applyFont="1" applyFill="1" applyBorder="1" applyAlignment="1">
      <alignment horizontal="center" vertical="center" wrapText="1"/>
    </xf>
    <xf numFmtId="175" fontId="2" fillId="33" borderId="58" xfId="46" applyNumberFormat="1" applyFont="1" applyFill="1" applyBorder="1" applyAlignment="1">
      <alignment horizontal="center" vertical="center"/>
    </xf>
    <xf numFmtId="3" fontId="0" fillId="40" borderId="58" xfId="0" applyNumberFormat="1" applyFill="1" applyBorder="1" applyAlignment="1">
      <alignment/>
    </xf>
    <xf numFmtId="175" fontId="2" fillId="40" borderId="89" xfId="46" applyNumberFormat="1" applyFont="1" applyFill="1" applyBorder="1" applyAlignment="1">
      <alignment/>
    </xf>
    <xf numFmtId="3" fontId="0" fillId="40" borderId="58" xfId="0" applyNumberFormat="1" applyFill="1" applyBorder="1" applyAlignment="1">
      <alignment horizontal="center"/>
    </xf>
    <xf numFmtId="175" fontId="0" fillId="40" borderId="89" xfId="46" applyNumberFormat="1" applyFill="1" applyBorder="1" applyAlignment="1">
      <alignment/>
    </xf>
    <xf numFmtId="3" fontId="0" fillId="0" borderId="143" xfId="0" applyNumberFormat="1" applyBorder="1" applyAlignment="1">
      <alignment horizontal="left" vertical="center" wrapText="1"/>
    </xf>
    <xf numFmtId="0" fontId="2" fillId="0" borderId="112" xfId="0" applyFont="1" applyBorder="1" applyAlignment="1">
      <alignment horizontal="center" vertical="center"/>
    </xf>
    <xf numFmtId="0" fontId="0" fillId="40" borderId="70" xfId="0" applyFont="1" applyFill="1" applyBorder="1" applyAlignment="1">
      <alignment horizontal="left" vertical="top" wrapText="1"/>
    </xf>
    <xf numFmtId="0" fontId="5" fillId="0" borderId="184" xfId="0" applyFont="1" applyBorder="1" applyAlignment="1">
      <alignment/>
    </xf>
    <xf numFmtId="0" fontId="2" fillId="40" borderId="70" xfId="0" applyFont="1" applyFill="1" applyBorder="1" applyAlignment="1">
      <alignment horizontal="left" vertical="top" wrapText="1"/>
    </xf>
    <xf numFmtId="0" fontId="6" fillId="0" borderId="58" xfId="0" applyFont="1" applyBorder="1" applyAlignment="1">
      <alignment horizontal="center" vertical="center"/>
    </xf>
    <xf numFmtId="0" fontId="2" fillId="0" borderId="185" xfId="0" applyFont="1" applyBorder="1" applyAlignment="1">
      <alignment horizontal="left" vertical="center" wrapText="1"/>
    </xf>
    <xf numFmtId="0" fontId="2" fillId="0" borderId="178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40" borderId="0" xfId="0" applyFont="1" applyFill="1" applyAlignment="1">
      <alignment horizontal="center"/>
    </xf>
    <xf numFmtId="3" fontId="0" fillId="40" borderId="0" xfId="0" applyNumberFormat="1" applyFill="1" applyAlignment="1">
      <alignment horizontal="center"/>
    </xf>
    <xf numFmtId="3" fontId="78" fillId="0" borderId="12" xfId="0" applyNumberFormat="1" applyFont="1" applyBorder="1" applyAlignment="1">
      <alignment/>
    </xf>
    <xf numFmtId="3" fontId="0" fillId="0" borderId="58" xfId="0" applyNumberFormat="1" applyBorder="1" applyAlignment="1">
      <alignment wrapText="1"/>
    </xf>
    <xf numFmtId="3" fontId="2" fillId="40" borderId="0" xfId="0" applyNumberFormat="1" applyFont="1" applyFill="1" applyAlignment="1">
      <alignment vertical="center"/>
    </xf>
    <xf numFmtId="3" fontId="15" fillId="40" borderId="0" xfId="0" applyNumberFormat="1" applyFont="1" applyFill="1" applyAlignment="1">
      <alignment vertical="center" wrapText="1"/>
    </xf>
    <xf numFmtId="3" fontId="0" fillId="40" borderId="0" xfId="0" applyNumberFormat="1" applyFill="1" applyAlignment="1">
      <alignment/>
    </xf>
    <xf numFmtId="0" fontId="2" fillId="40" borderId="81" xfId="0" applyFont="1" applyFill="1" applyBorder="1" applyAlignment="1">
      <alignment horizontal="center"/>
    </xf>
    <xf numFmtId="0" fontId="0" fillId="40" borderId="81" xfId="0" applyFill="1" applyBorder="1" applyAlignment="1">
      <alignment horizontal="center"/>
    </xf>
    <xf numFmtId="0" fontId="2" fillId="42" borderId="83" xfId="0" applyFont="1" applyFill="1" applyBorder="1" applyAlignment="1">
      <alignment horizontal="center"/>
    </xf>
    <xf numFmtId="0" fontId="0" fillId="42" borderId="75" xfId="0" applyFill="1" applyBorder="1" applyAlignment="1">
      <alignment/>
    </xf>
    <xf numFmtId="0" fontId="2" fillId="43" borderId="1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8" fillId="40" borderId="11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3" fillId="40" borderId="11" xfId="0" applyFont="1" applyFill="1" applyBorder="1" applyAlignment="1">
      <alignment wrapText="1"/>
    </xf>
    <xf numFmtId="0" fontId="2" fillId="42" borderId="87" xfId="0" applyFont="1" applyFill="1" applyBorder="1" applyAlignment="1">
      <alignment/>
    </xf>
    <xf numFmtId="0" fontId="2" fillId="43" borderId="128" xfId="0" applyFont="1" applyFill="1" applyBorder="1" applyAlignment="1">
      <alignment horizontal="center"/>
    </xf>
    <xf numFmtId="175" fontId="2" fillId="40" borderId="128" xfId="46" applyNumberFormat="1" applyFont="1" applyFill="1" applyBorder="1" applyAlignment="1">
      <alignment/>
    </xf>
    <xf numFmtId="175" fontId="0" fillId="40" borderId="128" xfId="46" applyNumberFormat="1" applyFill="1" applyBorder="1" applyAlignment="1">
      <alignment/>
    </xf>
    <xf numFmtId="175" fontId="0" fillId="48" borderId="128" xfId="46" applyNumberFormat="1" applyFill="1" applyBorder="1" applyAlignment="1">
      <alignment/>
    </xf>
    <xf numFmtId="175" fontId="0" fillId="51" borderId="128" xfId="46" applyNumberFormat="1" applyFill="1" applyBorder="1" applyAlignment="1">
      <alignment/>
    </xf>
    <xf numFmtId="175" fontId="2" fillId="42" borderId="88" xfId="46" applyNumberFormat="1" applyFont="1" applyFill="1" applyBorder="1" applyAlignment="1">
      <alignment/>
    </xf>
    <xf numFmtId="0" fontId="2" fillId="43" borderId="124" xfId="0" applyFont="1" applyFill="1" applyBorder="1" applyAlignment="1">
      <alignment horizontal="center"/>
    </xf>
    <xf numFmtId="175" fontId="2" fillId="40" borderId="124" xfId="46" applyNumberFormat="1" applyFont="1" applyFill="1" applyBorder="1" applyAlignment="1">
      <alignment/>
    </xf>
    <xf numFmtId="175" fontId="0" fillId="40" borderId="124" xfId="46" applyNumberFormat="1" applyFill="1" applyBorder="1" applyAlignment="1">
      <alignment/>
    </xf>
    <xf numFmtId="175" fontId="0" fillId="48" borderId="124" xfId="46" applyNumberFormat="1" applyFill="1" applyBorder="1" applyAlignment="1">
      <alignment/>
    </xf>
    <xf numFmtId="175" fontId="0" fillId="51" borderId="124" xfId="46" applyNumberFormat="1" applyFill="1" applyBorder="1" applyAlignment="1">
      <alignment/>
    </xf>
    <xf numFmtId="175" fontId="2" fillId="42" borderId="186" xfId="46" applyNumberFormat="1" applyFont="1" applyFill="1" applyBorder="1" applyAlignment="1">
      <alignment/>
    </xf>
    <xf numFmtId="3" fontId="32" fillId="0" borderId="11" xfId="0" applyNumberFormat="1" applyFont="1" applyBorder="1" applyAlignment="1">
      <alignment horizontal="left" vertical="center" wrapText="1"/>
    </xf>
    <xf numFmtId="3" fontId="32" fillId="0" borderId="30" xfId="0" applyNumberFormat="1" applyFont="1" applyBorder="1" applyAlignment="1">
      <alignment horizontal="left" vertical="center" wrapText="1"/>
    </xf>
    <xf numFmtId="0" fontId="0" fillId="0" borderId="58" xfId="0" applyBorder="1" applyAlignment="1">
      <alignment horizontal="left"/>
    </xf>
    <xf numFmtId="3" fontId="32" fillId="0" borderId="69" xfId="0" applyNumberFormat="1" applyFont="1" applyBorder="1" applyAlignment="1">
      <alignment horizontal="left"/>
    </xf>
    <xf numFmtId="3" fontId="32" fillId="0" borderId="70" xfId="0" applyNumberFormat="1" applyFont="1" applyBorder="1" applyAlignment="1">
      <alignment horizontal="left"/>
    </xf>
    <xf numFmtId="175" fontId="8" fillId="40" borderId="98" xfId="46" applyNumberFormat="1" applyFont="1" applyFill="1" applyBorder="1" applyAlignment="1">
      <alignment/>
    </xf>
    <xf numFmtId="175" fontId="2" fillId="40" borderId="149" xfId="46" applyNumberFormat="1" applyFont="1" applyFill="1" applyBorder="1" applyAlignment="1">
      <alignment horizontal="right" vertical="center"/>
    </xf>
    <xf numFmtId="3" fontId="2" fillId="33" borderId="33" xfId="0" applyNumberFormat="1" applyFont="1" applyFill="1" applyBorder="1" applyAlignment="1">
      <alignment horizontal="center" vertical="center"/>
    </xf>
    <xf numFmtId="175" fontId="0" fillId="36" borderId="12" xfId="46" applyNumberFormat="1" applyFill="1" applyBorder="1" applyAlignment="1">
      <alignment vertical="center"/>
    </xf>
    <xf numFmtId="3" fontId="0" fillId="0" borderId="11" xfId="0" applyNumberFormat="1" applyBorder="1" applyAlignment="1">
      <alignment wrapText="1"/>
    </xf>
    <xf numFmtId="175" fontId="0" fillId="36" borderId="31" xfId="46" applyNumberFormat="1" applyFill="1" applyBorder="1" applyAlignment="1">
      <alignment vertical="center"/>
    </xf>
    <xf numFmtId="3" fontId="78" fillId="0" borderId="26" xfId="0" applyNumberFormat="1" applyFont="1" applyBorder="1" applyAlignment="1">
      <alignment horizontal="right"/>
    </xf>
    <xf numFmtId="175" fontId="78" fillId="0" borderId="14" xfId="46" applyNumberFormat="1" applyFont="1" applyBorder="1" applyAlignment="1">
      <alignment/>
    </xf>
    <xf numFmtId="3" fontId="0" fillId="48" borderId="58" xfId="0" applyNumberFormat="1" applyFill="1" applyBorder="1" applyAlignment="1">
      <alignment horizontal="center"/>
    </xf>
    <xf numFmtId="3" fontId="0" fillId="40" borderId="58" xfId="0" applyNumberFormat="1" applyFill="1" applyBorder="1" applyAlignment="1">
      <alignment/>
    </xf>
    <xf numFmtId="175" fontId="2" fillId="0" borderId="163" xfId="46" applyNumberFormat="1" applyFont="1" applyBorder="1" applyAlignment="1">
      <alignment horizontal="center" vertical="center"/>
    </xf>
    <xf numFmtId="175" fontId="2" fillId="48" borderId="12" xfId="46" applyNumberFormat="1" applyFont="1" applyFill="1" applyBorder="1" applyAlignment="1">
      <alignment/>
    </xf>
    <xf numFmtId="175" fontId="0" fillId="48" borderId="12" xfId="46" applyNumberFormat="1" applyFill="1" applyBorder="1" applyAlignment="1">
      <alignment/>
    </xf>
    <xf numFmtId="175" fontId="0" fillId="48" borderId="12" xfId="46" applyNumberFormat="1" applyFill="1" applyBorder="1" applyAlignment="1">
      <alignment/>
    </xf>
    <xf numFmtId="175" fontId="2" fillId="40" borderId="21" xfId="46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58" xfId="0" applyFont="1" applyBorder="1" applyAlignment="1">
      <alignment horizontal="center"/>
    </xf>
    <xf numFmtId="3" fontId="35" fillId="0" borderId="181" xfId="0" applyNumberFormat="1" applyFont="1" applyBorder="1" applyAlignment="1">
      <alignment horizontal="right"/>
    </xf>
    <xf numFmtId="3" fontId="27" fillId="0" borderId="13" xfId="0" applyNumberFormat="1" applyFont="1" applyBorder="1" applyAlignment="1">
      <alignment horizontal="center"/>
    </xf>
    <xf numFmtId="3" fontId="27" fillId="0" borderId="30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/>
    </xf>
    <xf numFmtId="0" fontId="27" fillId="0" borderId="0" xfId="0" applyFont="1" applyAlignment="1">
      <alignment/>
    </xf>
    <xf numFmtId="3" fontId="36" fillId="0" borderId="13" xfId="0" applyNumberFormat="1" applyFont="1" applyBorder="1" applyAlignment="1">
      <alignment horizontal="right"/>
    </xf>
    <xf numFmtId="3" fontId="36" fillId="0" borderId="3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3" fontId="25" fillId="0" borderId="12" xfId="0" applyNumberFormat="1" applyFont="1" applyBorder="1" applyAlignment="1">
      <alignment wrapText="1"/>
    </xf>
    <xf numFmtId="3" fontId="25" fillId="40" borderId="12" xfId="0" applyNumberFormat="1" applyFont="1" applyFill="1" applyBorder="1" applyAlignment="1">
      <alignment/>
    </xf>
    <xf numFmtId="3" fontId="27" fillId="40" borderId="12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3" fontId="19" fillId="0" borderId="3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16" xfId="0" applyNumberFormat="1" applyFont="1" applyBorder="1" applyAlignment="1">
      <alignment horizontal="center"/>
    </xf>
    <xf numFmtId="3" fontId="19" fillId="0" borderId="67" xfId="0" applyNumberFormat="1" applyFont="1" applyBorder="1" applyAlignment="1">
      <alignment/>
    </xf>
    <xf numFmtId="0" fontId="0" fillId="36" borderId="161" xfId="0" applyFill="1" applyBorder="1" applyAlignment="1">
      <alignment horizontal="center"/>
    </xf>
    <xf numFmtId="3" fontId="2" fillId="36" borderId="14" xfId="0" applyNumberFormat="1" applyFont="1" applyFill="1" applyBorder="1" applyAlignment="1">
      <alignment horizontal="right"/>
    </xf>
    <xf numFmtId="0" fontId="0" fillId="36" borderId="58" xfId="0" applyFill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3" fontId="4" fillId="0" borderId="67" xfId="0" applyNumberFormat="1" applyFont="1" applyBorder="1" applyAlignment="1">
      <alignment horizontal="center"/>
    </xf>
    <xf numFmtId="3" fontId="2" fillId="43" borderId="67" xfId="0" applyNumberFormat="1" applyFont="1" applyFill="1" applyBorder="1" applyAlignment="1">
      <alignment/>
    </xf>
    <xf numFmtId="177" fontId="0" fillId="0" borderId="33" xfId="0" applyNumberFormat="1" applyBorder="1" applyAlignment="1">
      <alignment/>
    </xf>
    <xf numFmtId="3" fontId="0" fillId="0" borderId="180" xfId="0" applyNumberFormat="1" applyBorder="1" applyAlignment="1">
      <alignment horizontal="center"/>
    </xf>
    <xf numFmtId="3" fontId="0" fillId="36" borderId="66" xfId="0" applyNumberFormat="1" applyFill="1" applyBorder="1" applyAlignment="1">
      <alignment/>
    </xf>
    <xf numFmtId="175" fontId="0" fillId="0" borderId="58" xfId="46" applyNumberFormat="1" applyBorder="1" applyAlignment="1">
      <alignment horizontal="right" vertical="center"/>
    </xf>
    <xf numFmtId="175" fontId="2" fillId="0" borderId="58" xfId="46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5" fontId="2" fillId="36" borderId="58" xfId="46" applyNumberFormat="1" applyFont="1" applyFill="1" applyBorder="1" applyAlignment="1">
      <alignment horizontal="right" vertical="center"/>
    </xf>
    <xf numFmtId="175" fontId="0" fillId="36" borderId="58" xfId="46" applyNumberFormat="1" applyFill="1" applyBorder="1" applyAlignment="1">
      <alignment horizontal="right" vertical="center"/>
    </xf>
    <xf numFmtId="177" fontId="0" fillId="0" borderId="33" xfId="0" applyNumberFormat="1" applyBorder="1" applyAlignment="1">
      <alignment horizontal="center"/>
    </xf>
    <xf numFmtId="175" fontId="0" fillId="36" borderId="66" xfId="46" applyNumberFormat="1" applyFill="1" applyBorder="1" applyAlignment="1">
      <alignment horizontal="right" vertical="center"/>
    </xf>
    <xf numFmtId="177" fontId="0" fillId="0" borderId="14" xfId="0" applyNumberFormat="1" applyBorder="1" applyAlignment="1">
      <alignment/>
    </xf>
    <xf numFmtId="175" fontId="0" fillId="33" borderId="14" xfId="46" applyNumberFormat="1" applyFill="1" applyBorder="1" applyAlignment="1">
      <alignment/>
    </xf>
    <xf numFmtId="1" fontId="0" fillId="33" borderId="58" xfId="0" applyNumberFormat="1" applyFill="1" applyBorder="1" applyAlignment="1">
      <alignment horizontal="center"/>
    </xf>
    <xf numFmtId="3" fontId="1" fillId="33" borderId="58" xfId="0" applyNumberFormat="1" applyFont="1" applyFill="1" applyBorder="1" applyAlignment="1">
      <alignment wrapText="1"/>
    </xf>
    <xf numFmtId="3" fontId="3" fillId="0" borderId="58" xfId="0" applyNumberFormat="1" applyFont="1" applyBorder="1" applyAlignment="1">
      <alignment/>
    </xf>
    <xf numFmtId="0" fontId="8" fillId="0" borderId="142" xfId="0" applyFont="1" applyBorder="1" applyAlignment="1">
      <alignment/>
    </xf>
    <xf numFmtId="175" fontId="8" fillId="0" borderId="115" xfId="46" applyNumberFormat="1" applyFont="1" applyBorder="1" applyAlignment="1">
      <alignment/>
    </xf>
    <xf numFmtId="175" fontId="8" fillId="0" borderId="42" xfId="46" applyNumberFormat="1" applyFont="1" applyBorder="1" applyAlignment="1">
      <alignment/>
    </xf>
    <xf numFmtId="175" fontId="8" fillId="0" borderId="175" xfId="46" applyNumberFormat="1" applyFont="1" applyBorder="1" applyAlignment="1">
      <alignment/>
    </xf>
    <xf numFmtId="175" fontId="5" fillId="0" borderId="151" xfId="46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2" xfId="0" applyFont="1" applyBorder="1" applyAlignment="1">
      <alignment horizontal="right"/>
    </xf>
    <xf numFmtId="175" fontId="1" fillId="40" borderId="68" xfId="46" applyNumberFormat="1" applyFont="1" applyFill="1" applyBorder="1" applyAlignment="1">
      <alignment horizontal="center" vertical="center" wrapText="1"/>
    </xf>
    <xf numFmtId="175" fontId="1" fillId="0" borderId="68" xfId="46" applyNumberFormat="1" applyFont="1" applyBorder="1" applyAlignment="1">
      <alignment horizontal="center" vertical="center"/>
    </xf>
    <xf numFmtId="175" fontId="1" fillId="0" borderId="97" xfId="46" applyNumberFormat="1" applyFont="1" applyBorder="1" applyAlignment="1">
      <alignment horizontal="center" vertical="center"/>
    </xf>
    <xf numFmtId="0" fontId="35" fillId="0" borderId="0" xfId="57" applyFont="1">
      <alignment/>
      <protection/>
    </xf>
    <xf numFmtId="0" fontId="5" fillId="0" borderId="0" xfId="58" applyFont="1" applyAlignment="1">
      <alignment horizontal="center" vertical="center"/>
      <protection/>
    </xf>
    <xf numFmtId="0" fontId="9" fillId="0" borderId="0" xfId="58" applyFont="1" applyAlignment="1">
      <alignment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9" fillId="0" borderId="0" xfId="58" applyFont="1" applyAlignment="1">
      <alignment vertical="center" wrapText="1"/>
      <protection/>
    </xf>
    <xf numFmtId="0" fontId="25" fillId="0" borderId="182" xfId="57" applyFont="1" applyBorder="1" applyAlignment="1">
      <alignment vertical="top"/>
      <protection/>
    </xf>
    <xf numFmtId="0" fontId="1" fillId="0" borderId="0" xfId="57" applyFont="1" applyAlignment="1">
      <alignment horizontal="right"/>
      <protection/>
    </xf>
    <xf numFmtId="0" fontId="40" fillId="0" borderId="0" xfId="57" applyFont="1">
      <alignment/>
      <protection/>
    </xf>
    <xf numFmtId="0" fontId="2" fillId="0" borderId="138" xfId="57" applyFont="1" applyBorder="1" applyAlignment="1">
      <alignment vertical="center"/>
      <protection/>
    </xf>
    <xf numFmtId="0" fontId="2" fillId="0" borderId="139" xfId="57" applyFont="1" applyBorder="1" applyAlignment="1">
      <alignment horizontal="center" vertical="center"/>
      <protection/>
    </xf>
    <xf numFmtId="0" fontId="2" fillId="0" borderId="174" xfId="57" applyFont="1" applyBorder="1" applyAlignment="1">
      <alignment horizontal="center" vertical="center"/>
      <protection/>
    </xf>
    <xf numFmtId="49" fontId="0" fillId="0" borderId="48" xfId="57" applyNumberFormat="1" applyFont="1" applyBorder="1" applyAlignment="1">
      <alignment vertical="center"/>
      <protection/>
    </xf>
    <xf numFmtId="3" fontId="0" fillId="0" borderId="18" xfId="57" applyNumberFormat="1" applyFont="1" applyBorder="1" applyAlignment="1" applyProtection="1">
      <alignment vertical="center"/>
      <protection locked="0"/>
    </xf>
    <xf numFmtId="3" fontId="0" fillId="0" borderId="49" xfId="57" applyNumberFormat="1" applyFont="1" applyBorder="1" applyAlignment="1">
      <alignment vertical="center"/>
      <protection/>
    </xf>
    <xf numFmtId="49" fontId="0" fillId="0" borderId="20" xfId="57" applyNumberFormat="1" applyFont="1" applyBorder="1" applyAlignment="1">
      <alignment vertical="center"/>
      <protection/>
    </xf>
    <xf numFmtId="3" fontId="0" fillId="0" borderId="12" xfId="57" applyNumberFormat="1" applyFont="1" applyBorder="1" applyAlignment="1" applyProtection="1">
      <alignment vertical="center"/>
      <protection locked="0"/>
    </xf>
    <xf numFmtId="3" fontId="0" fillId="0" borderId="38" xfId="57" applyNumberFormat="1" applyFont="1" applyBorder="1" applyAlignment="1">
      <alignment vertical="center"/>
      <protection/>
    </xf>
    <xf numFmtId="49" fontId="0" fillId="0" borderId="24" xfId="57" applyNumberFormat="1" applyFont="1" applyBorder="1" applyAlignment="1" applyProtection="1">
      <alignment vertical="center"/>
      <protection locked="0"/>
    </xf>
    <xf numFmtId="3" fontId="0" fillId="0" borderId="21" xfId="57" applyNumberFormat="1" applyFont="1" applyBorder="1" applyAlignment="1" applyProtection="1">
      <alignment vertical="center"/>
      <protection locked="0"/>
    </xf>
    <xf numFmtId="49" fontId="2" fillId="0" borderId="22" xfId="57" applyNumberFormat="1" applyFont="1" applyBorder="1" applyAlignment="1">
      <alignment vertical="center"/>
      <protection/>
    </xf>
    <xf numFmtId="3" fontId="2" fillId="0" borderId="23" xfId="57" applyNumberFormat="1" applyFont="1" applyBorder="1" applyAlignment="1">
      <alignment vertical="center"/>
      <protection/>
    </xf>
    <xf numFmtId="3" fontId="2" fillId="0" borderId="36" xfId="57" applyNumberFormat="1" applyFont="1" applyBorder="1" applyAlignment="1">
      <alignment vertical="center"/>
      <protection/>
    </xf>
    <xf numFmtId="0" fontId="19" fillId="0" borderId="0" xfId="57" applyFont="1" applyAlignment="1">
      <alignment vertical="center"/>
      <protection/>
    </xf>
    <xf numFmtId="49" fontId="0" fillId="0" borderId="20" xfId="57" applyNumberFormat="1" applyFont="1" applyBorder="1" applyAlignment="1">
      <alignment horizontal="left" vertical="center"/>
      <protection/>
    </xf>
    <xf numFmtId="49" fontId="0" fillId="0" borderId="20" xfId="57" applyNumberFormat="1" applyFont="1" applyBorder="1" applyAlignment="1" applyProtection="1">
      <alignment vertical="center"/>
      <protection locked="0"/>
    </xf>
    <xf numFmtId="3" fontId="2" fillId="0" borderId="21" xfId="57" applyNumberFormat="1" applyFont="1" applyBorder="1" applyAlignment="1" applyProtection="1">
      <alignment vertical="center"/>
      <protection locked="0"/>
    </xf>
    <xf numFmtId="3" fontId="2" fillId="0" borderId="38" xfId="57" applyNumberFormat="1" applyFont="1" applyBorder="1" applyAlignment="1">
      <alignment vertical="center"/>
      <protection/>
    </xf>
    <xf numFmtId="0" fontId="19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2" fillId="0" borderId="0" xfId="57" applyFont="1" applyAlignment="1">
      <alignment horizontal="right" indent="1"/>
      <protection/>
    </xf>
    <xf numFmtId="3" fontId="0" fillId="40" borderId="12" xfId="57" applyNumberFormat="1" applyFont="1" applyFill="1" applyBorder="1" applyAlignment="1" applyProtection="1">
      <alignment vertical="center"/>
      <protection locked="0"/>
    </xf>
    <xf numFmtId="0" fontId="2" fillId="0" borderId="187" xfId="57" applyFont="1" applyBorder="1" applyAlignment="1">
      <alignment vertical="center"/>
      <protection/>
    </xf>
    <xf numFmtId="0" fontId="2" fillId="0" borderId="42" xfId="57" applyFont="1" applyBorder="1" applyAlignment="1">
      <alignment horizontal="center" vertical="center"/>
      <protection/>
    </xf>
    <xf numFmtId="0" fontId="2" fillId="0" borderId="163" xfId="57" applyFont="1" applyBorder="1" applyAlignment="1">
      <alignment horizontal="center" vertical="center"/>
      <protection/>
    </xf>
    <xf numFmtId="0" fontId="25" fillId="0" borderId="58" xfId="57" applyFont="1" applyBorder="1" applyAlignment="1">
      <alignment horizontal="center" vertical="center"/>
      <protection/>
    </xf>
    <xf numFmtId="0" fontId="1" fillId="0" borderId="58" xfId="57" applyFont="1" applyBorder="1" applyAlignment="1">
      <alignment horizontal="right"/>
      <protection/>
    </xf>
    <xf numFmtId="0" fontId="25" fillId="0" borderId="58" xfId="57" applyFont="1" applyBorder="1" applyAlignment="1">
      <alignment vertical="top"/>
      <protection/>
    </xf>
    <xf numFmtId="175" fontId="0" fillId="48" borderId="58" xfId="46" applyNumberFormat="1" applyFill="1" applyBorder="1" applyAlignment="1">
      <alignment/>
    </xf>
    <xf numFmtId="3" fontId="2" fillId="33" borderId="7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175" fontId="2" fillId="33" borderId="188" xfId="46" applyNumberFormat="1" applyFont="1" applyFill="1" applyBorder="1" applyAlignment="1">
      <alignment horizontal="center" vertical="center" wrapText="1"/>
    </xf>
    <xf numFmtId="175" fontId="2" fillId="33" borderId="87" xfId="46" applyNumberFormat="1" applyFont="1" applyFill="1" applyBorder="1" applyAlignment="1">
      <alignment horizontal="center"/>
    </xf>
    <xf numFmtId="0" fontId="0" fillId="40" borderId="58" xfId="0" applyFill="1" applyBorder="1" applyAlignment="1">
      <alignment wrapText="1"/>
    </xf>
    <xf numFmtId="0" fontId="0" fillId="36" borderId="66" xfId="0" applyFill="1" applyBorder="1" applyAlignment="1">
      <alignment horizontal="center"/>
    </xf>
    <xf numFmtId="175" fontId="2" fillId="36" borderId="28" xfId="46" applyNumberFormat="1" applyFont="1" applyFill="1" applyBorder="1" applyAlignment="1">
      <alignment/>
    </xf>
    <xf numFmtId="175" fontId="0" fillId="40" borderId="58" xfId="46" applyNumberFormat="1" applyFill="1" applyBorder="1" applyAlignment="1">
      <alignment/>
    </xf>
    <xf numFmtId="175" fontId="13" fillId="48" borderId="12" xfId="46" applyNumberFormat="1" applyFont="1" applyFill="1" applyBorder="1" applyAlignment="1">
      <alignment/>
    </xf>
    <xf numFmtId="0" fontId="88" fillId="0" borderId="0" xfId="0" applyFont="1" applyAlignment="1">
      <alignment/>
    </xf>
    <xf numFmtId="3" fontId="2" fillId="33" borderId="146" xfId="0" applyNumberFormat="1" applyFont="1" applyFill="1" applyBorder="1" applyAlignment="1">
      <alignment horizontal="center" vertical="center" wrapText="1"/>
    </xf>
    <xf numFmtId="175" fontId="0" fillId="48" borderId="162" xfId="46" applyNumberFormat="1" applyFill="1" applyBorder="1" applyAlignment="1">
      <alignment/>
    </xf>
    <xf numFmtId="175" fontId="2" fillId="33" borderId="134" xfId="46" applyNumberFormat="1" applyFont="1" applyFill="1" applyBorder="1" applyAlignment="1">
      <alignment horizontal="center"/>
    </xf>
    <xf numFmtId="175" fontId="6" fillId="0" borderId="134" xfId="46" applyNumberFormat="1" applyFont="1" applyBorder="1" applyAlignment="1">
      <alignment/>
    </xf>
    <xf numFmtId="175" fontId="6" fillId="0" borderId="137" xfId="46" applyNumberFormat="1" applyFont="1" applyBorder="1" applyAlignment="1">
      <alignment/>
    </xf>
    <xf numFmtId="175" fontId="13" fillId="0" borderId="58" xfId="46" applyNumberFormat="1" applyFont="1" applyBorder="1" applyAlignment="1">
      <alignment/>
    </xf>
    <xf numFmtId="175" fontId="0" fillId="0" borderId="146" xfId="46" applyNumberFormat="1" applyFont="1" applyBorder="1" applyAlignment="1">
      <alignment/>
    </xf>
    <xf numFmtId="175" fontId="0" fillId="0" borderId="136" xfId="46" applyNumberFormat="1" applyFont="1" applyBorder="1" applyAlignment="1">
      <alignment/>
    </xf>
    <xf numFmtId="175" fontId="0" fillId="40" borderId="134" xfId="46" applyNumberFormat="1" applyFill="1" applyBorder="1" applyAlignment="1">
      <alignment/>
    </xf>
    <xf numFmtId="175" fontId="0" fillId="40" borderId="137" xfId="46" applyNumberFormat="1" applyFill="1" applyBorder="1" applyAlignment="1">
      <alignment/>
    </xf>
    <xf numFmtId="3" fontId="2" fillId="33" borderId="189" xfId="0" applyNumberFormat="1" applyFont="1" applyFill="1" applyBorder="1" applyAlignment="1">
      <alignment horizontal="center" vertical="center" wrapText="1"/>
    </xf>
    <xf numFmtId="175" fontId="2" fillId="33" borderId="88" xfId="46" applyNumberFormat="1" applyFont="1" applyFill="1" applyBorder="1" applyAlignment="1">
      <alignment horizontal="center"/>
    </xf>
    <xf numFmtId="3" fontId="2" fillId="33" borderId="190" xfId="0" applyNumberFormat="1" applyFont="1" applyFill="1" applyBorder="1" applyAlignment="1">
      <alignment horizontal="center" vertical="center" wrapText="1"/>
    </xf>
    <xf numFmtId="3" fontId="2" fillId="33" borderId="191" xfId="0" applyNumberFormat="1" applyFont="1" applyFill="1" applyBorder="1" applyAlignment="1">
      <alignment horizontal="center" vertical="center" wrapText="1"/>
    </xf>
    <xf numFmtId="3" fontId="2" fillId="33" borderId="123" xfId="0" applyNumberFormat="1" applyFont="1" applyFill="1" applyBorder="1" applyAlignment="1">
      <alignment horizontal="center" vertical="center" wrapText="1"/>
    </xf>
    <xf numFmtId="175" fontId="2" fillId="33" borderId="186" xfId="46" applyNumberFormat="1" applyFont="1" applyFill="1" applyBorder="1" applyAlignment="1">
      <alignment horizontal="center"/>
    </xf>
    <xf numFmtId="175" fontId="2" fillId="0" borderId="192" xfId="46" applyNumberFormat="1" applyFont="1" applyBorder="1" applyAlignment="1">
      <alignment/>
    </xf>
    <xf numFmtId="175" fontId="0" fillId="0" borderId="193" xfId="46" applyNumberFormat="1" applyFont="1" applyBorder="1" applyAlignment="1">
      <alignment/>
    </xf>
    <xf numFmtId="175" fontId="13" fillId="0" borderId="193" xfId="46" applyNumberFormat="1" applyFont="1" applyBorder="1" applyAlignment="1">
      <alignment/>
    </xf>
    <xf numFmtId="175" fontId="2" fillId="40" borderId="193" xfId="46" applyNumberFormat="1" applyFont="1" applyFill="1" applyBorder="1" applyAlignment="1">
      <alignment/>
    </xf>
    <xf numFmtId="175" fontId="0" fillId="40" borderId="193" xfId="46" applyNumberFormat="1" applyFill="1" applyBorder="1" applyAlignment="1">
      <alignment/>
    </xf>
    <xf numFmtId="175" fontId="2" fillId="0" borderId="193" xfId="46" applyNumberFormat="1" applyFont="1" applyBorder="1" applyAlignment="1">
      <alignment/>
    </xf>
    <xf numFmtId="175" fontId="0" fillId="0" borderId="130" xfId="46" applyNumberFormat="1" applyFont="1" applyBorder="1" applyAlignment="1">
      <alignment/>
    </xf>
    <xf numFmtId="175" fontId="5" fillId="37" borderId="194" xfId="46" applyNumberFormat="1" applyFont="1" applyFill="1" applyBorder="1" applyAlignment="1">
      <alignment/>
    </xf>
    <xf numFmtId="177" fontId="2" fillId="0" borderId="195" xfId="0" applyNumberFormat="1" applyFont="1" applyBorder="1" applyAlignment="1">
      <alignment/>
    </xf>
    <xf numFmtId="177" fontId="0" fillId="0" borderId="126" xfId="0" applyNumberFormat="1" applyBorder="1" applyAlignment="1">
      <alignment/>
    </xf>
    <xf numFmtId="177" fontId="13" fillId="0" borderId="126" xfId="0" applyNumberFormat="1" applyFont="1" applyBorder="1" applyAlignment="1">
      <alignment/>
    </xf>
    <xf numFmtId="177" fontId="2" fillId="40" borderId="126" xfId="0" applyNumberFormat="1" applyFont="1" applyFill="1" applyBorder="1" applyAlignment="1">
      <alignment/>
    </xf>
    <xf numFmtId="177" fontId="0" fillId="40" borderId="126" xfId="0" applyNumberFormat="1" applyFill="1" applyBorder="1" applyAlignment="1">
      <alignment/>
    </xf>
    <xf numFmtId="177" fontId="2" fillId="0" borderId="126" xfId="0" applyNumberFormat="1" applyFont="1" applyBorder="1" applyAlignment="1">
      <alignment/>
    </xf>
    <xf numFmtId="177" fontId="0" fillId="0" borderId="127" xfId="0" applyNumberFormat="1" applyBorder="1" applyAlignment="1">
      <alignment/>
    </xf>
    <xf numFmtId="177" fontId="5" fillId="37" borderId="135" xfId="0" applyNumberFormat="1" applyFont="1" applyFill="1" applyBorder="1" applyAlignment="1">
      <alignment/>
    </xf>
    <xf numFmtId="0" fontId="5" fillId="37" borderId="181" xfId="0" applyFont="1" applyFill="1" applyBorder="1" applyAlignment="1">
      <alignment/>
    </xf>
    <xf numFmtId="3" fontId="2" fillId="33" borderId="194" xfId="0" applyNumberFormat="1" applyFont="1" applyFill="1" applyBorder="1" applyAlignment="1">
      <alignment horizontal="center" vertical="center"/>
    </xf>
    <xf numFmtId="3" fontId="0" fillId="33" borderId="88" xfId="0" applyNumberFormat="1" applyFill="1" applyBorder="1" applyAlignment="1">
      <alignment horizontal="center" vertical="center"/>
    </xf>
    <xf numFmtId="3" fontId="2" fillId="0" borderId="196" xfId="0" applyNumberFormat="1" applyFont="1" applyBorder="1" applyAlignment="1">
      <alignment wrapText="1"/>
    </xf>
    <xf numFmtId="3" fontId="0" fillId="0" borderId="197" xfId="0" applyNumberFormat="1" applyBorder="1" applyAlignment="1">
      <alignment/>
    </xf>
    <xf numFmtId="3" fontId="13" fillId="0" borderId="197" xfId="0" applyNumberFormat="1" applyFont="1" applyBorder="1" applyAlignment="1">
      <alignment/>
    </xf>
    <xf numFmtId="3" fontId="2" fillId="40" borderId="197" xfId="0" applyNumberFormat="1" applyFont="1" applyFill="1" applyBorder="1" applyAlignment="1">
      <alignment/>
    </xf>
    <xf numFmtId="3" fontId="0" fillId="40" borderId="197" xfId="0" applyNumberFormat="1" applyFill="1" applyBorder="1" applyAlignment="1">
      <alignment/>
    </xf>
    <xf numFmtId="3" fontId="2" fillId="0" borderId="197" xfId="0" applyNumberFormat="1" applyFont="1" applyBorder="1" applyAlignment="1">
      <alignment/>
    </xf>
    <xf numFmtId="3" fontId="2" fillId="0" borderId="197" xfId="0" applyNumberFormat="1" applyFont="1" applyBorder="1" applyAlignment="1">
      <alignment wrapText="1"/>
    </xf>
    <xf numFmtId="3" fontId="0" fillId="0" borderId="198" xfId="0" applyNumberFormat="1" applyBorder="1" applyAlignment="1">
      <alignment/>
    </xf>
    <xf numFmtId="3" fontId="5" fillId="37" borderId="199" xfId="0" applyNumberFormat="1" applyFont="1" applyFill="1" applyBorder="1" applyAlignment="1">
      <alignment wrapText="1"/>
    </xf>
    <xf numFmtId="3" fontId="2" fillId="0" borderId="96" xfId="0" applyNumberFormat="1" applyFont="1" applyBorder="1" applyAlignment="1">
      <alignment horizontal="center"/>
    </xf>
    <xf numFmtId="3" fontId="0" fillId="0" borderId="89" xfId="0" applyNumberFormat="1" applyBorder="1" applyAlignment="1">
      <alignment horizontal="center"/>
    </xf>
    <xf numFmtId="3" fontId="13" fillId="0" borderId="89" xfId="0" applyNumberFormat="1" applyFont="1" applyBorder="1" applyAlignment="1">
      <alignment horizontal="center"/>
    </xf>
    <xf numFmtId="3" fontId="2" fillId="40" borderId="89" xfId="0" applyNumberFormat="1" applyFont="1" applyFill="1" applyBorder="1" applyAlignment="1">
      <alignment horizontal="center"/>
    </xf>
    <xf numFmtId="3" fontId="0" fillId="40" borderId="89" xfId="0" applyNumberFormat="1" applyFill="1" applyBorder="1" applyAlignment="1">
      <alignment horizontal="center"/>
    </xf>
    <xf numFmtId="3" fontId="2" fillId="0" borderId="89" xfId="0" applyNumberFormat="1" applyFont="1" applyBorder="1" applyAlignment="1">
      <alignment horizontal="center"/>
    </xf>
    <xf numFmtId="3" fontId="0" fillId="0" borderId="98" xfId="0" applyNumberFormat="1" applyBorder="1" applyAlignment="1">
      <alignment horizontal="center"/>
    </xf>
    <xf numFmtId="3" fontId="5" fillId="37" borderId="52" xfId="0" applyNumberFormat="1" applyFont="1" applyFill="1" applyBorder="1" applyAlignment="1">
      <alignment horizontal="center" wrapText="1"/>
    </xf>
    <xf numFmtId="3" fontId="5" fillId="37" borderId="77" xfId="0" applyNumberFormat="1" applyFont="1" applyFill="1" applyBorder="1" applyAlignment="1">
      <alignment horizontal="center"/>
    </xf>
    <xf numFmtId="175" fontId="82" fillId="48" borderId="58" xfId="46" applyNumberFormat="1" applyFont="1" applyFill="1" applyBorder="1" applyAlignment="1">
      <alignment/>
    </xf>
    <xf numFmtId="3" fontId="82" fillId="40" borderId="21" xfId="0" applyNumberFormat="1" applyFont="1" applyFill="1" applyBorder="1" applyAlignment="1">
      <alignment/>
    </xf>
    <xf numFmtId="175" fontId="82" fillId="40" borderId="30" xfId="46" applyNumberFormat="1" applyFont="1" applyFill="1" applyBorder="1" applyAlignment="1">
      <alignment/>
    </xf>
    <xf numFmtId="3" fontId="82" fillId="40" borderId="58" xfId="0" applyNumberFormat="1" applyFont="1" applyFill="1" applyBorder="1" applyAlignment="1">
      <alignment horizontal="left" wrapText="1"/>
    </xf>
    <xf numFmtId="3" fontId="82" fillId="40" borderId="58" xfId="0" applyNumberFormat="1" applyFont="1" applyFill="1" applyBorder="1" applyAlignment="1">
      <alignment/>
    </xf>
    <xf numFmtId="175" fontId="82" fillId="40" borderId="31" xfId="46" applyNumberFormat="1" applyFont="1" applyFill="1" applyBorder="1" applyAlignment="1">
      <alignment/>
    </xf>
    <xf numFmtId="0" fontId="82" fillId="40" borderId="58" xfId="0" applyFont="1" applyFill="1" applyBorder="1" applyAlignment="1">
      <alignment wrapText="1"/>
    </xf>
    <xf numFmtId="175" fontId="82" fillId="40" borderId="58" xfId="46" applyNumberFormat="1" applyFont="1" applyFill="1" applyBorder="1" applyAlignment="1">
      <alignment/>
    </xf>
    <xf numFmtId="175" fontId="89" fillId="48" borderId="12" xfId="46" applyNumberFormat="1" applyFont="1" applyFill="1" applyBorder="1" applyAlignment="1">
      <alignment/>
    </xf>
    <xf numFmtId="0" fontId="2" fillId="40" borderId="0" xfId="0" applyFont="1" applyFill="1" applyAlignment="1">
      <alignment horizontal="center"/>
    </xf>
    <xf numFmtId="0" fontId="82" fillId="40" borderId="66" xfId="0" applyFont="1" applyFill="1" applyBorder="1" applyAlignment="1">
      <alignment/>
    </xf>
    <xf numFmtId="0" fontId="82" fillId="36" borderId="26" xfId="0" applyFont="1" applyFill="1" applyBorder="1" applyAlignment="1">
      <alignment horizontal="center"/>
    </xf>
    <xf numFmtId="0" fontId="0" fillId="40" borderId="66" xfId="0" applyFill="1" applyBorder="1" applyAlignment="1">
      <alignment wrapText="1"/>
    </xf>
    <xf numFmtId="175" fontId="0" fillId="48" borderId="66" xfId="46" applyNumberFormat="1" applyFill="1" applyBorder="1" applyAlignment="1">
      <alignment/>
    </xf>
    <xf numFmtId="175" fontId="82" fillId="48" borderId="162" xfId="46" applyNumberFormat="1" applyFont="1" applyFill="1" applyBorder="1" applyAlignment="1">
      <alignment/>
    </xf>
    <xf numFmtId="3" fontId="82" fillId="0" borderId="11" xfId="0" applyNumberFormat="1" applyFont="1" applyBorder="1" applyAlignment="1">
      <alignment/>
    </xf>
    <xf numFmtId="175" fontId="64" fillId="36" borderId="21" xfId="46" applyNumberFormat="1" applyFont="1" applyFill="1" applyBorder="1" applyAlignment="1">
      <alignment vertical="center"/>
    </xf>
    <xf numFmtId="175" fontId="0" fillId="40" borderId="30" xfId="46" applyNumberFormat="1" applyFill="1" applyBorder="1" applyAlignment="1">
      <alignment/>
    </xf>
    <xf numFmtId="175" fontId="0" fillId="36" borderId="21" xfId="46" applyNumberFormat="1" applyFont="1" applyFill="1" applyBorder="1" applyAlignment="1">
      <alignment vertical="center"/>
    </xf>
    <xf numFmtId="3" fontId="0" fillId="40" borderId="66" xfId="0" applyNumberFormat="1" applyFill="1" applyBorder="1" applyAlignment="1">
      <alignment horizontal="center"/>
    </xf>
    <xf numFmtId="3" fontId="0" fillId="40" borderId="67" xfId="0" applyNumberFormat="1" applyFill="1" applyBorder="1" applyAlignment="1">
      <alignment horizontal="center"/>
    </xf>
    <xf numFmtId="3" fontId="0" fillId="40" borderId="67" xfId="0" applyNumberFormat="1" applyFill="1" applyBorder="1" applyAlignment="1">
      <alignment wrapText="1"/>
    </xf>
    <xf numFmtId="3" fontId="0" fillId="40" borderId="67" xfId="0" applyNumberFormat="1" applyFill="1" applyBorder="1" applyAlignment="1">
      <alignment/>
    </xf>
    <xf numFmtId="3" fontId="2" fillId="40" borderId="112" xfId="0" applyNumberFormat="1" applyFont="1" applyFill="1" applyBorder="1" applyAlignment="1">
      <alignment horizontal="center"/>
    </xf>
    <xf numFmtId="3" fontId="2" fillId="40" borderId="68" xfId="0" applyNumberFormat="1" applyFont="1" applyFill="1" applyBorder="1" applyAlignment="1">
      <alignment horizontal="center"/>
    </xf>
    <xf numFmtId="3" fontId="2" fillId="40" borderId="68" xfId="0" applyNumberFormat="1" applyFont="1" applyFill="1" applyBorder="1" applyAlignment="1">
      <alignment/>
    </xf>
    <xf numFmtId="3" fontId="2" fillId="40" borderId="97" xfId="0" applyNumberFormat="1" applyFont="1" applyFill="1" applyBorder="1" applyAlignment="1">
      <alignment/>
    </xf>
    <xf numFmtId="3" fontId="2" fillId="42" borderId="66" xfId="0" applyNumberFormat="1" applyFont="1" applyFill="1" applyBorder="1" applyAlignment="1">
      <alignment horizontal="center" vertical="center" wrapText="1"/>
    </xf>
    <xf numFmtId="3" fontId="2" fillId="42" borderId="66" xfId="0" applyNumberFormat="1" applyFont="1" applyFill="1" applyBorder="1" applyAlignment="1">
      <alignment horizontal="center"/>
    </xf>
    <xf numFmtId="3" fontId="2" fillId="40" borderId="68" xfId="0" applyNumberFormat="1" applyFont="1" applyFill="1" applyBorder="1" applyAlignment="1">
      <alignment horizontal="center" wrapText="1"/>
    </xf>
    <xf numFmtId="3" fontId="2" fillId="40" borderId="66" xfId="0" applyNumberFormat="1" applyFont="1" applyFill="1" applyBorder="1" applyAlignment="1">
      <alignment horizontal="center"/>
    </xf>
    <xf numFmtId="3" fontId="2" fillId="40" borderId="66" xfId="0" applyNumberFormat="1" applyFont="1" applyFill="1" applyBorder="1" applyAlignment="1">
      <alignment wrapText="1"/>
    </xf>
    <xf numFmtId="3" fontId="0" fillId="52" borderId="68" xfId="0" applyNumberFormat="1" applyFill="1" applyBorder="1" applyAlignment="1">
      <alignment horizontal="center"/>
    </xf>
    <xf numFmtId="3" fontId="2" fillId="52" borderId="68" xfId="0" applyNumberFormat="1" applyFont="1" applyFill="1" applyBorder="1" applyAlignment="1">
      <alignment/>
    </xf>
    <xf numFmtId="3" fontId="2" fillId="52" borderId="97" xfId="0" applyNumberFormat="1" applyFont="1" applyFill="1" applyBorder="1" applyAlignment="1">
      <alignment/>
    </xf>
    <xf numFmtId="3" fontId="2" fillId="53" borderId="112" xfId="0" applyNumberFormat="1" applyFont="1" applyFill="1" applyBorder="1" applyAlignment="1">
      <alignment horizontal="center"/>
    </xf>
    <xf numFmtId="3" fontId="27" fillId="54" borderId="12" xfId="0" applyNumberFormat="1" applyFont="1" applyFill="1" applyBorder="1" applyAlignment="1">
      <alignment horizontal="right"/>
    </xf>
    <xf numFmtId="175" fontId="0" fillId="36" borderId="21" xfId="46" applyNumberFormat="1" applyFill="1" applyBorder="1" applyAlignment="1">
      <alignment/>
    </xf>
    <xf numFmtId="175" fontId="8" fillId="0" borderId="21" xfId="46" applyNumberFormat="1" applyFont="1" applyBorder="1" applyAlignment="1">
      <alignment horizontal="right"/>
    </xf>
    <xf numFmtId="175" fontId="64" fillId="48" borderId="21" xfId="46" applyNumberFormat="1" applyFont="1" applyFill="1" applyBorder="1" applyAlignment="1">
      <alignment vertical="center"/>
    </xf>
    <xf numFmtId="175" fontId="0" fillId="48" borderId="12" xfId="46" applyNumberFormat="1" applyFill="1" applyBorder="1" applyAlignment="1">
      <alignment vertical="center"/>
    </xf>
    <xf numFmtId="175" fontId="0" fillId="48" borderId="21" xfId="46" applyNumberFormat="1" applyFill="1" applyBorder="1" applyAlignment="1">
      <alignment vertical="center"/>
    </xf>
    <xf numFmtId="175" fontId="0" fillId="48" borderId="21" xfId="46" applyNumberFormat="1" applyFill="1" applyBorder="1" applyAlignment="1">
      <alignment vertical="center"/>
    </xf>
    <xf numFmtId="175" fontId="0" fillId="48" borderId="31" xfId="46" applyNumberFormat="1" applyFill="1" applyBorder="1" applyAlignment="1">
      <alignment vertical="center"/>
    </xf>
    <xf numFmtId="175" fontId="2" fillId="48" borderId="28" xfId="46" applyNumberFormat="1" applyFont="1" applyFill="1" applyBorder="1" applyAlignment="1">
      <alignment/>
    </xf>
    <xf numFmtId="175" fontId="2" fillId="40" borderId="30" xfId="46" applyNumberFormat="1" applyFont="1" applyFill="1" applyBorder="1" applyAlignment="1">
      <alignment/>
    </xf>
    <xf numFmtId="175" fontId="78" fillId="40" borderId="14" xfId="46" applyNumberFormat="1" applyFont="1" applyFill="1" applyBorder="1" applyAlignment="1">
      <alignment/>
    </xf>
    <xf numFmtId="175" fontId="2" fillId="0" borderId="58" xfId="46" applyNumberFormat="1" applyFont="1" applyBorder="1" applyAlignment="1">
      <alignment horizontal="center" vertical="center" wrapText="1"/>
    </xf>
    <xf numFmtId="175" fontId="0" fillId="48" borderId="171" xfId="46" applyNumberFormat="1" applyFill="1" applyBorder="1" applyAlignment="1">
      <alignment/>
    </xf>
    <xf numFmtId="175" fontId="61" fillId="48" borderId="21" xfId="46" applyNumberFormat="1" applyFont="1" applyFill="1" applyBorder="1" applyAlignment="1">
      <alignment vertical="center"/>
    </xf>
    <xf numFmtId="0" fontId="0" fillId="48" borderId="26" xfId="0" applyFill="1" applyBorder="1" applyAlignment="1">
      <alignment horizontal="center"/>
    </xf>
    <xf numFmtId="3" fontId="0" fillId="40" borderId="33" xfId="0" applyNumberFormat="1" applyFill="1" applyBorder="1" applyAlignment="1">
      <alignment wrapText="1"/>
    </xf>
    <xf numFmtId="175" fontId="0" fillId="48" borderId="21" xfId="46" applyNumberFormat="1" applyFill="1" applyBorder="1" applyAlignment="1">
      <alignment vertical="center"/>
    </xf>
    <xf numFmtId="0" fontId="0" fillId="40" borderId="0" xfId="0" applyFill="1" applyAlignment="1">
      <alignment/>
    </xf>
    <xf numFmtId="3" fontId="2" fillId="40" borderId="150" xfId="0" applyNumberFormat="1" applyFont="1" applyFill="1" applyBorder="1" applyAlignment="1">
      <alignment horizontal="center"/>
    </xf>
    <xf numFmtId="3" fontId="2" fillId="40" borderId="151" xfId="0" applyNumberFormat="1" applyFont="1" applyFill="1" applyBorder="1" applyAlignment="1">
      <alignment horizontal="center"/>
    </xf>
    <xf numFmtId="3" fontId="2" fillId="40" borderId="151" xfId="0" applyNumberFormat="1" applyFont="1" applyFill="1" applyBorder="1" applyAlignment="1">
      <alignment wrapText="1"/>
    </xf>
    <xf numFmtId="3" fontId="2" fillId="40" borderId="151" xfId="0" applyNumberFormat="1" applyFont="1" applyFill="1" applyBorder="1" applyAlignment="1">
      <alignment/>
    </xf>
    <xf numFmtId="3" fontId="2" fillId="40" borderId="99" xfId="0" applyNumberFormat="1" applyFont="1" applyFill="1" applyBorder="1" applyAlignment="1">
      <alignment/>
    </xf>
    <xf numFmtId="3" fontId="88" fillId="40" borderId="58" xfId="0" applyNumberFormat="1" applyFont="1" applyFill="1" applyBorder="1" applyAlignment="1">
      <alignment/>
    </xf>
    <xf numFmtId="175" fontId="13" fillId="40" borderId="89" xfId="46" applyNumberFormat="1" applyFont="1" applyFill="1" applyBorder="1" applyAlignment="1">
      <alignment/>
    </xf>
    <xf numFmtId="0" fontId="0" fillId="48" borderId="161" xfId="0" applyFill="1" applyBorder="1" applyAlignment="1">
      <alignment horizontal="center"/>
    </xf>
    <xf numFmtId="0" fontId="0" fillId="40" borderId="171" xfId="0" applyFill="1" applyBorder="1" applyAlignment="1">
      <alignment/>
    </xf>
    <xf numFmtId="175" fontId="0" fillId="48" borderId="162" xfId="46" applyNumberFormat="1" applyFill="1" applyBorder="1" applyAlignment="1">
      <alignment/>
    </xf>
    <xf numFmtId="175" fontId="0" fillId="48" borderId="28" xfId="46" applyNumberFormat="1" applyFill="1" applyBorder="1" applyAlignment="1">
      <alignment/>
    </xf>
    <xf numFmtId="175" fontId="0" fillId="0" borderId="12" xfId="46" applyNumberFormat="1" applyFont="1" applyBorder="1" applyAlignment="1">
      <alignment vertical="center" wrapText="1"/>
    </xf>
    <xf numFmtId="175" fontId="61" fillId="36" borderId="21" xfId="46" applyNumberFormat="1" applyFont="1" applyFill="1" applyBorder="1" applyAlignment="1">
      <alignment vertical="center"/>
    </xf>
    <xf numFmtId="175" fontId="0" fillId="48" borderId="12" xfId="46" applyNumberFormat="1" applyFill="1" applyBorder="1" applyAlignment="1">
      <alignment vertical="center"/>
    </xf>
    <xf numFmtId="175" fontId="0" fillId="48" borderId="21" xfId="46" applyNumberFormat="1" applyFill="1" applyBorder="1" applyAlignment="1">
      <alignment vertical="center"/>
    </xf>
    <xf numFmtId="175" fontId="0" fillId="48" borderId="31" xfId="46" applyNumberFormat="1" applyFill="1" applyBorder="1" applyAlignment="1">
      <alignment vertical="center"/>
    </xf>
    <xf numFmtId="175" fontId="0" fillId="48" borderId="58" xfId="46" applyNumberFormat="1" applyFill="1" applyBorder="1" applyAlignment="1">
      <alignment/>
    </xf>
    <xf numFmtId="175" fontId="0" fillId="48" borderId="28" xfId="46" applyNumberFormat="1" applyFill="1" applyBorder="1" applyAlignment="1">
      <alignment/>
    </xf>
    <xf numFmtId="175" fontId="0" fillId="48" borderId="162" xfId="46" applyNumberFormat="1" applyFill="1" applyBorder="1" applyAlignment="1">
      <alignment/>
    </xf>
    <xf numFmtId="175" fontId="0" fillId="40" borderId="30" xfId="46" applyNumberFormat="1" applyFill="1" applyBorder="1" applyAlignment="1">
      <alignment/>
    </xf>
    <xf numFmtId="175" fontId="0" fillId="48" borderId="12" xfId="46" applyNumberFormat="1" applyFill="1" applyBorder="1" applyAlignment="1">
      <alignment/>
    </xf>
    <xf numFmtId="175" fontId="61" fillId="40" borderId="14" xfId="46" applyNumberFormat="1" applyFont="1" applyFill="1" applyBorder="1" applyAlignment="1">
      <alignment/>
    </xf>
    <xf numFmtId="175" fontId="0" fillId="40" borderId="31" xfId="46" applyNumberFormat="1" applyFill="1" applyBorder="1" applyAlignment="1">
      <alignment/>
    </xf>
    <xf numFmtId="175" fontId="0" fillId="40" borderId="58" xfId="46" applyNumberFormat="1" applyFill="1" applyBorder="1" applyAlignment="1">
      <alignment/>
    </xf>
    <xf numFmtId="175" fontId="0" fillId="0" borderId="30" xfId="46" applyNumberFormat="1" applyFont="1" applyBorder="1" applyAlignment="1">
      <alignment/>
    </xf>
    <xf numFmtId="175" fontId="0" fillId="0" borderId="58" xfId="46" applyNumberFormat="1" applyFont="1" applyBorder="1" applyAlignment="1">
      <alignment/>
    </xf>
    <xf numFmtId="3" fontId="82" fillId="40" borderId="58" xfId="0" applyNumberFormat="1" applyFont="1" applyFill="1" applyBorder="1" applyAlignment="1">
      <alignment/>
    </xf>
    <xf numFmtId="3" fontId="0" fillId="40" borderId="200" xfId="0" applyNumberFormat="1" applyFill="1" applyBorder="1" applyAlignment="1">
      <alignment horizontal="center"/>
    </xf>
    <xf numFmtId="3" fontId="0" fillId="40" borderId="171" xfId="0" applyNumberFormat="1" applyFill="1" applyBorder="1" applyAlignment="1">
      <alignment horizontal="center"/>
    </xf>
    <xf numFmtId="3" fontId="0" fillId="40" borderId="171" xfId="0" applyNumberFormat="1" applyFill="1" applyBorder="1" applyAlignment="1">
      <alignment wrapText="1"/>
    </xf>
    <xf numFmtId="3" fontId="0" fillId="40" borderId="171" xfId="0" applyNumberFormat="1" applyFill="1" applyBorder="1" applyAlignment="1">
      <alignment/>
    </xf>
    <xf numFmtId="3" fontId="88" fillId="40" borderId="201" xfId="0" applyNumberFormat="1" applyFont="1" applyFill="1" applyBorder="1" applyAlignment="1">
      <alignment/>
    </xf>
    <xf numFmtId="3" fontId="0" fillId="40" borderId="201" xfId="0" applyNumberFormat="1" applyFill="1" applyBorder="1" applyAlignment="1">
      <alignment/>
    </xf>
    <xf numFmtId="3" fontId="36" fillId="40" borderId="12" xfId="0" applyNumberFormat="1" applyFont="1" applyFill="1" applyBorder="1" applyAlignment="1">
      <alignment horizontal="right"/>
    </xf>
    <xf numFmtId="175" fontId="0" fillId="48" borderId="14" xfId="46" applyNumberFormat="1" applyFill="1" applyBorder="1" applyAlignment="1">
      <alignment/>
    </xf>
    <xf numFmtId="175" fontId="0" fillId="48" borderId="21" xfId="46" applyNumberFormat="1" applyFill="1" applyBorder="1" applyAlignment="1">
      <alignment/>
    </xf>
    <xf numFmtId="0" fontId="0" fillId="40" borderId="11" xfId="0" applyFill="1" applyBorder="1" applyAlignment="1">
      <alignment/>
    </xf>
    <xf numFmtId="175" fontId="2" fillId="40" borderId="82" xfId="46" applyNumberFormat="1" applyFont="1" applyFill="1" applyBorder="1" applyAlignment="1">
      <alignment/>
    </xf>
    <xf numFmtId="175" fontId="2" fillId="40" borderId="124" xfId="46" applyNumberFormat="1" applyFont="1" applyFill="1" applyBorder="1" applyAlignment="1">
      <alignment horizontal="right" vertical="center"/>
    </xf>
    <xf numFmtId="175" fontId="2" fillId="48" borderId="124" xfId="46" applyNumberFormat="1" applyFont="1" applyFill="1" applyBorder="1" applyAlignment="1">
      <alignment horizontal="right" vertical="center"/>
    </xf>
    <xf numFmtId="175" fontId="2" fillId="40" borderId="123" xfId="46" applyNumberFormat="1" applyFont="1" applyFill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 vertical="center" wrapText="1"/>
    </xf>
    <xf numFmtId="3" fontId="19" fillId="0" borderId="27" xfId="0" applyNumberFormat="1" applyFont="1" applyBorder="1" applyAlignment="1">
      <alignment horizontal="center"/>
    </xf>
    <xf numFmtId="3" fontId="25" fillId="0" borderId="27" xfId="0" applyNumberFormat="1" applyFont="1" applyBorder="1" applyAlignment="1">
      <alignment horizontal="center"/>
    </xf>
    <xf numFmtId="3" fontId="0" fillId="40" borderId="66" xfId="0" applyNumberFormat="1" applyFill="1" applyBorder="1" applyAlignment="1">
      <alignment/>
    </xf>
    <xf numFmtId="3" fontId="19" fillId="0" borderId="35" xfId="0" applyNumberFormat="1" applyFont="1" applyBorder="1" applyAlignment="1">
      <alignment horizontal="center"/>
    </xf>
    <xf numFmtId="3" fontId="27" fillId="0" borderId="27" xfId="0" applyNumberFormat="1" applyFont="1" applyBorder="1" applyAlignment="1">
      <alignment horizontal="center"/>
    </xf>
    <xf numFmtId="3" fontId="27" fillId="0" borderId="31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wrapText="1"/>
    </xf>
    <xf numFmtId="3" fontId="27" fillId="0" borderId="21" xfId="0" applyNumberFormat="1" applyFont="1" applyBorder="1" applyAlignment="1">
      <alignment/>
    </xf>
    <xf numFmtId="3" fontId="25" fillId="0" borderId="28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58" xfId="0" applyNumberFormat="1" applyFont="1" applyBorder="1" applyAlignment="1">
      <alignment horizontal="center"/>
    </xf>
    <xf numFmtId="3" fontId="27" fillId="0" borderId="58" xfId="0" applyNumberFormat="1" applyFont="1" applyBorder="1" applyAlignment="1">
      <alignment/>
    </xf>
    <xf numFmtId="3" fontId="36" fillId="0" borderId="29" xfId="0" applyNumberFormat="1" applyFont="1" applyBorder="1" applyAlignment="1">
      <alignment horizontal="center"/>
    </xf>
    <xf numFmtId="3" fontId="36" fillId="0" borderId="30" xfId="0" applyNumberFormat="1" applyFont="1" applyBorder="1" applyAlignment="1">
      <alignment/>
    </xf>
    <xf numFmtId="3" fontId="36" fillId="0" borderId="14" xfId="0" applyNumberFormat="1" applyFont="1" applyBorder="1" applyAlignment="1">
      <alignment horizontal="right"/>
    </xf>
    <xf numFmtId="3" fontId="36" fillId="0" borderId="58" xfId="0" applyNumberFormat="1" applyFont="1" applyBorder="1" applyAlignment="1">
      <alignment horizontal="right"/>
    </xf>
    <xf numFmtId="3" fontId="82" fillId="0" borderId="12" xfId="0" applyNumberFormat="1" applyFont="1" applyBorder="1" applyAlignment="1">
      <alignment/>
    </xf>
    <xf numFmtId="3" fontId="25" fillId="40" borderId="14" xfId="0" applyNumberFormat="1" applyFont="1" applyFill="1" applyBorder="1" applyAlignment="1">
      <alignment/>
    </xf>
    <xf numFmtId="3" fontId="25" fillId="40" borderId="58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/>
    </xf>
    <xf numFmtId="3" fontId="89" fillId="33" borderId="12" xfId="0" applyNumberFormat="1" applyFont="1" applyFill="1" applyBorder="1" applyAlignment="1">
      <alignment horizontal="right"/>
    </xf>
    <xf numFmtId="3" fontId="89" fillId="54" borderId="12" xfId="0" applyNumberFormat="1" applyFont="1" applyFill="1" applyBorder="1" applyAlignment="1">
      <alignment horizontal="right"/>
    </xf>
    <xf numFmtId="174" fontId="0" fillId="0" borderId="12" xfId="46" applyBorder="1" applyAlignment="1">
      <alignment/>
    </xf>
    <xf numFmtId="3" fontId="2" fillId="33" borderId="32" xfId="0" applyNumberFormat="1" applyFont="1" applyFill="1" applyBorder="1" applyAlignment="1">
      <alignment horizontal="center"/>
    </xf>
    <xf numFmtId="3" fontId="8" fillId="40" borderId="16" xfId="0" applyNumberFormat="1" applyFont="1" applyFill="1" applyBorder="1" applyAlignment="1">
      <alignment horizontal="center"/>
    </xf>
    <xf numFmtId="3" fontId="0" fillId="0" borderId="58" xfId="0" applyNumberFormat="1" applyFont="1" applyBorder="1" applyAlignment="1">
      <alignment/>
    </xf>
    <xf numFmtId="3" fontId="0" fillId="48" borderId="58" xfId="0" applyNumberFormat="1" applyFill="1" applyBorder="1" applyAlignment="1">
      <alignment/>
    </xf>
    <xf numFmtId="175" fontId="0" fillId="0" borderId="11" xfId="46" applyNumberFormat="1" applyFont="1" applyBorder="1" applyAlignment="1">
      <alignment/>
    </xf>
    <xf numFmtId="176" fontId="11" fillId="0" borderId="0" xfId="61" applyFont="1" applyAlignment="1">
      <alignment horizontal="center"/>
    </xf>
    <xf numFmtId="3" fontId="18" fillId="0" borderId="0" xfId="0" applyNumberFormat="1" applyFont="1" applyAlignment="1">
      <alignment horizontal="center" vertical="center"/>
    </xf>
    <xf numFmtId="3" fontId="0" fillId="40" borderId="0" xfId="0" applyNumberFormat="1" applyFill="1" applyAlignment="1">
      <alignment horizontal="center"/>
    </xf>
    <xf numFmtId="3" fontId="84" fillId="0" borderId="0" xfId="0" applyNumberFormat="1" applyFont="1" applyAlignment="1">
      <alignment horizontal="center" vertical="center"/>
    </xf>
    <xf numFmtId="175" fontId="0" fillId="0" borderId="0" xfId="46" applyNumberFormat="1" applyFont="1" applyAlignment="1">
      <alignment horizontal="right"/>
    </xf>
    <xf numFmtId="0" fontId="0" fillId="0" borderId="0" xfId="0" applyAlignment="1">
      <alignment/>
    </xf>
    <xf numFmtId="0" fontId="3" fillId="35" borderId="0" xfId="0" applyFont="1" applyFill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 horizontal="center"/>
    </xf>
    <xf numFmtId="0" fontId="0" fillId="35" borderId="44" xfId="0" applyFill="1" applyBorder="1" applyAlignment="1">
      <alignment horizontal="right"/>
    </xf>
    <xf numFmtId="3" fontId="1" fillId="0" borderId="0" xfId="0" applyNumberFormat="1" applyFont="1" applyAlignment="1">
      <alignment horizontal="center" vertical="center" wrapText="1"/>
    </xf>
    <xf numFmtId="176" fontId="7" fillId="0" borderId="0" xfId="61" applyFont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3" fontId="5" fillId="37" borderId="202" xfId="0" applyNumberFormat="1" applyFont="1" applyFill="1" applyBorder="1" applyAlignment="1">
      <alignment horizontal="center" vertical="center"/>
    </xf>
    <xf numFmtId="3" fontId="5" fillId="37" borderId="203" xfId="0" applyNumberFormat="1" applyFont="1" applyFill="1" applyBorder="1" applyAlignment="1">
      <alignment horizontal="center" vertical="center"/>
    </xf>
    <xf numFmtId="3" fontId="2" fillId="33" borderId="204" xfId="0" applyNumberFormat="1" applyFont="1" applyFill="1" applyBorder="1" applyAlignment="1">
      <alignment horizontal="center" vertical="center" wrapText="1"/>
    </xf>
    <xf numFmtId="3" fontId="2" fillId="33" borderId="205" xfId="0" applyNumberFormat="1" applyFont="1" applyFill="1" applyBorder="1" applyAlignment="1">
      <alignment horizontal="center" vertical="center" wrapText="1"/>
    </xf>
    <xf numFmtId="3" fontId="2" fillId="33" borderId="164" xfId="0" applyNumberFormat="1" applyFont="1" applyFill="1" applyBorder="1" applyAlignment="1">
      <alignment horizontal="center" vertical="center" wrapText="1"/>
    </xf>
    <xf numFmtId="3" fontId="2" fillId="33" borderId="206" xfId="0" applyNumberFormat="1" applyFont="1" applyFill="1" applyBorder="1" applyAlignment="1">
      <alignment horizontal="center" vertical="center" wrapText="1"/>
    </xf>
    <xf numFmtId="3" fontId="2" fillId="33" borderId="48" xfId="0" applyNumberFormat="1" applyFont="1" applyFill="1" applyBorder="1" applyAlignment="1">
      <alignment horizontal="center" vertical="center" wrapText="1"/>
    </xf>
    <xf numFmtId="3" fontId="6" fillId="36" borderId="138" xfId="0" applyNumberFormat="1" applyFont="1" applyFill="1" applyBorder="1" applyAlignment="1">
      <alignment horizontal="center" vertical="center"/>
    </xf>
    <xf numFmtId="3" fontId="6" fillId="0" borderId="103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0" fillId="37" borderId="207" xfId="0" applyNumberFormat="1" applyFill="1" applyBorder="1" applyAlignment="1">
      <alignment horizontal="center" vertical="center" wrapText="1"/>
    </xf>
    <xf numFmtId="3" fontId="0" fillId="37" borderId="62" xfId="0" applyNumberForma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2" fillId="37" borderId="131" xfId="0" applyNumberFormat="1" applyFont="1" applyFill="1" applyBorder="1" applyAlignment="1">
      <alignment horizontal="center" vertical="center" wrapText="1"/>
    </xf>
    <xf numFmtId="3" fontId="2" fillId="37" borderId="60" xfId="0" applyNumberFormat="1" applyFont="1" applyFill="1" applyBorder="1" applyAlignment="1">
      <alignment horizontal="center" vertical="center" wrapText="1"/>
    </xf>
    <xf numFmtId="3" fontId="2" fillId="37" borderId="113" xfId="0" applyNumberFormat="1" applyFont="1" applyFill="1" applyBorder="1" applyAlignment="1">
      <alignment horizontal="center" vertical="center" wrapText="1"/>
    </xf>
    <xf numFmtId="3" fontId="2" fillId="37" borderId="13" xfId="0" applyNumberFormat="1" applyFont="1" applyFill="1" applyBorder="1" applyAlignment="1">
      <alignment horizontal="center" vertical="center" wrapText="1"/>
    </xf>
    <xf numFmtId="0" fontId="5" fillId="37" borderId="79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3" fontId="2" fillId="37" borderId="16" xfId="0" applyNumberFormat="1" applyFont="1" applyFill="1" applyBorder="1" applyAlignment="1">
      <alignment horizontal="center" vertical="center" wrapText="1"/>
    </xf>
    <xf numFmtId="176" fontId="11" fillId="0" borderId="0" xfId="61" applyFont="1" applyAlignment="1">
      <alignment horizontal="center" vertical="center" wrapText="1"/>
    </xf>
    <xf numFmtId="176" fontId="6" fillId="0" borderId="0" xfId="61" applyFont="1" applyAlignment="1">
      <alignment horizontal="right" vertical="center"/>
    </xf>
    <xf numFmtId="3" fontId="2" fillId="33" borderId="131" xfId="0" applyNumberFormat="1" applyFont="1" applyFill="1" applyBorder="1" applyAlignment="1">
      <alignment horizontal="center" vertical="center" wrapText="1"/>
    </xf>
    <xf numFmtId="3" fontId="2" fillId="33" borderId="60" xfId="0" applyNumberFormat="1" applyFont="1" applyFill="1" applyBorder="1" applyAlignment="1">
      <alignment horizontal="center" vertical="center" wrapText="1"/>
    </xf>
    <xf numFmtId="3" fontId="2" fillId="33" borderId="114" xfId="0" applyNumberFormat="1" applyFont="1" applyFill="1" applyBorder="1" applyAlignment="1">
      <alignment horizontal="center" vertical="center" wrapText="1"/>
    </xf>
    <xf numFmtId="3" fontId="2" fillId="33" borderId="6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6" fontId="11" fillId="0" borderId="0" xfId="6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 wrapText="1"/>
    </xf>
    <xf numFmtId="3" fontId="4" fillId="33" borderId="208" xfId="0" applyNumberFormat="1" applyFont="1" applyFill="1" applyBorder="1" applyAlignment="1">
      <alignment horizontal="center" vertical="center" wrapText="1"/>
    </xf>
    <xf numFmtId="3" fontId="4" fillId="33" borderId="73" xfId="0" applyNumberFormat="1" applyFont="1" applyFill="1" applyBorder="1" applyAlignment="1">
      <alignment horizontal="center" vertical="center" wrapText="1"/>
    </xf>
    <xf numFmtId="3" fontId="4" fillId="33" borderId="207" xfId="0" applyNumberFormat="1" applyFont="1" applyFill="1" applyBorder="1" applyAlignment="1">
      <alignment horizontal="center" vertical="center" wrapText="1"/>
    </xf>
    <xf numFmtId="3" fontId="4" fillId="33" borderId="6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4" fillId="44" borderId="145" xfId="0" applyNumberFormat="1" applyFont="1" applyFill="1" applyBorder="1" applyAlignment="1">
      <alignment horizontal="center" vertical="center" wrapText="1"/>
    </xf>
    <xf numFmtId="3" fontId="4" fillId="44" borderId="146" xfId="0" applyNumberFormat="1" applyFont="1" applyFill="1" applyBorder="1" applyAlignment="1">
      <alignment horizontal="center" vertical="center" wrapText="1"/>
    </xf>
    <xf numFmtId="3" fontId="4" fillId="44" borderId="133" xfId="0" applyNumberFormat="1" applyFont="1" applyFill="1" applyBorder="1" applyAlignment="1">
      <alignment horizontal="center" vertical="center" wrapText="1"/>
    </xf>
    <xf numFmtId="3" fontId="4" fillId="44" borderId="13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11" fillId="0" borderId="0" xfId="61" applyFont="1" applyAlignment="1">
      <alignment horizontal="center"/>
    </xf>
    <xf numFmtId="0" fontId="5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7" fillId="0" borderId="209" xfId="0" applyNumberFormat="1" applyFont="1" applyBorder="1" applyAlignment="1">
      <alignment horizontal="left" vertical="center" wrapText="1"/>
    </xf>
    <xf numFmtId="3" fontId="17" fillId="0" borderId="12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left" vertical="center" wrapText="1"/>
    </xf>
    <xf numFmtId="3" fontId="2" fillId="33" borderId="80" xfId="0" applyNumberFormat="1" applyFont="1" applyFill="1" applyBorder="1" applyAlignment="1">
      <alignment horizontal="center" vertical="center" wrapText="1"/>
    </xf>
    <xf numFmtId="3" fontId="2" fillId="33" borderId="79" xfId="0" applyNumberFormat="1" applyFont="1" applyFill="1" applyBorder="1" applyAlignment="1">
      <alignment horizontal="center" vertical="center" wrapText="1"/>
    </xf>
    <xf numFmtId="3" fontId="2" fillId="33" borderId="83" xfId="0" applyNumberFormat="1" applyFont="1" applyFill="1" applyBorder="1" applyAlignment="1">
      <alignment horizontal="center" vertical="center" wrapText="1"/>
    </xf>
    <xf numFmtId="3" fontId="2" fillId="33" borderId="75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left" vertical="center" wrapText="1"/>
    </xf>
    <xf numFmtId="3" fontId="7" fillId="0" borderId="210" xfId="0" applyNumberFormat="1" applyFont="1" applyBorder="1" applyAlignment="1">
      <alignment horizontal="left" vertical="center"/>
    </xf>
    <xf numFmtId="0" fontId="6" fillId="40" borderId="0" xfId="0" applyFont="1" applyFill="1" applyAlignment="1">
      <alignment horizontal="right" vertical="center"/>
    </xf>
    <xf numFmtId="3" fontId="2" fillId="43" borderId="194" xfId="0" applyNumberFormat="1" applyFont="1" applyFill="1" applyBorder="1" applyAlignment="1">
      <alignment horizontal="center" vertical="center" wrapText="1"/>
    </xf>
    <xf numFmtId="3" fontId="2" fillId="43" borderId="149" xfId="0" applyNumberFormat="1" applyFont="1" applyFill="1" applyBorder="1" applyAlignment="1">
      <alignment horizontal="center" vertical="center" wrapText="1"/>
    </xf>
    <xf numFmtId="3" fontId="4" fillId="42" borderId="58" xfId="0" applyNumberFormat="1" applyFont="1" applyFill="1" applyBorder="1" applyAlignment="1">
      <alignment horizontal="center" vertical="center" wrapText="1"/>
    </xf>
    <xf numFmtId="3" fontId="2" fillId="42" borderId="58" xfId="0" applyNumberFormat="1" applyFont="1" applyFill="1" applyBorder="1" applyAlignment="1">
      <alignment horizontal="center" vertical="center" wrapText="1"/>
    </xf>
    <xf numFmtId="3" fontId="15" fillId="40" borderId="0" xfId="0" applyNumberFormat="1" applyFont="1" applyFill="1" applyAlignment="1">
      <alignment horizontal="center" vertical="center" wrapText="1"/>
    </xf>
    <xf numFmtId="3" fontId="2" fillId="40" borderId="0" xfId="0" applyNumberFormat="1" applyFont="1" applyFill="1" applyAlignment="1">
      <alignment horizontal="center" vertical="center"/>
    </xf>
    <xf numFmtId="0" fontId="0" fillId="40" borderId="44" xfId="0" applyFill="1" applyBorder="1" applyAlignment="1">
      <alignment horizontal="right" vertical="center"/>
    </xf>
    <xf numFmtId="0" fontId="2" fillId="40" borderId="0" xfId="0" applyFont="1" applyFill="1" applyAlignment="1">
      <alignment horizontal="center"/>
    </xf>
    <xf numFmtId="3" fontId="0" fillId="40" borderId="0" xfId="0" applyNumberFormat="1" applyFill="1" applyAlignment="1">
      <alignment horizontal="center"/>
    </xf>
    <xf numFmtId="0" fontId="5" fillId="40" borderId="0" xfId="0" applyFont="1" applyFill="1" applyAlignment="1">
      <alignment horizontal="center" vertical="center" wrapText="1"/>
    </xf>
    <xf numFmtId="3" fontId="2" fillId="42" borderId="66" xfId="0" applyNumberFormat="1" applyFont="1" applyFill="1" applyBorder="1" applyAlignment="1">
      <alignment horizontal="center" vertical="center" wrapText="1"/>
    </xf>
    <xf numFmtId="0" fontId="2" fillId="43" borderId="80" xfId="0" applyFont="1" applyFill="1" applyBorder="1" applyAlignment="1">
      <alignment horizontal="center" vertical="center" wrapText="1"/>
    </xf>
    <xf numFmtId="0" fontId="2" fillId="43" borderId="211" xfId="0" applyFont="1" applyFill="1" applyBorder="1" applyAlignment="1">
      <alignment horizontal="center" vertical="center" wrapText="1"/>
    </xf>
    <xf numFmtId="0" fontId="2" fillId="43" borderId="212" xfId="0" applyFont="1" applyFill="1" applyBorder="1" applyAlignment="1">
      <alignment horizontal="center" vertical="center" wrapText="1"/>
    </xf>
    <xf numFmtId="0" fontId="2" fillId="43" borderId="48" xfId="0" applyFont="1" applyFill="1" applyBorder="1" applyAlignment="1">
      <alignment horizontal="center" vertical="center" wrapText="1"/>
    </xf>
    <xf numFmtId="3" fontId="0" fillId="40" borderId="196" xfId="0" applyNumberFormat="1" applyFill="1" applyBorder="1" applyAlignment="1">
      <alignment horizontal="center" vertical="center" wrapText="1"/>
    </xf>
    <xf numFmtId="0" fontId="2" fillId="43" borderId="188" xfId="0" applyFont="1" applyFill="1" applyBorder="1" applyAlignment="1">
      <alignment horizontal="center" vertical="center"/>
    </xf>
    <xf numFmtId="0" fontId="2" fillId="43" borderId="159" xfId="0" applyFont="1" applyFill="1" applyBorder="1" applyAlignment="1">
      <alignment horizontal="center" vertical="center"/>
    </xf>
    <xf numFmtId="3" fontId="2" fillId="43" borderId="190" xfId="0" applyNumberFormat="1" applyFont="1" applyFill="1" applyBorder="1" applyAlignment="1">
      <alignment horizontal="center" vertical="center" wrapText="1"/>
    </xf>
    <xf numFmtId="3" fontId="2" fillId="43" borderId="213" xfId="0" applyNumberFormat="1" applyFont="1" applyFill="1" applyBorder="1" applyAlignment="1">
      <alignment horizontal="center" vertical="center" wrapText="1"/>
    </xf>
    <xf numFmtId="0" fontId="6" fillId="40" borderId="0" xfId="0" applyFont="1" applyFill="1" applyAlignment="1">
      <alignment horizontal="right"/>
    </xf>
    <xf numFmtId="3" fontId="0" fillId="40" borderId="0" xfId="0" applyNumberFormat="1" applyFill="1" applyAlignment="1">
      <alignment horizontal="right" vertical="center"/>
    </xf>
    <xf numFmtId="176" fontId="6" fillId="40" borderId="0" xfId="61" applyFont="1" applyFill="1" applyAlignment="1">
      <alignment horizontal="right" vertical="center"/>
    </xf>
    <xf numFmtId="0" fontId="85" fillId="0" borderId="58" xfId="0" applyFont="1" applyBorder="1" applyAlignment="1">
      <alignment horizontal="center" vertical="center" wrapText="1"/>
    </xf>
    <xf numFmtId="176" fontId="83" fillId="0" borderId="0" xfId="61" applyFont="1" applyAlignment="1">
      <alignment horizontal="center"/>
    </xf>
    <xf numFmtId="176" fontId="90" fillId="0" borderId="0" xfId="61" applyFont="1" applyAlignment="1">
      <alignment horizontal="right" vertical="center"/>
    </xf>
    <xf numFmtId="3" fontId="84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center"/>
    </xf>
    <xf numFmtId="0" fontId="82" fillId="0" borderId="0" xfId="0" applyFont="1" applyAlignment="1">
      <alignment horizontal="right" vertical="center"/>
    </xf>
    <xf numFmtId="0" fontId="82" fillId="0" borderId="0" xfId="0" applyFont="1" applyAlignment="1">
      <alignment horizontal="right"/>
    </xf>
    <xf numFmtId="176" fontId="6" fillId="0" borderId="0" xfId="61" applyFont="1" applyAlignment="1">
      <alignment horizontal="right" vertical="center"/>
    </xf>
    <xf numFmtId="3" fontId="2" fillId="0" borderId="0" xfId="0" applyNumberFormat="1" applyFont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76" fontId="7" fillId="0" borderId="0" xfId="6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3" borderId="12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2" fillId="55" borderId="15" xfId="0" applyFont="1" applyFill="1" applyBorder="1" applyAlignment="1">
      <alignment horizontal="left" vertical="center" wrapText="1"/>
    </xf>
    <xf numFmtId="0" fontId="2" fillId="55" borderId="17" xfId="0" applyFont="1" applyFill="1" applyBorder="1" applyAlignment="1">
      <alignment horizontal="left" vertical="center" wrapText="1"/>
    </xf>
    <xf numFmtId="0" fontId="0" fillId="55" borderId="17" xfId="0" applyFill="1" applyBorder="1" applyAlignment="1">
      <alignment horizontal="left" vertical="center" wrapText="1"/>
    </xf>
    <xf numFmtId="0" fontId="0" fillId="0" borderId="44" xfId="0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3" fontId="6" fillId="0" borderId="214" xfId="0" applyNumberFormat="1" applyFont="1" applyBorder="1" applyAlignment="1">
      <alignment horizontal="left" vertical="center"/>
    </xf>
    <xf numFmtId="3" fontId="6" fillId="0" borderId="155" xfId="0" applyNumberFormat="1" applyFont="1" applyBorder="1" applyAlignment="1">
      <alignment horizontal="left" vertical="center"/>
    </xf>
    <xf numFmtId="0" fontId="2" fillId="0" borderId="10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6" fillId="0" borderId="11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left"/>
    </xf>
    <xf numFmtId="3" fontId="2" fillId="0" borderId="70" xfId="0" applyNumberFormat="1" applyFont="1" applyBorder="1" applyAlignment="1">
      <alignment horizontal="left"/>
    </xf>
    <xf numFmtId="3" fontId="32" fillId="0" borderId="58" xfId="0" applyNumberFormat="1" applyFont="1" applyBorder="1" applyAlignment="1">
      <alignment horizontal="left"/>
    </xf>
    <xf numFmtId="0" fontId="32" fillId="0" borderId="103" xfId="0" applyFont="1" applyBorder="1" applyAlignment="1">
      <alignment horizontal="center"/>
    </xf>
    <xf numFmtId="0" fontId="32" fillId="0" borderId="58" xfId="0" applyFont="1" applyBorder="1" applyAlignment="1">
      <alignment horizontal="center"/>
    </xf>
    <xf numFmtId="3" fontId="6" fillId="36" borderId="68" xfId="0" applyNumberFormat="1" applyFont="1" applyFill="1" applyBorder="1" applyAlignment="1">
      <alignment horizontal="left" vertical="center"/>
    </xf>
    <xf numFmtId="0" fontId="5" fillId="39" borderId="150" xfId="0" applyFont="1" applyFill="1" applyBorder="1" applyAlignment="1">
      <alignment horizontal="center"/>
    </xf>
    <xf numFmtId="0" fontId="5" fillId="39" borderId="151" xfId="0" applyFont="1" applyFill="1" applyBorder="1" applyAlignment="1">
      <alignment horizontal="center"/>
    </xf>
    <xf numFmtId="3" fontId="13" fillId="0" borderId="69" xfId="0" applyNumberFormat="1" applyFont="1" applyBorder="1" applyAlignment="1">
      <alignment horizontal="left"/>
    </xf>
    <xf numFmtId="3" fontId="13" fillId="0" borderId="70" xfId="0" applyNumberFormat="1" applyFont="1" applyBorder="1" applyAlignment="1">
      <alignment horizontal="left"/>
    </xf>
    <xf numFmtId="3" fontId="5" fillId="39" borderId="151" xfId="0" applyNumberFormat="1" applyFont="1" applyFill="1" applyBorder="1" applyAlignment="1">
      <alignment horizontal="left" vertical="center"/>
    </xf>
    <xf numFmtId="3" fontId="2" fillId="0" borderId="66" xfId="0" applyNumberFormat="1" applyFont="1" applyBorder="1" applyAlignment="1">
      <alignment horizontal="left"/>
    </xf>
    <xf numFmtId="0" fontId="32" fillId="0" borderId="141" xfId="0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3" fontId="2" fillId="0" borderId="58" xfId="0" applyNumberFormat="1" applyFont="1" applyBorder="1" applyAlignment="1">
      <alignment horizontal="left"/>
    </xf>
    <xf numFmtId="3" fontId="2" fillId="0" borderId="71" xfId="0" applyNumberFormat="1" applyFont="1" applyBorder="1" applyAlignment="1">
      <alignment horizontal="left"/>
    </xf>
    <xf numFmtId="3" fontId="2" fillId="0" borderId="72" xfId="0" applyNumberFormat="1" applyFont="1" applyBorder="1" applyAlignment="1">
      <alignment horizontal="left"/>
    </xf>
    <xf numFmtId="3" fontId="32" fillId="0" borderId="58" xfId="0" applyNumberFormat="1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3" fontId="32" fillId="0" borderId="69" xfId="0" applyNumberFormat="1" applyFont="1" applyBorder="1" applyAlignment="1">
      <alignment horizontal="left"/>
    </xf>
    <xf numFmtId="3" fontId="32" fillId="0" borderId="70" xfId="0" applyNumberFormat="1" applyFont="1" applyBorder="1" applyAlignment="1">
      <alignment horizontal="left"/>
    </xf>
    <xf numFmtId="3" fontId="2" fillId="37" borderId="80" xfId="0" applyNumberFormat="1" applyFont="1" applyFill="1" applyBorder="1" applyAlignment="1">
      <alignment horizontal="center" vertical="center" wrapText="1"/>
    </xf>
    <xf numFmtId="3" fontId="2" fillId="37" borderId="211" xfId="0" applyNumberFormat="1" applyFont="1" applyFill="1" applyBorder="1" applyAlignment="1">
      <alignment horizontal="center" vertical="center" wrapText="1"/>
    </xf>
    <xf numFmtId="3" fontId="2" fillId="37" borderId="212" xfId="0" applyNumberFormat="1" applyFont="1" applyFill="1" applyBorder="1" applyAlignment="1">
      <alignment horizontal="center" vertical="center" wrapText="1"/>
    </xf>
    <xf numFmtId="3" fontId="2" fillId="37" borderId="48" xfId="0" applyNumberFormat="1" applyFont="1" applyFill="1" applyBorder="1" applyAlignment="1">
      <alignment horizontal="center" vertical="center" wrapText="1"/>
    </xf>
    <xf numFmtId="0" fontId="8" fillId="0" borderId="103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58" xfId="0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6" fillId="36" borderId="112" xfId="0" applyFont="1" applyFill="1" applyBorder="1" applyAlignment="1">
      <alignment horizontal="center" vertical="center"/>
    </xf>
    <xf numFmtId="0" fontId="6" fillId="36" borderId="68" xfId="0" applyFont="1" applyFill="1" applyBorder="1" applyAlignment="1">
      <alignment horizontal="center" vertical="center"/>
    </xf>
    <xf numFmtId="3" fontId="2" fillId="0" borderId="84" xfId="0" applyNumberFormat="1" applyFont="1" applyBorder="1" applyAlignment="1">
      <alignment horizontal="left" vertical="center" wrapText="1"/>
    </xf>
    <xf numFmtId="3" fontId="2" fillId="0" borderId="85" xfId="0" applyNumberFormat="1" applyFont="1" applyBorder="1" applyAlignment="1">
      <alignment horizontal="left" vertical="center" wrapText="1"/>
    </xf>
    <xf numFmtId="3" fontId="2" fillId="37" borderId="164" xfId="0" applyNumberFormat="1" applyFont="1" applyFill="1" applyBorder="1" applyAlignment="1">
      <alignment horizontal="center" vertical="center" wrapText="1"/>
    </xf>
    <xf numFmtId="3" fontId="2" fillId="37" borderId="206" xfId="0" applyNumberFormat="1" applyFont="1" applyFill="1" applyBorder="1" applyAlignment="1">
      <alignment horizontal="center" vertical="center" wrapText="1"/>
    </xf>
    <xf numFmtId="0" fontId="2" fillId="0" borderId="140" xfId="0" applyFont="1" applyBorder="1" applyAlignment="1">
      <alignment horizontal="center"/>
    </xf>
    <xf numFmtId="0" fontId="2" fillId="0" borderId="215" xfId="0" applyFont="1" applyBorder="1" applyAlignment="1">
      <alignment horizontal="center"/>
    </xf>
    <xf numFmtId="0" fontId="32" fillId="0" borderId="58" xfId="0" applyFont="1" applyBorder="1" applyAlignment="1">
      <alignment horizontal="left"/>
    </xf>
    <xf numFmtId="3" fontId="32" fillId="0" borderId="197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6" fillId="0" borderId="216" xfId="0" applyNumberFormat="1" applyFont="1" applyBorder="1" applyAlignment="1">
      <alignment horizontal="left"/>
    </xf>
    <xf numFmtId="3" fontId="6" fillId="0" borderId="217" xfId="0" applyNumberFormat="1" applyFont="1" applyBorder="1" applyAlignment="1">
      <alignment horizontal="left"/>
    </xf>
    <xf numFmtId="3" fontId="0" fillId="0" borderId="218" xfId="0" applyNumberFormat="1" applyBorder="1" applyAlignment="1">
      <alignment horizontal="left"/>
    </xf>
    <xf numFmtId="3" fontId="0" fillId="0" borderId="219" xfId="0" applyNumberFormat="1" applyBorder="1" applyAlignment="1">
      <alignment horizontal="left"/>
    </xf>
    <xf numFmtId="3" fontId="13" fillId="0" borderId="197" xfId="0" applyNumberFormat="1" applyFont="1" applyBorder="1" applyAlignment="1">
      <alignment horizontal="right"/>
    </xf>
    <xf numFmtId="3" fontId="13" fillId="0" borderId="70" xfId="0" applyNumberFormat="1" applyFont="1" applyBorder="1" applyAlignment="1">
      <alignment horizontal="right"/>
    </xf>
    <xf numFmtId="0" fontId="6" fillId="0" borderId="202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3" fontId="2" fillId="0" borderId="196" xfId="0" applyNumberFormat="1" applyFont="1" applyBorder="1" applyAlignment="1">
      <alignment horizontal="left"/>
    </xf>
    <xf numFmtId="3" fontId="0" fillId="33" borderId="216" xfId="0" applyNumberFormat="1" applyFill="1" applyBorder="1" applyAlignment="1">
      <alignment horizontal="center" vertical="center"/>
    </xf>
    <xf numFmtId="3" fontId="0" fillId="33" borderId="217" xfId="0" applyNumberFormat="1" applyFill="1" applyBorder="1" applyAlignment="1">
      <alignment horizontal="center" vertical="center"/>
    </xf>
    <xf numFmtId="0" fontId="5" fillId="37" borderId="202" xfId="0" applyFont="1" applyFill="1" applyBorder="1" applyAlignment="1">
      <alignment horizontal="center"/>
    </xf>
    <xf numFmtId="0" fontId="5" fillId="37" borderId="102" xfId="0" applyFont="1" applyFill="1" applyBorder="1" applyAlignment="1">
      <alignment horizontal="center"/>
    </xf>
    <xf numFmtId="3" fontId="2" fillId="33" borderId="208" xfId="0" applyNumberFormat="1" applyFont="1" applyFill="1" applyBorder="1" applyAlignment="1">
      <alignment horizontal="center" vertical="center" wrapText="1"/>
    </xf>
    <xf numFmtId="3" fontId="2" fillId="33" borderId="220" xfId="0" applyNumberFormat="1" applyFont="1" applyFill="1" applyBorder="1" applyAlignment="1">
      <alignment horizontal="center" vertical="center" wrapText="1"/>
    </xf>
    <xf numFmtId="3" fontId="2" fillId="33" borderId="221" xfId="0" applyNumberFormat="1" applyFont="1" applyFill="1" applyBorder="1" applyAlignment="1">
      <alignment horizontal="center" vertical="center" wrapText="1"/>
    </xf>
    <xf numFmtId="3" fontId="2" fillId="33" borderId="222" xfId="0" applyNumberFormat="1" applyFont="1" applyFill="1" applyBorder="1" applyAlignment="1">
      <alignment horizontal="center" vertical="center" wrapText="1"/>
    </xf>
    <xf numFmtId="3" fontId="2" fillId="33" borderId="133" xfId="0" applyNumberFormat="1" applyFont="1" applyFill="1" applyBorder="1" applyAlignment="1">
      <alignment horizontal="center" vertical="center" wrapText="1"/>
    </xf>
    <xf numFmtId="3" fontId="2" fillId="33" borderId="137" xfId="0" applyNumberFormat="1" applyFont="1" applyFill="1" applyBorder="1" applyAlignment="1">
      <alignment horizontal="center" vertical="center" wrapText="1"/>
    </xf>
    <xf numFmtId="0" fontId="2" fillId="0" borderId="96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223" xfId="0" applyBorder="1" applyAlignment="1">
      <alignment horizontal="center"/>
    </xf>
    <xf numFmtId="0" fontId="7" fillId="0" borderId="0" xfId="0" applyFont="1" applyAlignment="1">
      <alignment horizontal="right" vertical="center"/>
    </xf>
    <xf numFmtId="3" fontId="6" fillId="0" borderId="101" xfId="0" applyNumberFormat="1" applyFont="1" applyBorder="1" applyAlignment="1">
      <alignment horizontal="left"/>
    </xf>
    <xf numFmtId="3" fontId="6" fillId="0" borderId="147" xfId="0" applyNumberFormat="1" applyFont="1" applyBorder="1" applyAlignment="1">
      <alignment horizontal="left"/>
    </xf>
    <xf numFmtId="3" fontId="2" fillId="33" borderId="145" xfId="0" applyNumberFormat="1" applyFont="1" applyFill="1" applyBorder="1" applyAlignment="1">
      <alignment horizontal="center" vertical="center" wrapText="1"/>
    </xf>
    <xf numFmtId="3" fontId="2" fillId="33" borderId="136" xfId="0" applyNumberFormat="1" applyFont="1" applyFill="1" applyBorder="1" applyAlignment="1">
      <alignment horizontal="center" vertical="center" wrapText="1"/>
    </xf>
    <xf numFmtId="3" fontId="2" fillId="33" borderId="219" xfId="0" applyNumberFormat="1" applyFont="1" applyFill="1" applyBorder="1" applyAlignment="1">
      <alignment horizontal="center" vertical="center"/>
    </xf>
    <xf numFmtId="3" fontId="2" fillId="33" borderId="146" xfId="0" applyNumberFormat="1" applyFont="1" applyFill="1" applyBorder="1" applyAlignment="1">
      <alignment horizontal="center" vertical="center"/>
    </xf>
    <xf numFmtId="0" fontId="0" fillId="0" borderId="156" xfId="0" applyBorder="1" applyAlignment="1">
      <alignment horizontal="center"/>
    </xf>
    <xf numFmtId="0" fontId="0" fillId="0" borderId="224" xfId="0" applyBorder="1" applyAlignment="1">
      <alignment horizontal="center"/>
    </xf>
    <xf numFmtId="0" fontId="32" fillId="0" borderId="89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225" xfId="0" applyBorder="1" applyAlignment="1">
      <alignment horizontal="center"/>
    </xf>
    <xf numFmtId="3" fontId="0" fillId="0" borderId="217" xfId="0" applyNumberFormat="1" applyBorder="1" applyAlignment="1">
      <alignment horizontal="left"/>
    </xf>
    <xf numFmtId="3" fontId="0" fillId="0" borderId="134" xfId="0" applyNumberFormat="1" applyBorder="1" applyAlignment="1">
      <alignment horizontal="left"/>
    </xf>
    <xf numFmtId="3" fontId="0" fillId="0" borderId="187" xfId="0" applyNumberFormat="1" applyBorder="1" applyAlignment="1">
      <alignment horizontal="center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3" fontId="8" fillId="0" borderId="69" xfId="0" applyNumberFormat="1" applyFont="1" applyBorder="1" applyAlignment="1">
      <alignment horizontal="left"/>
    </xf>
    <xf numFmtId="3" fontId="8" fillId="0" borderId="70" xfId="0" applyNumberFormat="1" applyFont="1" applyBorder="1" applyAlignment="1">
      <alignment horizontal="left"/>
    </xf>
    <xf numFmtId="3" fontId="2" fillId="0" borderId="226" xfId="0" applyNumberFormat="1" applyFont="1" applyBorder="1" applyAlignment="1">
      <alignment horizontal="center"/>
    </xf>
    <xf numFmtId="3" fontId="6" fillId="0" borderId="178" xfId="0" applyNumberFormat="1" applyFont="1" applyBorder="1" applyAlignment="1">
      <alignment horizontal="center" vertical="center"/>
    </xf>
    <xf numFmtId="3" fontId="6" fillId="0" borderId="227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left"/>
    </xf>
    <xf numFmtId="3" fontId="8" fillId="0" borderId="228" xfId="0" applyNumberFormat="1" applyFont="1" applyBorder="1" applyAlignment="1">
      <alignment horizontal="center"/>
    </xf>
    <xf numFmtId="3" fontId="8" fillId="0" borderId="229" xfId="0" applyNumberFormat="1" applyFont="1" applyBorder="1" applyAlignment="1">
      <alignment horizontal="center"/>
    </xf>
    <xf numFmtId="3" fontId="8" fillId="0" borderId="230" xfId="0" applyNumberFormat="1" applyFont="1" applyBorder="1" applyAlignment="1">
      <alignment horizontal="center"/>
    </xf>
    <xf numFmtId="3" fontId="8" fillId="0" borderId="231" xfId="0" applyNumberFormat="1" applyFont="1" applyBorder="1" applyAlignment="1">
      <alignment horizontal="center"/>
    </xf>
    <xf numFmtId="3" fontId="8" fillId="0" borderId="58" xfId="0" applyNumberFormat="1" applyFont="1" applyBorder="1" applyAlignment="1">
      <alignment horizontal="center"/>
    </xf>
    <xf numFmtId="3" fontId="8" fillId="0" borderId="58" xfId="0" applyNumberFormat="1" applyFont="1" applyBorder="1" applyAlignment="1">
      <alignment horizontal="left"/>
    </xf>
    <xf numFmtId="3" fontId="2" fillId="0" borderId="232" xfId="0" applyNumberFormat="1" applyFont="1" applyBorder="1" applyAlignment="1">
      <alignment horizontal="left" wrapText="1"/>
    </xf>
    <xf numFmtId="3" fontId="2" fillId="0" borderId="233" xfId="0" applyNumberFormat="1" applyFont="1" applyBorder="1" applyAlignment="1">
      <alignment horizontal="left" wrapText="1"/>
    </xf>
    <xf numFmtId="3" fontId="0" fillId="0" borderId="234" xfId="0" applyNumberFormat="1" applyBorder="1" applyAlignment="1">
      <alignment horizontal="center"/>
    </xf>
    <xf numFmtId="3" fontId="0" fillId="0" borderId="235" xfId="0" applyNumberFormat="1" applyBorder="1" applyAlignment="1">
      <alignment horizontal="center"/>
    </xf>
    <xf numFmtId="3" fontId="8" fillId="0" borderId="235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left"/>
    </xf>
    <xf numFmtId="3" fontId="8" fillId="0" borderId="236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left"/>
    </xf>
    <xf numFmtId="3" fontId="6" fillId="0" borderId="52" xfId="0" applyNumberFormat="1" applyFont="1" applyBorder="1" applyAlignment="1">
      <alignment horizontal="center"/>
    </xf>
    <xf numFmtId="3" fontId="6" fillId="0" borderId="237" xfId="0" applyNumberFormat="1" applyFont="1" applyBorder="1" applyAlignment="1">
      <alignment horizontal="center"/>
    </xf>
    <xf numFmtId="3" fontId="5" fillId="37" borderId="238" xfId="0" applyNumberFormat="1" applyFont="1" applyFill="1" applyBorder="1" applyAlignment="1">
      <alignment horizontal="center"/>
    </xf>
    <xf numFmtId="3" fontId="2" fillId="33" borderId="239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4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8" fillId="36" borderId="141" xfId="0" applyFont="1" applyFill="1" applyBorder="1" applyAlignment="1">
      <alignment horizontal="right"/>
    </xf>
    <xf numFmtId="0" fontId="8" fillId="36" borderId="70" xfId="0" applyFont="1" applyFill="1" applyBorder="1" applyAlignment="1">
      <alignment horizontal="right"/>
    </xf>
    <xf numFmtId="0" fontId="8" fillId="0" borderId="241" xfId="0" applyFont="1" applyBorder="1" applyAlignment="1">
      <alignment horizontal="right"/>
    </xf>
    <xf numFmtId="0" fontId="8" fillId="0" borderId="217" xfId="0" applyFont="1" applyBorder="1" applyAlignment="1">
      <alignment horizontal="right"/>
    </xf>
    <xf numFmtId="3" fontId="15" fillId="37" borderId="138" xfId="0" applyNumberFormat="1" applyFont="1" applyFill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3" fontId="0" fillId="0" borderId="211" xfId="0" applyNumberFormat="1" applyBorder="1" applyAlignment="1">
      <alignment horizontal="center" vertical="center"/>
    </xf>
    <xf numFmtId="3" fontId="0" fillId="0" borderId="156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03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2" fillId="33" borderId="242" xfId="0" applyNumberFormat="1" applyFont="1" applyFill="1" applyBorder="1" applyAlignment="1">
      <alignment horizontal="center" vertical="center" wrapText="1"/>
    </xf>
    <xf numFmtId="3" fontId="2" fillId="33" borderId="50" xfId="0" applyNumberFormat="1" applyFont="1" applyFill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left" vertical="center"/>
    </xf>
    <xf numFmtId="3" fontId="6" fillId="0" borderId="111" xfId="0" applyNumberFormat="1" applyFont="1" applyBorder="1" applyAlignment="1">
      <alignment horizontal="left" vertical="center"/>
    </xf>
    <xf numFmtId="3" fontId="8" fillId="0" borderId="33" xfId="0" applyNumberFormat="1" applyFont="1" applyBorder="1" applyAlignment="1">
      <alignment horizontal="left"/>
    </xf>
    <xf numFmtId="3" fontId="8" fillId="0" borderId="31" xfId="0" applyNumberFormat="1" applyFont="1" applyBorder="1" applyAlignment="1">
      <alignment horizontal="left"/>
    </xf>
    <xf numFmtId="3" fontId="2" fillId="33" borderId="243" xfId="0" applyNumberFormat="1" applyFont="1" applyFill="1" applyBorder="1" applyAlignment="1">
      <alignment horizontal="center" vertical="center" wrapText="1"/>
    </xf>
    <xf numFmtId="3" fontId="2" fillId="33" borderId="138" xfId="0" applyNumberFormat="1" applyFont="1" applyFill="1" applyBorder="1" applyAlignment="1">
      <alignment horizontal="center" vertical="center" wrapText="1"/>
    </xf>
    <xf numFmtId="3" fontId="2" fillId="33" borderId="211" xfId="0" applyNumberFormat="1" applyFont="1" applyFill="1" applyBorder="1" applyAlignment="1">
      <alignment horizontal="center" vertical="center" wrapText="1"/>
    </xf>
    <xf numFmtId="3" fontId="8" fillId="42" borderId="69" xfId="0" applyNumberFormat="1" applyFont="1" applyFill="1" applyBorder="1" applyAlignment="1">
      <alignment horizontal="left" vertical="center"/>
    </xf>
    <xf numFmtId="3" fontId="8" fillId="42" borderId="70" xfId="0" applyNumberFormat="1" applyFont="1" applyFill="1" applyBorder="1" applyAlignment="1">
      <alignment horizontal="left" vertical="center"/>
    </xf>
    <xf numFmtId="3" fontId="6" fillId="0" borderId="68" xfId="0" applyNumberFormat="1" applyFont="1" applyBorder="1" applyAlignment="1">
      <alignment horizontal="left" vertical="center"/>
    </xf>
    <xf numFmtId="3" fontId="13" fillId="0" borderId="134" xfId="0" applyNumberFormat="1" applyFont="1" applyBorder="1" applyAlignment="1">
      <alignment horizontal="left"/>
    </xf>
    <xf numFmtId="3" fontId="2" fillId="33" borderId="21" xfId="0" applyNumberFormat="1" applyFont="1" applyFill="1" applyBorder="1" applyAlignment="1">
      <alignment horizontal="center" vertical="center"/>
    </xf>
    <xf numFmtId="3" fontId="2" fillId="0" borderId="188" xfId="0" applyNumberFormat="1" applyFont="1" applyBorder="1" applyAlignment="1">
      <alignment horizontal="left"/>
    </xf>
    <xf numFmtId="3" fontId="2" fillId="0" borderId="244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2" fillId="0" borderId="30" xfId="0" applyNumberFormat="1" applyFont="1" applyBorder="1" applyAlignment="1">
      <alignment horizontal="left"/>
    </xf>
    <xf numFmtId="3" fontId="2" fillId="42" borderId="69" xfId="0" applyNumberFormat="1" applyFont="1" applyFill="1" applyBorder="1" applyAlignment="1">
      <alignment horizontal="left" vertical="center"/>
    </xf>
    <xf numFmtId="3" fontId="2" fillId="42" borderId="70" xfId="0" applyNumberFormat="1" applyFont="1" applyFill="1" applyBorder="1" applyAlignment="1">
      <alignment horizontal="left" vertical="center"/>
    </xf>
    <xf numFmtId="3" fontId="2" fillId="33" borderId="79" xfId="0" applyNumberFormat="1" applyFont="1" applyFill="1" applyBorder="1" applyAlignment="1">
      <alignment horizontal="center" vertical="center"/>
    </xf>
    <xf numFmtId="3" fontId="5" fillId="46" borderId="68" xfId="0" applyNumberFormat="1" applyFont="1" applyFill="1" applyBorder="1" applyAlignment="1">
      <alignment horizontal="left" vertical="center"/>
    </xf>
    <xf numFmtId="3" fontId="8" fillId="0" borderId="11" xfId="0" applyNumberFormat="1" applyFont="1" applyBorder="1" applyAlignment="1">
      <alignment horizontal="left"/>
    </xf>
    <xf numFmtId="3" fontId="8" fillId="0" borderId="30" xfId="0" applyNumberFormat="1" applyFont="1" applyBorder="1" applyAlignment="1">
      <alignment horizontal="left"/>
    </xf>
    <xf numFmtId="0" fontId="25" fillId="0" borderId="0" xfId="0" applyFont="1" applyAlignment="1">
      <alignment horizontal="center"/>
    </xf>
    <xf numFmtId="3" fontId="25" fillId="33" borderId="80" xfId="0" applyNumberFormat="1" applyFont="1" applyFill="1" applyBorder="1" applyAlignment="1">
      <alignment horizontal="center" vertical="center" wrapText="1"/>
    </xf>
    <xf numFmtId="3" fontId="25" fillId="33" borderId="79" xfId="0" applyNumberFormat="1" applyFont="1" applyFill="1" applyBorder="1" applyAlignment="1">
      <alignment horizontal="center" vertical="center" wrapText="1"/>
    </xf>
    <xf numFmtId="3" fontId="25" fillId="33" borderId="7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3" fontId="25" fillId="33" borderId="83" xfId="0" applyNumberFormat="1" applyFont="1" applyFill="1" applyBorder="1" applyAlignment="1">
      <alignment horizontal="center" vertical="center" wrapText="1"/>
    </xf>
    <xf numFmtId="3" fontId="25" fillId="33" borderId="75" xfId="0" applyNumberFormat="1" applyFont="1" applyFill="1" applyBorder="1" applyAlignment="1">
      <alignment horizontal="center" vertical="center" wrapText="1"/>
    </xf>
    <xf numFmtId="3" fontId="25" fillId="33" borderId="75" xfId="0" applyNumberFormat="1" applyFont="1" applyFill="1" applyBorder="1" applyAlignment="1">
      <alignment horizontal="center" vertical="center"/>
    </xf>
    <xf numFmtId="3" fontId="32" fillId="0" borderId="245" xfId="0" applyNumberFormat="1" applyFont="1" applyBorder="1" applyAlignment="1">
      <alignment horizontal="left" wrapText="1"/>
    </xf>
    <xf numFmtId="3" fontId="32" fillId="0" borderId="246" xfId="0" applyNumberFormat="1" applyFont="1" applyBorder="1" applyAlignment="1">
      <alignment horizontal="left" wrapText="1"/>
    </xf>
    <xf numFmtId="3" fontId="32" fillId="0" borderId="247" xfId="0" applyNumberFormat="1" applyFont="1" applyBorder="1" applyAlignment="1">
      <alignment horizontal="left" wrapText="1"/>
    </xf>
    <xf numFmtId="3" fontId="32" fillId="0" borderId="229" xfId="0" applyNumberFormat="1" applyFont="1" applyBorder="1" applyAlignment="1">
      <alignment horizontal="left" wrapText="1"/>
    </xf>
    <xf numFmtId="3" fontId="32" fillId="0" borderId="67" xfId="0" applyNumberFormat="1" applyFont="1" applyBorder="1" applyAlignment="1">
      <alignment horizontal="left" wrapText="1"/>
    </xf>
    <xf numFmtId="3" fontId="0" fillId="0" borderId="248" xfId="0" applyNumberFormat="1" applyBorder="1" applyAlignment="1">
      <alignment horizontal="left" vertical="center" wrapText="1"/>
    </xf>
    <xf numFmtId="3" fontId="0" fillId="0" borderId="249" xfId="0" applyNumberFormat="1" applyBorder="1" applyAlignment="1">
      <alignment horizontal="left" vertical="center" wrapText="1"/>
    </xf>
    <xf numFmtId="3" fontId="32" fillId="0" borderId="250" xfId="0" applyNumberFormat="1" applyFont="1" applyBorder="1" applyAlignment="1">
      <alignment horizontal="left" vertical="center"/>
    </xf>
    <xf numFmtId="3" fontId="32" fillId="0" borderId="251" xfId="0" applyNumberFormat="1" applyFont="1" applyBorder="1" applyAlignment="1">
      <alignment horizontal="left" vertical="center"/>
    </xf>
    <xf numFmtId="3" fontId="25" fillId="33" borderId="58" xfId="0" applyNumberFormat="1" applyFont="1" applyFill="1" applyBorder="1" applyAlignment="1">
      <alignment horizontal="center" vertical="center" wrapText="1"/>
    </xf>
    <xf numFmtId="3" fontId="25" fillId="33" borderId="14" xfId="0" applyNumberFormat="1" applyFont="1" applyFill="1" applyBorder="1" applyAlignment="1">
      <alignment horizontal="center" vertical="center" wrapText="1"/>
    </xf>
    <xf numFmtId="3" fontId="2" fillId="0" borderId="252" xfId="0" applyNumberFormat="1" applyFont="1" applyBorder="1" applyAlignment="1">
      <alignment horizontal="left" vertical="center" wrapText="1"/>
    </xf>
    <xf numFmtId="3" fontId="2" fillId="0" borderId="253" xfId="0" applyNumberFormat="1" applyFont="1" applyBorder="1" applyAlignment="1">
      <alignment horizontal="left" vertical="center" wrapText="1"/>
    </xf>
    <xf numFmtId="175" fontId="25" fillId="0" borderId="12" xfId="46" applyNumberFormat="1" applyFont="1" applyBorder="1" applyAlignment="1">
      <alignment horizontal="left" vertical="center" wrapText="1"/>
    </xf>
    <xf numFmtId="175" fontId="25" fillId="0" borderId="11" xfId="46" applyNumberFormat="1" applyFont="1" applyBorder="1" applyAlignment="1">
      <alignment horizontal="left"/>
    </xf>
    <xf numFmtId="175" fontId="25" fillId="0" borderId="30" xfId="46" applyNumberFormat="1" applyFont="1" applyBorder="1" applyAlignment="1">
      <alignment horizontal="left"/>
    </xf>
    <xf numFmtId="175" fontId="25" fillId="0" borderId="12" xfId="46" applyNumberFormat="1" applyFont="1" applyBorder="1" applyAlignment="1">
      <alignment horizontal="left"/>
    </xf>
    <xf numFmtId="175" fontId="19" fillId="0" borderId="188" xfId="46" applyNumberFormat="1" applyFont="1" applyBorder="1" applyAlignment="1">
      <alignment horizontal="left"/>
    </xf>
    <xf numFmtId="175" fontId="19" fillId="0" borderId="244" xfId="46" applyNumberFormat="1" applyFont="1" applyBorder="1" applyAlignment="1">
      <alignment horizontal="left"/>
    </xf>
    <xf numFmtId="3" fontId="32" fillId="0" borderId="247" xfId="0" applyNumberFormat="1" applyFont="1" applyBorder="1" applyAlignment="1">
      <alignment horizontal="left" vertical="center"/>
    </xf>
    <xf numFmtId="3" fontId="32" fillId="0" borderId="229" xfId="0" applyNumberFormat="1" applyFont="1" applyBorder="1" applyAlignment="1">
      <alignment horizontal="left" vertical="center"/>
    </xf>
    <xf numFmtId="3" fontId="0" fillId="40" borderId="254" xfId="0" applyNumberFormat="1" applyFill="1" applyBorder="1" applyAlignment="1">
      <alignment horizontal="left" wrapText="1"/>
    </xf>
    <xf numFmtId="3" fontId="0" fillId="40" borderId="255" xfId="0" applyNumberFormat="1" applyFill="1" applyBorder="1" applyAlignment="1">
      <alignment horizontal="left" wrapText="1"/>
    </xf>
    <xf numFmtId="3" fontId="32" fillId="0" borderId="254" xfId="0" applyNumberFormat="1" applyFont="1" applyBorder="1" applyAlignment="1">
      <alignment horizontal="left"/>
    </xf>
    <xf numFmtId="3" fontId="32" fillId="0" borderId="255" xfId="0" applyNumberFormat="1" applyFont="1" applyBorder="1" applyAlignment="1">
      <alignment horizontal="left"/>
    </xf>
    <xf numFmtId="3" fontId="32" fillId="0" borderId="254" xfId="0" applyNumberFormat="1" applyFont="1" applyBorder="1" applyAlignment="1">
      <alignment horizontal="center"/>
    </xf>
    <xf numFmtId="3" fontId="32" fillId="0" borderId="255" xfId="0" applyNumberFormat="1" applyFont="1" applyBorder="1" applyAlignment="1">
      <alignment horizontal="center"/>
    </xf>
    <xf numFmtId="3" fontId="32" fillId="0" borderId="247" xfId="0" applyNumberFormat="1" applyFont="1" applyBorder="1" applyAlignment="1">
      <alignment horizontal="left" vertical="center" wrapText="1"/>
    </xf>
    <xf numFmtId="3" fontId="32" fillId="0" borderId="229" xfId="0" applyNumberFormat="1" applyFont="1" applyBorder="1" applyAlignment="1">
      <alignment horizontal="left" vertical="center" wrapText="1"/>
    </xf>
    <xf numFmtId="3" fontId="32" fillId="0" borderId="256" xfId="0" applyNumberFormat="1" applyFont="1" applyBorder="1" applyAlignment="1">
      <alignment horizontal="left"/>
    </xf>
    <xf numFmtId="3" fontId="32" fillId="0" borderId="257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 vertical="center" wrapText="1"/>
    </xf>
    <xf numFmtId="3" fontId="0" fillId="0" borderId="30" xfId="0" applyNumberFormat="1" applyBorder="1" applyAlignment="1">
      <alignment horizontal="left" vertical="center" wrapText="1"/>
    </xf>
    <xf numFmtId="3" fontId="32" fillId="0" borderId="11" xfId="0" applyNumberFormat="1" applyFont="1" applyBorder="1" applyAlignment="1">
      <alignment horizontal="left" vertical="center" wrapText="1"/>
    </xf>
    <xf numFmtId="3" fontId="32" fillId="0" borderId="30" xfId="0" applyNumberFormat="1" applyFont="1" applyBorder="1" applyAlignment="1">
      <alignment horizontal="left" vertical="center" wrapText="1"/>
    </xf>
    <xf numFmtId="3" fontId="32" fillId="0" borderId="252" xfId="0" applyNumberFormat="1" applyFont="1" applyBorder="1" applyAlignment="1">
      <alignment horizontal="left" vertical="center"/>
    </xf>
    <xf numFmtId="3" fontId="32" fillId="0" borderId="253" xfId="0" applyNumberFormat="1" applyFont="1" applyBorder="1" applyAlignment="1">
      <alignment horizontal="left" vertical="center"/>
    </xf>
    <xf numFmtId="175" fontId="25" fillId="0" borderId="11" xfId="46" applyNumberFormat="1" applyFont="1" applyBorder="1" applyAlignment="1">
      <alignment horizontal="left" vertical="center" wrapText="1"/>
    </xf>
    <xf numFmtId="175" fontId="25" fillId="0" borderId="30" xfId="46" applyNumberFormat="1" applyFont="1" applyBorder="1" applyAlignment="1">
      <alignment horizontal="left" vertical="center" wrapText="1"/>
    </xf>
    <xf numFmtId="3" fontId="0" fillId="0" borderId="258" xfId="0" applyNumberFormat="1" applyBorder="1" applyAlignment="1">
      <alignment horizontal="left" vertical="center"/>
    </xf>
    <xf numFmtId="3" fontId="0" fillId="0" borderId="259" xfId="0" applyNumberFormat="1" applyBorder="1" applyAlignment="1">
      <alignment horizontal="left" vertical="center"/>
    </xf>
    <xf numFmtId="3" fontId="0" fillId="0" borderId="254" xfId="0" applyNumberFormat="1" applyBorder="1" applyAlignment="1">
      <alignment horizontal="left" vertical="center"/>
    </xf>
    <xf numFmtId="3" fontId="0" fillId="0" borderId="255" xfId="0" applyNumberFormat="1" applyBorder="1" applyAlignment="1">
      <alignment horizontal="left" vertical="center"/>
    </xf>
    <xf numFmtId="175" fontId="21" fillId="0" borderId="53" xfId="46" applyNumberFormat="1" applyFont="1" applyBorder="1" applyAlignment="1">
      <alignment horizontal="left"/>
    </xf>
    <xf numFmtId="175" fontId="21" fillId="0" borderId="111" xfId="46" applyNumberFormat="1" applyFont="1" applyBorder="1" applyAlignment="1">
      <alignment horizontal="left"/>
    </xf>
    <xf numFmtId="175" fontId="19" fillId="0" borderId="58" xfId="46" applyNumberFormat="1" applyFont="1" applyBorder="1" applyAlignment="1">
      <alignment horizontal="left"/>
    </xf>
    <xf numFmtId="175" fontId="27" fillId="0" borderId="58" xfId="46" applyNumberFormat="1" applyFont="1" applyBorder="1" applyAlignment="1">
      <alignment horizontal="center"/>
    </xf>
    <xf numFmtId="175" fontId="25" fillId="0" borderId="33" xfId="46" applyNumberFormat="1" applyFont="1" applyBorder="1" applyAlignment="1">
      <alignment horizontal="left"/>
    </xf>
    <xf numFmtId="175" fontId="25" fillId="0" borderId="31" xfId="46" applyNumberFormat="1" applyFont="1" applyBorder="1" applyAlignment="1">
      <alignment horizontal="left"/>
    </xf>
    <xf numFmtId="175" fontId="21" fillId="0" borderId="185" xfId="46" applyNumberFormat="1" applyFont="1" applyBorder="1" applyAlignment="1">
      <alignment horizontal="left"/>
    </xf>
    <xf numFmtId="175" fontId="21" fillId="0" borderId="260" xfId="46" applyNumberFormat="1" applyFont="1" applyBorder="1" applyAlignment="1">
      <alignment horizontal="left"/>
    </xf>
    <xf numFmtId="3" fontId="0" fillId="0" borderId="256" xfId="0" applyNumberFormat="1" applyBorder="1" applyAlignment="1">
      <alignment horizontal="left" vertical="center"/>
    </xf>
    <xf numFmtId="3" fontId="0" fillId="0" borderId="257" xfId="0" applyNumberFormat="1" applyBorder="1" applyAlignment="1">
      <alignment horizontal="left" vertical="center"/>
    </xf>
    <xf numFmtId="3" fontId="0" fillId="0" borderId="252" xfId="0" applyNumberFormat="1" applyBorder="1" applyAlignment="1">
      <alignment horizontal="left" vertical="center"/>
    </xf>
    <xf numFmtId="3" fontId="0" fillId="0" borderId="253" xfId="0" applyNumberFormat="1" applyBorder="1" applyAlignment="1">
      <alignment horizontal="left" vertical="center"/>
    </xf>
    <xf numFmtId="175" fontId="19" fillId="0" borderId="33" xfId="46" applyNumberFormat="1" applyFont="1" applyBorder="1" applyAlignment="1">
      <alignment horizontal="left"/>
    </xf>
    <xf numFmtId="175" fontId="19" fillId="0" borderId="31" xfId="46" applyNumberFormat="1" applyFont="1" applyBorder="1" applyAlignment="1">
      <alignment horizontal="left"/>
    </xf>
    <xf numFmtId="0" fontId="2" fillId="0" borderId="140" xfId="0" applyFont="1" applyBorder="1" applyAlignment="1">
      <alignment horizontal="center" vertical="center" wrapText="1"/>
    </xf>
    <xf numFmtId="0" fontId="2" fillId="0" borderId="243" xfId="0" applyFont="1" applyBorder="1" applyAlignment="1">
      <alignment horizontal="center" vertical="center" wrapText="1"/>
    </xf>
    <xf numFmtId="0" fontId="2" fillId="0" borderId="261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2" fillId="0" borderId="262" xfId="0" applyFont="1" applyBorder="1" applyAlignment="1">
      <alignment horizontal="center" vertical="center"/>
    </xf>
    <xf numFmtId="0" fontId="2" fillId="0" borderId="263" xfId="0" applyFont="1" applyBorder="1" applyAlignment="1">
      <alignment horizontal="center" vertical="center"/>
    </xf>
    <xf numFmtId="0" fontId="5" fillId="50" borderId="178" xfId="0" applyFont="1" applyFill="1" applyBorder="1" applyAlignment="1">
      <alignment horizontal="center"/>
    </xf>
    <xf numFmtId="0" fontId="5" fillId="50" borderId="155" xfId="0" applyFont="1" applyFill="1" applyBorder="1" applyAlignment="1">
      <alignment horizontal="center"/>
    </xf>
    <xf numFmtId="0" fontId="2" fillId="0" borderId="145" xfId="0" applyFont="1" applyBorder="1" applyAlignment="1">
      <alignment horizontal="center" vertical="center" wrapText="1"/>
    </xf>
    <xf numFmtId="0" fontId="2" fillId="0" borderId="146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146" xfId="0" applyFont="1" applyBorder="1" applyAlignment="1">
      <alignment horizontal="center"/>
    </xf>
    <xf numFmtId="0" fontId="2" fillId="0" borderId="136" xfId="0" applyFont="1" applyBorder="1" applyAlignment="1">
      <alignment horizontal="center"/>
    </xf>
    <xf numFmtId="0" fontId="5" fillId="0" borderId="178" xfId="0" applyFont="1" applyBorder="1" applyAlignment="1">
      <alignment horizontal="center"/>
    </xf>
    <xf numFmtId="0" fontId="5" fillId="0" borderId="15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48" xfId="0" applyFont="1" applyBorder="1" applyAlignment="1">
      <alignment horizontal="center"/>
    </xf>
    <xf numFmtId="0" fontId="5" fillId="0" borderId="260" xfId="0" applyFont="1" applyBorder="1" applyAlignment="1">
      <alignment horizontal="center"/>
    </xf>
    <xf numFmtId="0" fontId="2" fillId="0" borderId="10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3" fontId="1" fillId="35" borderId="0" xfId="0" applyNumberFormat="1" applyFont="1" applyFill="1" applyAlignment="1">
      <alignment horizontal="center" vertical="center" wrapText="1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 wrapText="1"/>
    </xf>
    <xf numFmtId="0" fontId="2" fillId="35" borderId="49" xfId="0" applyFont="1" applyFill="1" applyBorder="1" applyAlignment="1">
      <alignment horizontal="center"/>
    </xf>
    <xf numFmtId="3" fontId="2" fillId="33" borderId="3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75" fontId="0" fillId="0" borderId="0" xfId="46" applyNumberFormat="1" applyFont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48" xfId="57" applyFont="1" applyBorder="1" applyAlignment="1" applyProtection="1">
      <alignment horizontal="left" indent="1"/>
      <protection locked="0"/>
    </xf>
    <xf numFmtId="0" fontId="0" fillId="0" borderId="49" xfId="57" applyFont="1" applyBorder="1" applyAlignment="1" applyProtection="1">
      <alignment horizontal="right" indent="1"/>
      <protection locked="0"/>
    </xf>
    <xf numFmtId="0" fontId="0" fillId="0" borderId="24" xfId="57" applyFont="1" applyBorder="1" applyAlignment="1" applyProtection="1">
      <alignment horizontal="left" indent="1"/>
      <protection locked="0"/>
    </xf>
    <xf numFmtId="0" fontId="0" fillId="0" borderId="39" xfId="57" applyFont="1" applyBorder="1" applyAlignment="1" applyProtection="1">
      <alignment horizontal="right" indent="1"/>
      <protection locked="0"/>
    </xf>
    <xf numFmtId="0" fontId="2" fillId="0" borderId="22" xfId="57" applyFont="1" applyBorder="1" applyAlignment="1">
      <alignment horizontal="left" indent="1"/>
      <protection/>
    </xf>
    <xf numFmtId="0" fontId="2" fillId="0" borderId="36" xfId="57" applyFont="1" applyBorder="1" applyAlignment="1">
      <alignment horizontal="right" indent="1"/>
      <protection/>
    </xf>
    <xf numFmtId="0" fontId="0" fillId="0" borderId="0" xfId="0" applyAlignment="1">
      <alignment horizontal="center" vertical="center"/>
    </xf>
    <xf numFmtId="0" fontId="5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25" fillId="0" borderId="182" xfId="57" applyFont="1" applyBorder="1" applyAlignment="1">
      <alignment vertical="top" wrapText="1"/>
      <protection/>
    </xf>
    <xf numFmtId="0" fontId="40" fillId="0" borderId="182" xfId="57" applyFont="1" applyBorder="1" applyAlignment="1">
      <alignment wrapText="1"/>
      <protection/>
    </xf>
    <xf numFmtId="49" fontId="2" fillId="0" borderId="0" xfId="57" applyNumberFormat="1" applyFont="1" applyAlignment="1">
      <alignment horizontal="left" vertical="center"/>
      <protection/>
    </xf>
    <xf numFmtId="0" fontId="2" fillId="0" borderId="138" xfId="57" applyFont="1" applyBorder="1" applyAlignment="1">
      <alignment horizontal="center"/>
      <protection/>
    </xf>
    <xf numFmtId="0" fontId="2" fillId="0" borderId="174" xfId="57" applyFont="1" applyBorder="1" applyAlignment="1">
      <alignment horizontal="center"/>
      <protection/>
    </xf>
    <xf numFmtId="0" fontId="25" fillId="0" borderId="58" xfId="57" applyFont="1" applyBorder="1" applyAlignment="1">
      <alignment vertical="top" wrapText="1"/>
      <protection/>
    </xf>
    <xf numFmtId="0" fontId="40" fillId="0" borderId="58" xfId="57" applyFont="1" applyBorder="1" applyAlignment="1">
      <alignment wrapText="1"/>
      <protection/>
    </xf>
    <xf numFmtId="0" fontId="25" fillId="0" borderId="58" xfId="57" applyFont="1" applyBorder="1" applyAlignment="1">
      <alignment horizontal="center" vertical="center" wrapText="1"/>
      <protection/>
    </xf>
    <xf numFmtId="0" fontId="40" fillId="0" borderId="58" xfId="57" applyFont="1" applyBorder="1" applyAlignment="1">
      <alignment horizontal="center" vertical="center" wrapText="1"/>
      <protection/>
    </xf>
    <xf numFmtId="0" fontId="2" fillId="0" borderId="160" xfId="0" applyFont="1" applyBorder="1" applyAlignment="1">
      <alignment horizontal="center"/>
    </xf>
    <xf numFmtId="0" fontId="2" fillId="0" borderId="218" xfId="0" applyFont="1" applyBorder="1" applyAlignment="1">
      <alignment horizontal="center"/>
    </xf>
    <xf numFmtId="3" fontId="2" fillId="37" borderId="214" xfId="0" applyNumberFormat="1" applyFont="1" applyFill="1" applyBorder="1" applyAlignment="1">
      <alignment horizontal="center"/>
    </xf>
    <xf numFmtId="3" fontId="2" fillId="37" borderId="155" xfId="0" applyNumberFormat="1" applyFont="1" applyFill="1" applyBorder="1" applyAlignment="1">
      <alignment horizontal="center"/>
    </xf>
    <xf numFmtId="3" fontId="0" fillId="0" borderId="69" xfId="0" applyNumberFormat="1" applyBorder="1" applyAlignment="1">
      <alignment horizontal="left"/>
    </xf>
    <xf numFmtId="3" fontId="0" fillId="0" borderId="70" xfId="0" applyNumberFormat="1" applyBorder="1" applyAlignment="1">
      <alignment horizontal="left"/>
    </xf>
    <xf numFmtId="3" fontId="25" fillId="0" borderId="69" xfId="0" applyNumberFormat="1" applyFont="1" applyBorder="1" applyAlignment="1">
      <alignment horizontal="left"/>
    </xf>
    <xf numFmtId="3" fontId="25" fillId="0" borderId="70" xfId="0" applyNumberFormat="1" applyFont="1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8" xfId="0" applyBorder="1" applyAlignment="1">
      <alignment horizontal="left" wrapText="1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3" fontId="0" fillId="0" borderId="58" xfId="0" applyNumberFormat="1" applyBorder="1" applyAlignment="1">
      <alignment horizontal="left"/>
    </xf>
    <xf numFmtId="3" fontId="2" fillId="33" borderId="264" xfId="0" applyNumberFormat="1" applyFont="1" applyFill="1" applyBorder="1" applyAlignment="1">
      <alignment horizontal="center" vertical="center" wrapText="1"/>
    </xf>
    <xf numFmtId="3" fontId="2" fillId="33" borderId="51" xfId="0" applyNumberFormat="1" applyFont="1" applyFill="1" applyBorder="1" applyAlignment="1">
      <alignment horizontal="center" vertical="center" wrapText="1"/>
    </xf>
    <xf numFmtId="3" fontId="2" fillId="33" borderId="146" xfId="0" applyNumberFormat="1" applyFont="1" applyFill="1" applyBorder="1" applyAlignment="1">
      <alignment horizontal="center" vertical="center" wrapText="1"/>
    </xf>
    <xf numFmtId="3" fontId="2" fillId="33" borderId="134" xfId="0" applyNumberFormat="1" applyFont="1" applyFill="1" applyBorder="1" applyAlignment="1">
      <alignment horizontal="center" vertical="center" wrapText="1"/>
    </xf>
    <xf numFmtId="3" fontId="2" fillId="33" borderId="13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18" fillId="0" borderId="0" xfId="0" applyNumberFormat="1" applyFont="1" applyAlignment="1">
      <alignment horizontal="center"/>
    </xf>
    <xf numFmtId="176" fontId="62" fillId="0" borderId="0" xfId="6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40" borderId="0" xfId="0" applyNumberFormat="1" applyFont="1" applyFill="1" applyAlignment="1">
      <alignment horizontal="center"/>
    </xf>
    <xf numFmtId="3" fontId="8" fillId="40" borderId="0" xfId="0" applyNumberFormat="1" applyFont="1" applyFill="1" applyAlignment="1">
      <alignment horizontal="center"/>
    </xf>
    <xf numFmtId="3" fontId="9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175" fontId="12" fillId="0" borderId="0" xfId="46" applyNumberFormat="1" applyFont="1" applyAlignment="1">
      <alignment horizontal="center"/>
    </xf>
    <xf numFmtId="175" fontId="8" fillId="0" borderId="0" xfId="46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EU-s tábla kv-hez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GER~1.ZSU\AppData\Local\Temp\1519640076_8-2018%20melle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ht="12.75" customHeight="1">
      <c r="C1" t="s">
        <v>0</v>
      </c>
    </row>
    <row r="2" spans="1:4" ht="12.75" customHeight="1">
      <c r="A2" s="1501" t="s">
        <v>1</v>
      </c>
      <c r="B2" s="1501"/>
      <c r="C2" s="1501"/>
      <c r="D2" s="1501"/>
    </row>
    <row r="3" spans="1:4" ht="12.75" customHeight="1">
      <c r="A3" s="1"/>
      <c r="B3" s="1"/>
      <c r="C3" s="1"/>
      <c r="D3" s="1"/>
    </row>
    <row r="4" spans="1:4" ht="12.75" customHeight="1">
      <c r="A4" s="2" t="s">
        <v>2</v>
      </c>
      <c r="B4" s="3"/>
      <c r="C4" s="3"/>
      <c r="D4" s="3"/>
    </row>
    <row r="5" spans="1:4" ht="12.75" customHeight="1">
      <c r="A5" s="1501" t="s">
        <v>3</v>
      </c>
      <c r="B5" s="1501"/>
      <c r="C5" s="1501"/>
      <c r="D5" s="1501"/>
    </row>
    <row r="6" spans="1:4" ht="12.75" customHeight="1">
      <c r="A6" s="4"/>
      <c r="B6" s="4"/>
      <c r="C6" s="4"/>
      <c r="D6" s="4"/>
    </row>
    <row r="7" spans="1:4" ht="12.75" customHeight="1">
      <c r="A7" s="4"/>
      <c r="B7" s="4"/>
      <c r="C7" s="4"/>
      <c r="D7" s="4"/>
    </row>
    <row r="9" spans="2:4" ht="12.75" customHeight="1">
      <c r="B9" s="5" t="s">
        <v>4</v>
      </c>
      <c r="C9" s="5" t="s">
        <v>4</v>
      </c>
      <c r="D9" s="5" t="s">
        <v>4</v>
      </c>
    </row>
    <row r="10" spans="1:4" ht="39" customHeight="1">
      <c r="A10" s="6" t="s">
        <v>5</v>
      </c>
      <c r="B10" s="7" t="s">
        <v>6</v>
      </c>
      <c r="C10" s="7" t="s">
        <v>7</v>
      </c>
      <c r="D10" s="7" t="s">
        <v>8</v>
      </c>
    </row>
    <row r="11" spans="1:4" ht="12.75" customHeight="1">
      <c r="A11" s="8" t="s">
        <v>9</v>
      </c>
      <c r="B11" s="9">
        <v>363899</v>
      </c>
      <c r="C11" s="9">
        <v>363899</v>
      </c>
      <c r="D11" s="9">
        <v>20838</v>
      </c>
    </row>
    <row r="12" spans="1:4" s="10" customFormat="1" ht="12.75" customHeight="1">
      <c r="A12" s="8" t="s">
        <v>10</v>
      </c>
      <c r="B12" s="9">
        <v>20367</v>
      </c>
      <c r="C12" s="9">
        <v>20367</v>
      </c>
      <c r="D12" s="9"/>
    </row>
    <row r="13" spans="1:4" ht="12.75" customHeight="1">
      <c r="A13" s="8" t="s">
        <v>11</v>
      </c>
      <c r="B13" s="9">
        <v>367159</v>
      </c>
      <c r="C13" s="9">
        <v>367159</v>
      </c>
      <c r="D13" s="9">
        <v>7348</v>
      </c>
    </row>
    <row r="14" spans="1:4" ht="12.75" customHeight="1">
      <c r="A14" s="11" t="s">
        <v>12</v>
      </c>
      <c r="B14" s="12">
        <f>B11+B12-B13</f>
        <v>17107</v>
      </c>
      <c r="C14" s="12">
        <f>C11+C12-C13</f>
        <v>17107</v>
      </c>
      <c r="D14" s="12">
        <f>D11+D12-D13</f>
        <v>13490</v>
      </c>
    </row>
    <row r="15" spans="2:4" ht="12.75" customHeight="1">
      <c r="B15" s="5"/>
      <c r="C15" s="5"/>
      <c r="D15" s="5"/>
    </row>
    <row r="16" spans="2:4" ht="12.75" customHeight="1">
      <c r="B16" s="5"/>
      <c r="C16" s="5"/>
      <c r="D16" s="5"/>
    </row>
    <row r="17" spans="2:4" ht="12.75" customHeight="1">
      <c r="B17" s="5"/>
      <c r="C17" s="5"/>
      <c r="D17" s="5"/>
    </row>
    <row r="18" spans="1:4" ht="12.75" customHeight="1">
      <c r="A18" s="8" t="s">
        <v>13</v>
      </c>
      <c r="B18" s="9">
        <v>6960</v>
      </c>
      <c r="C18" s="9">
        <v>6960</v>
      </c>
      <c r="D18" s="9">
        <v>7228</v>
      </c>
    </row>
    <row r="19" spans="1:4" ht="12.75" customHeight="1">
      <c r="A19" s="8" t="s">
        <v>14</v>
      </c>
      <c r="B19" s="9">
        <v>39633</v>
      </c>
      <c r="C19" s="9">
        <v>46851</v>
      </c>
      <c r="D19" s="13">
        <v>40774</v>
      </c>
    </row>
    <row r="20" spans="1:4" ht="12.75" customHeight="1">
      <c r="A20" s="8" t="s">
        <v>15</v>
      </c>
      <c r="B20" s="9">
        <v>11200</v>
      </c>
      <c r="C20" s="9">
        <v>11200</v>
      </c>
      <c r="D20" s="9">
        <v>7273</v>
      </c>
    </row>
    <row r="21" spans="1:4" ht="12.75" customHeight="1">
      <c r="A21" s="14" t="s">
        <v>16</v>
      </c>
      <c r="B21" s="12">
        <f>B18+B19-B20</f>
        <v>35393</v>
      </c>
      <c r="C21" s="12">
        <f>C18+C19-C20</f>
        <v>42611</v>
      </c>
      <c r="D21" s="12">
        <f>D18+D19-D20</f>
        <v>40729</v>
      </c>
    </row>
    <row r="22" spans="2:4" ht="12.75" customHeight="1">
      <c r="B22" s="5"/>
      <c r="C22" s="5"/>
      <c r="D22" s="5"/>
    </row>
    <row r="23" spans="2:4" ht="12.75" customHeight="1">
      <c r="B23" s="5"/>
      <c r="C23" s="5"/>
      <c r="D23" s="5"/>
    </row>
    <row r="24" spans="1:4" ht="12.75" customHeight="1" hidden="1">
      <c r="A24" s="15" t="s">
        <v>17</v>
      </c>
      <c r="B24" s="5"/>
      <c r="C24" s="5"/>
      <c r="D24" s="5"/>
    </row>
    <row r="25" spans="1:4" ht="12.75" customHeight="1" hidden="1">
      <c r="A25" s="10"/>
      <c r="B25" s="5"/>
      <c r="C25" s="5"/>
      <c r="D25" s="5"/>
    </row>
    <row r="26" spans="1:4" ht="12.75" customHeight="1" hidden="1">
      <c r="A26" s="16" t="s">
        <v>18</v>
      </c>
      <c r="B26" s="17">
        <v>46621</v>
      </c>
      <c r="C26" s="17">
        <v>46621</v>
      </c>
      <c r="D26" s="17">
        <v>46621</v>
      </c>
    </row>
    <row r="27" spans="1:4" ht="12.75" customHeight="1" hidden="1">
      <c r="A27" s="16" t="s">
        <v>19</v>
      </c>
      <c r="B27" s="17">
        <f>(B14+B21)*-1</f>
        <v>-52500</v>
      </c>
      <c r="C27" s="17">
        <f>(C14+C21)*-1</f>
        <v>-59718</v>
      </c>
      <c r="D27" s="17">
        <f>(D14+D21)*-1</f>
        <v>-54219</v>
      </c>
    </row>
    <row r="28" spans="1:4" ht="12.75" customHeight="1" hidden="1">
      <c r="A28" s="11" t="s">
        <v>20</v>
      </c>
      <c r="B28" s="12">
        <f>SUM(B26:B27)</f>
        <v>-5879</v>
      </c>
      <c r="C28" s="12">
        <f>SUM(C26:C27)</f>
        <v>-13097</v>
      </c>
      <c r="D28" s="12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80"/>
  <sheetViews>
    <sheetView showGridLines="0" view="pageBreakPreview" zoomScale="110" zoomScaleSheetLayoutView="110" zoomScalePageLayoutView="0" workbookViewId="0" topLeftCell="A1">
      <pane xSplit="3" ySplit="6" topLeftCell="D52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A72" sqref="A72:K72"/>
    </sheetView>
  </sheetViews>
  <sheetFormatPr defaultColWidth="11.7109375" defaultRowHeight="12.75" customHeight="1"/>
  <cols>
    <col min="1" max="2" width="3.8515625" style="830" customWidth="1"/>
    <col min="3" max="3" width="44.28125" style="830" customWidth="1"/>
    <col min="4" max="4" width="14.140625" style="830" customWidth="1"/>
    <col min="5" max="5" width="16.140625" style="832" customWidth="1"/>
    <col min="6" max="8" width="14.7109375" style="832" customWidth="1"/>
    <col min="9" max="9" width="14.57421875" style="830" customWidth="1"/>
    <col min="10" max="10" width="14.57421875" style="1172" customWidth="1"/>
    <col min="11" max="11" width="14.421875" style="830" customWidth="1"/>
    <col min="12" max="16384" width="11.7109375" style="830" customWidth="1"/>
  </cols>
  <sheetData>
    <row r="1" spans="1:9" s="829" customFormat="1" ht="18" customHeight="1">
      <c r="A1" s="1585" t="s">
        <v>1068</v>
      </c>
      <c r="B1" s="1585"/>
      <c r="C1" s="1585"/>
      <c r="D1" s="1585"/>
      <c r="E1" s="1585"/>
      <c r="F1" s="1585"/>
      <c r="G1" s="1585"/>
      <c r="H1" s="1585"/>
      <c r="I1" s="1585"/>
    </row>
    <row r="2" spans="1:11" ht="12.75" customHeight="1">
      <c r="A2" s="1568" t="s">
        <v>1226</v>
      </c>
      <c r="B2" s="1568"/>
      <c r="C2" s="1568"/>
      <c r="D2" s="1568"/>
      <c r="E2" s="1568"/>
      <c r="F2" s="1568"/>
      <c r="G2" s="1568"/>
      <c r="H2" s="1568"/>
      <c r="I2" s="1568"/>
      <c r="J2" s="1568"/>
      <c r="K2" s="1568"/>
    </row>
    <row r="3" spans="1:10" ht="6.75" customHeight="1">
      <c r="A3" s="1170"/>
      <c r="B3" s="1170"/>
      <c r="C3" s="1170"/>
      <c r="D3" s="1170"/>
      <c r="E3" s="1170"/>
      <c r="F3" s="1170"/>
      <c r="G3" s="1170"/>
      <c r="H3" s="1170"/>
      <c r="I3" s="1170"/>
      <c r="J3" s="1170"/>
    </row>
    <row r="4" spans="1:4" ht="6.75" customHeight="1">
      <c r="A4" s="831"/>
      <c r="B4" s="888"/>
      <c r="C4" s="888"/>
      <c r="D4" s="888"/>
    </row>
    <row r="5" spans="1:10" s="833" customFormat="1" ht="41.25" customHeight="1">
      <c r="A5" s="1567" t="s">
        <v>1010</v>
      </c>
      <c r="B5" s="1567"/>
      <c r="C5" s="1567"/>
      <c r="D5" s="1567"/>
      <c r="E5" s="1567"/>
      <c r="F5" s="1567"/>
      <c r="G5" s="1567"/>
      <c r="H5" s="1567"/>
      <c r="I5" s="1567"/>
      <c r="J5" s="1567"/>
    </row>
    <row r="6" spans="1:10" s="833" customFormat="1" ht="12.75" customHeight="1">
      <c r="A6" s="1171"/>
      <c r="B6" s="1171"/>
      <c r="C6" s="1171"/>
      <c r="D6" s="1171"/>
      <c r="E6" s="1171"/>
      <c r="F6" s="1171"/>
      <c r="G6" s="1171"/>
      <c r="H6" s="1171"/>
      <c r="I6" s="1171"/>
      <c r="J6" s="1171"/>
    </row>
    <row r="7" spans="1:10" s="833" customFormat="1" ht="12.75" customHeight="1">
      <c r="A7" s="834"/>
      <c r="B7" s="834"/>
      <c r="C7" s="834"/>
      <c r="J7" s="1172"/>
    </row>
    <row r="8" spans="1:10" s="833" customFormat="1" ht="12.75" customHeight="1">
      <c r="A8" s="835"/>
      <c r="J8" s="1172"/>
    </row>
    <row r="9" spans="1:10" s="833" customFormat="1" ht="12.75" customHeight="1">
      <c r="A9" s="1578" t="s">
        <v>216</v>
      </c>
      <c r="B9" s="1578"/>
      <c r="C9" s="1578"/>
      <c r="D9" s="1578"/>
      <c r="E9" s="1578"/>
      <c r="F9" s="1578"/>
      <c r="G9" s="1578"/>
      <c r="H9" s="1578"/>
      <c r="J9" s="1172"/>
    </row>
    <row r="10" spans="1:10" s="833" customFormat="1" ht="24.75" customHeight="1">
      <c r="A10" s="1566" t="s">
        <v>156</v>
      </c>
      <c r="B10" s="1566"/>
      <c r="C10" s="1566" t="s">
        <v>442</v>
      </c>
      <c r="D10" s="1565" t="s">
        <v>1002</v>
      </c>
      <c r="E10" s="1565" t="s">
        <v>1070</v>
      </c>
      <c r="F10" s="1565" t="s">
        <v>1131</v>
      </c>
      <c r="G10" s="1565" t="s">
        <v>1141</v>
      </c>
      <c r="H10" s="1565" t="s">
        <v>1148</v>
      </c>
      <c r="I10" s="1565" t="s">
        <v>1158</v>
      </c>
      <c r="J10" s="1565" t="s">
        <v>1181</v>
      </c>
    </row>
    <row r="11" spans="1:10" s="833" customFormat="1" ht="24.75" customHeight="1">
      <c r="A11" s="1566"/>
      <c r="B11" s="1566"/>
      <c r="C11" s="1566"/>
      <c r="D11" s="1566"/>
      <c r="E11" s="1566"/>
      <c r="F11" s="1566"/>
      <c r="G11" s="1566"/>
      <c r="H11" s="1566"/>
      <c r="I11" s="1566"/>
      <c r="J11" s="1566"/>
    </row>
    <row r="12" spans="1:10" s="833" customFormat="1" ht="14.25" customHeight="1" thickBot="1">
      <c r="A12" s="1573"/>
      <c r="B12" s="1573"/>
      <c r="C12" s="1398" t="s">
        <v>443</v>
      </c>
      <c r="D12" s="1399" t="s">
        <v>160</v>
      </c>
      <c r="E12" s="1399" t="s">
        <v>161</v>
      </c>
      <c r="F12" s="1399" t="s">
        <v>162</v>
      </c>
      <c r="G12" s="1399" t="s">
        <v>479</v>
      </c>
      <c r="H12" s="1399" t="s">
        <v>499</v>
      </c>
      <c r="I12" s="1399" t="s">
        <v>745</v>
      </c>
      <c r="J12" s="1399" t="s">
        <v>1220</v>
      </c>
    </row>
    <row r="13" spans="1:10" s="833" customFormat="1" ht="13.5" thickBot="1">
      <c r="A13" s="1394" t="s">
        <v>38</v>
      </c>
      <c r="B13" s="1400" t="s">
        <v>165</v>
      </c>
      <c r="C13" s="1396" t="s">
        <v>444</v>
      </c>
      <c r="D13" s="1396">
        <f>SUM(D14:D17)</f>
        <v>1400000</v>
      </c>
      <c r="E13" s="1396">
        <f>SUM(E14:E17)</f>
        <v>7724980</v>
      </c>
      <c r="F13" s="1396">
        <f>SUM(F14:F17)</f>
        <v>7324980</v>
      </c>
      <c r="G13" s="1396">
        <f>SUM(G14:G17)</f>
        <v>7324980</v>
      </c>
      <c r="H13" s="1397">
        <f>SUM(H14:H17)</f>
        <v>9427154</v>
      </c>
      <c r="I13" s="1397">
        <f>SUM(I14:I18)</f>
        <v>8744654</v>
      </c>
      <c r="J13" s="1397">
        <f>SUM(J14:J18)</f>
        <v>8744654</v>
      </c>
    </row>
    <row r="14" spans="1:10" s="833" customFormat="1" ht="27" customHeight="1">
      <c r="A14" s="1391" t="s">
        <v>40</v>
      </c>
      <c r="B14" s="1391"/>
      <c r="C14" s="1392" t="s">
        <v>445</v>
      </c>
      <c r="D14" s="1393">
        <v>400000</v>
      </c>
      <c r="E14" s="1393">
        <v>400000</v>
      </c>
      <c r="F14" s="1393">
        <v>0</v>
      </c>
      <c r="G14" s="1393">
        <v>0</v>
      </c>
      <c r="H14" s="1393">
        <v>0</v>
      </c>
      <c r="I14" s="1393">
        <v>0</v>
      </c>
      <c r="J14" s="1393">
        <v>0</v>
      </c>
    </row>
    <row r="15" spans="1:10" s="833" customFormat="1" ht="27" customHeight="1">
      <c r="A15" s="1155" t="s">
        <v>47</v>
      </c>
      <c r="B15" s="1155"/>
      <c r="C15" s="426" t="s">
        <v>1051</v>
      </c>
      <c r="D15" s="1153">
        <v>500000</v>
      </c>
      <c r="E15" s="1153">
        <v>500000</v>
      </c>
      <c r="F15" s="1153">
        <v>500000</v>
      </c>
      <c r="G15" s="1153">
        <v>500000</v>
      </c>
      <c r="H15" s="1153">
        <v>500000</v>
      </c>
      <c r="I15" s="1153">
        <v>0</v>
      </c>
      <c r="J15" s="1210">
        <v>0</v>
      </c>
    </row>
    <row r="16" spans="1:10" s="833" customFormat="1" ht="27" customHeight="1">
      <c r="A16" s="1155" t="s">
        <v>49</v>
      </c>
      <c r="B16" s="1155"/>
      <c r="C16" s="426" t="s">
        <v>1061</v>
      </c>
      <c r="D16" s="1153">
        <v>500000</v>
      </c>
      <c r="E16" s="1153">
        <v>500000</v>
      </c>
      <c r="F16" s="1153">
        <v>500000</v>
      </c>
      <c r="G16" s="1153">
        <v>500000</v>
      </c>
      <c r="H16" s="1153">
        <v>500000</v>
      </c>
      <c r="I16" s="1153">
        <v>0</v>
      </c>
      <c r="J16" s="1210">
        <v>0</v>
      </c>
    </row>
    <row r="17" spans="1:10" s="833" customFormat="1" ht="27" customHeight="1">
      <c r="A17" s="1155" t="s">
        <v>51</v>
      </c>
      <c r="B17" s="1155"/>
      <c r="C17" s="426" t="s">
        <v>1088</v>
      </c>
      <c r="D17" s="1153"/>
      <c r="E17" s="1153">
        <v>6324980</v>
      </c>
      <c r="F17" s="1153">
        <v>6324980</v>
      </c>
      <c r="G17" s="1153">
        <v>6324980</v>
      </c>
      <c r="H17" s="1153">
        <v>8427154</v>
      </c>
      <c r="I17" s="1451">
        <v>8427154</v>
      </c>
      <c r="J17" s="1451">
        <v>8427154</v>
      </c>
    </row>
    <row r="18" spans="1:11" s="833" customFormat="1" ht="27" customHeight="1" thickBot="1">
      <c r="A18" s="1155" t="s">
        <v>53</v>
      </c>
      <c r="B18" s="1155"/>
      <c r="C18" s="426" t="s">
        <v>1155</v>
      </c>
      <c r="D18" s="1153"/>
      <c r="E18" s="1153"/>
      <c r="F18" s="1153"/>
      <c r="G18" s="1153"/>
      <c r="H18" s="1153">
        <v>317500</v>
      </c>
      <c r="I18" s="1153">
        <v>317500</v>
      </c>
      <c r="J18" s="1210">
        <v>317500</v>
      </c>
      <c r="K18" s="833" t="s">
        <v>1164</v>
      </c>
    </row>
    <row r="19" spans="1:10" s="833" customFormat="1" ht="12.75" customHeight="1" thickBot="1">
      <c r="A19" s="1394">
        <v>7</v>
      </c>
      <c r="B19" s="1395" t="s">
        <v>167</v>
      </c>
      <c r="C19" s="1396" t="s">
        <v>442</v>
      </c>
      <c r="D19" s="1396">
        <f>SUM(D20:D28)</f>
        <v>13000000</v>
      </c>
      <c r="E19" s="1396">
        <f>SUM(E20:E28)</f>
        <v>13585333</v>
      </c>
      <c r="F19" s="1396">
        <f>SUM(F20:F30)</f>
        <v>27345333</v>
      </c>
      <c r="G19" s="1396">
        <f>SUM(G20:G30)</f>
        <v>27345333</v>
      </c>
      <c r="H19" s="1397">
        <f>SUM(H20:H32)</f>
        <v>28393115</v>
      </c>
      <c r="I19" s="1397">
        <f>SUM(I20:I38)</f>
        <v>48579716</v>
      </c>
      <c r="J19" s="1397">
        <f>SUM(J20:J38)</f>
        <v>48579716</v>
      </c>
    </row>
    <row r="20" spans="1:10" s="833" customFormat="1" ht="30.75" customHeight="1">
      <c r="A20" s="1391" t="s">
        <v>57</v>
      </c>
      <c r="B20" s="1391"/>
      <c r="C20" s="1392" t="s">
        <v>1060</v>
      </c>
      <c r="D20" s="1393">
        <v>500000</v>
      </c>
      <c r="E20" s="1393">
        <v>500000</v>
      </c>
      <c r="F20" s="1393">
        <v>500000</v>
      </c>
      <c r="G20" s="1393">
        <v>500000</v>
      </c>
      <c r="H20" s="1393">
        <v>500000</v>
      </c>
      <c r="I20" s="1393">
        <v>211478</v>
      </c>
      <c r="J20" s="1393">
        <v>211478</v>
      </c>
    </row>
    <row r="21" spans="1:10" s="836" customFormat="1" ht="26.25" customHeight="1">
      <c r="A21" s="1155" t="s">
        <v>86</v>
      </c>
      <c r="B21" s="1209"/>
      <c r="C21" s="1153" t="s">
        <v>446</v>
      </c>
      <c r="D21" s="1153">
        <v>500000</v>
      </c>
      <c r="E21" s="1153">
        <v>500000</v>
      </c>
      <c r="F21" s="1153">
        <v>500000</v>
      </c>
      <c r="G21" s="1153">
        <v>500000</v>
      </c>
      <c r="H21" s="1153">
        <v>500000</v>
      </c>
      <c r="I21" s="1153">
        <v>223717</v>
      </c>
      <c r="J21" s="1210">
        <v>223717</v>
      </c>
    </row>
    <row r="22" spans="1:10" s="833" customFormat="1" ht="29.25" customHeight="1">
      <c r="A22" s="1155" t="s">
        <v>59</v>
      </c>
      <c r="B22" s="1155"/>
      <c r="C22" s="426" t="s">
        <v>447</v>
      </c>
      <c r="D22" s="1153">
        <v>500000</v>
      </c>
      <c r="E22" s="1153">
        <v>500000</v>
      </c>
      <c r="F22" s="1153">
        <v>500000</v>
      </c>
      <c r="G22" s="1153">
        <v>500000</v>
      </c>
      <c r="H22" s="1153">
        <v>500000</v>
      </c>
      <c r="I22" s="1153">
        <v>817261</v>
      </c>
      <c r="J22" s="1210">
        <v>817261</v>
      </c>
    </row>
    <row r="23" spans="1:10" s="833" customFormat="1" ht="29.25" customHeight="1">
      <c r="A23" s="1155" t="s">
        <v>61</v>
      </c>
      <c r="B23" s="1155"/>
      <c r="C23" s="1153" t="s">
        <v>448</v>
      </c>
      <c r="D23" s="1153">
        <v>500000</v>
      </c>
      <c r="E23" s="1153">
        <v>500000</v>
      </c>
      <c r="F23" s="1153">
        <v>500000</v>
      </c>
      <c r="G23" s="1153">
        <v>500000</v>
      </c>
      <c r="H23" s="1153">
        <v>571645</v>
      </c>
      <c r="I23" s="1153"/>
      <c r="J23" s="1210"/>
    </row>
    <row r="24" spans="1:10" s="833" customFormat="1" ht="29.25" customHeight="1">
      <c r="A24" s="1155" t="s">
        <v>63</v>
      </c>
      <c r="B24" s="1155"/>
      <c r="C24" s="1153" t="s">
        <v>1062</v>
      </c>
      <c r="D24" s="1153">
        <v>5000000</v>
      </c>
      <c r="E24" s="1153">
        <v>5000000</v>
      </c>
      <c r="F24" s="1153">
        <v>0</v>
      </c>
      <c r="G24" s="1153">
        <v>0</v>
      </c>
      <c r="H24" s="1153">
        <v>0</v>
      </c>
      <c r="I24" s="1153">
        <v>0</v>
      </c>
      <c r="J24" s="1210">
        <v>0</v>
      </c>
    </row>
    <row r="25" spans="1:10" s="833" customFormat="1" ht="29.25" customHeight="1">
      <c r="A25" s="1155" t="s">
        <v>65</v>
      </c>
      <c r="B25" s="1155"/>
      <c r="C25" s="1210" t="s">
        <v>449</v>
      </c>
      <c r="D25" s="1153">
        <v>5000000</v>
      </c>
      <c r="E25" s="1153">
        <v>5000000</v>
      </c>
      <c r="F25" s="1153">
        <v>0</v>
      </c>
      <c r="G25" s="1153">
        <v>0</v>
      </c>
      <c r="H25" s="1153">
        <v>0</v>
      </c>
      <c r="I25" s="1153">
        <v>0</v>
      </c>
      <c r="J25" s="1210">
        <v>0</v>
      </c>
    </row>
    <row r="26" spans="1:10" s="833" customFormat="1" ht="29.25" customHeight="1">
      <c r="A26" s="1155" t="s">
        <v>92</v>
      </c>
      <c r="B26" s="1155"/>
      <c r="C26" s="1153" t="s">
        <v>1052</v>
      </c>
      <c r="D26" s="1153">
        <v>500000</v>
      </c>
      <c r="E26" s="1153">
        <v>500000</v>
      </c>
      <c r="F26" s="1153">
        <v>500000</v>
      </c>
      <c r="G26" s="1153">
        <v>500000</v>
      </c>
      <c r="H26" s="1153">
        <v>500000</v>
      </c>
      <c r="I26" s="1153">
        <v>63990</v>
      </c>
      <c r="J26" s="1210">
        <v>63990</v>
      </c>
    </row>
    <row r="27" spans="1:10" s="833" customFormat="1" ht="29.25" customHeight="1">
      <c r="A27" s="1155" t="s">
        <v>66</v>
      </c>
      <c r="B27" s="1155"/>
      <c r="C27" s="426" t="s">
        <v>1063</v>
      </c>
      <c r="D27" s="1153">
        <v>500000</v>
      </c>
      <c r="E27" s="1153">
        <v>500000</v>
      </c>
      <c r="F27" s="1153">
        <v>500000</v>
      </c>
      <c r="G27" s="1153">
        <v>500000</v>
      </c>
      <c r="H27" s="1153">
        <v>500000</v>
      </c>
      <c r="I27" s="1153">
        <v>0</v>
      </c>
      <c r="J27" s="1210">
        <v>0</v>
      </c>
    </row>
    <row r="28" spans="1:10" s="833" customFormat="1" ht="38.25" customHeight="1">
      <c r="A28" s="1155" t="s">
        <v>67</v>
      </c>
      <c r="B28" s="1155"/>
      <c r="C28" s="426" t="s">
        <v>1089</v>
      </c>
      <c r="D28" s="1153"/>
      <c r="E28" s="1153">
        <v>585333</v>
      </c>
      <c r="F28" s="1153">
        <v>585333</v>
      </c>
      <c r="G28" s="1153">
        <v>585333</v>
      </c>
      <c r="H28" s="1153">
        <v>585333</v>
      </c>
      <c r="I28" s="1153">
        <v>1362370</v>
      </c>
      <c r="J28" s="1210">
        <v>1362370</v>
      </c>
    </row>
    <row r="29" spans="1:10" s="833" customFormat="1" ht="12.75">
      <c r="A29" s="1155" t="s">
        <v>97</v>
      </c>
      <c r="B29" s="1155"/>
      <c r="C29" s="426" t="s">
        <v>1135</v>
      </c>
      <c r="D29" s="1153"/>
      <c r="E29" s="1153"/>
      <c r="F29" s="1153">
        <v>7000000</v>
      </c>
      <c r="G29" s="1153">
        <v>7000000</v>
      </c>
      <c r="H29" s="1153">
        <v>7000000</v>
      </c>
      <c r="I29" s="1153">
        <v>7000000</v>
      </c>
      <c r="J29" s="1210">
        <v>7000000</v>
      </c>
    </row>
    <row r="30" spans="1:10" s="833" customFormat="1" ht="12.75">
      <c r="A30" s="1155" t="s">
        <v>99</v>
      </c>
      <c r="B30" s="1155"/>
      <c r="C30" s="426" t="s">
        <v>1136</v>
      </c>
      <c r="D30" s="1153"/>
      <c r="E30" s="1153"/>
      <c r="F30" s="1153">
        <v>16760000</v>
      </c>
      <c r="G30" s="1153">
        <v>16760000</v>
      </c>
      <c r="H30" s="1153">
        <v>16760000</v>
      </c>
      <c r="I30" s="1153">
        <v>16760000</v>
      </c>
      <c r="J30" s="1210">
        <v>16760000</v>
      </c>
    </row>
    <row r="31" spans="1:10" s="833" customFormat="1" ht="12.75">
      <c r="A31" s="1155" t="s">
        <v>101</v>
      </c>
      <c r="B31" s="1155"/>
      <c r="C31" s="426" t="s">
        <v>1154</v>
      </c>
      <c r="D31" s="1153"/>
      <c r="E31" s="1153"/>
      <c r="F31" s="1153"/>
      <c r="G31" s="1153"/>
      <c r="H31" s="1153">
        <v>205210</v>
      </c>
      <c r="I31" s="1153">
        <v>574976</v>
      </c>
      <c r="J31" s="1210">
        <v>574976</v>
      </c>
    </row>
    <row r="32" spans="1:10" s="833" customFormat="1" ht="33" customHeight="1">
      <c r="A32" s="1155" t="s">
        <v>103</v>
      </c>
      <c r="B32" s="1155"/>
      <c r="C32" s="426" t="s">
        <v>1156</v>
      </c>
      <c r="D32" s="1153"/>
      <c r="E32" s="1153"/>
      <c r="F32" s="1153"/>
      <c r="G32" s="1153"/>
      <c r="H32" s="1153">
        <v>770927</v>
      </c>
      <c r="I32" s="1153">
        <v>869824</v>
      </c>
      <c r="J32" s="1210">
        <v>869824</v>
      </c>
    </row>
    <row r="33" spans="1:10" s="833" customFormat="1" ht="12.75">
      <c r="A33" s="1155" t="s">
        <v>105</v>
      </c>
      <c r="B33" s="1155"/>
      <c r="C33" s="426" t="s">
        <v>1160</v>
      </c>
      <c r="D33" s="1153"/>
      <c r="E33" s="1153"/>
      <c r="F33" s="1153"/>
      <c r="G33" s="1153"/>
      <c r="H33" s="1430"/>
      <c r="I33" s="1153">
        <v>1257300</v>
      </c>
      <c r="J33" s="1210">
        <v>1257300</v>
      </c>
    </row>
    <row r="34" spans="1:10" s="833" customFormat="1" ht="12.75">
      <c r="A34" s="1155"/>
      <c r="B34" s="1155"/>
      <c r="C34" s="426" t="s">
        <v>1162</v>
      </c>
      <c r="D34" s="1153"/>
      <c r="E34" s="1153"/>
      <c r="F34" s="1153"/>
      <c r="G34" s="1153"/>
      <c r="H34" s="1430"/>
      <c r="I34" s="1153">
        <v>1733550</v>
      </c>
      <c r="J34" s="1210">
        <v>1733550</v>
      </c>
    </row>
    <row r="35" spans="1:10" s="833" customFormat="1" ht="12.75">
      <c r="A35" s="1155"/>
      <c r="B35" s="1155"/>
      <c r="C35" s="426" t="s">
        <v>1163</v>
      </c>
      <c r="D35" s="1153"/>
      <c r="E35" s="1153"/>
      <c r="F35" s="1153"/>
      <c r="G35" s="1153"/>
      <c r="H35" s="1430"/>
      <c r="I35" s="1153">
        <v>2322576</v>
      </c>
      <c r="J35" s="1210">
        <v>2322576</v>
      </c>
    </row>
    <row r="36" spans="1:10" s="833" customFormat="1" ht="12.75">
      <c r="A36" s="1155"/>
      <c r="B36" s="1155"/>
      <c r="C36" t="s">
        <v>1172</v>
      </c>
      <c r="D36" s="1153"/>
      <c r="E36" s="1153"/>
      <c r="F36" s="1153"/>
      <c r="G36" s="1153"/>
      <c r="H36" s="1430"/>
      <c r="I36" s="1153">
        <v>8898554</v>
      </c>
      <c r="J36" s="1210">
        <v>8898554</v>
      </c>
    </row>
    <row r="37" spans="1:10" s="833" customFormat="1" ht="12.75">
      <c r="A37" s="1155"/>
      <c r="B37" s="1155"/>
      <c r="C37" s="426" t="s">
        <v>1165</v>
      </c>
      <c r="D37" s="1153"/>
      <c r="E37" s="1153"/>
      <c r="F37" s="1153"/>
      <c r="G37" s="1153"/>
      <c r="H37" s="1430"/>
      <c r="I37" s="1153">
        <v>6245035</v>
      </c>
      <c r="J37" s="1210">
        <v>6245035</v>
      </c>
    </row>
    <row r="38" spans="1:10" s="833" customFormat="1" ht="25.5">
      <c r="A38" s="1452"/>
      <c r="B38" s="1453"/>
      <c r="C38" s="1454" t="s">
        <v>1173</v>
      </c>
      <c r="D38" s="1455"/>
      <c r="E38" s="1455"/>
      <c r="F38" s="1455"/>
      <c r="G38" s="1455"/>
      <c r="H38" s="1456"/>
      <c r="I38" s="1457">
        <v>239085</v>
      </c>
      <c r="J38" s="1457">
        <v>239085</v>
      </c>
    </row>
    <row r="39" spans="1:10" s="392" customFormat="1" ht="13.5" thickBot="1">
      <c r="A39" s="1425" t="s">
        <v>107</v>
      </c>
      <c r="B39" s="1426" t="s">
        <v>174</v>
      </c>
      <c r="C39" s="1427" t="s">
        <v>1152</v>
      </c>
      <c r="D39" s="1428"/>
      <c r="E39" s="1428"/>
      <c r="F39" s="1428"/>
      <c r="G39" s="1428"/>
      <c r="H39" s="1429">
        <v>56134</v>
      </c>
      <c r="I39" s="1429">
        <v>56134</v>
      </c>
      <c r="J39" s="1429">
        <v>56134</v>
      </c>
    </row>
    <row r="40" spans="1:10" s="833" customFormat="1" ht="12.75">
      <c r="A40" s="1391" t="s">
        <v>109</v>
      </c>
      <c r="B40" s="1391"/>
      <c r="C40" s="1392" t="s">
        <v>1153</v>
      </c>
      <c r="D40" s="1393"/>
      <c r="E40" s="1393"/>
      <c r="F40" s="1393"/>
      <c r="G40" s="1393"/>
      <c r="H40" s="1393">
        <v>56134</v>
      </c>
      <c r="I40" s="1393">
        <v>56134</v>
      </c>
      <c r="J40" s="1393">
        <v>56134</v>
      </c>
    </row>
    <row r="41" spans="1:10" s="392" customFormat="1" ht="13.5" thickBot="1">
      <c r="A41" s="1390" t="s">
        <v>111</v>
      </c>
      <c r="B41" s="1401"/>
      <c r="C41" s="1402"/>
      <c r="D41" s="452"/>
      <c r="E41" s="452"/>
      <c r="F41" s="452"/>
      <c r="G41" s="452"/>
      <c r="H41" s="452"/>
      <c r="I41" s="452"/>
      <c r="J41" s="452"/>
    </row>
    <row r="42" spans="1:10" s="833" customFormat="1" ht="21.75" customHeight="1" thickBot="1">
      <c r="A42" s="1406" t="s">
        <v>113</v>
      </c>
      <c r="B42" s="1403"/>
      <c r="C42" s="1404" t="s">
        <v>25</v>
      </c>
      <c r="D42" s="1404">
        <f>SUM(D13+D19)</f>
        <v>14400000</v>
      </c>
      <c r="E42" s="1404">
        <f>SUM(E13+E19)</f>
        <v>21310313</v>
      </c>
      <c r="F42" s="1404">
        <f>SUM(F13+F19)</f>
        <v>34670313</v>
      </c>
      <c r="G42" s="1404">
        <f>SUM(G13+G19)</f>
        <v>34670313</v>
      </c>
      <c r="H42" s="1405">
        <f>SUM(H13+H19)+H39</f>
        <v>37876403</v>
      </c>
      <c r="I42" s="1405">
        <f>SUM(I13+I19)+I39</f>
        <v>57380504</v>
      </c>
      <c r="J42" s="1405">
        <f>SUM(J13+J19)+J39</f>
        <v>57380504</v>
      </c>
    </row>
    <row r="43" spans="1:10" s="833" customFormat="1" ht="12.75" customHeight="1">
      <c r="A43" s="1167"/>
      <c r="B43" s="837"/>
      <c r="C43" s="837"/>
      <c r="F43" s="838"/>
      <c r="G43" s="838"/>
      <c r="H43" s="838"/>
      <c r="J43" s="1172"/>
    </row>
    <row r="44" spans="1:10" s="833" customFormat="1" ht="12.75" customHeight="1">
      <c r="A44" s="1167"/>
      <c r="B44" s="837"/>
      <c r="C44" s="837"/>
      <c r="F44" s="838"/>
      <c r="G44" s="838"/>
      <c r="H44" s="838"/>
      <c r="J44" s="1172"/>
    </row>
    <row r="45" spans="1:11" s="833" customFormat="1" ht="12.75" customHeight="1">
      <c r="A45" s="1562" t="s">
        <v>1069</v>
      </c>
      <c r="B45" s="1562"/>
      <c r="C45" s="1562"/>
      <c r="D45" s="1562"/>
      <c r="E45" s="1562"/>
      <c r="F45" s="1562"/>
      <c r="G45" s="1562"/>
      <c r="H45" s="1562"/>
      <c r="I45" s="1562"/>
      <c r="J45" s="1562"/>
      <c r="K45" s="1562"/>
    </row>
    <row r="46" spans="1:11" s="833" customFormat="1" ht="12.75" customHeight="1">
      <c r="A46" s="1568" t="s">
        <v>1226</v>
      </c>
      <c r="B46" s="1568"/>
      <c r="C46" s="1568"/>
      <c r="D46" s="1568"/>
      <c r="E46" s="1568"/>
      <c r="F46" s="1568"/>
      <c r="G46" s="1568"/>
      <c r="H46" s="1568"/>
      <c r="I46" s="1568"/>
      <c r="J46" s="1568"/>
      <c r="K46" s="1568"/>
    </row>
    <row r="47" spans="1:11" s="833" customFormat="1" ht="12.75" customHeight="1">
      <c r="A47" s="831"/>
      <c r="B47" s="831"/>
      <c r="C47" s="831"/>
      <c r="D47" s="1927" t="s">
        <v>1227</v>
      </c>
      <c r="E47" s="1927"/>
      <c r="F47" s="1927"/>
      <c r="G47" s="1927"/>
      <c r="H47" s="1927"/>
      <c r="J47" s="1172"/>
      <c r="K47" s="833" t="s">
        <v>1228</v>
      </c>
    </row>
    <row r="48" spans="1:11" s="833" customFormat="1" ht="40.5" customHeight="1">
      <c r="A48" s="1572" t="s">
        <v>1011</v>
      </c>
      <c r="B48" s="1572"/>
      <c r="C48" s="1572"/>
      <c r="D48" s="1572"/>
      <c r="E48" s="1572"/>
      <c r="F48" s="1572"/>
      <c r="G48" s="1572"/>
      <c r="H48" s="1572"/>
      <c r="I48" s="1572"/>
      <c r="J48" s="1572"/>
      <c r="K48" s="1572"/>
    </row>
    <row r="49" spans="1:10" s="833" customFormat="1" ht="12.75" customHeight="1">
      <c r="A49" s="839"/>
      <c r="B49" s="839"/>
      <c r="C49" s="839"/>
      <c r="D49" s="839"/>
      <c r="E49" s="839"/>
      <c r="F49" s="839"/>
      <c r="G49" s="839"/>
      <c r="H49" s="839"/>
      <c r="J49" s="1172"/>
    </row>
    <row r="50" spans="1:10" s="833" customFormat="1" ht="12.75" customHeight="1">
      <c r="A50" s="1166"/>
      <c r="B50" s="1166"/>
      <c r="C50" s="1166"/>
      <c r="D50" s="1166"/>
      <c r="E50" s="1166"/>
      <c r="F50" s="1166"/>
      <c r="G50" s="1166"/>
      <c r="H50" s="1380"/>
      <c r="J50" s="1172"/>
    </row>
    <row r="51" spans="1:10" s="833" customFormat="1" ht="12.75" customHeight="1">
      <c r="A51" s="840"/>
      <c r="B51" s="840"/>
      <c r="C51" s="840"/>
      <c r="D51" s="840"/>
      <c r="E51" s="840"/>
      <c r="F51" s="840"/>
      <c r="G51" s="840"/>
      <c r="H51" s="840"/>
      <c r="J51" s="1172"/>
    </row>
    <row r="52" spans="1:10" s="833" customFormat="1" ht="12.75" customHeight="1" thickBot="1">
      <c r="A52" s="840"/>
      <c r="B52" s="840"/>
      <c r="C52" s="840"/>
      <c r="D52" s="840"/>
      <c r="E52" s="830"/>
      <c r="F52" s="1172"/>
      <c r="G52" s="1584"/>
      <c r="H52" s="1584"/>
      <c r="J52" s="1172"/>
    </row>
    <row r="53" spans="1:11" s="833" customFormat="1" ht="21.75" customHeight="1" thickBot="1">
      <c r="A53" s="1574" t="s">
        <v>156</v>
      </c>
      <c r="B53" s="1575"/>
      <c r="C53" s="1579" t="s">
        <v>450</v>
      </c>
      <c r="D53" s="1581" t="s">
        <v>1050</v>
      </c>
      <c r="E53" s="1563" t="s">
        <v>1002</v>
      </c>
      <c r="F53" s="1563" t="s">
        <v>1070</v>
      </c>
      <c r="G53" s="1563" t="s">
        <v>1131</v>
      </c>
      <c r="H53" s="1563" t="s">
        <v>1141</v>
      </c>
      <c r="I53" s="1563" t="s">
        <v>1148</v>
      </c>
      <c r="J53" s="1563" t="s">
        <v>1158</v>
      </c>
      <c r="K53" s="1563" t="s">
        <v>1181</v>
      </c>
    </row>
    <row r="54" spans="1:11" s="833" customFormat="1" ht="12.75" customHeight="1" thickBot="1">
      <c r="A54" s="1576"/>
      <c r="B54" s="1577"/>
      <c r="C54" s="1580"/>
      <c r="D54" s="1582"/>
      <c r="E54" s="1564"/>
      <c r="F54" s="1564"/>
      <c r="G54" s="1564"/>
      <c r="H54" s="1564"/>
      <c r="I54" s="1564"/>
      <c r="J54" s="1564"/>
      <c r="K54" s="1564"/>
    </row>
    <row r="55" spans="1:11" s="833" customFormat="1" ht="12.75" customHeight="1">
      <c r="A55" s="1576"/>
      <c r="B55" s="1577"/>
      <c r="C55" s="1177" t="s">
        <v>159</v>
      </c>
      <c r="D55" s="1190" t="s">
        <v>160</v>
      </c>
      <c r="E55" s="1184" t="s">
        <v>161</v>
      </c>
      <c r="F55" s="1184" t="s">
        <v>162</v>
      </c>
      <c r="G55" s="1184" t="s">
        <v>479</v>
      </c>
      <c r="H55" s="1184" t="s">
        <v>499</v>
      </c>
      <c r="I55" s="1184" t="s">
        <v>745</v>
      </c>
      <c r="J55" s="1184" t="s">
        <v>826</v>
      </c>
      <c r="K55" s="1184" t="s">
        <v>830</v>
      </c>
    </row>
    <row r="56" spans="1:11" s="833" customFormat="1" ht="12.75" customHeight="1">
      <c r="A56" s="1173" t="s">
        <v>38</v>
      </c>
      <c r="B56" s="841"/>
      <c r="C56" s="1178" t="s">
        <v>451</v>
      </c>
      <c r="D56" s="1191">
        <f aca="true" t="shared" si="0" ref="D56:I56">SUM(D57:D60)</f>
        <v>31575240</v>
      </c>
      <c r="E56" s="1185">
        <f t="shared" si="0"/>
        <v>30712413</v>
      </c>
      <c r="F56" s="1185">
        <f t="shared" si="0"/>
        <v>32171964</v>
      </c>
      <c r="G56" s="1185">
        <f t="shared" si="0"/>
        <v>32171964</v>
      </c>
      <c r="H56" s="1185">
        <f t="shared" si="0"/>
        <v>32171964</v>
      </c>
      <c r="I56" s="1185">
        <f t="shared" si="0"/>
        <v>32171964</v>
      </c>
      <c r="J56" s="1185">
        <f>SUM(J57:J60)</f>
        <v>32171964</v>
      </c>
      <c r="K56" s="1185">
        <f>SUM(K57:K60)</f>
        <v>36293871</v>
      </c>
    </row>
    <row r="57" spans="1:11" s="833" customFormat="1" ht="12.75" customHeight="1">
      <c r="A57" s="1174" t="s">
        <v>40</v>
      </c>
      <c r="B57" s="843"/>
      <c r="C57" s="1179" t="s">
        <v>452</v>
      </c>
      <c r="D57" s="1192">
        <v>6283632</v>
      </c>
      <c r="E57" s="1186">
        <v>9512000</v>
      </c>
      <c r="F57" s="1186">
        <v>9489000</v>
      </c>
      <c r="G57" s="1186">
        <v>9489000</v>
      </c>
      <c r="H57" s="1186">
        <v>9489000</v>
      </c>
      <c r="I57" s="1186">
        <v>9489000</v>
      </c>
      <c r="J57" s="1186">
        <v>9489000</v>
      </c>
      <c r="K57" s="1186">
        <v>9489000</v>
      </c>
    </row>
    <row r="58" spans="1:11" s="833" customFormat="1" ht="12.75" customHeight="1">
      <c r="A58" s="1174" t="s">
        <v>47</v>
      </c>
      <c r="B58" s="843"/>
      <c r="C58" s="1180" t="s">
        <v>453</v>
      </c>
      <c r="D58" s="1193">
        <v>2640000</v>
      </c>
      <c r="E58" s="1187">
        <v>2640000</v>
      </c>
      <c r="F58" s="1187">
        <v>2640000</v>
      </c>
      <c r="G58" s="1187">
        <v>2640000</v>
      </c>
      <c r="H58" s="1187">
        <v>2640000</v>
      </c>
      <c r="I58" s="1187">
        <v>2640000</v>
      </c>
      <c r="J58" s="1187">
        <v>2640000</v>
      </c>
      <c r="K58" s="1187">
        <v>2348850</v>
      </c>
    </row>
    <row r="59" spans="1:11" s="833" customFormat="1" ht="12.75" customHeight="1">
      <c r="A59" s="1174" t="s">
        <v>49</v>
      </c>
      <c r="B59" s="843"/>
      <c r="C59" s="1180" t="s">
        <v>454</v>
      </c>
      <c r="D59" s="1194">
        <v>22651608</v>
      </c>
      <c r="E59" s="1188">
        <v>18560413</v>
      </c>
      <c r="F59" s="1188">
        <v>20042964</v>
      </c>
      <c r="G59" s="1188">
        <v>20042964</v>
      </c>
      <c r="H59" s="1188">
        <v>20042964</v>
      </c>
      <c r="I59" s="1188">
        <v>20042964</v>
      </c>
      <c r="J59" s="1188">
        <v>20042964</v>
      </c>
      <c r="K59" s="1188">
        <v>24456021</v>
      </c>
    </row>
    <row r="60" spans="1:11" s="833" customFormat="1" ht="12.75" customHeight="1">
      <c r="A60" s="1174" t="s">
        <v>51</v>
      </c>
      <c r="B60" s="843"/>
      <c r="C60" s="1180" t="s">
        <v>455</v>
      </c>
      <c r="D60" s="1192">
        <v>0</v>
      </c>
      <c r="E60" s="1186">
        <v>0</v>
      </c>
      <c r="F60" s="1186">
        <v>0</v>
      </c>
      <c r="G60" s="1186">
        <v>0</v>
      </c>
      <c r="H60" s="1186">
        <v>0</v>
      </c>
      <c r="I60" s="1186">
        <v>0</v>
      </c>
      <c r="J60" s="1186">
        <v>0</v>
      </c>
      <c r="K60" s="1186">
        <v>0</v>
      </c>
    </row>
    <row r="61" spans="1:11" s="833" customFormat="1" ht="12.75" customHeight="1">
      <c r="A61" s="1173" t="s">
        <v>53</v>
      </c>
      <c r="B61" s="843"/>
      <c r="C61" s="1181" t="s">
        <v>456</v>
      </c>
      <c r="D61" s="1191">
        <f aca="true" t="shared" si="1" ref="D61:K61">D62</f>
        <v>2360424</v>
      </c>
      <c r="E61" s="1185">
        <f t="shared" si="1"/>
        <v>4000000</v>
      </c>
      <c r="F61" s="1185">
        <f t="shared" si="1"/>
        <v>4000000</v>
      </c>
      <c r="G61" s="1185">
        <f t="shared" si="1"/>
        <v>4000000</v>
      </c>
      <c r="H61" s="1185">
        <f t="shared" si="1"/>
        <v>4000000</v>
      </c>
      <c r="I61" s="1185">
        <f t="shared" si="1"/>
        <v>4000000</v>
      </c>
      <c r="J61" s="1185">
        <f t="shared" si="1"/>
        <v>4000000</v>
      </c>
      <c r="K61" s="1185">
        <f t="shared" si="1"/>
        <v>4450000</v>
      </c>
    </row>
    <row r="62" spans="1:11" s="833" customFormat="1" ht="12.75" customHeight="1">
      <c r="A62" s="1174" t="s">
        <v>55</v>
      </c>
      <c r="B62" s="843"/>
      <c r="C62" s="1182" t="s">
        <v>264</v>
      </c>
      <c r="D62" s="1192">
        <v>2360424</v>
      </c>
      <c r="E62" s="1186">
        <v>4000000</v>
      </c>
      <c r="F62" s="1186">
        <v>4000000</v>
      </c>
      <c r="G62" s="1186">
        <v>4000000</v>
      </c>
      <c r="H62" s="1186">
        <v>4000000</v>
      </c>
      <c r="I62" s="1186">
        <v>4000000</v>
      </c>
      <c r="J62" s="1186">
        <v>4000000</v>
      </c>
      <c r="K62" s="1186">
        <v>4450000</v>
      </c>
    </row>
    <row r="63" spans="1:11" s="392" customFormat="1" ht="12.75" customHeight="1">
      <c r="A63" s="1173" t="s">
        <v>86</v>
      </c>
      <c r="B63" s="841"/>
      <c r="C63" s="1178" t="s">
        <v>265</v>
      </c>
      <c r="D63" s="1191">
        <v>47644</v>
      </c>
      <c r="E63" s="1185">
        <f aca="true" t="shared" si="2" ref="E63:J63">SUM(E80)</f>
        <v>50000</v>
      </c>
      <c r="F63" s="1185">
        <f t="shared" si="2"/>
        <v>50000</v>
      </c>
      <c r="G63" s="1185">
        <f t="shared" si="2"/>
        <v>50000</v>
      </c>
      <c r="H63" s="1185">
        <f t="shared" si="2"/>
        <v>50000</v>
      </c>
      <c r="I63" s="1185">
        <f t="shared" si="2"/>
        <v>50000</v>
      </c>
      <c r="J63" s="1185">
        <f t="shared" si="2"/>
        <v>50000</v>
      </c>
      <c r="K63" s="1185">
        <v>23008</v>
      </c>
    </row>
    <row r="64" spans="1:11" s="833" customFormat="1" ht="12.75" customHeight="1" thickBot="1">
      <c r="A64" s="1175" t="s">
        <v>59</v>
      </c>
      <c r="B64" s="1176"/>
      <c r="C64" s="1183" t="s">
        <v>25</v>
      </c>
      <c r="D64" s="1195">
        <f aca="true" t="shared" si="3" ref="D64:I64">D56+D61+D63</f>
        <v>33983308</v>
      </c>
      <c r="E64" s="1189">
        <f t="shared" si="3"/>
        <v>34762413</v>
      </c>
      <c r="F64" s="1189">
        <f t="shared" si="3"/>
        <v>36221964</v>
      </c>
      <c r="G64" s="1189">
        <f t="shared" si="3"/>
        <v>36221964</v>
      </c>
      <c r="H64" s="1189">
        <f t="shared" si="3"/>
        <v>36221964</v>
      </c>
      <c r="I64" s="1189">
        <f t="shared" si="3"/>
        <v>36221964</v>
      </c>
      <c r="J64" s="1189">
        <f>J56+J61+J63</f>
        <v>36221964</v>
      </c>
      <c r="K64" s="1189">
        <f>K56+K61+K63</f>
        <v>40766879</v>
      </c>
    </row>
    <row r="65" spans="1:10" s="833" customFormat="1" ht="12.75" customHeight="1">
      <c r="A65" s="835"/>
      <c r="J65" s="1172"/>
    </row>
    <row r="66" spans="1:10" s="833" customFormat="1" ht="12.75" customHeight="1">
      <c r="A66" s="835"/>
      <c r="J66" s="1172"/>
    </row>
    <row r="68" spans="1:5" ht="12.75" customHeight="1">
      <c r="A68" s="835"/>
      <c r="B68" s="833"/>
      <c r="C68" s="833"/>
      <c r="D68" s="833"/>
      <c r="E68" s="833"/>
    </row>
    <row r="69" spans="1:9" ht="12.75" customHeight="1">
      <c r="A69" s="1583" t="s">
        <v>457</v>
      </c>
      <c r="B69" s="1583"/>
      <c r="C69" s="1583"/>
      <c r="D69" s="1583"/>
      <c r="E69" s="1583"/>
      <c r="F69" s="1583"/>
      <c r="G69" s="1583"/>
      <c r="H69" s="1583"/>
      <c r="I69" s="1583"/>
    </row>
    <row r="70" spans="1:11" ht="12.75" customHeight="1">
      <c r="A70" s="1571" t="s">
        <v>1226</v>
      </c>
      <c r="B70" s="1571"/>
      <c r="C70" s="1571"/>
      <c r="D70" s="1571"/>
      <c r="E70" s="1571"/>
      <c r="F70" s="1571"/>
      <c r="G70" s="1571"/>
      <c r="H70" s="1571"/>
      <c r="I70" s="1571"/>
      <c r="J70" s="1571"/>
      <c r="K70" s="1571"/>
    </row>
    <row r="71" spans="1:11" s="1172" customFormat="1" ht="12.75" customHeight="1">
      <c r="A71" s="1498"/>
      <c r="B71" s="1498"/>
      <c r="C71" s="1498"/>
      <c r="D71" s="1928" t="s">
        <v>1227</v>
      </c>
      <c r="E71" s="1571"/>
      <c r="F71" s="1571"/>
      <c r="G71" s="1571"/>
      <c r="H71" s="1571"/>
      <c r="I71" s="1498" t="s">
        <v>1229</v>
      </c>
      <c r="J71" s="1498"/>
      <c r="K71" s="1498"/>
    </row>
    <row r="72" spans="1:11" ht="12.75" customHeight="1">
      <c r="A72" s="1570" t="s">
        <v>1012</v>
      </c>
      <c r="B72" s="1570"/>
      <c r="C72" s="1570"/>
      <c r="D72" s="1570"/>
      <c r="E72" s="1570"/>
      <c r="F72" s="1570"/>
      <c r="G72" s="1570"/>
      <c r="H72" s="1570"/>
      <c r="I72" s="1570"/>
      <c r="J72" s="1570"/>
      <c r="K72" s="1570"/>
    </row>
    <row r="73" spans="1:5" ht="12.75" customHeight="1">
      <c r="A73" s="835"/>
      <c r="B73" s="833"/>
      <c r="C73" s="840"/>
      <c r="D73" s="833"/>
      <c r="E73" s="833"/>
    </row>
    <row r="74" spans="1:11" ht="12.75" customHeight="1">
      <c r="A74" s="835"/>
      <c r="B74" s="833"/>
      <c r="C74" s="1569" t="s">
        <v>216</v>
      </c>
      <c r="D74" s="1569"/>
      <c r="E74" s="1569"/>
      <c r="F74" s="1569"/>
      <c r="G74" s="1569"/>
      <c r="H74" s="1569"/>
      <c r="I74" s="1569"/>
      <c r="J74" s="1569"/>
      <c r="K74" s="1569"/>
    </row>
    <row r="75" spans="1:11" ht="12.75" customHeight="1">
      <c r="A75" s="835"/>
      <c r="B75" s="833"/>
      <c r="C75" s="846" t="s">
        <v>24</v>
      </c>
      <c r="D75" s="1143" t="s">
        <v>158</v>
      </c>
      <c r="E75" s="1143" t="s">
        <v>1002</v>
      </c>
      <c r="F75" s="1143" t="s">
        <v>1092</v>
      </c>
      <c r="G75" s="1143" t="s">
        <v>1132</v>
      </c>
      <c r="H75" s="1143" t="s">
        <v>1143</v>
      </c>
      <c r="I75" s="1143" t="s">
        <v>1151</v>
      </c>
      <c r="J75" s="1143" t="s">
        <v>1171</v>
      </c>
      <c r="K75" s="1143" t="s">
        <v>1187</v>
      </c>
    </row>
    <row r="76" spans="1:11" ht="12.75" customHeight="1">
      <c r="A76" s="835"/>
      <c r="B76" s="833"/>
      <c r="C76" s="847" t="s">
        <v>1174</v>
      </c>
      <c r="D76" s="848">
        <v>0</v>
      </c>
      <c r="E76" s="848">
        <v>0</v>
      </c>
      <c r="F76" s="848">
        <v>0</v>
      </c>
      <c r="G76" s="848">
        <v>0</v>
      </c>
      <c r="H76" s="848">
        <v>0</v>
      </c>
      <c r="I76" s="848">
        <v>0</v>
      </c>
      <c r="J76" s="848">
        <v>0</v>
      </c>
      <c r="K76" s="848">
        <v>23008</v>
      </c>
    </row>
    <row r="77" spans="1:11" ht="12.75" customHeight="1">
      <c r="A77" s="835"/>
      <c r="B77" s="833"/>
      <c r="C77" s="845" t="s">
        <v>27</v>
      </c>
      <c r="D77" s="844">
        <v>0</v>
      </c>
      <c r="E77" s="844">
        <v>0</v>
      </c>
      <c r="F77" s="844">
        <v>0</v>
      </c>
      <c r="G77" s="844">
        <v>0</v>
      </c>
      <c r="H77" s="844">
        <v>0</v>
      </c>
      <c r="I77" s="844">
        <v>0</v>
      </c>
      <c r="J77" s="844">
        <v>0</v>
      </c>
      <c r="K77" s="844">
        <v>0</v>
      </c>
    </row>
    <row r="78" spans="1:11" ht="12.75" customHeight="1">
      <c r="A78" s="835"/>
      <c r="B78" s="833"/>
      <c r="C78" s="845" t="s">
        <v>1066</v>
      </c>
      <c r="D78" s="844">
        <v>47644</v>
      </c>
      <c r="E78" s="844">
        <v>50000</v>
      </c>
      <c r="F78" s="844">
        <v>50000</v>
      </c>
      <c r="G78" s="844">
        <v>50000</v>
      </c>
      <c r="H78" s="844">
        <v>50000</v>
      </c>
      <c r="I78" s="844">
        <v>50000</v>
      </c>
      <c r="J78" s="844">
        <v>50000</v>
      </c>
      <c r="K78" s="844"/>
    </row>
    <row r="79" spans="1:11" ht="12.75" customHeight="1">
      <c r="A79" s="835"/>
      <c r="B79" s="833"/>
      <c r="C79" s="845" t="s">
        <v>458</v>
      </c>
      <c r="D79" s="844"/>
      <c r="E79" s="844">
        <v>0</v>
      </c>
      <c r="F79" s="844">
        <v>0</v>
      </c>
      <c r="G79" s="844">
        <v>0</v>
      </c>
      <c r="H79" s="844">
        <v>0</v>
      </c>
      <c r="I79" s="844">
        <v>0</v>
      </c>
      <c r="J79" s="844">
        <v>0</v>
      </c>
      <c r="K79" s="844">
        <v>0</v>
      </c>
    </row>
    <row r="80" spans="1:11" ht="12.75" customHeight="1">
      <c r="A80" s="835"/>
      <c r="B80" s="833"/>
      <c r="C80" s="849" t="s">
        <v>29</v>
      </c>
      <c r="D80" s="850">
        <f aca="true" t="shared" si="4" ref="D80:I80">SUM(D76:D79)</f>
        <v>47644</v>
      </c>
      <c r="E80" s="850">
        <f t="shared" si="4"/>
        <v>50000</v>
      </c>
      <c r="F80" s="850">
        <f t="shared" si="4"/>
        <v>50000</v>
      </c>
      <c r="G80" s="850">
        <f t="shared" si="4"/>
        <v>50000</v>
      </c>
      <c r="H80" s="850">
        <f t="shared" si="4"/>
        <v>50000</v>
      </c>
      <c r="I80" s="850">
        <f t="shared" si="4"/>
        <v>50000</v>
      </c>
      <c r="J80" s="850">
        <f>SUM(J76:J79)</f>
        <v>50000</v>
      </c>
      <c r="K80" s="850">
        <f>SUM(K76:K79)</f>
        <v>23008</v>
      </c>
    </row>
  </sheetData>
  <sheetProtection selectLockedCells="1" selectUnlockedCells="1"/>
  <mergeCells count="33">
    <mergeCell ref="D71:H71"/>
    <mergeCell ref="A1:I1"/>
    <mergeCell ref="E10:E11"/>
    <mergeCell ref="F10:F11"/>
    <mergeCell ref="G10:G11"/>
    <mergeCell ref="H10:H11"/>
    <mergeCell ref="D47:H47"/>
    <mergeCell ref="E53:E54"/>
    <mergeCell ref="A69:I69"/>
    <mergeCell ref="D10:D11"/>
    <mergeCell ref="I53:I54"/>
    <mergeCell ref="G52:H52"/>
    <mergeCell ref="I10:I11"/>
    <mergeCell ref="C74:K74"/>
    <mergeCell ref="A72:K72"/>
    <mergeCell ref="A70:K70"/>
    <mergeCell ref="A48:K48"/>
    <mergeCell ref="A46:K46"/>
    <mergeCell ref="A10:B12"/>
    <mergeCell ref="J53:J54"/>
    <mergeCell ref="A53:B55"/>
    <mergeCell ref="C10:C11"/>
    <mergeCell ref="G53:G54"/>
    <mergeCell ref="A45:K45"/>
    <mergeCell ref="F53:F54"/>
    <mergeCell ref="J10:J11"/>
    <mergeCell ref="A5:J5"/>
    <mergeCell ref="A2:K2"/>
    <mergeCell ref="K53:K54"/>
    <mergeCell ref="A9:H9"/>
    <mergeCell ref="C53:C54"/>
    <mergeCell ref="H53:H54"/>
    <mergeCell ref="D53:D54"/>
  </mergeCells>
  <printOptions horizontalCentered="1"/>
  <pageMargins left="0.2755905511811024" right="0.2362204724409449" top="0.15748031496062992" bottom="0.15748031496062992" header="0.5118110236220472" footer="0.5118110236220472"/>
  <pageSetup firstPageNumber="1" useFirstPageNumber="1" fitToHeight="1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8"/>
  <sheetViews>
    <sheetView view="pageBreakPreview" zoomScaleSheetLayoutView="100" zoomScalePageLayoutView="0" workbookViewId="0" topLeftCell="F1">
      <selection activeCell="P3" sqref="P3"/>
    </sheetView>
  </sheetViews>
  <sheetFormatPr defaultColWidth="11.7109375" defaultRowHeight="12.75" customHeight="1"/>
  <cols>
    <col min="1" max="1" width="27.140625" style="859" customWidth="1"/>
    <col min="2" max="2" width="14.57421875" style="859" customWidth="1"/>
    <col min="3" max="3" width="12.140625" style="859" customWidth="1"/>
    <col min="4" max="4" width="14.7109375" style="859" bestFit="1" customWidth="1"/>
    <col min="5" max="5" width="13.7109375" style="859" bestFit="1" customWidth="1"/>
    <col min="6" max="6" width="12.57421875" style="879" bestFit="1" customWidth="1"/>
    <col min="7" max="7" width="13.7109375" style="879" bestFit="1" customWidth="1"/>
    <col min="8" max="8" width="14.7109375" style="859" bestFit="1" customWidth="1"/>
    <col min="9" max="9" width="31.28125" style="859" customWidth="1"/>
    <col min="10" max="10" width="15.140625" style="859" customWidth="1"/>
    <col min="11" max="11" width="9.28125" style="859" customWidth="1"/>
    <col min="12" max="12" width="12.57421875" style="859" customWidth="1"/>
    <col min="13" max="14" width="13.7109375" style="859" bestFit="1" customWidth="1"/>
    <col min="15" max="15" width="14.7109375" style="859" customWidth="1"/>
    <col min="16" max="16" width="14.140625" style="859" customWidth="1"/>
    <col min="17" max="16384" width="11.7109375" style="859" customWidth="1"/>
  </cols>
  <sheetData>
    <row r="1" spans="1:16" s="858" customFormat="1" ht="12.75" customHeight="1">
      <c r="A1" s="1587"/>
      <c r="B1" s="1587"/>
      <c r="C1" s="1587"/>
      <c r="D1" s="1587"/>
      <c r="I1" s="1588" t="s">
        <v>459</v>
      </c>
      <c r="J1" s="1588"/>
      <c r="K1" s="1588"/>
      <c r="L1" s="1588"/>
      <c r="M1" s="1588"/>
      <c r="N1" s="1588"/>
      <c r="O1" s="1588"/>
      <c r="P1" s="1588"/>
    </row>
    <row r="2" spans="1:16" ht="12.75" customHeight="1">
      <c r="A2" s="1589" t="s">
        <v>1226</v>
      </c>
      <c r="B2" s="1589"/>
      <c r="C2" s="1589"/>
      <c r="D2" s="1589"/>
      <c r="E2" s="1589"/>
      <c r="F2" s="1589"/>
      <c r="G2" s="1589"/>
      <c r="H2" s="1589"/>
      <c r="I2" s="1589"/>
      <c r="J2" s="1589"/>
      <c r="K2" s="1589"/>
      <c r="L2" s="1589"/>
      <c r="M2" s="1589"/>
      <c r="N2" s="1589"/>
      <c r="O2" s="1589"/>
      <c r="P2" s="1589"/>
    </row>
    <row r="3" spans="1:16" ht="12.75" customHeight="1">
      <c r="A3" s="1499"/>
      <c r="B3" s="1499"/>
      <c r="C3" s="1499"/>
      <c r="D3" s="1499"/>
      <c r="E3" s="1499"/>
      <c r="F3" s="1499"/>
      <c r="G3" s="1929" t="s">
        <v>1227</v>
      </c>
      <c r="H3" s="1929"/>
      <c r="I3" s="1929"/>
      <c r="J3" s="1499"/>
      <c r="K3" s="1499"/>
      <c r="L3" s="1499"/>
      <c r="M3" s="1499"/>
      <c r="N3" s="1499"/>
      <c r="O3" s="1499"/>
      <c r="P3" s="1499" t="s">
        <v>1230</v>
      </c>
    </row>
    <row r="4" spans="1:256" ht="12.75" customHeight="1">
      <c r="A4" s="1590" t="s">
        <v>1013</v>
      </c>
      <c r="B4" s="1590"/>
      <c r="C4" s="1590"/>
      <c r="D4" s="1590"/>
      <c r="E4" s="1590"/>
      <c r="F4" s="1590"/>
      <c r="G4" s="1590"/>
      <c r="H4" s="1590"/>
      <c r="I4" s="1590"/>
      <c r="J4" s="1590"/>
      <c r="K4" s="1590"/>
      <c r="L4" s="1590"/>
      <c r="M4" s="1590"/>
      <c r="N4" s="1590"/>
      <c r="O4" s="1590"/>
      <c r="P4" s="1590"/>
      <c r="Q4" s="860"/>
      <c r="R4" s="860"/>
      <c r="S4" s="860"/>
      <c r="T4" s="860"/>
      <c r="U4" s="860"/>
      <c r="V4" s="860"/>
      <c r="W4" s="860"/>
      <c r="X4" s="860"/>
      <c r="Y4" s="860"/>
      <c r="Z4" s="860"/>
      <c r="AA4" s="860"/>
      <c r="AB4" s="860"/>
      <c r="AC4" s="860"/>
      <c r="AD4" s="860"/>
      <c r="AE4" s="860"/>
      <c r="AF4" s="860"/>
      <c r="AG4" s="860"/>
      <c r="AH4" s="860"/>
      <c r="AI4" s="860"/>
      <c r="AJ4" s="860"/>
      <c r="AK4" s="860"/>
      <c r="AL4" s="860"/>
      <c r="AM4" s="860"/>
      <c r="AN4" s="860"/>
      <c r="AO4" s="860"/>
      <c r="AP4" s="860"/>
      <c r="AQ4" s="860"/>
      <c r="AR4" s="860"/>
      <c r="AS4" s="860"/>
      <c r="AT4" s="860"/>
      <c r="AU4" s="860"/>
      <c r="AV4" s="860"/>
      <c r="AW4" s="860"/>
      <c r="AX4" s="860"/>
      <c r="AY4" s="860"/>
      <c r="AZ4" s="860"/>
      <c r="BA4" s="860"/>
      <c r="BB4" s="860"/>
      <c r="BC4" s="860"/>
      <c r="BD4" s="860"/>
      <c r="BE4" s="860"/>
      <c r="BF4" s="860"/>
      <c r="BG4" s="860"/>
      <c r="BH4" s="860"/>
      <c r="BI4" s="860"/>
      <c r="BJ4" s="860"/>
      <c r="BK4" s="860"/>
      <c r="BL4" s="860"/>
      <c r="BM4" s="860"/>
      <c r="BN4" s="860"/>
      <c r="BO4" s="860"/>
      <c r="BP4" s="860"/>
      <c r="BQ4" s="860"/>
      <c r="BR4" s="860"/>
      <c r="BS4" s="860"/>
      <c r="BT4" s="860"/>
      <c r="BU4" s="860"/>
      <c r="BV4" s="860"/>
      <c r="BW4" s="860"/>
      <c r="BX4" s="860"/>
      <c r="BY4" s="860"/>
      <c r="BZ4" s="860"/>
      <c r="CA4" s="860"/>
      <c r="CB4" s="860"/>
      <c r="CC4" s="860"/>
      <c r="CD4" s="860"/>
      <c r="CE4" s="860"/>
      <c r="CF4" s="860"/>
      <c r="CG4" s="860"/>
      <c r="CH4" s="860"/>
      <c r="CI4" s="860"/>
      <c r="CJ4" s="860"/>
      <c r="CK4" s="860"/>
      <c r="CL4" s="860"/>
      <c r="CM4" s="860"/>
      <c r="CN4" s="860"/>
      <c r="CO4" s="860"/>
      <c r="CP4" s="860"/>
      <c r="CQ4" s="860"/>
      <c r="CR4" s="860"/>
      <c r="CS4" s="860"/>
      <c r="CT4" s="860"/>
      <c r="CU4" s="860"/>
      <c r="CV4" s="860"/>
      <c r="CW4" s="860"/>
      <c r="CX4" s="860"/>
      <c r="CY4" s="860"/>
      <c r="CZ4" s="860"/>
      <c r="DA4" s="860"/>
      <c r="DB4" s="860"/>
      <c r="DC4" s="860"/>
      <c r="DD4" s="860"/>
      <c r="DE4" s="860"/>
      <c r="DF4" s="860"/>
      <c r="DG4" s="860"/>
      <c r="DH4" s="860"/>
      <c r="DI4" s="860"/>
      <c r="DJ4" s="860"/>
      <c r="DK4" s="860"/>
      <c r="DL4" s="860"/>
      <c r="DM4" s="860"/>
      <c r="DN4" s="860"/>
      <c r="DO4" s="860"/>
      <c r="DP4" s="860"/>
      <c r="DQ4" s="860"/>
      <c r="DR4" s="860"/>
      <c r="DS4" s="860"/>
      <c r="DT4" s="860"/>
      <c r="DU4" s="860"/>
      <c r="DV4" s="860"/>
      <c r="DW4" s="860"/>
      <c r="DX4" s="860"/>
      <c r="DY4" s="860"/>
      <c r="DZ4" s="860"/>
      <c r="EA4" s="860"/>
      <c r="EB4" s="860"/>
      <c r="EC4" s="860"/>
      <c r="ED4" s="860"/>
      <c r="EE4" s="860"/>
      <c r="EF4" s="860"/>
      <c r="EG4" s="860"/>
      <c r="EH4" s="860"/>
      <c r="EI4" s="860"/>
      <c r="EJ4" s="860"/>
      <c r="EK4" s="860"/>
      <c r="EL4" s="860"/>
      <c r="EM4" s="860"/>
      <c r="EN4" s="860"/>
      <c r="EO4" s="860"/>
      <c r="EP4" s="860"/>
      <c r="EQ4" s="860"/>
      <c r="ER4" s="860"/>
      <c r="ES4" s="860"/>
      <c r="ET4" s="860"/>
      <c r="EU4" s="860"/>
      <c r="EV4" s="860"/>
      <c r="EW4" s="860"/>
      <c r="EX4" s="860"/>
      <c r="EY4" s="860"/>
      <c r="EZ4" s="860"/>
      <c r="FA4" s="860"/>
      <c r="FB4" s="860"/>
      <c r="FC4" s="860"/>
      <c r="FD4" s="860"/>
      <c r="FE4" s="860"/>
      <c r="FF4" s="860"/>
      <c r="FG4" s="860"/>
      <c r="FH4" s="860"/>
      <c r="FI4" s="860"/>
      <c r="FJ4" s="860"/>
      <c r="FK4" s="860"/>
      <c r="FL4" s="860"/>
      <c r="FM4" s="860"/>
      <c r="FN4" s="860"/>
      <c r="FO4" s="860"/>
      <c r="FP4" s="860"/>
      <c r="FQ4" s="860"/>
      <c r="FR4" s="860"/>
      <c r="FS4" s="860"/>
      <c r="FT4" s="860"/>
      <c r="FU4" s="860"/>
      <c r="FV4" s="860"/>
      <c r="FW4" s="860"/>
      <c r="FX4" s="860"/>
      <c r="FY4" s="860"/>
      <c r="FZ4" s="860"/>
      <c r="GA4" s="860"/>
      <c r="GB4" s="860"/>
      <c r="GC4" s="860"/>
      <c r="GD4" s="860"/>
      <c r="GE4" s="860"/>
      <c r="GF4" s="860"/>
      <c r="GG4" s="860"/>
      <c r="GH4" s="860"/>
      <c r="GI4" s="860"/>
      <c r="GJ4" s="860"/>
      <c r="GK4" s="860"/>
      <c r="GL4" s="860"/>
      <c r="GM4" s="860"/>
      <c r="GN4" s="860"/>
      <c r="GO4" s="860"/>
      <c r="GP4" s="860"/>
      <c r="GQ4" s="860"/>
      <c r="GR4" s="860"/>
      <c r="GS4" s="860"/>
      <c r="GT4" s="860"/>
      <c r="GU4" s="860"/>
      <c r="GV4" s="860"/>
      <c r="GW4" s="860"/>
      <c r="GX4" s="860"/>
      <c r="GY4" s="860"/>
      <c r="GZ4" s="860"/>
      <c r="HA4" s="860"/>
      <c r="HB4" s="860"/>
      <c r="HC4" s="860"/>
      <c r="HD4" s="860"/>
      <c r="HE4" s="860"/>
      <c r="HF4" s="860"/>
      <c r="HG4" s="860"/>
      <c r="HH4" s="860"/>
      <c r="HI4" s="860"/>
      <c r="HJ4" s="860"/>
      <c r="HK4" s="860"/>
      <c r="HL4" s="860"/>
      <c r="HM4" s="860"/>
      <c r="HN4" s="860"/>
      <c r="HO4" s="860"/>
      <c r="HP4" s="860"/>
      <c r="HQ4" s="860"/>
      <c r="HR4" s="860"/>
      <c r="HS4" s="860"/>
      <c r="HT4" s="860"/>
      <c r="HU4" s="860"/>
      <c r="HV4" s="860"/>
      <c r="HW4" s="860"/>
      <c r="HX4" s="860"/>
      <c r="HY4" s="860"/>
      <c r="HZ4" s="860"/>
      <c r="IA4" s="860"/>
      <c r="IB4" s="860"/>
      <c r="IC4" s="860"/>
      <c r="ID4" s="860"/>
      <c r="IE4" s="860"/>
      <c r="IF4" s="860"/>
      <c r="IG4" s="860"/>
      <c r="IH4" s="860"/>
      <c r="II4" s="860"/>
      <c r="IJ4" s="860"/>
      <c r="IK4" s="860"/>
      <c r="IL4" s="860"/>
      <c r="IM4" s="860"/>
      <c r="IN4" s="860"/>
      <c r="IO4" s="860"/>
      <c r="IP4" s="860"/>
      <c r="IQ4" s="860"/>
      <c r="IR4" s="860"/>
      <c r="IS4" s="860"/>
      <c r="IT4" s="860"/>
      <c r="IU4" s="860"/>
      <c r="IV4" s="860"/>
    </row>
    <row r="5" spans="1:256" ht="12.75" customHeight="1">
      <c r="A5" s="861"/>
      <c r="B5" s="861"/>
      <c r="C5" s="861"/>
      <c r="D5" s="861"/>
      <c r="E5" s="860"/>
      <c r="F5" s="860"/>
      <c r="G5" s="860"/>
      <c r="H5" s="860"/>
      <c r="I5" s="861"/>
      <c r="J5" s="861"/>
      <c r="K5" s="861"/>
      <c r="L5" s="861"/>
      <c r="M5" s="861"/>
      <c r="N5" s="860"/>
      <c r="O5" s="860"/>
      <c r="P5" s="860"/>
      <c r="Q5" s="860"/>
      <c r="R5" s="860"/>
      <c r="S5" s="860"/>
      <c r="T5" s="860"/>
      <c r="U5" s="860"/>
      <c r="V5" s="860"/>
      <c r="W5" s="860"/>
      <c r="X5" s="860"/>
      <c r="Y5" s="860"/>
      <c r="Z5" s="860"/>
      <c r="AA5" s="860"/>
      <c r="AB5" s="860"/>
      <c r="AC5" s="860"/>
      <c r="AD5" s="860"/>
      <c r="AE5" s="860"/>
      <c r="AF5" s="860"/>
      <c r="AG5" s="860"/>
      <c r="AH5" s="860"/>
      <c r="AI5" s="860"/>
      <c r="AJ5" s="860"/>
      <c r="AK5" s="860"/>
      <c r="AL5" s="860"/>
      <c r="AM5" s="860"/>
      <c r="AN5" s="860"/>
      <c r="AO5" s="860"/>
      <c r="AP5" s="860"/>
      <c r="AQ5" s="860"/>
      <c r="AR5" s="860"/>
      <c r="AS5" s="860"/>
      <c r="AT5" s="860"/>
      <c r="AU5" s="860"/>
      <c r="AV5" s="860"/>
      <c r="AW5" s="860"/>
      <c r="AX5" s="860"/>
      <c r="AY5" s="860"/>
      <c r="AZ5" s="860"/>
      <c r="BA5" s="860"/>
      <c r="BB5" s="860"/>
      <c r="BC5" s="860"/>
      <c r="BD5" s="860"/>
      <c r="BE5" s="860"/>
      <c r="BF5" s="860"/>
      <c r="BG5" s="860"/>
      <c r="BH5" s="860"/>
      <c r="BI5" s="860"/>
      <c r="BJ5" s="860"/>
      <c r="BK5" s="860"/>
      <c r="BL5" s="860"/>
      <c r="BM5" s="860"/>
      <c r="BN5" s="860"/>
      <c r="BO5" s="860"/>
      <c r="BP5" s="860"/>
      <c r="BQ5" s="860"/>
      <c r="BR5" s="860"/>
      <c r="BS5" s="860"/>
      <c r="BT5" s="860"/>
      <c r="BU5" s="860"/>
      <c r="BV5" s="860"/>
      <c r="BW5" s="860"/>
      <c r="BX5" s="860"/>
      <c r="BY5" s="860"/>
      <c r="BZ5" s="860"/>
      <c r="CA5" s="860"/>
      <c r="CB5" s="860"/>
      <c r="CC5" s="860"/>
      <c r="CD5" s="860"/>
      <c r="CE5" s="860"/>
      <c r="CF5" s="860"/>
      <c r="CG5" s="860"/>
      <c r="CH5" s="860"/>
      <c r="CI5" s="860"/>
      <c r="CJ5" s="860"/>
      <c r="CK5" s="860"/>
      <c r="CL5" s="860"/>
      <c r="CM5" s="860"/>
      <c r="CN5" s="860"/>
      <c r="CO5" s="860"/>
      <c r="CP5" s="860"/>
      <c r="CQ5" s="860"/>
      <c r="CR5" s="860"/>
      <c r="CS5" s="860"/>
      <c r="CT5" s="860"/>
      <c r="CU5" s="860"/>
      <c r="CV5" s="860"/>
      <c r="CW5" s="860"/>
      <c r="CX5" s="860"/>
      <c r="CY5" s="860"/>
      <c r="CZ5" s="860"/>
      <c r="DA5" s="860"/>
      <c r="DB5" s="860"/>
      <c r="DC5" s="860"/>
      <c r="DD5" s="860"/>
      <c r="DE5" s="860"/>
      <c r="DF5" s="860"/>
      <c r="DG5" s="860"/>
      <c r="DH5" s="860"/>
      <c r="DI5" s="860"/>
      <c r="DJ5" s="860"/>
      <c r="DK5" s="860"/>
      <c r="DL5" s="860"/>
      <c r="DM5" s="860"/>
      <c r="DN5" s="860"/>
      <c r="DO5" s="860"/>
      <c r="DP5" s="860"/>
      <c r="DQ5" s="860"/>
      <c r="DR5" s="860"/>
      <c r="DS5" s="860"/>
      <c r="DT5" s="860"/>
      <c r="DU5" s="860"/>
      <c r="DV5" s="860"/>
      <c r="DW5" s="860"/>
      <c r="DX5" s="860"/>
      <c r="DY5" s="860"/>
      <c r="DZ5" s="860"/>
      <c r="EA5" s="860"/>
      <c r="EB5" s="860"/>
      <c r="EC5" s="860"/>
      <c r="ED5" s="860"/>
      <c r="EE5" s="860"/>
      <c r="EF5" s="860"/>
      <c r="EG5" s="860"/>
      <c r="EH5" s="860"/>
      <c r="EI5" s="860"/>
      <c r="EJ5" s="860"/>
      <c r="EK5" s="860"/>
      <c r="EL5" s="860"/>
      <c r="EM5" s="860"/>
      <c r="EN5" s="860"/>
      <c r="EO5" s="860"/>
      <c r="EP5" s="860"/>
      <c r="EQ5" s="860"/>
      <c r="ER5" s="860"/>
      <c r="ES5" s="860"/>
      <c r="ET5" s="860"/>
      <c r="EU5" s="860"/>
      <c r="EV5" s="860"/>
      <c r="EW5" s="860"/>
      <c r="EX5" s="860"/>
      <c r="EY5" s="860"/>
      <c r="EZ5" s="860"/>
      <c r="FA5" s="860"/>
      <c r="FB5" s="860"/>
      <c r="FC5" s="860"/>
      <c r="FD5" s="860"/>
      <c r="FE5" s="860"/>
      <c r="FF5" s="860"/>
      <c r="FG5" s="860"/>
      <c r="FH5" s="860"/>
      <c r="FI5" s="860"/>
      <c r="FJ5" s="860"/>
      <c r="FK5" s="860"/>
      <c r="FL5" s="860"/>
      <c r="FM5" s="860"/>
      <c r="FN5" s="860"/>
      <c r="FO5" s="860"/>
      <c r="FP5" s="860"/>
      <c r="FQ5" s="860"/>
      <c r="FR5" s="860"/>
      <c r="FS5" s="860"/>
      <c r="FT5" s="860"/>
      <c r="FU5" s="860"/>
      <c r="FV5" s="860"/>
      <c r="FW5" s="860"/>
      <c r="FX5" s="860"/>
      <c r="FY5" s="860"/>
      <c r="FZ5" s="860"/>
      <c r="GA5" s="860"/>
      <c r="GB5" s="860"/>
      <c r="GC5" s="860"/>
      <c r="GD5" s="860"/>
      <c r="GE5" s="860"/>
      <c r="GF5" s="860"/>
      <c r="GG5" s="860"/>
      <c r="GH5" s="860"/>
      <c r="GI5" s="860"/>
      <c r="GJ5" s="860"/>
      <c r="GK5" s="860"/>
      <c r="GL5" s="860"/>
      <c r="GM5" s="860"/>
      <c r="GN5" s="860"/>
      <c r="GO5" s="860"/>
      <c r="GP5" s="860"/>
      <c r="GQ5" s="860"/>
      <c r="GR5" s="860"/>
      <c r="GS5" s="860"/>
      <c r="GT5" s="860"/>
      <c r="GU5" s="860"/>
      <c r="GV5" s="860"/>
      <c r="GW5" s="860"/>
      <c r="GX5" s="860"/>
      <c r="GY5" s="860"/>
      <c r="GZ5" s="860"/>
      <c r="HA5" s="860"/>
      <c r="HB5" s="860"/>
      <c r="HC5" s="860"/>
      <c r="HD5" s="860"/>
      <c r="HE5" s="860"/>
      <c r="HF5" s="860"/>
      <c r="HG5" s="860"/>
      <c r="HH5" s="860"/>
      <c r="HI5" s="860"/>
      <c r="HJ5" s="860"/>
      <c r="HK5" s="860"/>
      <c r="HL5" s="860"/>
      <c r="HM5" s="860"/>
      <c r="HN5" s="860"/>
      <c r="HO5" s="860"/>
      <c r="HP5" s="860"/>
      <c r="HQ5" s="860"/>
      <c r="HR5" s="860"/>
      <c r="HS5" s="860"/>
      <c r="HT5" s="860"/>
      <c r="HU5" s="860"/>
      <c r="HV5" s="860"/>
      <c r="HW5" s="860"/>
      <c r="HX5" s="860"/>
      <c r="HY5" s="860"/>
      <c r="HZ5" s="860"/>
      <c r="IA5" s="860"/>
      <c r="IB5" s="860"/>
      <c r="IC5" s="860"/>
      <c r="ID5" s="860"/>
      <c r="IE5" s="860"/>
      <c r="IF5" s="860"/>
      <c r="IG5" s="860"/>
      <c r="IH5" s="860"/>
      <c r="II5" s="860"/>
      <c r="IJ5" s="860"/>
      <c r="IK5" s="860"/>
      <c r="IL5" s="860"/>
      <c r="IM5" s="860"/>
      <c r="IN5" s="860"/>
      <c r="IO5" s="860"/>
      <c r="IP5" s="860"/>
      <c r="IQ5" s="860"/>
      <c r="IR5" s="860"/>
      <c r="IS5" s="860"/>
      <c r="IT5" s="860"/>
      <c r="IU5" s="860"/>
      <c r="IV5" s="860"/>
    </row>
    <row r="6" spans="1:256" ht="12.75" customHeight="1">
      <c r="A6" s="860"/>
      <c r="B6" s="860"/>
      <c r="C6" s="860"/>
      <c r="D6" s="860"/>
      <c r="E6" s="860"/>
      <c r="F6" s="860"/>
      <c r="G6" s="1591"/>
      <c r="H6" s="1591"/>
      <c r="I6" s="860"/>
      <c r="J6" s="860"/>
      <c r="K6" s="860"/>
      <c r="L6" s="860"/>
      <c r="M6" s="860"/>
      <c r="N6" s="1592" t="s">
        <v>155</v>
      </c>
      <c r="O6" s="1592"/>
      <c r="P6" s="1592"/>
      <c r="Q6" s="860"/>
      <c r="R6" s="860"/>
      <c r="S6" s="860"/>
      <c r="T6" s="860"/>
      <c r="U6" s="860"/>
      <c r="V6" s="860"/>
      <c r="W6" s="860"/>
      <c r="X6" s="860"/>
      <c r="Y6" s="860"/>
      <c r="Z6" s="860"/>
      <c r="AA6" s="860"/>
      <c r="AB6" s="860"/>
      <c r="AC6" s="860"/>
      <c r="AD6" s="860"/>
      <c r="AE6" s="860"/>
      <c r="AF6" s="860"/>
      <c r="AG6" s="860"/>
      <c r="AH6" s="860"/>
      <c r="AI6" s="860"/>
      <c r="AJ6" s="860"/>
      <c r="AK6" s="860"/>
      <c r="AL6" s="860"/>
      <c r="AM6" s="860"/>
      <c r="AN6" s="860"/>
      <c r="AO6" s="860"/>
      <c r="AP6" s="860"/>
      <c r="AQ6" s="860"/>
      <c r="AR6" s="860"/>
      <c r="AS6" s="860"/>
      <c r="AT6" s="860"/>
      <c r="AU6" s="860"/>
      <c r="AV6" s="860"/>
      <c r="AW6" s="860"/>
      <c r="AX6" s="860"/>
      <c r="AY6" s="860"/>
      <c r="AZ6" s="860"/>
      <c r="BA6" s="860"/>
      <c r="BB6" s="860"/>
      <c r="BC6" s="860"/>
      <c r="BD6" s="860"/>
      <c r="BE6" s="860"/>
      <c r="BF6" s="860"/>
      <c r="BG6" s="860"/>
      <c r="BH6" s="860"/>
      <c r="BI6" s="860"/>
      <c r="BJ6" s="860"/>
      <c r="BK6" s="860"/>
      <c r="BL6" s="860"/>
      <c r="BM6" s="860"/>
      <c r="BN6" s="860"/>
      <c r="BO6" s="860"/>
      <c r="BP6" s="860"/>
      <c r="BQ6" s="860"/>
      <c r="BR6" s="860"/>
      <c r="BS6" s="860"/>
      <c r="BT6" s="860"/>
      <c r="BU6" s="860"/>
      <c r="BV6" s="860"/>
      <c r="BW6" s="860"/>
      <c r="BX6" s="860"/>
      <c r="BY6" s="860"/>
      <c r="BZ6" s="860"/>
      <c r="CA6" s="860"/>
      <c r="CB6" s="860"/>
      <c r="CC6" s="860"/>
      <c r="CD6" s="860"/>
      <c r="CE6" s="860"/>
      <c r="CF6" s="860"/>
      <c r="CG6" s="860"/>
      <c r="CH6" s="860"/>
      <c r="CI6" s="860"/>
      <c r="CJ6" s="860"/>
      <c r="CK6" s="860"/>
      <c r="CL6" s="860"/>
      <c r="CM6" s="860"/>
      <c r="CN6" s="860"/>
      <c r="CO6" s="860"/>
      <c r="CP6" s="860"/>
      <c r="CQ6" s="860"/>
      <c r="CR6" s="860"/>
      <c r="CS6" s="860"/>
      <c r="CT6" s="860"/>
      <c r="CU6" s="860"/>
      <c r="CV6" s="860"/>
      <c r="CW6" s="860"/>
      <c r="CX6" s="860"/>
      <c r="CY6" s="860"/>
      <c r="CZ6" s="860"/>
      <c r="DA6" s="860"/>
      <c r="DB6" s="860"/>
      <c r="DC6" s="860"/>
      <c r="DD6" s="860"/>
      <c r="DE6" s="860"/>
      <c r="DF6" s="860"/>
      <c r="DG6" s="860"/>
      <c r="DH6" s="860"/>
      <c r="DI6" s="860"/>
      <c r="DJ6" s="860"/>
      <c r="DK6" s="860"/>
      <c r="DL6" s="860"/>
      <c r="DM6" s="860"/>
      <c r="DN6" s="860"/>
      <c r="DO6" s="860"/>
      <c r="DP6" s="860"/>
      <c r="DQ6" s="860"/>
      <c r="DR6" s="860"/>
      <c r="DS6" s="860"/>
      <c r="DT6" s="860"/>
      <c r="DU6" s="860"/>
      <c r="DV6" s="860"/>
      <c r="DW6" s="860"/>
      <c r="DX6" s="860"/>
      <c r="DY6" s="860"/>
      <c r="DZ6" s="860"/>
      <c r="EA6" s="860"/>
      <c r="EB6" s="860"/>
      <c r="EC6" s="860"/>
      <c r="ED6" s="860"/>
      <c r="EE6" s="860"/>
      <c r="EF6" s="860"/>
      <c r="EG6" s="860"/>
      <c r="EH6" s="860"/>
      <c r="EI6" s="860"/>
      <c r="EJ6" s="860"/>
      <c r="EK6" s="860"/>
      <c r="EL6" s="860"/>
      <c r="EM6" s="860"/>
      <c r="EN6" s="860"/>
      <c r="EO6" s="860"/>
      <c r="EP6" s="860"/>
      <c r="EQ6" s="860"/>
      <c r="ER6" s="860"/>
      <c r="ES6" s="860"/>
      <c r="ET6" s="860"/>
      <c r="EU6" s="860"/>
      <c r="EV6" s="860"/>
      <c r="EW6" s="860"/>
      <c r="EX6" s="860"/>
      <c r="EY6" s="860"/>
      <c r="EZ6" s="860"/>
      <c r="FA6" s="860"/>
      <c r="FB6" s="860"/>
      <c r="FC6" s="860"/>
      <c r="FD6" s="860"/>
      <c r="FE6" s="860"/>
      <c r="FF6" s="860"/>
      <c r="FG6" s="860"/>
      <c r="FH6" s="860"/>
      <c r="FI6" s="860"/>
      <c r="FJ6" s="860"/>
      <c r="FK6" s="860"/>
      <c r="FL6" s="860"/>
      <c r="FM6" s="860"/>
      <c r="FN6" s="860"/>
      <c r="FO6" s="860"/>
      <c r="FP6" s="860"/>
      <c r="FQ6" s="860"/>
      <c r="FR6" s="860"/>
      <c r="FS6" s="860"/>
      <c r="FT6" s="860"/>
      <c r="FU6" s="860"/>
      <c r="FV6" s="860"/>
      <c r="FW6" s="860"/>
      <c r="FX6" s="860"/>
      <c r="FY6" s="860"/>
      <c r="FZ6" s="860"/>
      <c r="GA6" s="860"/>
      <c r="GB6" s="860"/>
      <c r="GC6" s="860"/>
      <c r="GD6" s="860"/>
      <c r="GE6" s="860"/>
      <c r="GF6" s="860"/>
      <c r="GG6" s="860"/>
      <c r="GH6" s="860"/>
      <c r="GI6" s="860"/>
      <c r="GJ6" s="860"/>
      <c r="GK6" s="860"/>
      <c r="GL6" s="860"/>
      <c r="GM6" s="860"/>
      <c r="GN6" s="860"/>
      <c r="GO6" s="860"/>
      <c r="GP6" s="860"/>
      <c r="GQ6" s="860"/>
      <c r="GR6" s="860"/>
      <c r="GS6" s="860"/>
      <c r="GT6" s="860"/>
      <c r="GU6" s="860"/>
      <c r="GV6" s="860"/>
      <c r="GW6" s="860"/>
      <c r="GX6" s="860"/>
      <c r="GY6" s="860"/>
      <c r="GZ6" s="860"/>
      <c r="HA6" s="860"/>
      <c r="HB6" s="860"/>
      <c r="HC6" s="860"/>
      <c r="HD6" s="860"/>
      <c r="HE6" s="860"/>
      <c r="HF6" s="860"/>
      <c r="HG6" s="860"/>
      <c r="HH6" s="860"/>
      <c r="HI6" s="860"/>
      <c r="HJ6" s="860"/>
      <c r="HK6" s="860"/>
      <c r="HL6" s="860"/>
      <c r="HM6" s="860"/>
      <c r="HN6" s="860"/>
      <c r="HO6" s="860"/>
      <c r="HP6" s="860"/>
      <c r="HQ6" s="860"/>
      <c r="HR6" s="860"/>
      <c r="HS6" s="860"/>
      <c r="HT6" s="860"/>
      <c r="HU6" s="860"/>
      <c r="HV6" s="860"/>
      <c r="HW6" s="860"/>
      <c r="HX6" s="860"/>
      <c r="HY6" s="860"/>
      <c r="HZ6" s="860"/>
      <c r="IA6" s="860"/>
      <c r="IB6" s="860"/>
      <c r="IC6" s="860"/>
      <c r="ID6" s="860"/>
      <c r="IE6" s="860"/>
      <c r="IF6" s="860"/>
      <c r="IG6" s="860"/>
      <c r="IH6" s="860"/>
      <c r="II6" s="860"/>
      <c r="IJ6" s="860"/>
      <c r="IK6" s="860"/>
      <c r="IL6" s="860"/>
      <c r="IM6" s="860"/>
      <c r="IN6" s="860"/>
      <c r="IO6" s="860"/>
      <c r="IP6" s="860"/>
      <c r="IQ6" s="860"/>
      <c r="IR6" s="860"/>
      <c r="IS6" s="860"/>
      <c r="IT6" s="860"/>
      <c r="IU6" s="860"/>
      <c r="IV6" s="860"/>
    </row>
    <row r="7" spans="1:256" ht="12.75" customHeight="1">
      <c r="A7" s="862" t="s">
        <v>460</v>
      </c>
      <c r="B7" s="863" t="s">
        <v>461</v>
      </c>
      <c r="C7" s="863" t="s">
        <v>462</v>
      </c>
      <c r="D7" s="863" t="s">
        <v>463</v>
      </c>
      <c r="E7" s="863" t="s">
        <v>464</v>
      </c>
      <c r="F7" s="863" t="s">
        <v>465</v>
      </c>
      <c r="G7" s="863" t="s">
        <v>466</v>
      </c>
      <c r="H7" s="864" t="s">
        <v>467</v>
      </c>
      <c r="I7" s="862" t="s">
        <v>78</v>
      </c>
      <c r="J7" s="863" t="s">
        <v>461</v>
      </c>
      <c r="K7" s="863" t="s">
        <v>462</v>
      </c>
      <c r="L7" s="863" t="s">
        <v>463</v>
      </c>
      <c r="M7" s="863" t="s">
        <v>464</v>
      </c>
      <c r="N7" s="863" t="s">
        <v>465</v>
      </c>
      <c r="O7" s="863" t="s">
        <v>466</v>
      </c>
      <c r="P7" s="864" t="s">
        <v>25</v>
      </c>
      <c r="Q7" s="860"/>
      <c r="R7" s="860"/>
      <c r="S7" s="860"/>
      <c r="T7" s="860"/>
      <c r="U7" s="860"/>
      <c r="V7" s="860"/>
      <c r="W7" s="860"/>
      <c r="X7" s="860"/>
      <c r="Y7" s="860"/>
      <c r="Z7" s="860"/>
      <c r="AA7" s="860"/>
      <c r="AB7" s="860"/>
      <c r="AC7" s="860"/>
      <c r="AD7" s="860"/>
      <c r="AE7" s="860"/>
      <c r="AF7" s="860"/>
      <c r="AG7" s="860"/>
      <c r="AH7" s="860"/>
      <c r="AI7" s="860"/>
      <c r="AJ7" s="860"/>
      <c r="AK7" s="860"/>
      <c r="AL7" s="860"/>
      <c r="AM7" s="860"/>
      <c r="AN7" s="860"/>
      <c r="AO7" s="860"/>
      <c r="AP7" s="860"/>
      <c r="AQ7" s="860"/>
      <c r="AR7" s="860"/>
      <c r="AS7" s="860"/>
      <c r="AT7" s="860"/>
      <c r="AU7" s="860"/>
      <c r="AV7" s="860"/>
      <c r="AW7" s="860"/>
      <c r="AX7" s="860"/>
      <c r="AY7" s="860"/>
      <c r="AZ7" s="860"/>
      <c r="BA7" s="860"/>
      <c r="BB7" s="860"/>
      <c r="BC7" s="860"/>
      <c r="BD7" s="860"/>
      <c r="BE7" s="860"/>
      <c r="BF7" s="860"/>
      <c r="BG7" s="860"/>
      <c r="BH7" s="860"/>
      <c r="BI7" s="860"/>
      <c r="BJ7" s="860"/>
      <c r="BK7" s="860"/>
      <c r="BL7" s="860"/>
      <c r="BM7" s="860"/>
      <c r="BN7" s="860"/>
      <c r="BO7" s="860"/>
      <c r="BP7" s="860"/>
      <c r="BQ7" s="860"/>
      <c r="BR7" s="860"/>
      <c r="BS7" s="860"/>
      <c r="BT7" s="860"/>
      <c r="BU7" s="860"/>
      <c r="BV7" s="860"/>
      <c r="BW7" s="860"/>
      <c r="BX7" s="860"/>
      <c r="BY7" s="860"/>
      <c r="BZ7" s="860"/>
      <c r="CA7" s="860"/>
      <c r="CB7" s="860"/>
      <c r="CC7" s="860"/>
      <c r="CD7" s="860"/>
      <c r="CE7" s="860"/>
      <c r="CF7" s="860"/>
      <c r="CG7" s="860"/>
      <c r="CH7" s="860"/>
      <c r="CI7" s="860"/>
      <c r="CJ7" s="860"/>
      <c r="CK7" s="860"/>
      <c r="CL7" s="860"/>
      <c r="CM7" s="860"/>
      <c r="CN7" s="860"/>
      <c r="CO7" s="860"/>
      <c r="CP7" s="860"/>
      <c r="CQ7" s="860"/>
      <c r="CR7" s="860"/>
      <c r="CS7" s="860"/>
      <c r="CT7" s="860"/>
      <c r="CU7" s="860"/>
      <c r="CV7" s="860"/>
      <c r="CW7" s="860"/>
      <c r="CX7" s="860"/>
      <c r="CY7" s="860"/>
      <c r="CZ7" s="860"/>
      <c r="DA7" s="860"/>
      <c r="DB7" s="860"/>
      <c r="DC7" s="860"/>
      <c r="DD7" s="860"/>
      <c r="DE7" s="860"/>
      <c r="DF7" s="860"/>
      <c r="DG7" s="860"/>
      <c r="DH7" s="860"/>
      <c r="DI7" s="860"/>
      <c r="DJ7" s="860"/>
      <c r="DK7" s="860"/>
      <c r="DL7" s="860"/>
      <c r="DM7" s="860"/>
      <c r="DN7" s="860"/>
      <c r="DO7" s="860"/>
      <c r="DP7" s="860"/>
      <c r="DQ7" s="860"/>
      <c r="DR7" s="860"/>
      <c r="DS7" s="860"/>
      <c r="DT7" s="860"/>
      <c r="DU7" s="860"/>
      <c r="DV7" s="860"/>
      <c r="DW7" s="860"/>
      <c r="DX7" s="860"/>
      <c r="DY7" s="860"/>
      <c r="DZ7" s="860"/>
      <c r="EA7" s="860"/>
      <c r="EB7" s="860"/>
      <c r="EC7" s="860"/>
      <c r="ED7" s="860"/>
      <c r="EE7" s="860"/>
      <c r="EF7" s="860"/>
      <c r="EG7" s="860"/>
      <c r="EH7" s="860"/>
      <c r="EI7" s="860"/>
      <c r="EJ7" s="860"/>
      <c r="EK7" s="860"/>
      <c r="EL7" s="860"/>
      <c r="EM7" s="860"/>
      <c r="EN7" s="860"/>
      <c r="EO7" s="860"/>
      <c r="EP7" s="860"/>
      <c r="EQ7" s="860"/>
      <c r="ER7" s="860"/>
      <c r="ES7" s="860"/>
      <c r="ET7" s="860"/>
      <c r="EU7" s="860"/>
      <c r="EV7" s="860"/>
      <c r="EW7" s="860"/>
      <c r="EX7" s="860"/>
      <c r="EY7" s="860"/>
      <c r="EZ7" s="860"/>
      <c r="FA7" s="860"/>
      <c r="FB7" s="860"/>
      <c r="FC7" s="860"/>
      <c r="FD7" s="860"/>
      <c r="FE7" s="860"/>
      <c r="FF7" s="860"/>
      <c r="FG7" s="860"/>
      <c r="FH7" s="860"/>
      <c r="FI7" s="860"/>
      <c r="FJ7" s="860"/>
      <c r="FK7" s="860"/>
      <c r="FL7" s="860"/>
      <c r="FM7" s="860"/>
      <c r="FN7" s="860"/>
      <c r="FO7" s="860"/>
      <c r="FP7" s="860"/>
      <c r="FQ7" s="860"/>
      <c r="FR7" s="860"/>
      <c r="FS7" s="860"/>
      <c r="FT7" s="860"/>
      <c r="FU7" s="860"/>
      <c r="FV7" s="860"/>
      <c r="FW7" s="860"/>
      <c r="FX7" s="860"/>
      <c r="FY7" s="860"/>
      <c r="FZ7" s="860"/>
      <c r="GA7" s="860"/>
      <c r="GB7" s="860"/>
      <c r="GC7" s="860"/>
      <c r="GD7" s="860"/>
      <c r="GE7" s="860"/>
      <c r="GF7" s="860"/>
      <c r="GG7" s="860"/>
      <c r="GH7" s="860"/>
      <c r="GI7" s="860"/>
      <c r="GJ7" s="860"/>
      <c r="GK7" s="860"/>
      <c r="GL7" s="860"/>
      <c r="GM7" s="860"/>
      <c r="GN7" s="860"/>
      <c r="GO7" s="860"/>
      <c r="GP7" s="860"/>
      <c r="GQ7" s="860"/>
      <c r="GR7" s="860"/>
      <c r="GS7" s="860"/>
      <c r="GT7" s="860"/>
      <c r="GU7" s="860"/>
      <c r="GV7" s="860"/>
      <c r="GW7" s="860"/>
      <c r="GX7" s="860"/>
      <c r="GY7" s="860"/>
      <c r="GZ7" s="860"/>
      <c r="HA7" s="860"/>
      <c r="HB7" s="860"/>
      <c r="HC7" s="860"/>
      <c r="HD7" s="860"/>
      <c r="HE7" s="860"/>
      <c r="HF7" s="860"/>
      <c r="HG7" s="860"/>
      <c r="HH7" s="860"/>
      <c r="HI7" s="860"/>
      <c r="HJ7" s="860"/>
      <c r="HK7" s="860"/>
      <c r="HL7" s="860"/>
      <c r="HM7" s="860"/>
      <c r="HN7" s="860"/>
      <c r="HO7" s="860"/>
      <c r="HP7" s="860"/>
      <c r="HQ7" s="860"/>
      <c r="HR7" s="860"/>
      <c r="HS7" s="860"/>
      <c r="HT7" s="860"/>
      <c r="HU7" s="860"/>
      <c r="HV7" s="860"/>
      <c r="HW7" s="860"/>
      <c r="HX7" s="860"/>
      <c r="HY7" s="860"/>
      <c r="HZ7" s="860"/>
      <c r="IA7" s="860"/>
      <c r="IB7" s="860"/>
      <c r="IC7" s="860"/>
      <c r="ID7" s="860"/>
      <c r="IE7" s="860"/>
      <c r="IF7" s="860"/>
      <c r="IG7" s="860"/>
      <c r="IH7" s="860"/>
      <c r="II7" s="860"/>
      <c r="IJ7" s="860"/>
      <c r="IK7" s="860"/>
      <c r="IL7" s="860"/>
      <c r="IM7" s="860"/>
      <c r="IN7" s="860"/>
      <c r="IO7" s="860"/>
      <c r="IP7" s="860"/>
      <c r="IQ7" s="860"/>
      <c r="IR7" s="860"/>
      <c r="IS7" s="860"/>
      <c r="IT7" s="860"/>
      <c r="IU7" s="860"/>
      <c r="IV7" s="860"/>
    </row>
    <row r="8" spans="1:256" ht="26.25" customHeight="1">
      <c r="A8" s="865" t="s">
        <v>468</v>
      </c>
      <c r="B8" s="866">
        <v>23935261</v>
      </c>
      <c r="C8" s="866">
        <v>721850</v>
      </c>
      <c r="D8" s="867">
        <v>60086306</v>
      </c>
      <c r="E8" s="867">
        <v>71870371</v>
      </c>
      <c r="F8" s="867">
        <v>7693140</v>
      </c>
      <c r="G8" s="867">
        <v>38651192</v>
      </c>
      <c r="H8" s="504">
        <f aca="true" t="shared" si="0" ref="H8:H17">SUM(B8:G8)</f>
        <v>202958120</v>
      </c>
      <c r="I8" s="865" t="s">
        <v>166</v>
      </c>
      <c r="J8" s="866">
        <v>210987321</v>
      </c>
      <c r="K8" s="866"/>
      <c r="L8" s="866"/>
      <c r="M8" s="867"/>
      <c r="N8" s="867"/>
      <c r="O8" s="866">
        <v>984913</v>
      </c>
      <c r="P8" s="1494">
        <f aca="true" t="shared" si="1" ref="P8:P15">SUM(J8:O8)</f>
        <v>211972234</v>
      </c>
      <c r="Q8" s="860"/>
      <c r="R8" s="860"/>
      <c r="S8" s="860"/>
      <c r="T8" s="860"/>
      <c r="U8" s="860"/>
      <c r="V8" s="860"/>
      <c r="W8" s="860"/>
      <c r="X8" s="860"/>
      <c r="Y8" s="860"/>
      <c r="Z8" s="860"/>
      <c r="AA8" s="860"/>
      <c r="AB8" s="860"/>
      <c r="AC8" s="860"/>
      <c r="AD8" s="860"/>
      <c r="AE8" s="860"/>
      <c r="AF8" s="860"/>
      <c r="AG8" s="860"/>
      <c r="AH8" s="860"/>
      <c r="AI8" s="860"/>
      <c r="AJ8" s="860"/>
      <c r="AK8" s="860"/>
      <c r="AL8" s="860"/>
      <c r="AM8" s="860"/>
      <c r="AN8" s="860"/>
      <c r="AO8" s="860"/>
      <c r="AP8" s="860"/>
      <c r="AQ8" s="860"/>
      <c r="AR8" s="860"/>
      <c r="AS8" s="860"/>
      <c r="AT8" s="860"/>
      <c r="AU8" s="860"/>
      <c r="AV8" s="860"/>
      <c r="AW8" s="860"/>
      <c r="AX8" s="860"/>
      <c r="AY8" s="860"/>
      <c r="AZ8" s="860"/>
      <c r="BA8" s="860"/>
      <c r="BB8" s="860"/>
      <c r="BC8" s="860"/>
      <c r="BD8" s="860"/>
      <c r="BE8" s="860"/>
      <c r="BF8" s="860"/>
      <c r="BG8" s="860"/>
      <c r="BH8" s="860"/>
      <c r="BI8" s="860"/>
      <c r="BJ8" s="860"/>
      <c r="BK8" s="860"/>
      <c r="BL8" s="860"/>
      <c r="BM8" s="860"/>
      <c r="BN8" s="860"/>
      <c r="BO8" s="860"/>
      <c r="BP8" s="860"/>
      <c r="BQ8" s="860"/>
      <c r="BR8" s="860"/>
      <c r="BS8" s="860"/>
      <c r="BT8" s="860"/>
      <c r="BU8" s="860"/>
      <c r="BV8" s="860"/>
      <c r="BW8" s="860"/>
      <c r="BX8" s="860"/>
      <c r="BY8" s="860"/>
      <c r="BZ8" s="860"/>
      <c r="CA8" s="860"/>
      <c r="CB8" s="860"/>
      <c r="CC8" s="860"/>
      <c r="CD8" s="860"/>
      <c r="CE8" s="860"/>
      <c r="CF8" s="860"/>
      <c r="CG8" s="860"/>
      <c r="CH8" s="860"/>
      <c r="CI8" s="860"/>
      <c r="CJ8" s="860"/>
      <c r="CK8" s="860"/>
      <c r="CL8" s="860"/>
      <c r="CM8" s="860"/>
      <c r="CN8" s="860"/>
      <c r="CO8" s="860"/>
      <c r="CP8" s="860"/>
      <c r="CQ8" s="860"/>
      <c r="CR8" s="860"/>
      <c r="CS8" s="860"/>
      <c r="CT8" s="860"/>
      <c r="CU8" s="860"/>
      <c r="CV8" s="860"/>
      <c r="CW8" s="860"/>
      <c r="CX8" s="860"/>
      <c r="CY8" s="860"/>
      <c r="CZ8" s="860"/>
      <c r="DA8" s="860"/>
      <c r="DB8" s="860"/>
      <c r="DC8" s="860"/>
      <c r="DD8" s="860"/>
      <c r="DE8" s="860"/>
      <c r="DF8" s="860"/>
      <c r="DG8" s="860"/>
      <c r="DH8" s="860"/>
      <c r="DI8" s="860"/>
      <c r="DJ8" s="860"/>
      <c r="DK8" s="860"/>
      <c r="DL8" s="860"/>
      <c r="DM8" s="860"/>
      <c r="DN8" s="860"/>
      <c r="DO8" s="860"/>
      <c r="DP8" s="860"/>
      <c r="DQ8" s="860"/>
      <c r="DR8" s="860"/>
      <c r="DS8" s="860"/>
      <c r="DT8" s="860"/>
      <c r="DU8" s="860"/>
      <c r="DV8" s="860"/>
      <c r="DW8" s="860"/>
      <c r="DX8" s="860"/>
      <c r="DY8" s="860"/>
      <c r="DZ8" s="860"/>
      <c r="EA8" s="860"/>
      <c r="EB8" s="860"/>
      <c r="EC8" s="860"/>
      <c r="ED8" s="860"/>
      <c r="EE8" s="860"/>
      <c r="EF8" s="860"/>
      <c r="EG8" s="860"/>
      <c r="EH8" s="860"/>
      <c r="EI8" s="860"/>
      <c r="EJ8" s="860"/>
      <c r="EK8" s="860"/>
      <c r="EL8" s="860"/>
      <c r="EM8" s="860"/>
      <c r="EN8" s="860"/>
      <c r="EO8" s="860"/>
      <c r="EP8" s="860"/>
      <c r="EQ8" s="860"/>
      <c r="ER8" s="860"/>
      <c r="ES8" s="860"/>
      <c r="ET8" s="860"/>
      <c r="EU8" s="860"/>
      <c r="EV8" s="860"/>
      <c r="EW8" s="860"/>
      <c r="EX8" s="860"/>
      <c r="EY8" s="860"/>
      <c r="EZ8" s="860"/>
      <c r="FA8" s="860"/>
      <c r="FB8" s="860"/>
      <c r="FC8" s="860"/>
      <c r="FD8" s="860"/>
      <c r="FE8" s="860"/>
      <c r="FF8" s="860"/>
      <c r="FG8" s="860"/>
      <c r="FH8" s="860"/>
      <c r="FI8" s="860"/>
      <c r="FJ8" s="860"/>
      <c r="FK8" s="860"/>
      <c r="FL8" s="860"/>
      <c r="FM8" s="860"/>
      <c r="FN8" s="860"/>
      <c r="FO8" s="860"/>
      <c r="FP8" s="860"/>
      <c r="FQ8" s="860"/>
      <c r="FR8" s="860"/>
      <c r="FS8" s="860"/>
      <c r="FT8" s="860"/>
      <c r="FU8" s="860"/>
      <c r="FV8" s="860"/>
      <c r="FW8" s="860"/>
      <c r="FX8" s="860"/>
      <c r="FY8" s="860"/>
      <c r="FZ8" s="860"/>
      <c r="GA8" s="860"/>
      <c r="GB8" s="860"/>
      <c r="GC8" s="860"/>
      <c r="GD8" s="860"/>
      <c r="GE8" s="860"/>
      <c r="GF8" s="860"/>
      <c r="GG8" s="860"/>
      <c r="GH8" s="860"/>
      <c r="GI8" s="860"/>
      <c r="GJ8" s="860"/>
      <c r="GK8" s="860"/>
      <c r="GL8" s="860"/>
      <c r="GM8" s="860"/>
      <c r="GN8" s="860"/>
      <c r="GO8" s="860"/>
      <c r="GP8" s="860"/>
      <c r="GQ8" s="860"/>
      <c r="GR8" s="860"/>
      <c r="GS8" s="860"/>
      <c r="GT8" s="860"/>
      <c r="GU8" s="860"/>
      <c r="GV8" s="860"/>
      <c r="GW8" s="860"/>
      <c r="GX8" s="860"/>
      <c r="GY8" s="860"/>
      <c r="GZ8" s="860"/>
      <c r="HA8" s="860"/>
      <c r="HB8" s="860"/>
      <c r="HC8" s="860"/>
      <c r="HD8" s="860"/>
      <c r="HE8" s="860"/>
      <c r="HF8" s="860"/>
      <c r="HG8" s="860"/>
      <c r="HH8" s="860"/>
      <c r="HI8" s="860"/>
      <c r="HJ8" s="860"/>
      <c r="HK8" s="860"/>
      <c r="HL8" s="860"/>
      <c r="HM8" s="860"/>
      <c r="HN8" s="860"/>
      <c r="HO8" s="860"/>
      <c r="HP8" s="860"/>
      <c r="HQ8" s="860"/>
      <c r="HR8" s="860"/>
      <c r="HS8" s="860"/>
      <c r="HT8" s="860"/>
      <c r="HU8" s="860"/>
      <c r="HV8" s="860"/>
      <c r="HW8" s="860"/>
      <c r="HX8" s="860"/>
      <c r="HY8" s="860"/>
      <c r="HZ8" s="860"/>
      <c r="IA8" s="860"/>
      <c r="IB8" s="860"/>
      <c r="IC8" s="860"/>
      <c r="ID8" s="860"/>
      <c r="IE8" s="860"/>
      <c r="IF8" s="860"/>
      <c r="IG8" s="860"/>
      <c r="IH8" s="860"/>
      <c r="II8" s="860"/>
      <c r="IJ8" s="860"/>
      <c r="IK8" s="860"/>
      <c r="IL8" s="860"/>
      <c r="IM8" s="860"/>
      <c r="IN8" s="860"/>
      <c r="IO8" s="860"/>
      <c r="IP8" s="860"/>
      <c r="IQ8" s="860"/>
      <c r="IR8" s="860"/>
      <c r="IS8" s="860"/>
      <c r="IT8" s="860"/>
      <c r="IU8" s="860"/>
      <c r="IV8" s="860"/>
    </row>
    <row r="9" spans="1:256" ht="21.75" customHeight="1">
      <c r="A9" s="865" t="s">
        <v>655</v>
      </c>
      <c r="B9" s="866">
        <v>4111873</v>
      </c>
      <c r="C9" s="866">
        <v>10330</v>
      </c>
      <c r="D9" s="867">
        <v>11807570</v>
      </c>
      <c r="E9" s="867">
        <v>20607189</v>
      </c>
      <c r="F9" s="867">
        <v>1553272</v>
      </c>
      <c r="G9" s="867">
        <v>10626743</v>
      </c>
      <c r="H9" s="504">
        <f t="shared" si="0"/>
        <v>48716977</v>
      </c>
      <c r="I9" s="865" t="s">
        <v>473</v>
      </c>
      <c r="J9" s="866"/>
      <c r="K9" s="866"/>
      <c r="L9" s="866">
        <v>59519465</v>
      </c>
      <c r="M9" s="867">
        <v>86358177</v>
      </c>
      <c r="N9" s="867">
        <v>4723912</v>
      </c>
      <c r="O9" s="866">
        <v>31925952</v>
      </c>
      <c r="P9" s="1494">
        <f t="shared" si="1"/>
        <v>182527506</v>
      </c>
      <c r="Q9" s="860"/>
      <c r="R9" s="860"/>
      <c r="S9" s="860"/>
      <c r="T9" s="860"/>
      <c r="U9" s="860"/>
      <c r="V9" s="860"/>
      <c r="W9" s="860"/>
      <c r="X9" s="860"/>
      <c r="Y9" s="860"/>
      <c r="Z9" s="860"/>
      <c r="AA9" s="860"/>
      <c r="AB9" s="860"/>
      <c r="AC9" s="860"/>
      <c r="AD9" s="860"/>
      <c r="AE9" s="860"/>
      <c r="AF9" s="860"/>
      <c r="AG9" s="860"/>
      <c r="AH9" s="860"/>
      <c r="AI9" s="860"/>
      <c r="AJ9" s="860"/>
      <c r="AK9" s="860"/>
      <c r="AL9" s="860"/>
      <c r="AM9" s="860"/>
      <c r="AN9" s="860"/>
      <c r="AO9" s="860"/>
      <c r="AP9" s="860"/>
      <c r="AQ9" s="860"/>
      <c r="AR9" s="860"/>
      <c r="AS9" s="860"/>
      <c r="AT9" s="860"/>
      <c r="AU9" s="860"/>
      <c r="AV9" s="860"/>
      <c r="AW9" s="860"/>
      <c r="AX9" s="860"/>
      <c r="AY9" s="860"/>
      <c r="AZ9" s="860"/>
      <c r="BA9" s="860"/>
      <c r="BB9" s="860"/>
      <c r="BC9" s="860"/>
      <c r="BD9" s="860"/>
      <c r="BE9" s="860"/>
      <c r="BF9" s="860"/>
      <c r="BG9" s="860"/>
      <c r="BH9" s="860"/>
      <c r="BI9" s="860"/>
      <c r="BJ9" s="860"/>
      <c r="BK9" s="860"/>
      <c r="BL9" s="860"/>
      <c r="BM9" s="860"/>
      <c r="BN9" s="860"/>
      <c r="BO9" s="860"/>
      <c r="BP9" s="860"/>
      <c r="BQ9" s="860"/>
      <c r="BR9" s="860"/>
      <c r="BS9" s="860"/>
      <c r="BT9" s="860"/>
      <c r="BU9" s="860"/>
      <c r="BV9" s="860"/>
      <c r="BW9" s="860"/>
      <c r="BX9" s="860"/>
      <c r="BY9" s="860"/>
      <c r="BZ9" s="860"/>
      <c r="CA9" s="860"/>
      <c r="CB9" s="860"/>
      <c r="CC9" s="860"/>
      <c r="CD9" s="860"/>
      <c r="CE9" s="860"/>
      <c r="CF9" s="860"/>
      <c r="CG9" s="860"/>
      <c r="CH9" s="860"/>
      <c r="CI9" s="860"/>
      <c r="CJ9" s="860"/>
      <c r="CK9" s="860"/>
      <c r="CL9" s="860"/>
      <c r="CM9" s="860"/>
      <c r="CN9" s="860"/>
      <c r="CO9" s="860"/>
      <c r="CP9" s="860"/>
      <c r="CQ9" s="860"/>
      <c r="CR9" s="860"/>
      <c r="CS9" s="860"/>
      <c r="CT9" s="860"/>
      <c r="CU9" s="860"/>
      <c r="CV9" s="860"/>
      <c r="CW9" s="860"/>
      <c r="CX9" s="860"/>
      <c r="CY9" s="860"/>
      <c r="CZ9" s="860"/>
      <c r="DA9" s="860"/>
      <c r="DB9" s="860"/>
      <c r="DC9" s="860"/>
      <c r="DD9" s="860"/>
      <c r="DE9" s="860"/>
      <c r="DF9" s="860"/>
      <c r="DG9" s="860"/>
      <c r="DH9" s="860"/>
      <c r="DI9" s="860"/>
      <c r="DJ9" s="860"/>
      <c r="DK9" s="860"/>
      <c r="DL9" s="860"/>
      <c r="DM9" s="860"/>
      <c r="DN9" s="860"/>
      <c r="DO9" s="860"/>
      <c r="DP9" s="860"/>
      <c r="DQ9" s="860"/>
      <c r="DR9" s="860"/>
      <c r="DS9" s="860"/>
      <c r="DT9" s="860"/>
      <c r="DU9" s="860"/>
      <c r="DV9" s="860"/>
      <c r="DW9" s="860"/>
      <c r="DX9" s="860"/>
      <c r="DY9" s="860"/>
      <c r="DZ9" s="860"/>
      <c r="EA9" s="860"/>
      <c r="EB9" s="860"/>
      <c r="EC9" s="860"/>
      <c r="ED9" s="860"/>
      <c r="EE9" s="860"/>
      <c r="EF9" s="860"/>
      <c r="EG9" s="860"/>
      <c r="EH9" s="860"/>
      <c r="EI9" s="860"/>
      <c r="EJ9" s="860"/>
      <c r="EK9" s="860"/>
      <c r="EL9" s="860"/>
      <c r="EM9" s="860"/>
      <c r="EN9" s="860"/>
      <c r="EO9" s="860"/>
      <c r="EP9" s="860"/>
      <c r="EQ9" s="860"/>
      <c r="ER9" s="860"/>
      <c r="ES9" s="860"/>
      <c r="ET9" s="860"/>
      <c r="EU9" s="860"/>
      <c r="EV9" s="860"/>
      <c r="EW9" s="860"/>
      <c r="EX9" s="860"/>
      <c r="EY9" s="860"/>
      <c r="EZ9" s="860"/>
      <c r="FA9" s="860"/>
      <c r="FB9" s="860"/>
      <c r="FC9" s="860"/>
      <c r="FD9" s="860"/>
      <c r="FE9" s="860"/>
      <c r="FF9" s="860"/>
      <c r="FG9" s="860"/>
      <c r="FH9" s="860"/>
      <c r="FI9" s="860"/>
      <c r="FJ9" s="860"/>
      <c r="FK9" s="860"/>
      <c r="FL9" s="860"/>
      <c r="FM9" s="860"/>
      <c r="FN9" s="860"/>
      <c r="FO9" s="860"/>
      <c r="FP9" s="860"/>
      <c r="FQ9" s="860"/>
      <c r="FR9" s="860"/>
      <c r="FS9" s="860"/>
      <c r="FT9" s="860"/>
      <c r="FU9" s="860"/>
      <c r="FV9" s="860"/>
      <c r="FW9" s="860"/>
      <c r="FX9" s="860"/>
      <c r="FY9" s="860"/>
      <c r="FZ9" s="860"/>
      <c r="GA9" s="860"/>
      <c r="GB9" s="860"/>
      <c r="GC9" s="860"/>
      <c r="GD9" s="860"/>
      <c r="GE9" s="860"/>
      <c r="GF9" s="860"/>
      <c r="GG9" s="860"/>
      <c r="GH9" s="860"/>
      <c r="GI9" s="860"/>
      <c r="GJ9" s="860"/>
      <c r="GK9" s="860"/>
      <c r="GL9" s="860"/>
      <c r="GM9" s="860"/>
      <c r="GN9" s="860"/>
      <c r="GO9" s="860"/>
      <c r="GP9" s="860"/>
      <c r="GQ9" s="860"/>
      <c r="GR9" s="860"/>
      <c r="GS9" s="860"/>
      <c r="GT9" s="860"/>
      <c r="GU9" s="860"/>
      <c r="GV9" s="860"/>
      <c r="GW9" s="860"/>
      <c r="GX9" s="860"/>
      <c r="GY9" s="860"/>
      <c r="GZ9" s="860"/>
      <c r="HA9" s="860"/>
      <c r="HB9" s="860"/>
      <c r="HC9" s="860"/>
      <c r="HD9" s="860"/>
      <c r="HE9" s="860"/>
      <c r="HF9" s="860"/>
      <c r="HG9" s="860"/>
      <c r="HH9" s="860"/>
      <c r="HI9" s="860"/>
      <c r="HJ9" s="860"/>
      <c r="HK9" s="860"/>
      <c r="HL9" s="860"/>
      <c r="HM9" s="860"/>
      <c r="HN9" s="860"/>
      <c r="HO9" s="860"/>
      <c r="HP9" s="860"/>
      <c r="HQ9" s="860"/>
      <c r="HR9" s="860"/>
      <c r="HS9" s="860"/>
      <c r="HT9" s="860"/>
      <c r="HU9" s="860"/>
      <c r="HV9" s="860"/>
      <c r="HW9" s="860"/>
      <c r="HX9" s="860"/>
      <c r="HY9" s="860"/>
      <c r="HZ9" s="860"/>
      <c r="IA9" s="860"/>
      <c r="IB9" s="860"/>
      <c r="IC9" s="860"/>
      <c r="ID9" s="860"/>
      <c r="IE9" s="860"/>
      <c r="IF9" s="860"/>
      <c r="IG9" s="860"/>
      <c r="IH9" s="860"/>
      <c r="II9" s="860"/>
      <c r="IJ9" s="860"/>
      <c r="IK9" s="860"/>
      <c r="IL9" s="860"/>
      <c r="IM9" s="860"/>
      <c r="IN9" s="860"/>
      <c r="IO9" s="860"/>
      <c r="IP9" s="860"/>
      <c r="IQ9" s="860"/>
      <c r="IR9" s="860"/>
      <c r="IS9" s="860"/>
      <c r="IT9" s="860"/>
      <c r="IU9" s="860"/>
      <c r="IV9" s="860"/>
    </row>
    <row r="10" spans="1:256" ht="16.5" customHeight="1">
      <c r="A10" s="865" t="s">
        <v>470</v>
      </c>
      <c r="B10" s="866">
        <v>96610022</v>
      </c>
      <c r="C10" s="866">
        <v>859957</v>
      </c>
      <c r="D10" s="867">
        <v>10845813</v>
      </c>
      <c r="E10" s="867">
        <v>23887384</v>
      </c>
      <c r="F10" s="867">
        <v>5015296</v>
      </c>
      <c r="G10" s="867">
        <v>42206364</v>
      </c>
      <c r="H10" s="504">
        <f t="shared" si="0"/>
        <v>179424836</v>
      </c>
      <c r="I10" s="865" t="s">
        <v>474</v>
      </c>
      <c r="J10" s="869"/>
      <c r="K10" s="866"/>
      <c r="L10" s="866">
        <v>19342762</v>
      </c>
      <c r="M10" s="867">
        <v>27484585</v>
      </c>
      <c r="N10" s="867">
        <v>8746567</v>
      </c>
      <c r="O10" s="866">
        <v>34133569</v>
      </c>
      <c r="P10" s="1494">
        <f t="shared" si="1"/>
        <v>89707483</v>
      </c>
      <c r="Q10" s="860"/>
      <c r="R10" s="860"/>
      <c r="S10" s="860"/>
      <c r="T10" s="860"/>
      <c r="U10" s="860"/>
      <c r="V10" s="860"/>
      <c r="W10" s="860"/>
      <c r="X10" s="860"/>
      <c r="Y10" s="860"/>
      <c r="Z10" s="860"/>
      <c r="AA10" s="860"/>
      <c r="AB10" s="860"/>
      <c r="AC10" s="860"/>
      <c r="AD10" s="860"/>
      <c r="AE10" s="860"/>
      <c r="AF10" s="860"/>
      <c r="AG10" s="860"/>
      <c r="AH10" s="860"/>
      <c r="AI10" s="860"/>
      <c r="AJ10" s="860"/>
      <c r="AK10" s="860"/>
      <c r="AL10" s="860"/>
      <c r="AM10" s="860"/>
      <c r="AN10" s="860"/>
      <c r="AO10" s="860"/>
      <c r="AP10" s="860"/>
      <c r="AQ10" s="860"/>
      <c r="AR10" s="860"/>
      <c r="AS10" s="860"/>
      <c r="AT10" s="860"/>
      <c r="AU10" s="860"/>
      <c r="AV10" s="860"/>
      <c r="AW10" s="860"/>
      <c r="AX10" s="860"/>
      <c r="AY10" s="860"/>
      <c r="AZ10" s="860"/>
      <c r="BA10" s="860"/>
      <c r="BB10" s="860"/>
      <c r="BC10" s="860"/>
      <c r="BD10" s="860"/>
      <c r="BE10" s="860"/>
      <c r="BF10" s="860"/>
      <c r="BG10" s="860"/>
      <c r="BH10" s="860"/>
      <c r="BI10" s="860"/>
      <c r="BJ10" s="860"/>
      <c r="BK10" s="860"/>
      <c r="BL10" s="860"/>
      <c r="BM10" s="860"/>
      <c r="BN10" s="860"/>
      <c r="BO10" s="860"/>
      <c r="BP10" s="860"/>
      <c r="BQ10" s="860"/>
      <c r="BR10" s="860"/>
      <c r="BS10" s="860"/>
      <c r="BT10" s="860"/>
      <c r="BU10" s="860"/>
      <c r="BV10" s="860"/>
      <c r="BW10" s="860"/>
      <c r="BX10" s="860"/>
      <c r="BY10" s="860"/>
      <c r="BZ10" s="860"/>
      <c r="CA10" s="860"/>
      <c r="CB10" s="860"/>
      <c r="CC10" s="860"/>
      <c r="CD10" s="860"/>
      <c r="CE10" s="860"/>
      <c r="CF10" s="860"/>
      <c r="CG10" s="860"/>
      <c r="CH10" s="860"/>
      <c r="CI10" s="860"/>
      <c r="CJ10" s="860"/>
      <c r="CK10" s="860"/>
      <c r="CL10" s="860"/>
      <c r="CM10" s="860"/>
      <c r="CN10" s="860"/>
      <c r="CO10" s="860"/>
      <c r="CP10" s="860"/>
      <c r="CQ10" s="860"/>
      <c r="CR10" s="860"/>
      <c r="CS10" s="860"/>
      <c r="CT10" s="860"/>
      <c r="CU10" s="860"/>
      <c r="CV10" s="860"/>
      <c r="CW10" s="860"/>
      <c r="CX10" s="860"/>
      <c r="CY10" s="860"/>
      <c r="CZ10" s="860"/>
      <c r="DA10" s="860"/>
      <c r="DB10" s="860"/>
      <c r="DC10" s="860"/>
      <c r="DD10" s="860"/>
      <c r="DE10" s="860"/>
      <c r="DF10" s="860"/>
      <c r="DG10" s="860"/>
      <c r="DH10" s="860"/>
      <c r="DI10" s="860"/>
      <c r="DJ10" s="860"/>
      <c r="DK10" s="860"/>
      <c r="DL10" s="860"/>
      <c r="DM10" s="860"/>
      <c r="DN10" s="860"/>
      <c r="DO10" s="860"/>
      <c r="DP10" s="860"/>
      <c r="DQ10" s="860"/>
      <c r="DR10" s="860"/>
      <c r="DS10" s="860"/>
      <c r="DT10" s="860"/>
      <c r="DU10" s="860"/>
      <c r="DV10" s="860"/>
      <c r="DW10" s="860"/>
      <c r="DX10" s="860"/>
      <c r="DY10" s="860"/>
      <c r="DZ10" s="860"/>
      <c r="EA10" s="860"/>
      <c r="EB10" s="860"/>
      <c r="EC10" s="860"/>
      <c r="ED10" s="860"/>
      <c r="EE10" s="860"/>
      <c r="EF10" s="860"/>
      <c r="EG10" s="860"/>
      <c r="EH10" s="860"/>
      <c r="EI10" s="860"/>
      <c r="EJ10" s="860"/>
      <c r="EK10" s="860"/>
      <c r="EL10" s="860"/>
      <c r="EM10" s="860"/>
      <c r="EN10" s="860"/>
      <c r="EO10" s="860"/>
      <c r="EP10" s="860"/>
      <c r="EQ10" s="860"/>
      <c r="ER10" s="860"/>
      <c r="ES10" s="860"/>
      <c r="ET10" s="860"/>
      <c r="EU10" s="860"/>
      <c r="EV10" s="860"/>
      <c r="EW10" s="860"/>
      <c r="EX10" s="860"/>
      <c r="EY10" s="860"/>
      <c r="EZ10" s="860"/>
      <c r="FA10" s="860"/>
      <c r="FB10" s="860"/>
      <c r="FC10" s="860"/>
      <c r="FD10" s="860"/>
      <c r="FE10" s="860"/>
      <c r="FF10" s="860"/>
      <c r="FG10" s="860"/>
      <c r="FH10" s="860"/>
      <c r="FI10" s="860"/>
      <c r="FJ10" s="860"/>
      <c r="FK10" s="860"/>
      <c r="FL10" s="860"/>
      <c r="FM10" s="860"/>
      <c r="FN10" s="860"/>
      <c r="FO10" s="860"/>
      <c r="FP10" s="860"/>
      <c r="FQ10" s="860"/>
      <c r="FR10" s="860"/>
      <c r="FS10" s="860"/>
      <c r="FT10" s="860"/>
      <c r="FU10" s="860"/>
      <c r="FV10" s="860"/>
      <c r="FW10" s="860"/>
      <c r="FX10" s="860"/>
      <c r="FY10" s="860"/>
      <c r="FZ10" s="860"/>
      <c r="GA10" s="860"/>
      <c r="GB10" s="860"/>
      <c r="GC10" s="860"/>
      <c r="GD10" s="860"/>
      <c r="GE10" s="860"/>
      <c r="GF10" s="860"/>
      <c r="GG10" s="860"/>
      <c r="GH10" s="860"/>
      <c r="GI10" s="860"/>
      <c r="GJ10" s="860"/>
      <c r="GK10" s="860"/>
      <c r="GL10" s="860"/>
      <c r="GM10" s="860"/>
      <c r="GN10" s="860"/>
      <c r="GO10" s="860"/>
      <c r="GP10" s="860"/>
      <c r="GQ10" s="860"/>
      <c r="GR10" s="860"/>
      <c r="GS10" s="860"/>
      <c r="GT10" s="860"/>
      <c r="GU10" s="860"/>
      <c r="GV10" s="860"/>
      <c r="GW10" s="860"/>
      <c r="GX10" s="860"/>
      <c r="GY10" s="860"/>
      <c r="GZ10" s="860"/>
      <c r="HA10" s="860"/>
      <c r="HB10" s="860"/>
      <c r="HC10" s="860"/>
      <c r="HD10" s="860"/>
      <c r="HE10" s="860"/>
      <c r="HF10" s="860"/>
      <c r="HG10" s="860"/>
      <c r="HH10" s="860"/>
      <c r="HI10" s="860"/>
      <c r="HJ10" s="860"/>
      <c r="HK10" s="860"/>
      <c r="HL10" s="860"/>
      <c r="HM10" s="860"/>
      <c r="HN10" s="860"/>
      <c r="HO10" s="860"/>
      <c r="HP10" s="860"/>
      <c r="HQ10" s="860"/>
      <c r="HR10" s="860"/>
      <c r="HS10" s="860"/>
      <c r="HT10" s="860"/>
      <c r="HU10" s="860"/>
      <c r="HV10" s="860"/>
      <c r="HW10" s="860"/>
      <c r="HX10" s="860"/>
      <c r="HY10" s="860"/>
      <c r="HZ10" s="860"/>
      <c r="IA10" s="860"/>
      <c r="IB10" s="860"/>
      <c r="IC10" s="860"/>
      <c r="ID10" s="860"/>
      <c r="IE10" s="860"/>
      <c r="IF10" s="860"/>
      <c r="IG10" s="860"/>
      <c r="IH10" s="860"/>
      <c r="II10" s="860"/>
      <c r="IJ10" s="860"/>
      <c r="IK10" s="860"/>
      <c r="IL10" s="860"/>
      <c r="IM10" s="860"/>
      <c r="IN10" s="860"/>
      <c r="IO10" s="860"/>
      <c r="IP10" s="860"/>
      <c r="IQ10" s="860"/>
      <c r="IR10" s="860"/>
      <c r="IS10" s="860"/>
      <c r="IT10" s="860"/>
      <c r="IU10" s="860"/>
      <c r="IV10" s="860"/>
    </row>
    <row r="11" spans="1:256" ht="16.5" customHeight="1">
      <c r="A11" s="865" t="s">
        <v>203</v>
      </c>
      <c r="B11" s="866">
        <v>3627050</v>
      </c>
      <c r="C11" s="866"/>
      <c r="D11" s="866"/>
      <c r="E11" s="866"/>
      <c r="F11" s="866"/>
      <c r="G11" s="866"/>
      <c r="H11" s="1493">
        <f t="shared" si="0"/>
        <v>3627050</v>
      </c>
      <c r="I11" s="865" t="s">
        <v>175</v>
      </c>
      <c r="J11" s="866">
        <v>186676160</v>
      </c>
      <c r="K11" s="866"/>
      <c r="L11" s="866"/>
      <c r="M11" s="867"/>
      <c r="N11" s="867"/>
      <c r="O11" s="866"/>
      <c r="P11" s="1494">
        <f t="shared" si="1"/>
        <v>186676160</v>
      </c>
      <c r="Q11" s="860"/>
      <c r="R11" s="860"/>
      <c r="S11" s="860"/>
      <c r="T11" s="860"/>
      <c r="U11" s="860"/>
      <c r="V11" s="860"/>
      <c r="W11" s="860"/>
      <c r="X11" s="860"/>
      <c r="Y11" s="860"/>
      <c r="Z11" s="860"/>
      <c r="AA11" s="860"/>
      <c r="AB11" s="860"/>
      <c r="AC11" s="860"/>
      <c r="AD11" s="860"/>
      <c r="AE11" s="860"/>
      <c r="AF11" s="860"/>
      <c r="AG11" s="860"/>
      <c r="AH11" s="860"/>
      <c r="AI11" s="860"/>
      <c r="AJ11" s="860"/>
      <c r="AK11" s="860"/>
      <c r="AL11" s="860"/>
      <c r="AM11" s="860"/>
      <c r="AN11" s="860"/>
      <c r="AO11" s="860"/>
      <c r="AP11" s="860"/>
      <c r="AQ11" s="860"/>
      <c r="AR11" s="860"/>
      <c r="AS11" s="860"/>
      <c r="AT11" s="860"/>
      <c r="AU11" s="860"/>
      <c r="AV11" s="860"/>
      <c r="AW11" s="860"/>
      <c r="AX11" s="860"/>
      <c r="AY11" s="860"/>
      <c r="AZ11" s="860"/>
      <c r="BA11" s="860"/>
      <c r="BB11" s="860"/>
      <c r="BC11" s="860"/>
      <c r="BD11" s="860"/>
      <c r="BE11" s="860"/>
      <c r="BF11" s="860"/>
      <c r="BG11" s="860"/>
      <c r="BH11" s="860"/>
      <c r="BI11" s="860"/>
      <c r="BJ11" s="860"/>
      <c r="BK11" s="860"/>
      <c r="BL11" s="860"/>
      <c r="BM11" s="860"/>
      <c r="BN11" s="860"/>
      <c r="BO11" s="860"/>
      <c r="BP11" s="860"/>
      <c r="BQ11" s="860"/>
      <c r="BR11" s="860"/>
      <c r="BS11" s="860"/>
      <c r="BT11" s="860"/>
      <c r="BU11" s="860"/>
      <c r="BV11" s="860"/>
      <c r="BW11" s="860"/>
      <c r="BX11" s="860"/>
      <c r="BY11" s="860"/>
      <c r="BZ11" s="860"/>
      <c r="CA11" s="860"/>
      <c r="CB11" s="860"/>
      <c r="CC11" s="860"/>
      <c r="CD11" s="860"/>
      <c r="CE11" s="860"/>
      <c r="CF11" s="860"/>
      <c r="CG11" s="860"/>
      <c r="CH11" s="860"/>
      <c r="CI11" s="860"/>
      <c r="CJ11" s="860"/>
      <c r="CK11" s="860"/>
      <c r="CL11" s="860"/>
      <c r="CM11" s="860"/>
      <c r="CN11" s="860"/>
      <c r="CO11" s="860"/>
      <c r="CP11" s="860"/>
      <c r="CQ11" s="860"/>
      <c r="CR11" s="860"/>
      <c r="CS11" s="860"/>
      <c r="CT11" s="860"/>
      <c r="CU11" s="860"/>
      <c r="CV11" s="860"/>
      <c r="CW11" s="860"/>
      <c r="CX11" s="860"/>
      <c r="CY11" s="860"/>
      <c r="CZ11" s="860"/>
      <c r="DA11" s="860"/>
      <c r="DB11" s="860"/>
      <c r="DC11" s="860"/>
      <c r="DD11" s="860"/>
      <c r="DE11" s="860"/>
      <c r="DF11" s="860"/>
      <c r="DG11" s="860"/>
      <c r="DH11" s="860"/>
      <c r="DI11" s="860"/>
      <c r="DJ11" s="860"/>
      <c r="DK11" s="860"/>
      <c r="DL11" s="860"/>
      <c r="DM11" s="860"/>
      <c r="DN11" s="860"/>
      <c r="DO11" s="860"/>
      <c r="DP11" s="860"/>
      <c r="DQ11" s="860"/>
      <c r="DR11" s="860"/>
      <c r="DS11" s="860"/>
      <c r="DT11" s="860"/>
      <c r="DU11" s="860"/>
      <c r="DV11" s="860"/>
      <c r="DW11" s="860"/>
      <c r="DX11" s="860"/>
      <c r="DY11" s="860"/>
      <c r="DZ11" s="860"/>
      <c r="EA11" s="860"/>
      <c r="EB11" s="860"/>
      <c r="EC11" s="860"/>
      <c r="ED11" s="860"/>
      <c r="EE11" s="860"/>
      <c r="EF11" s="860"/>
      <c r="EG11" s="860"/>
      <c r="EH11" s="860"/>
      <c r="EI11" s="860"/>
      <c r="EJ11" s="860"/>
      <c r="EK11" s="860"/>
      <c r="EL11" s="860"/>
      <c r="EM11" s="860"/>
      <c r="EN11" s="860"/>
      <c r="EO11" s="860"/>
      <c r="EP11" s="860"/>
      <c r="EQ11" s="860"/>
      <c r="ER11" s="860"/>
      <c r="ES11" s="860"/>
      <c r="ET11" s="860"/>
      <c r="EU11" s="860"/>
      <c r="EV11" s="860"/>
      <c r="EW11" s="860"/>
      <c r="EX11" s="860"/>
      <c r="EY11" s="860"/>
      <c r="EZ11" s="860"/>
      <c r="FA11" s="860"/>
      <c r="FB11" s="860"/>
      <c r="FC11" s="860"/>
      <c r="FD11" s="860"/>
      <c r="FE11" s="860"/>
      <c r="FF11" s="860"/>
      <c r="FG11" s="860"/>
      <c r="FH11" s="860"/>
      <c r="FI11" s="860"/>
      <c r="FJ11" s="860"/>
      <c r="FK11" s="860"/>
      <c r="FL11" s="860"/>
      <c r="FM11" s="860"/>
      <c r="FN11" s="860"/>
      <c r="FO11" s="860"/>
      <c r="FP11" s="860"/>
      <c r="FQ11" s="860"/>
      <c r="FR11" s="860"/>
      <c r="FS11" s="860"/>
      <c r="FT11" s="860"/>
      <c r="FU11" s="860"/>
      <c r="FV11" s="860"/>
      <c r="FW11" s="860"/>
      <c r="FX11" s="860"/>
      <c r="FY11" s="860"/>
      <c r="FZ11" s="860"/>
      <c r="GA11" s="860"/>
      <c r="GB11" s="860"/>
      <c r="GC11" s="860"/>
      <c r="GD11" s="860"/>
      <c r="GE11" s="860"/>
      <c r="GF11" s="860"/>
      <c r="GG11" s="860"/>
      <c r="GH11" s="860"/>
      <c r="GI11" s="860"/>
      <c r="GJ11" s="860"/>
      <c r="GK11" s="860"/>
      <c r="GL11" s="860"/>
      <c r="GM11" s="860"/>
      <c r="GN11" s="860"/>
      <c r="GO11" s="860"/>
      <c r="GP11" s="860"/>
      <c r="GQ11" s="860"/>
      <c r="GR11" s="860"/>
      <c r="GS11" s="860"/>
      <c r="GT11" s="860"/>
      <c r="GU11" s="860"/>
      <c r="GV11" s="860"/>
      <c r="GW11" s="860"/>
      <c r="GX11" s="860"/>
      <c r="GY11" s="860"/>
      <c r="GZ11" s="860"/>
      <c r="HA11" s="860"/>
      <c r="HB11" s="860"/>
      <c r="HC11" s="860"/>
      <c r="HD11" s="860"/>
      <c r="HE11" s="860"/>
      <c r="HF11" s="860"/>
      <c r="HG11" s="860"/>
      <c r="HH11" s="860"/>
      <c r="HI11" s="860"/>
      <c r="HJ11" s="860"/>
      <c r="HK11" s="860"/>
      <c r="HL11" s="860"/>
      <c r="HM11" s="860"/>
      <c r="HN11" s="860"/>
      <c r="HO11" s="860"/>
      <c r="HP11" s="860"/>
      <c r="HQ11" s="860"/>
      <c r="HR11" s="860"/>
      <c r="HS11" s="860"/>
      <c r="HT11" s="860"/>
      <c r="HU11" s="860"/>
      <c r="HV11" s="860"/>
      <c r="HW11" s="860"/>
      <c r="HX11" s="860"/>
      <c r="HY11" s="860"/>
      <c r="HZ11" s="860"/>
      <c r="IA11" s="860"/>
      <c r="IB11" s="860"/>
      <c r="IC11" s="860"/>
      <c r="ID11" s="860"/>
      <c r="IE11" s="860"/>
      <c r="IF11" s="860"/>
      <c r="IG11" s="860"/>
      <c r="IH11" s="860"/>
      <c r="II11" s="860"/>
      <c r="IJ11" s="860"/>
      <c r="IK11" s="860"/>
      <c r="IL11" s="860"/>
      <c r="IM11" s="860"/>
      <c r="IN11" s="860"/>
      <c r="IO11" s="860"/>
      <c r="IP11" s="860"/>
      <c r="IQ11" s="860"/>
      <c r="IR11" s="860"/>
      <c r="IS11" s="860"/>
      <c r="IT11" s="860"/>
      <c r="IU11" s="860"/>
      <c r="IV11" s="860"/>
    </row>
    <row r="12" spans="1:256" ht="30" customHeight="1">
      <c r="A12" s="865" t="s">
        <v>150</v>
      </c>
      <c r="B12" s="385">
        <v>91525600</v>
      </c>
      <c r="C12" s="866"/>
      <c r="D12" s="866"/>
      <c r="E12" s="866"/>
      <c r="F12" s="866"/>
      <c r="G12" s="866"/>
      <c r="H12" s="1493">
        <f t="shared" si="0"/>
        <v>91525600</v>
      </c>
      <c r="I12" s="865" t="s">
        <v>78</v>
      </c>
      <c r="J12" s="866">
        <v>16757229</v>
      </c>
      <c r="K12" s="866"/>
      <c r="L12" s="866">
        <v>1738790</v>
      </c>
      <c r="M12" s="867">
        <v>1869838</v>
      </c>
      <c r="N12" s="867">
        <v>617003</v>
      </c>
      <c r="O12" s="866">
        <v>23409857</v>
      </c>
      <c r="P12" s="1494">
        <f t="shared" si="1"/>
        <v>44392717</v>
      </c>
      <c r="Q12" s="860"/>
      <c r="R12" s="860"/>
      <c r="S12" s="860"/>
      <c r="T12" s="860"/>
      <c r="U12" s="860"/>
      <c r="V12" s="860"/>
      <c r="W12" s="860"/>
      <c r="X12" s="860"/>
      <c r="Y12" s="860"/>
      <c r="Z12" s="860"/>
      <c r="AA12" s="860"/>
      <c r="AB12" s="860"/>
      <c r="AC12" s="860"/>
      <c r="AD12" s="860"/>
      <c r="AE12" s="860"/>
      <c r="AF12" s="860"/>
      <c r="AG12" s="860"/>
      <c r="AH12" s="860"/>
      <c r="AI12" s="860"/>
      <c r="AJ12" s="860"/>
      <c r="AK12" s="860"/>
      <c r="AL12" s="860"/>
      <c r="AM12" s="860"/>
      <c r="AN12" s="860"/>
      <c r="AO12" s="860"/>
      <c r="AP12" s="860"/>
      <c r="AQ12" s="860"/>
      <c r="AR12" s="860"/>
      <c r="AS12" s="860"/>
      <c r="AT12" s="860"/>
      <c r="AU12" s="860"/>
      <c r="AV12" s="860"/>
      <c r="AW12" s="860"/>
      <c r="AX12" s="860"/>
      <c r="AY12" s="860"/>
      <c r="AZ12" s="860"/>
      <c r="BA12" s="860"/>
      <c r="BB12" s="860"/>
      <c r="BC12" s="860"/>
      <c r="BD12" s="860"/>
      <c r="BE12" s="860"/>
      <c r="BF12" s="860"/>
      <c r="BG12" s="860"/>
      <c r="BH12" s="860"/>
      <c r="BI12" s="860"/>
      <c r="BJ12" s="860"/>
      <c r="BK12" s="860"/>
      <c r="BL12" s="860"/>
      <c r="BM12" s="860"/>
      <c r="BN12" s="860"/>
      <c r="BO12" s="860"/>
      <c r="BP12" s="860"/>
      <c r="BQ12" s="860"/>
      <c r="BR12" s="860"/>
      <c r="BS12" s="860"/>
      <c r="BT12" s="860"/>
      <c r="BU12" s="860"/>
      <c r="BV12" s="860"/>
      <c r="BW12" s="860"/>
      <c r="BX12" s="860"/>
      <c r="BY12" s="860"/>
      <c r="BZ12" s="860"/>
      <c r="CA12" s="860"/>
      <c r="CB12" s="860"/>
      <c r="CC12" s="860"/>
      <c r="CD12" s="860"/>
      <c r="CE12" s="860"/>
      <c r="CF12" s="860"/>
      <c r="CG12" s="860"/>
      <c r="CH12" s="860"/>
      <c r="CI12" s="860"/>
      <c r="CJ12" s="860"/>
      <c r="CK12" s="860"/>
      <c r="CL12" s="860"/>
      <c r="CM12" s="860"/>
      <c r="CN12" s="860"/>
      <c r="CO12" s="860"/>
      <c r="CP12" s="860"/>
      <c r="CQ12" s="860"/>
      <c r="CR12" s="860"/>
      <c r="CS12" s="860"/>
      <c r="CT12" s="860"/>
      <c r="CU12" s="860"/>
      <c r="CV12" s="860"/>
      <c r="CW12" s="860"/>
      <c r="CX12" s="860"/>
      <c r="CY12" s="860"/>
      <c r="CZ12" s="860"/>
      <c r="DA12" s="860"/>
      <c r="DB12" s="860"/>
      <c r="DC12" s="860"/>
      <c r="DD12" s="860"/>
      <c r="DE12" s="860"/>
      <c r="DF12" s="860"/>
      <c r="DG12" s="860"/>
      <c r="DH12" s="860"/>
      <c r="DI12" s="860"/>
      <c r="DJ12" s="860"/>
      <c r="DK12" s="860"/>
      <c r="DL12" s="860"/>
      <c r="DM12" s="860"/>
      <c r="DN12" s="860"/>
      <c r="DO12" s="860"/>
      <c r="DP12" s="860"/>
      <c r="DQ12" s="860"/>
      <c r="DR12" s="860"/>
      <c r="DS12" s="860"/>
      <c r="DT12" s="860"/>
      <c r="DU12" s="860"/>
      <c r="DV12" s="860"/>
      <c r="DW12" s="860"/>
      <c r="DX12" s="860"/>
      <c r="DY12" s="860"/>
      <c r="DZ12" s="860"/>
      <c r="EA12" s="860"/>
      <c r="EB12" s="860"/>
      <c r="EC12" s="860"/>
      <c r="ED12" s="860"/>
      <c r="EE12" s="860"/>
      <c r="EF12" s="860"/>
      <c r="EG12" s="860"/>
      <c r="EH12" s="860"/>
      <c r="EI12" s="860"/>
      <c r="EJ12" s="860"/>
      <c r="EK12" s="860"/>
      <c r="EL12" s="860"/>
      <c r="EM12" s="860"/>
      <c r="EN12" s="860"/>
      <c r="EO12" s="860"/>
      <c r="EP12" s="860"/>
      <c r="EQ12" s="860"/>
      <c r="ER12" s="860"/>
      <c r="ES12" s="860"/>
      <c r="ET12" s="860"/>
      <c r="EU12" s="860"/>
      <c r="EV12" s="860"/>
      <c r="EW12" s="860"/>
      <c r="EX12" s="860"/>
      <c r="EY12" s="860"/>
      <c r="EZ12" s="860"/>
      <c r="FA12" s="860"/>
      <c r="FB12" s="860"/>
      <c r="FC12" s="860"/>
      <c r="FD12" s="860"/>
      <c r="FE12" s="860"/>
      <c r="FF12" s="860"/>
      <c r="FG12" s="860"/>
      <c r="FH12" s="860"/>
      <c r="FI12" s="860"/>
      <c r="FJ12" s="860"/>
      <c r="FK12" s="860"/>
      <c r="FL12" s="860"/>
      <c r="FM12" s="860"/>
      <c r="FN12" s="860"/>
      <c r="FO12" s="860"/>
      <c r="FP12" s="860"/>
      <c r="FQ12" s="860"/>
      <c r="FR12" s="860"/>
      <c r="FS12" s="860"/>
      <c r="FT12" s="860"/>
      <c r="FU12" s="860"/>
      <c r="FV12" s="860"/>
      <c r="FW12" s="860"/>
      <c r="FX12" s="860"/>
      <c r="FY12" s="860"/>
      <c r="FZ12" s="860"/>
      <c r="GA12" s="860"/>
      <c r="GB12" s="860"/>
      <c r="GC12" s="860"/>
      <c r="GD12" s="860"/>
      <c r="GE12" s="860"/>
      <c r="GF12" s="860"/>
      <c r="GG12" s="860"/>
      <c r="GH12" s="860"/>
      <c r="GI12" s="860"/>
      <c r="GJ12" s="860"/>
      <c r="GK12" s="860"/>
      <c r="GL12" s="860"/>
      <c r="GM12" s="860"/>
      <c r="GN12" s="860"/>
      <c r="GO12" s="860"/>
      <c r="GP12" s="860"/>
      <c r="GQ12" s="860"/>
      <c r="GR12" s="860"/>
      <c r="GS12" s="860"/>
      <c r="GT12" s="860"/>
      <c r="GU12" s="860"/>
      <c r="GV12" s="860"/>
      <c r="GW12" s="860"/>
      <c r="GX12" s="860"/>
      <c r="GY12" s="860"/>
      <c r="GZ12" s="860"/>
      <c r="HA12" s="860"/>
      <c r="HB12" s="860"/>
      <c r="HC12" s="860"/>
      <c r="HD12" s="860"/>
      <c r="HE12" s="860"/>
      <c r="HF12" s="860"/>
      <c r="HG12" s="860"/>
      <c r="HH12" s="860"/>
      <c r="HI12" s="860"/>
      <c r="HJ12" s="860"/>
      <c r="HK12" s="860"/>
      <c r="HL12" s="860"/>
      <c r="HM12" s="860"/>
      <c r="HN12" s="860"/>
      <c r="HO12" s="860"/>
      <c r="HP12" s="860"/>
      <c r="HQ12" s="860"/>
      <c r="HR12" s="860"/>
      <c r="HS12" s="860"/>
      <c r="HT12" s="860"/>
      <c r="HU12" s="860"/>
      <c r="HV12" s="860"/>
      <c r="HW12" s="860"/>
      <c r="HX12" s="860"/>
      <c r="HY12" s="860"/>
      <c r="HZ12" s="860"/>
      <c r="IA12" s="860"/>
      <c r="IB12" s="860"/>
      <c r="IC12" s="860"/>
      <c r="ID12" s="860"/>
      <c r="IE12" s="860"/>
      <c r="IF12" s="860"/>
      <c r="IG12" s="860"/>
      <c r="IH12" s="860"/>
      <c r="II12" s="860"/>
      <c r="IJ12" s="860"/>
      <c r="IK12" s="860"/>
      <c r="IL12" s="860"/>
      <c r="IM12" s="860"/>
      <c r="IN12" s="860"/>
      <c r="IO12" s="860"/>
      <c r="IP12" s="860"/>
      <c r="IQ12" s="860"/>
      <c r="IR12" s="860"/>
      <c r="IS12" s="860"/>
      <c r="IT12" s="860"/>
      <c r="IU12" s="860"/>
      <c r="IV12" s="860"/>
    </row>
    <row r="13" spans="1:256" ht="16.5" customHeight="1">
      <c r="A13" s="865" t="s">
        <v>204</v>
      </c>
      <c r="B13" s="866">
        <v>40766879</v>
      </c>
      <c r="C13" s="866"/>
      <c r="D13" s="866"/>
      <c r="E13" s="866"/>
      <c r="F13" s="866"/>
      <c r="G13" s="866"/>
      <c r="H13" s="1493">
        <f t="shared" si="0"/>
        <v>40766879</v>
      </c>
      <c r="I13" s="865" t="s">
        <v>187</v>
      </c>
      <c r="J13" s="866">
        <v>815220</v>
      </c>
      <c r="K13" s="866"/>
      <c r="L13" s="866">
        <v>1348461</v>
      </c>
      <c r="M13" s="867">
        <v>130000</v>
      </c>
      <c r="N13" s="867"/>
      <c r="O13" s="866"/>
      <c r="P13" s="1494">
        <f t="shared" si="1"/>
        <v>2293681</v>
      </c>
      <c r="Q13" s="860"/>
      <c r="R13" s="860"/>
      <c r="S13" s="860"/>
      <c r="T13" s="860"/>
      <c r="U13" s="860"/>
      <c r="V13" s="860"/>
      <c r="W13" s="860"/>
      <c r="X13" s="860"/>
      <c r="Y13" s="860"/>
      <c r="Z13" s="860"/>
      <c r="AA13" s="860"/>
      <c r="AB13" s="860"/>
      <c r="AC13" s="860"/>
      <c r="AD13" s="860"/>
      <c r="AE13" s="860"/>
      <c r="AF13" s="860"/>
      <c r="AG13" s="860"/>
      <c r="AH13" s="860"/>
      <c r="AI13" s="860"/>
      <c r="AJ13" s="860"/>
      <c r="AK13" s="860"/>
      <c r="AL13" s="860"/>
      <c r="AM13" s="860"/>
      <c r="AN13" s="860"/>
      <c r="AO13" s="860"/>
      <c r="AP13" s="860"/>
      <c r="AQ13" s="860"/>
      <c r="AR13" s="860"/>
      <c r="AS13" s="860"/>
      <c r="AT13" s="860"/>
      <c r="AU13" s="860"/>
      <c r="AV13" s="860"/>
      <c r="AW13" s="860"/>
      <c r="AX13" s="860"/>
      <c r="AY13" s="860"/>
      <c r="AZ13" s="860"/>
      <c r="BA13" s="860"/>
      <c r="BB13" s="860"/>
      <c r="BC13" s="860"/>
      <c r="BD13" s="860"/>
      <c r="BE13" s="860"/>
      <c r="BF13" s="860"/>
      <c r="BG13" s="860"/>
      <c r="BH13" s="860"/>
      <c r="BI13" s="860"/>
      <c r="BJ13" s="860"/>
      <c r="BK13" s="860"/>
      <c r="BL13" s="860"/>
      <c r="BM13" s="860"/>
      <c r="BN13" s="860"/>
      <c r="BO13" s="860"/>
      <c r="BP13" s="860"/>
      <c r="BQ13" s="860"/>
      <c r="BR13" s="860"/>
      <c r="BS13" s="860"/>
      <c r="BT13" s="860"/>
      <c r="BU13" s="860"/>
      <c r="BV13" s="860"/>
      <c r="BW13" s="860"/>
      <c r="BX13" s="860"/>
      <c r="BY13" s="860"/>
      <c r="BZ13" s="860"/>
      <c r="CA13" s="860"/>
      <c r="CB13" s="860"/>
      <c r="CC13" s="860"/>
      <c r="CD13" s="860"/>
      <c r="CE13" s="860"/>
      <c r="CF13" s="860"/>
      <c r="CG13" s="860"/>
      <c r="CH13" s="860"/>
      <c r="CI13" s="860"/>
      <c r="CJ13" s="860"/>
      <c r="CK13" s="860"/>
      <c r="CL13" s="860"/>
      <c r="CM13" s="860"/>
      <c r="CN13" s="860"/>
      <c r="CO13" s="860"/>
      <c r="CP13" s="860"/>
      <c r="CQ13" s="860"/>
      <c r="CR13" s="860"/>
      <c r="CS13" s="860"/>
      <c r="CT13" s="860"/>
      <c r="CU13" s="860"/>
      <c r="CV13" s="860"/>
      <c r="CW13" s="860"/>
      <c r="CX13" s="860"/>
      <c r="CY13" s="860"/>
      <c r="CZ13" s="860"/>
      <c r="DA13" s="860"/>
      <c r="DB13" s="860"/>
      <c r="DC13" s="860"/>
      <c r="DD13" s="860"/>
      <c r="DE13" s="860"/>
      <c r="DF13" s="860"/>
      <c r="DG13" s="860"/>
      <c r="DH13" s="860"/>
      <c r="DI13" s="860"/>
      <c r="DJ13" s="860"/>
      <c r="DK13" s="860"/>
      <c r="DL13" s="860"/>
      <c r="DM13" s="860"/>
      <c r="DN13" s="860"/>
      <c r="DO13" s="860"/>
      <c r="DP13" s="860"/>
      <c r="DQ13" s="860"/>
      <c r="DR13" s="860"/>
      <c r="DS13" s="860"/>
      <c r="DT13" s="860"/>
      <c r="DU13" s="860"/>
      <c r="DV13" s="860"/>
      <c r="DW13" s="860"/>
      <c r="DX13" s="860"/>
      <c r="DY13" s="860"/>
      <c r="DZ13" s="860"/>
      <c r="EA13" s="860"/>
      <c r="EB13" s="860"/>
      <c r="EC13" s="860"/>
      <c r="ED13" s="860"/>
      <c r="EE13" s="860"/>
      <c r="EF13" s="860"/>
      <c r="EG13" s="860"/>
      <c r="EH13" s="860"/>
      <c r="EI13" s="860"/>
      <c r="EJ13" s="860"/>
      <c r="EK13" s="860"/>
      <c r="EL13" s="860"/>
      <c r="EM13" s="860"/>
      <c r="EN13" s="860"/>
      <c r="EO13" s="860"/>
      <c r="EP13" s="860"/>
      <c r="EQ13" s="860"/>
      <c r="ER13" s="860"/>
      <c r="ES13" s="860"/>
      <c r="ET13" s="860"/>
      <c r="EU13" s="860"/>
      <c r="EV13" s="860"/>
      <c r="EW13" s="860"/>
      <c r="EX13" s="860"/>
      <c r="EY13" s="860"/>
      <c r="EZ13" s="860"/>
      <c r="FA13" s="860"/>
      <c r="FB13" s="860"/>
      <c r="FC13" s="860"/>
      <c r="FD13" s="860"/>
      <c r="FE13" s="860"/>
      <c r="FF13" s="860"/>
      <c r="FG13" s="860"/>
      <c r="FH13" s="860"/>
      <c r="FI13" s="860"/>
      <c r="FJ13" s="860"/>
      <c r="FK13" s="860"/>
      <c r="FL13" s="860"/>
      <c r="FM13" s="860"/>
      <c r="FN13" s="860"/>
      <c r="FO13" s="860"/>
      <c r="FP13" s="860"/>
      <c r="FQ13" s="860"/>
      <c r="FR13" s="860"/>
      <c r="FS13" s="860"/>
      <c r="FT13" s="860"/>
      <c r="FU13" s="860"/>
      <c r="FV13" s="860"/>
      <c r="FW13" s="860"/>
      <c r="FX13" s="860"/>
      <c r="FY13" s="860"/>
      <c r="FZ13" s="860"/>
      <c r="GA13" s="860"/>
      <c r="GB13" s="860"/>
      <c r="GC13" s="860"/>
      <c r="GD13" s="860"/>
      <c r="GE13" s="860"/>
      <c r="GF13" s="860"/>
      <c r="GG13" s="860"/>
      <c r="GH13" s="860"/>
      <c r="GI13" s="860"/>
      <c r="GJ13" s="860"/>
      <c r="GK13" s="860"/>
      <c r="GL13" s="860"/>
      <c r="GM13" s="860"/>
      <c r="GN13" s="860"/>
      <c r="GO13" s="860"/>
      <c r="GP13" s="860"/>
      <c r="GQ13" s="860"/>
      <c r="GR13" s="860"/>
      <c r="GS13" s="860"/>
      <c r="GT13" s="860"/>
      <c r="GU13" s="860"/>
      <c r="GV13" s="860"/>
      <c r="GW13" s="860"/>
      <c r="GX13" s="860"/>
      <c r="GY13" s="860"/>
      <c r="GZ13" s="860"/>
      <c r="HA13" s="860"/>
      <c r="HB13" s="860"/>
      <c r="HC13" s="860"/>
      <c r="HD13" s="860"/>
      <c r="HE13" s="860"/>
      <c r="HF13" s="860"/>
      <c r="HG13" s="860"/>
      <c r="HH13" s="860"/>
      <c r="HI13" s="860"/>
      <c r="HJ13" s="860"/>
      <c r="HK13" s="860"/>
      <c r="HL13" s="860"/>
      <c r="HM13" s="860"/>
      <c r="HN13" s="860"/>
      <c r="HO13" s="860"/>
      <c r="HP13" s="860"/>
      <c r="HQ13" s="860"/>
      <c r="HR13" s="860"/>
      <c r="HS13" s="860"/>
      <c r="HT13" s="860"/>
      <c r="HU13" s="860"/>
      <c r="HV13" s="860"/>
      <c r="HW13" s="860"/>
      <c r="HX13" s="860"/>
      <c r="HY13" s="860"/>
      <c r="HZ13" s="860"/>
      <c r="IA13" s="860"/>
      <c r="IB13" s="860"/>
      <c r="IC13" s="860"/>
      <c r="ID13" s="860"/>
      <c r="IE13" s="860"/>
      <c r="IF13" s="860"/>
      <c r="IG13" s="860"/>
      <c r="IH13" s="860"/>
      <c r="II13" s="860"/>
      <c r="IJ13" s="860"/>
      <c r="IK13" s="860"/>
      <c r="IL13" s="860"/>
      <c r="IM13" s="860"/>
      <c r="IN13" s="860"/>
      <c r="IO13" s="860"/>
      <c r="IP13" s="860"/>
      <c r="IQ13" s="860"/>
      <c r="IR13" s="860"/>
      <c r="IS13" s="860"/>
      <c r="IT13" s="860"/>
      <c r="IU13" s="860"/>
      <c r="IV13" s="860"/>
    </row>
    <row r="14" spans="1:256" ht="22.5">
      <c r="A14" s="865" t="s">
        <v>656</v>
      </c>
      <c r="B14" s="866"/>
      <c r="C14" s="866"/>
      <c r="D14" s="866"/>
      <c r="E14" s="866"/>
      <c r="F14" s="866"/>
      <c r="G14" s="866"/>
      <c r="H14" s="866">
        <f t="shared" si="0"/>
        <v>0</v>
      </c>
      <c r="I14" s="865" t="s">
        <v>657</v>
      </c>
      <c r="J14" s="866"/>
      <c r="K14" s="866"/>
      <c r="L14" s="866"/>
      <c r="M14" s="867"/>
      <c r="N14" s="867"/>
      <c r="O14" s="866"/>
      <c r="P14" s="1494">
        <f t="shared" si="1"/>
        <v>0</v>
      </c>
      <c r="Q14" s="860"/>
      <c r="R14" s="860"/>
      <c r="S14" s="860"/>
      <c r="T14" s="860"/>
      <c r="U14" s="860"/>
      <c r="V14" s="860"/>
      <c r="W14" s="860"/>
      <c r="X14" s="860"/>
      <c r="Y14" s="860"/>
      <c r="Z14" s="860"/>
      <c r="AA14" s="860"/>
      <c r="AB14" s="860"/>
      <c r="AC14" s="860"/>
      <c r="AD14" s="860"/>
      <c r="AE14" s="860"/>
      <c r="AF14" s="860"/>
      <c r="AG14" s="860"/>
      <c r="AH14" s="860"/>
      <c r="AI14" s="860"/>
      <c r="AJ14" s="860"/>
      <c r="AK14" s="860"/>
      <c r="AL14" s="860"/>
      <c r="AM14" s="860"/>
      <c r="AN14" s="860"/>
      <c r="AO14" s="860"/>
      <c r="AP14" s="860"/>
      <c r="AQ14" s="860"/>
      <c r="AR14" s="860"/>
      <c r="AS14" s="860"/>
      <c r="AT14" s="860"/>
      <c r="AU14" s="860"/>
      <c r="AV14" s="860"/>
      <c r="AW14" s="860"/>
      <c r="AX14" s="860"/>
      <c r="AY14" s="860"/>
      <c r="AZ14" s="860"/>
      <c r="BA14" s="860"/>
      <c r="BB14" s="860"/>
      <c r="BC14" s="860"/>
      <c r="BD14" s="860"/>
      <c r="BE14" s="860"/>
      <c r="BF14" s="860"/>
      <c r="BG14" s="860"/>
      <c r="BH14" s="860"/>
      <c r="BI14" s="860"/>
      <c r="BJ14" s="860"/>
      <c r="BK14" s="860"/>
      <c r="BL14" s="860"/>
      <c r="BM14" s="860"/>
      <c r="BN14" s="860"/>
      <c r="BO14" s="860"/>
      <c r="BP14" s="860"/>
      <c r="BQ14" s="860"/>
      <c r="BR14" s="860"/>
      <c r="BS14" s="860"/>
      <c r="BT14" s="860"/>
      <c r="BU14" s="860"/>
      <c r="BV14" s="860"/>
      <c r="BW14" s="860"/>
      <c r="BX14" s="860"/>
      <c r="BY14" s="860"/>
      <c r="BZ14" s="860"/>
      <c r="CA14" s="860"/>
      <c r="CB14" s="860"/>
      <c r="CC14" s="860"/>
      <c r="CD14" s="860"/>
      <c r="CE14" s="860"/>
      <c r="CF14" s="860"/>
      <c r="CG14" s="860"/>
      <c r="CH14" s="860"/>
      <c r="CI14" s="860"/>
      <c r="CJ14" s="860"/>
      <c r="CK14" s="860"/>
      <c r="CL14" s="860"/>
      <c r="CM14" s="860"/>
      <c r="CN14" s="860"/>
      <c r="CO14" s="860"/>
      <c r="CP14" s="860"/>
      <c r="CQ14" s="860"/>
      <c r="CR14" s="860"/>
      <c r="CS14" s="860"/>
      <c r="CT14" s="860"/>
      <c r="CU14" s="860"/>
      <c r="CV14" s="860"/>
      <c r="CW14" s="860"/>
      <c r="CX14" s="860"/>
      <c r="CY14" s="860"/>
      <c r="CZ14" s="860"/>
      <c r="DA14" s="860"/>
      <c r="DB14" s="860"/>
      <c r="DC14" s="860"/>
      <c r="DD14" s="860"/>
      <c r="DE14" s="860"/>
      <c r="DF14" s="860"/>
      <c r="DG14" s="860"/>
      <c r="DH14" s="860"/>
      <c r="DI14" s="860"/>
      <c r="DJ14" s="860"/>
      <c r="DK14" s="860"/>
      <c r="DL14" s="860"/>
      <c r="DM14" s="860"/>
      <c r="DN14" s="860"/>
      <c r="DO14" s="860"/>
      <c r="DP14" s="860"/>
      <c r="DQ14" s="860"/>
      <c r="DR14" s="860"/>
      <c r="DS14" s="860"/>
      <c r="DT14" s="860"/>
      <c r="DU14" s="860"/>
      <c r="DV14" s="860"/>
      <c r="DW14" s="860"/>
      <c r="DX14" s="860"/>
      <c r="DY14" s="860"/>
      <c r="DZ14" s="860"/>
      <c r="EA14" s="860"/>
      <c r="EB14" s="860"/>
      <c r="EC14" s="860"/>
      <c r="ED14" s="860"/>
      <c r="EE14" s="860"/>
      <c r="EF14" s="860"/>
      <c r="EG14" s="860"/>
      <c r="EH14" s="860"/>
      <c r="EI14" s="860"/>
      <c r="EJ14" s="860"/>
      <c r="EK14" s="860"/>
      <c r="EL14" s="860"/>
      <c r="EM14" s="860"/>
      <c r="EN14" s="860"/>
      <c r="EO14" s="860"/>
      <c r="EP14" s="860"/>
      <c r="EQ14" s="860"/>
      <c r="ER14" s="860"/>
      <c r="ES14" s="860"/>
      <c r="ET14" s="860"/>
      <c r="EU14" s="860"/>
      <c r="EV14" s="860"/>
      <c r="EW14" s="860"/>
      <c r="EX14" s="860"/>
      <c r="EY14" s="860"/>
      <c r="EZ14" s="860"/>
      <c r="FA14" s="860"/>
      <c r="FB14" s="860"/>
      <c r="FC14" s="860"/>
      <c r="FD14" s="860"/>
      <c r="FE14" s="860"/>
      <c r="FF14" s="860"/>
      <c r="FG14" s="860"/>
      <c r="FH14" s="860"/>
      <c r="FI14" s="860"/>
      <c r="FJ14" s="860"/>
      <c r="FK14" s="860"/>
      <c r="FL14" s="860"/>
      <c r="FM14" s="860"/>
      <c r="FN14" s="860"/>
      <c r="FO14" s="860"/>
      <c r="FP14" s="860"/>
      <c r="FQ14" s="860"/>
      <c r="FR14" s="860"/>
      <c r="FS14" s="860"/>
      <c r="FT14" s="860"/>
      <c r="FU14" s="860"/>
      <c r="FV14" s="860"/>
      <c r="FW14" s="860"/>
      <c r="FX14" s="860"/>
      <c r="FY14" s="860"/>
      <c r="FZ14" s="860"/>
      <c r="GA14" s="860"/>
      <c r="GB14" s="860"/>
      <c r="GC14" s="860"/>
      <c r="GD14" s="860"/>
      <c r="GE14" s="860"/>
      <c r="GF14" s="860"/>
      <c r="GG14" s="860"/>
      <c r="GH14" s="860"/>
      <c r="GI14" s="860"/>
      <c r="GJ14" s="860"/>
      <c r="GK14" s="860"/>
      <c r="GL14" s="860"/>
      <c r="GM14" s="860"/>
      <c r="GN14" s="860"/>
      <c r="GO14" s="860"/>
      <c r="GP14" s="860"/>
      <c r="GQ14" s="860"/>
      <c r="GR14" s="860"/>
      <c r="GS14" s="860"/>
      <c r="GT14" s="860"/>
      <c r="GU14" s="860"/>
      <c r="GV14" s="860"/>
      <c r="GW14" s="860"/>
      <c r="GX14" s="860"/>
      <c r="GY14" s="860"/>
      <c r="GZ14" s="860"/>
      <c r="HA14" s="860"/>
      <c r="HB14" s="860"/>
      <c r="HC14" s="860"/>
      <c r="HD14" s="860"/>
      <c r="HE14" s="860"/>
      <c r="HF14" s="860"/>
      <c r="HG14" s="860"/>
      <c r="HH14" s="860"/>
      <c r="HI14" s="860"/>
      <c r="HJ14" s="860"/>
      <c r="HK14" s="860"/>
      <c r="HL14" s="860"/>
      <c r="HM14" s="860"/>
      <c r="HN14" s="860"/>
      <c r="HO14" s="860"/>
      <c r="HP14" s="860"/>
      <c r="HQ14" s="860"/>
      <c r="HR14" s="860"/>
      <c r="HS14" s="860"/>
      <c r="HT14" s="860"/>
      <c r="HU14" s="860"/>
      <c r="HV14" s="860"/>
      <c r="HW14" s="860"/>
      <c r="HX14" s="860"/>
      <c r="HY14" s="860"/>
      <c r="HZ14" s="860"/>
      <c r="IA14" s="860"/>
      <c r="IB14" s="860"/>
      <c r="IC14" s="860"/>
      <c r="ID14" s="860"/>
      <c r="IE14" s="860"/>
      <c r="IF14" s="860"/>
      <c r="IG14" s="860"/>
      <c r="IH14" s="860"/>
      <c r="II14" s="860"/>
      <c r="IJ14" s="860"/>
      <c r="IK14" s="860"/>
      <c r="IL14" s="860"/>
      <c r="IM14" s="860"/>
      <c r="IN14" s="860"/>
      <c r="IO14" s="860"/>
      <c r="IP14" s="860"/>
      <c r="IQ14" s="860"/>
      <c r="IR14" s="860"/>
      <c r="IS14" s="860"/>
      <c r="IT14" s="860"/>
      <c r="IU14" s="860"/>
      <c r="IV14" s="860"/>
    </row>
    <row r="15" spans="1:256" ht="24" customHeight="1">
      <c r="A15" s="865" t="s">
        <v>274</v>
      </c>
      <c r="B15" s="866">
        <v>9092391</v>
      </c>
      <c r="C15" s="866"/>
      <c r="D15" s="866"/>
      <c r="E15" s="866"/>
      <c r="F15" s="866"/>
      <c r="G15" s="866"/>
      <c r="H15" s="866">
        <f t="shared" si="0"/>
        <v>9092391</v>
      </c>
      <c r="I15" s="865" t="s">
        <v>471</v>
      </c>
      <c r="J15" s="870">
        <v>9423918</v>
      </c>
      <c r="K15" s="866"/>
      <c r="L15" s="871"/>
      <c r="M15" s="867"/>
      <c r="N15" s="867"/>
      <c r="O15" s="871"/>
      <c r="P15" s="868">
        <f t="shared" si="1"/>
        <v>9423918</v>
      </c>
      <c r="Q15" s="860"/>
      <c r="R15" s="860"/>
      <c r="S15" s="860"/>
      <c r="T15" s="860"/>
      <c r="U15" s="860"/>
      <c r="V15" s="860"/>
      <c r="W15" s="860"/>
      <c r="X15" s="860"/>
      <c r="Y15" s="860"/>
      <c r="Z15" s="860"/>
      <c r="AA15" s="860"/>
      <c r="AB15" s="860"/>
      <c r="AC15" s="860"/>
      <c r="AD15" s="860"/>
      <c r="AE15" s="860"/>
      <c r="AF15" s="860"/>
      <c r="AG15" s="860"/>
      <c r="AH15" s="860"/>
      <c r="AI15" s="860"/>
      <c r="AJ15" s="860"/>
      <c r="AK15" s="860"/>
      <c r="AL15" s="860"/>
      <c r="AM15" s="860"/>
      <c r="AN15" s="860"/>
      <c r="AO15" s="860"/>
      <c r="AP15" s="860"/>
      <c r="AQ15" s="860"/>
      <c r="AR15" s="860"/>
      <c r="AS15" s="860"/>
      <c r="AT15" s="860"/>
      <c r="AU15" s="860"/>
      <c r="AV15" s="860"/>
      <c r="AW15" s="860"/>
      <c r="AX15" s="860"/>
      <c r="AY15" s="860"/>
      <c r="AZ15" s="860"/>
      <c r="BA15" s="860"/>
      <c r="BB15" s="860"/>
      <c r="BC15" s="860"/>
      <c r="BD15" s="860"/>
      <c r="BE15" s="860"/>
      <c r="BF15" s="860"/>
      <c r="BG15" s="860"/>
      <c r="BH15" s="860"/>
      <c r="BI15" s="860"/>
      <c r="BJ15" s="860"/>
      <c r="BK15" s="860"/>
      <c r="BL15" s="860"/>
      <c r="BM15" s="860"/>
      <c r="BN15" s="860"/>
      <c r="BO15" s="860"/>
      <c r="BP15" s="860"/>
      <c r="BQ15" s="860"/>
      <c r="BR15" s="860"/>
      <c r="BS15" s="860"/>
      <c r="BT15" s="860"/>
      <c r="BU15" s="860"/>
      <c r="BV15" s="860"/>
      <c r="BW15" s="860"/>
      <c r="BX15" s="860"/>
      <c r="BY15" s="860"/>
      <c r="BZ15" s="860"/>
      <c r="CA15" s="860"/>
      <c r="CB15" s="860"/>
      <c r="CC15" s="860"/>
      <c r="CD15" s="860"/>
      <c r="CE15" s="860"/>
      <c r="CF15" s="860"/>
      <c r="CG15" s="860"/>
      <c r="CH15" s="860"/>
      <c r="CI15" s="860"/>
      <c r="CJ15" s="860"/>
      <c r="CK15" s="860"/>
      <c r="CL15" s="860"/>
      <c r="CM15" s="860"/>
      <c r="CN15" s="860"/>
      <c r="CO15" s="860"/>
      <c r="CP15" s="860"/>
      <c r="CQ15" s="860"/>
      <c r="CR15" s="860"/>
      <c r="CS15" s="860"/>
      <c r="CT15" s="860"/>
      <c r="CU15" s="860"/>
      <c r="CV15" s="860"/>
      <c r="CW15" s="860"/>
      <c r="CX15" s="860"/>
      <c r="CY15" s="860"/>
      <c r="CZ15" s="860"/>
      <c r="DA15" s="860"/>
      <c r="DB15" s="860"/>
      <c r="DC15" s="860"/>
      <c r="DD15" s="860"/>
      <c r="DE15" s="860"/>
      <c r="DF15" s="860"/>
      <c r="DG15" s="860"/>
      <c r="DH15" s="860"/>
      <c r="DI15" s="860"/>
      <c r="DJ15" s="860"/>
      <c r="DK15" s="860"/>
      <c r="DL15" s="860"/>
      <c r="DM15" s="860"/>
      <c r="DN15" s="860"/>
      <c r="DO15" s="860"/>
      <c r="DP15" s="860"/>
      <c r="DQ15" s="860"/>
      <c r="DR15" s="860"/>
      <c r="DS15" s="860"/>
      <c r="DT15" s="860"/>
      <c r="DU15" s="860"/>
      <c r="DV15" s="860"/>
      <c r="DW15" s="860"/>
      <c r="DX15" s="860"/>
      <c r="DY15" s="860"/>
      <c r="DZ15" s="860"/>
      <c r="EA15" s="860"/>
      <c r="EB15" s="860"/>
      <c r="EC15" s="860"/>
      <c r="ED15" s="860"/>
      <c r="EE15" s="860"/>
      <c r="EF15" s="860"/>
      <c r="EG15" s="860"/>
      <c r="EH15" s="860"/>
      <c r="EI15" s="860"/>
      <c r="EJ15" s="860"/>
      <c r="EK15" s="860"/>
      <c r="EL15" s="860"/>
      <c r="EM15" s="860"/>
      <c r="EN15" s="860"/>
      <c r="EO15" s="860"/>
      <c r="EP15" s="860"/>
      <c r="EQ15" s="860"/>
      <c r="ER15" s="860"/>
      <c r="ES15" s="860"/>
      <c r="ET15" s="860"/>
      <c r="EU15" s="860"/>
      <c r="EV15" s="860"/>
      <c r="EW15" s="860"/>
      <c r="EX15" s="860"/>
      <c r="EY15" s="860"/>
      <c r="EZ15" s="860"/>
      <c r="FA15" s="860"/>
      <c r="FB15" s="860"/>
      <c r="FC15" s="860"/>
      <c r="FD15" s="860"/>
      <c r="FE15" s="860"/>
      <c r="FF15" s="860"/>
      <c r="FG15" s="860"/>
      <c r="FH15" s="860"/>
      <c r="FI15" s="860"/>
      <c r="FJ15" s="860"/>
      <c r="FK15" s="860"/>
      <c r="FL15" s="860"/>
      <c r="FM15" s="860"/>
      <c r="FN15" s="860"/>
      <c r="FO15" s="860"/>
      <c r="FP15" s="860"/>
      <c r="FQ15" s="860"/>
      <c r="FR15" s="860"/>
      <c r="FS15" s="860"/>
      <c r="FT15" s="860"/>
      <c r="FU15" s="860"/>
      <c r="FV15" s="860"/>
      <c r="FW15" s="860"/>
      <c r="FX15" s="860"/>
      <c r="FY15" s="860"/>
      <c r="FZ15" s="860"/>
      <c r="GA15" s="860"/>
      <c r="GB15" s="860"/>
      <c r="GC15" s="860"/>
      <c r="GD15" s="860"/>
      <c r="GE15" s="860"/>
      <c r="GF15" s="860"/>
      <c r="GG15" s="860"/>
      <c r="GH15" s="860"/>
      <c r="GI15" s="860"/>
      <c r="GJ15" s="860"/>
      <c r="GK15" s="860"/>
      <c r="GL15" s="860"/>
      <c r="GM15" s="860"/>
      <c r="GN15" s="860"/>
      <c r="GO15" s="860"/>
      <c r="GP15" s="860"/>
      <c r="GQ15" s="860"/>
      <c r="GR15" s="860"/>
      <c r="GS15" s="860"/>
      <c r="GT15" s="860"/>
      <c r="GU15" s="860"/>
      <c r="GV15" s="860"/>
      <c r="GW15" s="860"/>
      <c r="GX15" s="860"/>
      <c r="GY15" s="860"/>
      <c r="GZ15" s="860"/>
      <c r="HA15" s="860"/>
      <c r="HB15" s="860"/>
      <c r="HC15" s="860"/>
      <c r="HD15" s="860"/>
      <c r="HE15" s="860"/>
      <c r="HF15" s="860"/>
      <c r="HG15" s="860"/>
      <c r="HH15" s="860"/>
      <c r="HI15" s="860"/>
      <c r="HJ15" s="860"/>
      <c r="HK15" s="860"/>
      <c r="HL15" s="860"/>
      <c r="HM15" s="860"/>
      <c r="HN15" s="860"/>
      <c r="HO15" s="860"/>
      <c r="HP15" s="860"/>
      <c r="HQ15" s="860"/>
      <c r="HR15" s="860"/>
      <c r="HS15" s="860"/>
      <c r="HT15" s="860"/>
      <c r="HU15" s="860"/>
      <c r="HV15" s="860"/>
      <c r="HW15" s="860"/>
      <c r="HX15" s="860"/>
      <c r="HY15" s="860"/>
      <c r="HZ15" s="860"/>
      <c r="IA15" s="860"/>
      <c r="IB15" s="860"/>
      <c r="IC15" s="860"/>
      <c r="ID15" s="860"/>
      <c r="IE15" s="860"/>
      <c r="IF15" s="860"/>
      <c r="IG15" s="860"/>
      <c r="IH15" s="860"/>
      <c r="II15" s="860"/>
      <c r="IJ15" s="860"/>
      <c r="IK15" s="860"/>
      <c r="IL15" s="860"/>
      <c r="IM15" s="860"/>
      <c r="IN15" s="860"/>
      <c r="IO15" s="860"/>
      <c r="IP15" s="860"/>
      <c r="IQ15" s="860"/>
      <c r="IR15" s="860"/>
      <c r="IS15" s="860"/>
      <c r="IT15" s="860"/>
      <c r="IU15" s="860"/>
      <c r="IV15" s="860"/>
    </row>
    <row r="16" spans="1:256" ht="24" customHeight="1">
      <c r="A16" s="865" t="s">
        <v>865</v>
      </c>
      <c r="B16" s="866"/>
      <c r="C16" s="866"/>
      <c r="D16" s="866"/>
      <c r="E16" s="866"/>
      <c r="F16" s="866"/>
      <c r="G16" s="866"/>
      <c r="H16" s="866">
        <f t="shared" si="0"/>
        <v>0</v>
      </c>
      <c r="I16" s="865"/>
      <c r="J16" s="870"/>
      <c r="K16" s="866"/>
      <c r="L16" s="871"/>
      <c r="M16" s="867"/>
      <c r="N16" s="867"/>
      <c r="O16" s="871"/>
      <c r="P16" s="868"/>
      <c r="Q16" s="860"/>
      <c r="R16" s="860"/>
      <c r="S16" s="860"/>
      <c r="T16" s="860"/>
      <c r="U16" s="860"/>
      <c r="V16" s="860"/>
      <c r="W16" s="860"/>
      <c r="X16" s="860"/>
      <c r="Y16" s="860"/>
      <c r="Z16" s="860"/>
      <c r="AA16" s="860"/>
      <c r="AB16" s="860"/>
      <c r="AC16" s="860"/>
      <c r="AD16" s="860"/>
      <c r="AE16" s="860"/>
      <c r="AF16" s="860"/>
      <c r="AG16" s="860"/>
      <c r="AH16" s="860"/>
      <c r="AI16" s="860"/>
      <c r="AJ16" s="860"/>
      <c r="AK16" s="860"/>
      <c r="AL16" s="860"/>
      <c r="AM16" s="860"/>
      <c r="AN16" s="860"/>
      <c r="AO16" s="860"/>
      <c r="AP16" s="860"/>
      <c r="AQ16" s="860"/>
      <c r="AR16" s="860"/>
      <c r="AS16" s="860"/>
      <c r="AT16" s="860"/>
      <c r="AU16" s="860"/>
      <c r="AV16" s="860"/>
      <c r="AW16" s="860"/>
      <c r="AX16" s="860"/>
      <c r="AY16" s="860"/>
      <c r="AZ16" s="860"/>
      <c r="BA16" s="860"/>
      <c r="BB16" s="860"/>
      <c r="BC16" s="860"/>
      <c r="BD16" s="860"/>
      <c r="BE16" s="860"/>
      <c r="BF16" s="860"/>
      <c r="BG16" s="860"/>
      <c r="BH16" s="860"/>
      <c r="BI16" s="860"/>
      <c r="BJ16" s="860"/>
      <c r="BK16" s="860"/>
      <c r="BL16" s="860"/>
      <c r="BM16" s="860"/>
      <c r="BN16" s="860"/>
      <c r="BO16" s="860"/>
      <c r="BP16" s="860"/>
      <c r="BQ16" s="860"/>
      <c r="BR16" s="860"/>
      <c r="BS16" s="860"/>
      <c r="BT16" s="860"/>
      <c r="BU16" s="860"/>
      <c r="BV16" s="860"/>
      <c r="BW16" s="860"/>
      <c r="BX16" s="860"/>
      <c r="BY16" s="860"/>
      <c r="BZ16" s="860"/>
      <c r="CA16" s="860"/>
      <c r="CB16" s="860"/>
      <c r="CC16" s="860"/>
      <c r="CD16" s="860"/>
      <c r="CE16" s="860"/>
      <c r="CF16" s="860"/>
      <c r="CG16" s="860"/>
      <c r="CH16" s="860"/>
      <c r="CI16" s="860"/>
      <c r="CJ16" s="860"/>
      <c r="CK16" s="860"/>
      <c r="CL16" s="860"/>
      <c r="CM16" s="860"/>
      <c r="CN16" s="860"/>
      <c r="CO16" s="860"/>
      <c r="CP16" s="860"/>
      <c r="CQ16" s="860"/>
      <c r="CR16" s="860"/>
      <c r="CS16" s="860"/>
      <c r="CT16" s="860"/>
      <c r="CU16" s="860"/>
      <c r="CV16" s="860"/>
      <c r="CW16" s="860"/>
      <c r="CX16" s="860"/>
      <c r="CY16" s="860"/>
      <c r="CZ16" s="860"/>
      <c r="DA16" s="860"/>
      <c r="DB16" s="860"/>
      <c r="DC16" s="860"/>
      <c r="DD16" s="860"/>
      <c r="DE16" s="860"/>
      <c r="DF16" s="860"/>
      <c r="DG16" s="860"/>
      <c r="DH16" s="860"/>
      <c r="DI16" s="860"/>
      <c r="DJ16" s="860"/>
      <c r="DK16" s="860"/>
      <c r="DL16" s="860"/>
      <c r="DM16" s="860"/>
      <c r="DN16" s="860"/>
      <c r="DO16" s="860"/>
      <c r="DP16" s="860"/>
      <c r="DQ16" s="860"/>
      <c r="DR16" s="860"/>
      <c r="DS16" s="860"/>
      <c r="DT16" s="860"/>
      <c r="DU16" s="860"/>
      <c r="DV16" s="860"/>
      <c r="DW16" s="860"/>
      <c r="DX16" s="860"/>
      <c r="DY16" s="860"/>
      <c r="DZ16" s="860"/>
      <c r="EA16" s="860"/>
      <c r="EB16" s="860"/>
      <c r="EC16" s="860"/>
      <c r="ED16" s="860"/>
      <c r="EE16" s="860"/>
      <c r="EF16" s="860"/>
      <c r="EG16" s="860"/>
      <c r="EH16" s="860"/>
      <c r="EI16" s="860"/>
      <c r="EJ16" s="860"/>
      <c r="EK16" s="860"/>
      <c r="EL16" s="860"/>
      <c r="EM16" s="860"/>
      <c r="EN16" s="860"/>
      <c r="EO16" s="860"/>
      <c r="EP16" s="860"/>
      <c r="EQ16" s="860"/>
      <c r="ER16" s="860"/>
      <c r="ES16" s="860"/>
      <c r="ET16" s="860"/>
      <c r="EU16" s="860"/>
      <c r="EV16" s="860"/>
      <c r="EW16" s="860"/>
      <c r="EX16" s="860"/>
      <c r="EY16" s="860"/>
      <c r="EZ16" s="860"/>
      <c r="FA16" s="860"/>
      <c r="FB16" s="860"/>
      <c r="FC16" s="860"/>
      <c r="FD16" s="860"/>
      <c r="FE16" s="860"/>
      <c r="FF16" s="860"/>
      <c r="FG16" s="860"/>
      <c r="FH16" s="860"/>
      <c r="FI16" s="860"/>
      <c r="FJ16" s="860"/>
      <c r="FK16" s="860"/>
      <c r="FL16" s="860"/>
      <c r="FM16" s="860"/>
      <c r="FN16" s="860"/>
      <c r="FO16" s="860"/>
      <c r="FP16" s="860"/>
      <c r="FQ16" s="860"/>
      <c r="FR16" s="860"/>
      <c r="FS16" s="860"/>
      <c r="FT16" s="860"/>
      <c r="FU16" s="860"/>
      <c r="FV16" s="860"/>
      <c r="FW16" s="860"/>
      <c r="FX16" s="860"/>
      <c r="FY16" s="860"/>
      <c r="FZ16" s="860"/>
      <c r="GA16" s="860"/>
      <c r="GB16" s="860"/>
      <c r="GC16" s="860"/>
      <c r="GD16" s="860"/>
      <c r="GE16" s="860"/>
      <c r="GF16" s="860"/>
      <c r="GG16" s="860"/>
      <c r="GH16" s="860"/>
      <c r="GI16" s="860"/>
      <c r="GJ16" s="860"/>
      <c r="GK16" s="860"/>
      <c r="GL16" s="860"/>
      <c r="GM16" s="860"/>
      <c r="GN16" s="860"/>
      <c r="GO16" s="860"/>
      <c r="GP16" s="860"/>
      <c r="GQ16" s="860"/>
      <c r="GR16" s="860"/>
      <c r="GS16" s="860"/>
      <c r="GT16" s="860"/>
      <c r="GU16" s="860"/>
      <c r="GV16" s="860"/>
      <c r="GW16" s="860"/>
      <c r="GX16" s="860"/>
      <c r="GY16" s="860"/>
      <c r="GZ16" s="860"/>
      <c r="HA16" s="860"/>
      <c r="HB16" s="860"/>
      <c r="HC16" s="860"/>
      <c r="HD16" s="860"/>
      <c r="HE16" s="860"/>
      <c r="HF16" s="860"/>
      <c r="HG16" s="860"/>
      <c r="HH16" s="860"/>
      <c r="HI16" s="860"/>
      <c r="HJ16" s="860"/>
      <c r="HK16" s="860"/>
      <c r="HL16" s="860"/>
      <c r="HM16" s="860"/>
      <c r="HN16" s="860"/>
      <c r="HO16" s="860"/>
      <c r="HP16" s="860"/>
      <c r="HQ16" s="860"/>
      <c r="HR16" s="860"/>
      <c r="HS16" s="860"/>
      <c r="HT16" s="860"/>
      <c r="HU16" s="860"/>
      <c r="HV16" s="860"/>
      <c r="HW16" s="860"/>
      <c r="HX16" s="860"/>
      <c r="HY16" s="860"/>
      <c r="HZ16" s="860"/>
      <c r="IA16" s="860"/>
      <c r="IB16" s="860"/>
      <c r="IC16" s="860"/>
      <c r="ID16" s="860"/>
      <c r="IE16" s="860"/>
      <c r="IF16" s="860"/>
      <c r="IG16" s="860"/>
      <c r="IH16" s="860"/>
      <c r="II16" s="860"/>
      <c r="IJ16" s="860"/>
      <c r="IK16" s="860"/>
      <c r="IL16" s="860"/>
      <c r="IM16" s="860"/>
      <c r="IN16" s="860"/>
      <c r="IO16" s="860"/>
      <c r="IP16" s="860"/>
      <c r="IQ16" s="860"/>
      <c r="IR16" s="860"/>
      <c r="IS16" s="860"/>
      <c r="IT16" s="860"/>
      <c r="IU16" s="860"/>
      <c r="IV16" s="860"/>
    </row>
    <row r="17" spans="1:256" ht="24" customHeight="1">
      <c r="A17" s="865" t="s">
        <v>211</v>
      </c>
      <c r="B17" s="866">
        <v>274808735</v>
      </c>
      <c r="C17" s="866"/>
      <c r="D17" s="866"/>
      <c r="E17" s="866"/>
      <c r="F17" s="866"/>
      <c r="G17" s="866"/>
      <c r="H17" s="866">
        <f t="shared" si="0"/>
        <v>274808735</v>
      </c>
      <c r="I17" s="865" t="s">
        <v>658</v>
      </c>
      <c r="J17" s="1258">
        <v>118836354</v>
      </c>
      <c r="K17" s="866"/>
      <c r="L17" s="872">
        <v>790211</v>
      </c>
      <c r="M17" s="867">
        <v>522344</v>
      </c>
      <c r="N17" s="867">
        <v>174226</v>
      </c>
      <c r="O17" s="872">
        <v>1030008</v>
      </c>
      <c r="P17" s="868">
        <f>SUM(J17:O17)</f>
        <v>121353143</v>
      </c>
      <c r="Q17" s="860"/>
      <c r="R17" s="860"/>
      <c r="S17" s="860"/>
      <c r="T17" s="860"/>
      <c r="U17" s="860"/>
      <c r="V17" s="860"/>
      <c r="W17" s="860"/>
      <c r="X17" s="860"/>
      <c r="Y17" s="860"/>
      <c r="Z17" s="860"/>
      <c r="AA17" s="860"/>
      <c r="AB17" s="860"/>
      <c r="AC17" s="860"/>
      <c r="AD17" s="860"/>
      <c r="AE17" s="860"/>
      <c r="AF17" s="860"/>
      <c r="AG17" s="860"/>
      <c r="AH17" s="860"/>
      <c r="AI17" s="860"/>
      <c r="AJ17" s="860"/>
      <c r="AK17" s="860"/>
      <c r="AL17" s="860"/>
      <c r="AM17" s="860"/>
      <c r="AN17" s="860"/>
      <c r="AO17" s="860"/>
      <c r="AP17" s="860"/>
      <c r="AQ17" s="860"/>
      <c r="AR17" s="860"/>
      <c r="AS17" s="860"/>
      <c r="AT17" s="860"/>
      <c r="AU17" s="860"/>
      <c r="AV17" s="860"/>
      <c r="AW17" s="860"/>
      <c r="AX17" s="860"/>
      <c r="AY17" s="860"/>
      <c r="AZ17" s="860"/>
      <c r="BA17" s="860"/>
      <c r="BB17" s="860"/>
      <c r="BC17" s="860"/>
      <c r="BD17" s="860"/>
      <c r="BE17" s="860"/>
      <c r="BF17" s="860"/>
      <c r="BG17" s="860"/>
      <c r="BH17" s="860"/>
      <c r="BI17" s="860"/>
      <c r="BJ17" s="860"/>
      <c r="BK17" s="860"/>
      <c r="BL17" s="860"/>
      <c r="BM17" s="860"/>
      <c r="BN17" s="860"/>
      <c r="BO17" s="860"/>
      <c r="BP17" s="860"/>
      <c r="BQ17" s="860"/>
      <c r="BR17" s="860"/>
      <c r="BS17" s="860"/>
      <c r="BT17" s="860"/>
      <c r="BU17" s="860"/>
      <c r="BV17" s="860"/>
      <c r="BW17" s="860"/>
      <c r="BX17" s="860"/>
      <c r="BY17" s="860"/>
      <c r="BZ17" s="860"/>
      <c r="CA17" s="860"/>
      <c r="CB17" s="860"/>
      <c r="CC17" s="860"/>
      <c r="CD17" s="860"/>
      <c r="CE17" s="860"/>
      <c r="CF17" s="860"/>
      <c r="CG17" s="860"/>
      <c r="CH17" s="860"/>
      <c r="CI17" s="860"/>
      <c r="CJ17" s="860"/>
      <c r="CK17" s="860"/>
      <c r="CL17" s="860"/>
      <c r="CM17" s="860"/>
      <c r="CN17" s="860"/>
      <c r="CO17" s="860"/>
      <c r="CP17" s="860"/>
      <c r="CQ17" s="860"/>
      <c r="CR17" s="860"/>
      <c r="CS17" s="860"/>
      <c r="CT17" s="860"/>
      <c r="CU17" s="860"/>
      <c r="CV17" s="860"/>
      <c r="CW17" s="860"/>
      <c r="CX17" s="860"/>
      <c r="CY17" s="860"/>
      <c r="CZ17" s="860"/>
      <c r="DA17" s="860"/>
      <c r="DB17" s="860"/>
      <c r="DC17" s="860"/>
      <c r="DD17" s="860"/>
      <c r="DE17" s="860"/>
      <c r="DF17" s="860"/>
      <c r="DG17" s="860"/>
      <c r="DH17" s="860"/>
      <c r="DI17" s="860"/>
      <c r="DJ17" s="860"/>
      <c r="DK17" s="860"/>
      <c r="DL17" s="860"/>
      <c r="DM17" s="860"/>
      <c r="DN17" s="860"/>
      <c r="DO17" s="860"/>
      <c r="DP17" s="860"/>
      <c r="DQ17" s="860"/>
      <c r="DR17" s="860"/>
      <c r="DS17" s="860"/>
      <c r="DT17" s="860"/>
      <c r="DU17" s="860"/>
      <c r="DV17" s="860"/>
      <c r="DW17" s="860"/>
      <c r="DX17" s="860"/>
      <c r="DY17" s="860"/>
      <c r="DZ17" s="860"/>
      <c r="EA17" s="860"/>
      <c r="EB17" s="860"/>
      <c r="EC17" s="860"/>
      <c r="ED17" s="860"/>
      <c r="EE17" s="860"/>
      <c r="EF17" s="860"/>
      <c r="EG17" s="860"/>
      <c r="EH17" s="860"/>
      <c r="EI17" s="860"/>
      <c r="EJ17" s="860"/>
      <c r="EK17" s="860"/>
      <c r="EL17" s="860"/>
      <c r="EM17" s="860"/>
      <c r="EN17" s="860"/>
      <c r="EO17" s="860"/>
      <c r="EP17" s="860"/>
      <c r="EQ17" s="860"/>
      <c r="ER17" s="860"/>
      <c r="ES17" s="860"/>
      <c r="ET17" s="860"/>
      <c r="EU17" s="860"/>
      <c r="EV17" s="860"/>
      <c r="EW17" s="860"/>
      <c r="EX17" s="860"/>
      <c r="EY17" s="860"/>
      <c r="EZ17" s="860"/>
      <c r="FA17" s="860"/>
      <c r="FB17" s="860"/>
      <c r="FC17" s="860"/>
      <c r="FD17" s="860"/>
      <c r="FE17" s="860"/>
      <c r="FF17" s="860"/>
      <c r="FG17" s="860"/>
      <c r="FH17" s="860"/>
      <c r="FI17" s="860"/>
      <c r="FJ17" s="860"/>
      <c r="FK17" s="860"/>
      <c r="FL17" s="860"/>
      <c r="FM17" s="860"/>
      <c r="FN17" s="860"/>
      <c r="FO17" s="860"/>
      <c r="FP17" s="860"/>
      <c r="FQ17" s="860"/>
      <c r="FR17" s="860"/>
      <c r="FS17" s="860"/>
      <c r="FT17" s="860"/>
      <c r="FU17" s="860"/>
      <c r="FV17" s="860"/>
      <c r="FW17" s="860"/>
      <c r="FX17" s="860"/>
      <c r="FY17" s="860"/>
      <c r="FZ17" s="860"/>
      <c r="GA17" s="860"/>
      <c r="GB17" s="860"/>
      <c r="GC17" s="860"/>
      <c r="GD17" s="860"/>
      <c r="GE17" s="860"/>
      <c r="GF17" s="860"/>
      <c r="GG17" s="860"/>
      <c r="GH17" s="860"/>
      <c r="GI17" s="860"/>
      <c r="GJ17" s="860"/>
      <c r="GK17" s="860"/>
      <c r="GL17" s="860"/>
      <c r="GM17" s="860"/>
      <c r="GN17" s="860"/>
      <c r="GO17" s="860"/>
      <c r="GP17" s="860"/>
      <c r="GQ17" s="860"/>
      <c r="GR17" s="860"/>
      <c r="GS17" s="860"/>
      <c r="GT17" s="860"/>
      <c r="GU17" s="860"/>
      <c r="GV17" s="860"/>
      <c r="GW17" s="860"/>
      <c r="GX17" s="860"/>
      <c r="GY17" s="860"/>
      <c r="GZ17" s="860"/>
      <c r="HA17" s="860"/>
      <c r="HB17" s="860"/>
      <c r="HC17" s="860"/>
      <c r="HD17" s="860"/>
      <c r="HE17" s="860"/>
      <c r="HF17" s="860"/>
      <c r="HG17" s="860"/>
      <c r="HH17" s="860"/>
      <c r="HI17" s="860"/>
      <c r="HJ17" s="860"/>
      <c r="HK17" s="860"/>
      <c r="HL17" s="860"/>
      <c r="HM17" s="860"/>
      <c r="HN17" s="860"/>
      <c r="HO17" s="860"/>
      <c r="HP17" s="860"/>
      <c r="HQ17" s="860"/>
      <c r="HR17" s="860"/>
      <c r="HS17" s="860"/>
      <c r="HT17" s="860"/>
      <c r="HU17" s="860"/>
      <c r="HV17" s="860"/>
      <c r="HW17" s="860"/>
      <c r="HX17" s="860"/>
      <c r="HY17" s="860"/>
      <c r="HZ17" s="860"/>
      <c r="IA17" s="860"/>
      <c r="IB17" s="860"/>
      <c r="IC17" s="860"/>
      <c r="ID17" s="860"/>
      <c r="IE17" s="860"/>
      <c r="IF17" s="860"/>
      <c r="IG17" s="860"/>
      <c r="IH17" s="860"/>
      <c r="II17" s="860"/>
      <c r="IJ17" s="860"/>
      <c r="IK17" s="860"/>
      <c r="IL17" s="860"/>
      <c r="IM17" s="860"/>
      <c r="IN17" s="860"/>
      <c r="IO17" s="860"/>
      <c r="IP17" s="860"/>
      <c r="IQ17" s="860"/>
      <c r="IR17" s="860"/>
      <c r="IS17" s="860"/>
      <c r="IT17" s="860"/>
      <c r="IU17" s="860"/>
      <c r="IV17" s="860"/>
    </row>
    <row r="18" spans="1:256" ht="16.5" customHeight="1">
      <c r="A18" s="873" t="s">
        <v>467</v>
      </c>
      <c r="B18" s="874">
        <f>SUM(B8:B17)</f>
        <v>544477811</v>
      </c>
      <c r="C18" s="874">
        <f>SUM(C8:C15)</f>
        <v>1592137</v>
      </c>
      <c r="D18" s="874">
        <f>SUM(D8:D15)</f>
        <v>82739689</v>
      </c>
      <c r="E18" s="874">
        <f>SUM(E8:E15)</f>
        <v>116364944</v>
      </c>
      <c r="F18" s="874">
        <f>SUM(F8:F15)</f>
        <v>14261708</v>
      </c>
      <c r="G18" s="874">
        <f>SUM(G8:G15)</f>
        <v>91484299</v>
      </c>
      <c r="H18" s="874">
        <f>SUM(H8+H9+H10+H11+H12+H13)+H15</f>
        <v>576111853</v>
      </c>
      <c r="I18" s="873" t="s">
        <v>467</v>
      </c>
      <c r="J18" s="874">
        <f aca="true" t="shared" si="2" ref="J18:O18">SUM(J8:J17)</f>
        <v>543496202</v>
      </c>
      <c r="K18" s="874">
        <f t="shared" si="2"/>
        <v>0</v>
      </c>
      <c r="L18" s="874">
        <f t="shared" si="2"/>
        <v>82739689</v>
      </c>
      <c r="M18" s="874">
        <f t="shared" si="2"/>
        <v>116364944</v>
      </c>
      <c r="N18" s="874">
        <f t="shared" si="2"/>
        <v>14261708</v>
      </c>
      <c r="O18" s="874">
        <f t="shared" si="2"/>
        <v>91484299</v>
      </c>
      <c r="P18" s="874">
        <f>SUM(P8+P11+P12+P13+P15+P17)</f>
        <v>576111853</v>
      </c>
      <c r="Q18" s="860"/>
      <c r="R18" s="860"/>
      <c r="S18" s="860"/>
      <c r="T18" s="860"/>
      <c r="U18" s="860"/>
      <c r="V18" s="860"/>
      <c r="W18" s="860"/>
      <c r="X18" s="860"/>
      <c r="Y18" s="860"/>
      <c r="Z18" s="860"/>
      <c r="AA18" s="860"/>
      <c r="AB18" s="860"/>
      <c r="AC18" s="860"/>
      <c r="AD18" s="860"/>
      <c r="AE18" s="860"/>
      <c r="AF18" s="860"/>
      <c r="AG18" s="860"/>
      <c r="AH18" s="860"/>
      <c r="AI18" s="860"/>
      <c r="AJ18" s="860"/>
      <c r="AK18" s="860"/>
      <c r="AL18" s="860"/>
      <c r="AM18" s="860"/>
      <c r="AN18" s="860"/>
      <c r="AO18" s="860"/>
      <c r="AP18" s="860"/>
      <c r="AQ18" s="860"/>
      <c r="AR18" s="860"/>
      <c r="AS18" s="860"/>
      <c r="AT18" s="860"/>
      <c r="AU18" s="860"/>
      <c r="AV18" s="860"/>
      <c r="AW18" s="860"/>
      <c r="AX18" s="860"/>
      <c r="AY18" s="860"/>
      <c r="AZ18" s="860"/>
      <c r="BA18" s="860"/>
      <c r="BB18" s="860"/>
      <c r="BC18" s="860"/>
      <c r="BD18" s="860"/>
      <c r="BE18" s="860"/>
      <c r="BF18" s="860"/>
      <c r="BG18" s="860"/>
      <c r="BH18" s="860"/>
      <c r="BI18" s="860"/>
      <c r="BJ18" s="860"/>
      <c r="BK18" s="860"/>
      <c r="BL18" s="860"/>
      <c r="BM18" s="860"/>
      <c r="BN18" s="860"/>
      <c r="BO18" s="860"/>
      <c r="BP18" s="860"/>
      <c r="BQ18" s="860"/>
      <c r="BR18" s="860"/>
      <c r="BS18" s="860"/>
      <c r="BT18" s="860"/>
      <c r="BU18" s="860"/>
      <c r="BV18" s="860"/>
      <c r="BW18" s="860"/>
      <c r="BX18" s="860"/>
      <c r="BY18" s="860"/>
      <c r="BZ18" s="860"/>
      <c r="CA18" s="860"/>
      <c r="CB18" s="860"/>
      <c r="CC18" s="860"/>
      <c r="CD18" s="860"/>
      <c r="CE18" s="860"/>
      <c r="CF18" s="860"/>
      <c r="CG18" s="860"/>
      <c r="CH18" s="860"/>
      <c r="CI18" s="860"/>
      <c r="CJ18" s="860"/>
      <c r="CK18" s="860"/>
      <c r="CL18" s="860"/>
      <c r="CM18" s="860"/>
      <c r="CN18" s="860"/>
      <c r="CO18" s="860"/>
      <c r="CP18" s="860"/>
      <c r="CQ18" s="860"/>
      <c r="CR18" s="860"/>
      <c r="CS18" s="860"/>
      <c r="CT18" s="860"/>
      <c r="CU18" s="860"/>
      <c r="CV18" s="860"/>
      <c r="CW18" s="860"/>
      <c r="CX18" s="860"/>
      <c r="CY18" s="860"/>
      <c r="CZ18" s="860"/>
      <c r="DA18" s="860"/>
      <c r="DB18" s="860"/>
      <c r="DC18" s="860"/>
      <c r="DD18" s="860"/>
      <c r="DE18" s="860"/>
      <c r="DF18" s="860"/>
      <c r="DG18" s="860"/>
      <c r="DH18" s="860"/>
      <c r="DI18" s="860"/>
      <c r="DJ18" s="860"/>
      <c r="DK18" s="860"/>
      <c r="DL18" s="860"/>
      <c r="DM18" s="860"/>
      <c r="DN18" s="860"/>
      <c r="DO18" s="860"/>
      <c r="DP18" s="860"/>
      <c r="DQ18" s="860"/>
      <c r="DR18" s="860"/>
      <c r="DS18" s="860"/>
      <c r="DT18" s="860"/>
      <c r="DU18" s="860"/>
      <c r="DV18" s="860"/>
      <c r="DW18" s="860"/>
      <c r="DX18" s="860"/>
      <c r="DY18" s="860"/>
      <c r="DZ18" s="860"/>
      <c r="EA18" s="860"/>
      <c r="EB18" s="860"/>
      <c r="EC18" s="860"/>
      <c r="ED18" s="860"/>
      <c r="EE18" s="860"/>
      <c r="EF18" s="860"/>
      <c r="EG18" s="860"/>
      <c r="EH18" s="860"/>
      <c r="EI18" s="860"/>
      <c r="EJ18" s="860"/>
      <c r="EK18" s="860"/>
      <c r="EL18" s="860"/>
      <c r="EM18" s="860"/>
      <c r="EN18" s="860"/>
      <c r="EO18" s="860"/>
      <c r="EP18" s="860"/>
      <c r="EQ18" s="860"/>
      <c r="ER18" s="860"/>
      <c r="ES18" s="860"/>
      <c r="ET18" s="860"/>
      <c r="EU18" s="860"/>
      <c r="EV18" s="860"/>
      <c r="EW18" s="860"/>
      <c r="EX18" s="860"/>
      <c r="EY18" s="860"/>
      <c r="EZ18" s="860"/>
      <c r="FA18" s="860"/>
      <c r="FB18" s="860"/>
      <c r="FC18" s="860"/>
      <c r="FD18" s="860"/>
      <c r="FE18" s="860"/>
      <c r="FF18" s="860"/>
      <c r="FG18" s="860"/>
      <c r="FH18" s="860"/>
      <c r="FI18" s="860"/>
      <c r="FJ18" s="860"/>
      <c r="FK18" s="860"/>
      <c r="FL18" s="860"/>
      <c r="FM18" s="860"/>
      <c r="FN18" s="860"/>
      <c r="FO18" s="860"/>
      <c r="FP18" s="860"/>
      <c r="FQ18" s="860"/>
      <c r="FR18" s="860"/>
      <c r="FS18" s="860"/>
      <c r="FT18" s="860"/>
      <c r="FU18" s="860"/>
      <c r="FV18" s="860"/>
      <c r="FW18" s="860"/>
      <c r="FX18" s="860"/>
      <c r="FY18" s="860"/>
      <c r="FZ18" s="860"/>
      <c r="GA18" s="860"/>
      <c r="GB18" s="860"/>
      <c r="GC18" s="860"/>
      <c r="GD18" s="860"/>
      <c r="GE18" s="860"/>
      <c r="GF18" s="860"/>
      <c r="GG18" s="860"/>
      <c r="GH18" s="860"/>
      <c r="GI18" s="860"/>
      <c r="GJ18" s="860"/>
      <c r="GK18" s="860"/>
      <c r="GL18" s="860"/>
      <c r="GM18" s="860"/>
      <c r="GN18" s="860"/>
      <c r="GO18" s="860"/>
      <c r="GP18" s="860"/>
      <c r="GQ18" s="860"/>
      <c r="GR18" s="860"/>
      <c r="GS18" s="860"/>
      <c r="GT18" s="860"/>
      <c r="GU18" s="860"/>
      <c r="GV18" s="860"/>
      <c r="GW18" s="860"/>
      <c r="GX18" s="860"/>
      <c r="GY18" s="860"/>
      <c r="GZ18" s="860"/>
      <c r="HA18" s="860"/>
      <c r="HB18" s="860"/>
      <c r="HC18" s="860"/>
      <c r="HD18" s="860"/>
      <c r="HE18" s="860"/>
      <c r="HF18" s="860"/>
      <c r="HG18" s="860"/>
      <c r="HH18" s="860"/>
      <c r="HI18" s="860"/>
      <c r="HJ18" s="860"/>
      <c r="HK18" s="860"/>
      <c r="HL18" s="860"/>
      <c r="HM18" s="860"/>
      <c r="HN18" s="860"/>
      <c r="HO18" s="860"/>
      <c r="HP18" s="860"/>
      <c r="HQ18" s="860"/>
      <c r="HR18" s="860"/>
      <c r="HS18" s="860"/>
      <c r="HT18" s="860"/>
      <c r="HU18" s="860"/>
      <c r="HV18" s="860"/>
      <c r="HW18" s="860"/>
      <c r="HX18" s="860"/>
      <c r="HY18" s="860"/>
      <c r="HZ18" s="860"/>
      <c r="IA18" s="860"/>
      <c r="IB18" s="860"/>
      <c r="IC18" s="860"/>
      <c r="ID18" s="860"/>
      <c r="IE18" s="860"/>
      <c r="IF18" s="860"/>
      <c r="IG18" s="860"/>
      <c r="IH18" s="860"/>
      <c r="II18" s="860"/>
      <c r="IJ18" s="860"/>
      <c r="IK18" s="860"/>
      <c r="IL18" s="860"/>
      <c r="IM18" s="860"/>
      <c r="IN18" s="860"/>
      <c r="IO18" s="860"/>
      <c r="IP18" s="860"/>
      <c r="IQ18" s="860"/>
      <c r="IR18" s="860"/>
      <c r="IS18" s="860"/>
      <c r="IT18" s="860"/>
      <c r="IU18" s="860"/>
      <c r="IV18" s="860"/>
    </row>
    <row r="19" spans="1:256" ht="16.5" customHeight="1">
      <c r="A19" s="1586"/>
      <c r="B19" s="1586"/>
      <c r="C19" s="1586"/>
      <c r="D19" s="1586"/>
      <c r="E19" s="1586"/>
      <c r="F19" s="1586"/>
      <c r="G19" s="1586"/>
      <c r="H19" s="1586"/>
      <c r="I19" s="1586"/>
      <c r="J19" s="1586"/>
      <c r="K19" s="1586"/>
      <c r="L19" s="1586"/>
      <c r="M19" s="1586"/>
      <c r="N19" s="1586"/>
      <c r="O19" s="1586"/>
      <c r="P19" s="1586"/>
      <c r="Q19" s="860"/>
      <c r="R19" s="860"/>
      <c r="S19" s="860"/>
      <c r="T19" s="860"/>
      <c r="U19" s="860"/>
      <c r="V19" s="860"/>
      <c r="W19" s="860"/>
      <c r="X19" s="860"/>
      <c r="Y19" s="860"/>
      <c r="Z19" s="860"/>
      <c r="AA19" s="860"/>
      <c r="AB19" s="860"/>
      <c r="AC19" s="860"/>
      <c r="AD19" s="860"/>
      <c r="AE19" s="860"/>
      <c r="AF19" s="860"/>
      <c r="AG19" s="860"/>
      <c r="AH19" s="860"/>
      <c r="AI19" s="860"/>
      <c r="AJ19" s="860"/>
      <c r="AK19" s="860"/>
      <c r="AL19" s="860"/>
      <c r="AM19" s="860"/>
      <c r="AN19" s="860"/>
      <c r="AO19" s="860"/>
      <c r="AP19" s="860"/>
      <c r="AQ19" s="860"/>
      <c r="AR19" s="860"/>
      <c r="AS19" s="860"/>
      <c r="AT19" s="860"/>
      <c r="AU19" s="860"/>
      <c r="AV19" s="860"/>
      <c r="AW19" s="860"/>
      <c r="AX19" s="860"/>
      <c r="AY19" s="860"/>
      <c r="AZ19" s="860"/>
      <c r="BA19" s="860"/>
      <c r="BB19" s="860"/>
      <c r="BC19" s="860"/>
      <c r="BD19" s="860"/>
      <c r="BE19" s="860"/>
      <c r="BF19" s="860"/>
      <c r="BG19" s="860"/>
      <c r="BH19" s="860"/>
      <c r="BI19" s="860"/>
      <c r="BJ19" s="860"/>
      <c r="BK19" s="860"/>
      <c r="BL19" s="860"/>
      <c r="BM19" s="860"/>
      <c r="BN19" s="860"/>
      <c r="BO19" s="860"/>
      <c r="BP19" s="860"/>
      <c r="BQ19" s="860"/>
      <c r="BR19" s="860"/>
      <c r="BS19" s="860"/>
      <c r="BT19" s="860"/>
      <c r="BU19" s="860"/>
      <c r="BV19" s="860"/>
      <c r="BW19" s="860"/>
      <c r="BX19" s="860"/>
      <c r="BY19" s="860"/>
      <c r="BZ19" s="860"/>
      <c r="CA19" s="860"/>
      <c r="CB19" s="860"/>
      <c r="CC19" s="860"/>
      <c r="CD19" s="860"/>
      <c r="CE19" s="860"/>
      <c r="CF19" s="860"/>
      <c r="CG19" s="860"/>
      <c r="CH19" s="860"/>
      <c r="CI19" s="860"/>
      <c r="CJ19" s="860"/>
      <c r="CK19" s="860"/>
      <c r="CL19" s="860"/>
      <c r="CM19" s="860"/>
      <c r="CN19" s="860"/>
      <c r="CO19" s="860"/>
      <c r="CP19" s="860"/>
      <c r="CQ19" s="860"/>
      <c r="CR19" s="860"/>
      <c r="CS19" s="860"/>
      <c r="CT19" s="860"/>
      <c r="CU19" s="860"/>
      <c r="CV19" s="860"/>
      <c r="CW19" s="860"/>
      <c r="CX19" s="860"/>
      <c r="CY19" s="860"/>
      <c r="CZ19" s="860"/>
      <c r="DA19" s="860"/>
      <c r="DB19" s="860"/>
      <c r="DC19" s="860"/>
      <c r="DD19" s="860"/>
      <c r="DE19" s="860"/>
      <c r="DF19" s="860"/>
      <c r="DG19" s="860"/>
      <c r="DH19" s="860"/>
      <c r="DI19" s="860"/>
      <c r="DJ19" s="860"/>
      <c r="DK19" s="860"/>
      <c r="DL19" s="860"/>
      <c r="DM19" s="860"/>
      <c r="DN19" s="860"/>
      <c r="DO19" s="860"/>
      <c r="DP19" s="860"/>
      <c r="DQ19" s="860"/>
      <c r="DR19" s="860"/>
      <c r="DS19" s="860"/>
      <c r="DT19" s="860"/>
      <c r="DU19" s="860"/>
      <c r="DV19" s="860"/>
      <c r="DW19" s="860"/>
      <c r="DX19" s="860"/>
      <c r="DY19" s="860"/>
      <c r="DZ19" s="860"/>
      <c r="EA19" s="860"/>
      <c r="EB19" s="860"/>
      <c r="EC19" s="860"/>
      <c r="ED19" s="860"/>
      <c r="EE19" s="860"/>
      <c r="EF19" s="860"/>
      <c r="EG19" s="860"/>
      <c r="EH19" s="860"/>
      <c r="EI19" s="860"/>
      <c r="EJ19" s="860"/>
      <c r="EK19" s="860"/>
      <c r="EL19" s="860"/>
      <c r="EM19" s="860"/>
      <c r="EN19" s="860"/>
      <c r="EO19" s="860"/>
      <c r="EP19" s="860"/>
      <c r="EQ19" s="860"/>
      <c r="ER19" s="860"/>
      <c r="ES19" s="860"/>
      <c r="ET19" s="860"/>
      <c r="EU19" s="860"/>
      <c r="EV19" s="860"/>
      <c r="EW19" s="860"/>
      <c r="EX19" s="860"/>
      <c r="EY19" s="860"/>
      <c r="EZ19" s="860"/>
      <c r="FA19" s="860"/>
      <c r="FB19" s="860"/>
      <c r="FC19" s="860"/>
      <c r="FD19" s="860"/>
      <c r="FE19" s="860"/>
      <c r="FF19" s="860"/>
      <c r="FG19" s="860"/>
      <c r="FH19" s="860"/>
      <c r="FI19" s="860"/>
      <c r="FJ19" s="860"/>
      <c r="FK19" s="860"/>
      <c r="FL19" s="860"/>
      <c r="FM19" s="860"/>
      <c r="FN19" s="860"/>
      <c r="FO19" s="860"/>
      <c r="FP19" s="860"/>
      <c r="FQ19" s="860"/>
      <c r="FR19" s="860"/>
      <c r="FS19" s="860"/>
      <c r="FT19" s="860"/>
      <c r="FU19" s="860"/>
      <c r="FV19" s="860"/>
      <c r="FW19" s="860"/>
      <c r="FX19" s="860"/>
      <c r="FY19" s="860"/>
      <c r="FZ19" s="860"/>
      <c r="GA19" s="860"/>
      <c r="GB19" s="860"/>
      <c r="GC19" s="860"/>
      <c r="GD19" s="860"/>
      <c r="GE19" s="860"/>
      <c r="GF19" s="860"/>
      <c r="GG19" s="860"/>
      <c r="GH19" s="860"/>
      <c r="GI19" s="860"/>
      <c r="GJ19" s="860"/>
      <c r="GK19" s="860"/>
      <c r="GL19" s="860"/>
      <c r="GM19" s="860"/>
      <c r="GN19" s="860"/>
      <c r="GO19" s="860"/>
      <c r="GP19" s="860"/>
      <c r="GQ19" s="860"/>
      <c r="GR19" s="860"/>
      <c r="GS19" s="860"/>
      <c r="GT19" s="860"/>
      <c r="GU19" s="860"/>
      <c r="GV19" s="860"/>
      <c r="GW19" s="860"/>
      <c r="GX19" s="860"/>
      <c r="GY19" s="860"/>
      <c r="GZ19" s="860"/>
      <c r="HA19" s="860"/>
      <c r="HB19" s="860"/>
      <c r="HC19" s="860"/>
      <c r="HD19" s="860"/>
      <c r="HE19" s="860"/>
      <c r="HF19" s="860"/>
      <c r="HG19" s="860"/>
      <c r="HH19" s="860"/>
      <c r="HI19" s="860"/>
      <c r="HJ19" s="860"/>
      <c r="HK19" s="860"/>
      <c r="HL19" s="860"/>
      <c r="HM19" s="860"/>
      <c r="HN19" s="860"/>
      <c r="HO19" s="860"/>
      <c r="HP19" s="860"/>
      <c r="HQ19" s="860"/>
      <c r="HR19" s="860"/>
      <c r="HS19" s="860"/>
      <c r="HT19" s="860"/>
      <c r="HU19" s="860"/>
      <c r="HV19" s="860"/>
      <c r="HW19" s="860"/>
      <c r="HX19" s="860"/>
      <c r="HY19" s="860"/>
      <c r="HZ19" s="860"/>
      <c r="IA19" s="860"/>
      <c r="IB19" s="860"/>
      <c r="IC19" s="860"/>
      <c r="ID19" s="860"/>
      <c r="IE19" s="860"/>
      <c r="IF19" s="860"/>
      <c r="IG19" s="860"/>
      <c r="IH19" s="860"/>
      <c r="II19" s="860"/>
      <c r="IJ19" s="860"/>
      <c r="IK19" s="860"/>
      <c r="IL19" s="860"/>
      <c r="IM19" s="860"/>
      <c r="IN19" s="860"/>
      <c r="IO19" s="860"/>
      <c r="IP19" s="860"/>
      <c r="IQ19" s="860"/>
      <c r="IR19" s="860"/>
      <c r="IS19" s="860"/>
      <c r="IT19" s="860"/>
      <c r="IU19" s="860"/>
      <c r="IV19" s="860"/>
    </row>
    <row r="20" spans="1:256" ht="16.5" customHeight="1">
      <c r="A20" s="862" t="s">
        <v>15</v>
      </c>
      <c r="B20" s="875"/>
      <c r="C20" s="875"/>
      <c r="D20" s="875"/>
      <c r="E20" s="875"/>
      <c r="F20" s="875"/>
      <c r="G20" s="875"/>
      <c r="H20" s="875"/>
      <c r="I20" s="862" t="s">
        <v>13</v>
      </c>
      <c r="J20" s="875"/>
      <c r="K20" s="875"/>
      <c r="L20" s="875"/>
      <c r="M20" s="875"/>
      <c r="N20" s="875"/>
      <c r="O20" s="875"/>
      <c r="P20" s="875"/>
      <c r="Q20" s="860"/>
      <c r="R20" s="860"/>
      <c r="S20" s="860"/>
      <c r="T20" s="860"/>
      <c r="U20" s="860"/>
      <c r="V20" s="860"/>
      <c r="W20" s="860"/>
      <c r="X20" s="860"/>
      <c r="Y20" s="860"/>
      <c r="Z20" s="860"/>
      <c r="AA20" s="860"/>
      <c r="AB20" s="860"/>
      <c r="AC20" s="860"/>
      <c r="AD20" s="860"/>
      <c r="AE20" s="860"/>
      <c r="AF20" s="860"/>
      <c r="AG20" s="860"/>
      <c r="AH20" s="860"/>
      <c r="AI20" s="860"/>
      <c r="AJ20" s="860"/>
      <c r="AK20" s="860"/>
      <c r="AL20" s="860"/>
      <c r="AM20" s="860"/>
      <c r="AN20" s="860"/>
      <c r="AO20" s="860"/>
      <c r="AP20" s="860"/>
      <c r="AQ20" s="860"/>
      <c r="AR20" s="860"/>
      <c r="AS20" s="860"/>
      <c r="AT20" s="860"/>
      <c r="AU20" s="860"/>
      <c r="AV20" s="860"/>
      <c r="AW20" s="860"/>
      <c r="AX20" s="860"/>
      <c r="AY20" s="860"/>
      <c r="AZ20" s="860"/>
      <c r="BA20" s="860"/>
      <c r="BB20" s="860"/>
      <c r="BC20" s="860"/>
      <c r="BD20" s="860"/>
      <c r="BE20" s="860"/>
      <c r="BF20" s="860"/>
      <c r="BG20" s="860"/>
      <c r="BH20" s="860"/>
      <c r="BI20" s="860"/>
      <c r="BJ20" s="860"/>
      <c r="BK20" s="860"/>
      <c r="BL20" s="860"/>
      <c r="BM20" s="860"/>
      <c r="BN20" s="860"/>
      <c r="BO20" s="860"/>
      <c r="BP20" s="860"/>
      <c r="BQ20" s="860"/>
      <c r="BR20" s="860"/>
      <c r="BS20" s="860"/>
      <c r="BT20" s="860"/>
      <c r="BU20" s="860"/>
      <c r="BV20" s="860"/>
      <c r="BW20" s="860"/>
      <c r="BX20" s="860"/>
      <c r="BY20" s="860"/>
      <c r="BZ20" s="860"/>
      <c r="CA20" s="860"/>
      <c r="CB20" s="860"/>
      <c r="CC20" s="860"/>
      <c r="CD20" s="860"/>
      <c r="CE20" s="860"/>
      <c r="CF20" s="860"/>
      <c r="CG20" s="860"/>
      <c r="CH20" s="860"/>
      <c r="CI20" s="860"/>
      <c r="CJ20" s="860"/>
      <c r="CK20" s="860"/>
      <c r="CL20" s="860"/>
      <c r="CM20" s="860"/>
      <c r="CN20" s="860"/>
      <c r="CO20" s="860"/>
      <c r="CP20" s="860"/>
      <c r="CQ20" s="860"/>
      <c r="CR20" s="860"/>
      <c r="CS20" s="860"/>
      <c r="CT20" s="860"/>
      <c r="CU20" s="860"/>
      <c r="CV20" s="860"/>
      <c r="CW20" s="860"/>
      <c r="CX20" s="860"/>
      <c r="CY20" s="860"/>
      <c r="CZ20" s="860"/>
      <c r="DA20" s="860"/>
      <c r="DB20" s="860"/>
      <c r="DC20" s="860"/>
      <c r="DD20" s="860"/>
      <c r="DE20" s="860"/>
      <c r="DF20" s="860"/>
      <c r="DG20" s="860"/>
      <c r="DH20" s="860"/>
      <c r="DI20" s="860"/>
      <c r="DJ20" s="860"/>
      <c r="DK20" s="860"/>
      <c r="DL20" s="860"/>
      <c r="DM20" s="860"/>
      <c r="DN20" s="860"/>
      <c r="DO20" s="860"/>
      <c r="DP20" s="860"/>
      <c r="DQ20" s="860"/>
      <c r="DR20" s="860"/>
      <c r="DS20" s="860"/>
      <c r="DT20" s="860"/>
      <c r="DU20" s="860"/>
      <c r="DV20" s="860"/>
      <c r="DW20" s="860"/>
      <c r="DX20" s="860"/>
      <c r="DY20" s="860"/>
      <c r="DZ20" s="860"/>
      <c r="EA20" s="860"/>
      <c r="EB20" s="860"/>
      <c r="EC20" s="860"/>
      <c r="ED20" s="860"/>
      <c r="EE20" s="860"/>
      <c r="EF20" s="860"/>
      <c r="EG20" s="860"/>
      <c r="EH20" s="860"/>
      <c r="EI20" s="860"/>
      <c r="EJ20" s="860"/>
      <c r="EK20" s="860"/>
      <c r="EL20" s="860"/>
      <c r="EM20" s="860"/>
      <c r="EN20" s="860"/>
      <c r="EO20" s="860"/>
      <c r="EP20" s="860"/>
      <c r="EQ20" s="860"/>
      <c r="ER20" s="860"/>
      <c r="ES20" s="860"/>
      <c r="ET20" s="860"/>
      <c r="EU20" s="860"/>
      <c r="EV20" s="860"/>
      <c r="EW20" s="860"/>
      <c r="EX20" s="860"/>
      <c r="EY20" s="860"/>
      <c r="EZ20" s="860"/>
      <c r="FA20" s="860"/>
      <c r="FB20" s="860"/>
      <c r="FC20" s="860"/>
      <c r="FD20" s="860"/>
      <c r="FE20" s="860"/>
      <c r="FF20" s="860"/>
      <c r="FG20" s="860"/>
      <c r="FH20" s="860"/>
      <c r="FI20" s="860"/>
      <c r="FJ20" s="860"/>
      <c r="FK20" s="860"/>
      <c r="FL20" s="860"/>
      <c r="FM20" s="860"/>
      <c r="FN20" s="860"/>
      <c r="FO20" s="860"/>
      <c r="FP20" s="860"/>
      <c r="FQ20" s="860"/>
      <c r="FR20" s="860"/>
      <c r="FS20" s="860"/>
      <c r="FT20" s="860"/>
      <c r="FU20" s="860"/>
      <c r="FV20" s="860"/>
      <c r="FW20" s="860"/>
      <c r="FX20" s="860"/>
      <c r="FY20" s="860"/>
      <c r="FZ20" s="860"/>
      <c r="GA20" s="860"/>
      <c r="GB20" s="860"/>
      <c r="GC20" s="860"/>
      <c r="GD20" s="860"/>
      <c r="GE20" s="860"/>
      <c r="GF20" s="860"/>
      <c r="GG20" s="860"/>
      <c r="GH20" s="860"/>
      <c r="GI20" s="860"/>
      <c r="GJ20" s="860"/>
      <c r="GK20" s="860"/>
      <c r="GL20" s="860"/>
      <c r="GM20" s="860"/>
      <c r="GN20" s="860"/>
      <c r="GO20" s="860"/>
      <c r="GP20" s="860"/>
      <c r="GQ20" s="860"/>
      <c r="GR20" s="860"/>
      <c r="GS20" s="860"/>
      <c r="GT20" s="860"/>
      <c r="GU20" s="860"/>
      <c r="GV20" s="860"/>
      <c r="GW20" s="860"/>
      <c r="GX20" s="860"/>
      <c r="GY20" s="860"/>
      <c r="GZ20" s="860"/>
      <c r="HA20" s="860"/>
      <c r="HB20" s="860"/>
      <c r="HC20" s="860"/>
      <c r="HD20" s="860"/>
      <c r="HE20" s="860"/>
      <c r="HF20" s="860"/>
      <c r="HG20" s="860"/>
      <c r="HH20" s="860"/>
      <c r="HI20" s="860"/>
      <c r="HJ20" s="860"/>
      <c r="HK20" s="860"/>
      <c r="HL20" s="860"/>
      <c r="HM20" s="860"/>
      <c r="HN20" s="860"/>
      <c r="HO20" s="860"/>
      <c r="HP20" s="860"/>
      <c r="HQ20" s="860"/>
      <c r="HR20" s="860"/>
      <c r="HS20" s="860"/>
      <c r="HT20" s="860"/>
      <c r="HU20" s="860"/>
      <c r="HV20" s="860"/>
      <c r="HW20" s="860"/>
      <c r="HX20" s="860"/>
      <c r="HY20" s="860"/>
      <c r="HZ20" s="860"/>
      <c r="IA20" s="860"/>
      <c r="IB20" s="860"/>
      <c r="IC20" s="860"/>
      <c r="ID20" s="860"/>
      <c r="IE20" s="860"/>
      <c r="IF20" s="860"/>
      <c r="IG20" s="860"/>
      <c r="IH20" s="860"/>
      <c r="II20" s="860"/>
      <c r="IJ20" s="860"/>
      <c r="IK20" s="860"/>
      <c r="IL20" s="860"/>
      <c r="IM20" s="860"/>
      <c r="IN20" s="860"/>
      <c r="IO20" s="860"/>
      <c r="IP20" s="860"/>
      <c r="IQ20" s="860"/>
      <c r="IR20" s="860"/>
      <c r="IS20" s="860"/>
      <c r="IT20" s="860"/>
      <c r="IU20" s="860"/>
      <c r="IV20" s="860"/>
    </row>
    <row r="21" spans="1:256" ht="29.25" customHeight="1">
      <c r="A21" s="865" t="s">
        <v>272</v>
      </c>
      <c r="B21" s="866">
        <v>46062104</v>
      </c>
      <c r="C21" s="866"/>
      <c r="D21" s="866">
        <v>211478</v>
      </c>
      <c r="E21" s="866">
        <v>817261</v>
      </c>
      <c r="F21" s="866">
        <v>63990</v>
      </c>
      <c r="G21" s="866">
        <v>1481017</v>
      </c>
      <c r="H21" s="866">
        <f aca="true" t="shared" si="3" ref="H21:H26">SUM(B21:G21)</f>
        <v>48635850</v>
      </c>
      <c r="I21" s="865" t="s">
        <v>168</v>
      </c>
      <c r="J21" s="866">
        <v>14182798</v>
      </c>
      <c r="K21" s="866"/>
      <c r="L21" s="866"/>
      <c r="M21" s="866"/>
      <c r="N21" s="866"/>
      <c r="O21" s="866"/>
      <c r="P21" s="876">
        <f aca="true" t="shared" si="4" ref="P21:P26">SUM(J21:O21)</f>
        <v>14182798</v>
      </c>
      <c r="Q21" s="860"/>
      <c r="R21" s="860"/>
      <c r="S21" s="860"/>
      <c r="T21" s="860"/>
      <c r="U21" s="860"/>
      <c r="V21" s="860"/>
      <c r="W21" s="860"/>
      <c r="X21" s="860"/>
      <c r="Y21" s="860"/>
      <c r="Z21" s="860"/>
      <c r="AA21" s="860"/>
      <c r="AB21" s="860"/>
      <c r="AC21" s="860"/>
      <c r="AD21" s="860"/>
      <c r="AE21" s="860"/>
      <c r="AF21" s="860"/>
      <c r="AG21" s="860"/>
      <c r="AH21" s="860"/>
      <c r="AI21" s="860"/>
      <c r="AJ21" s="860"/>
      <c r="AK21" s="860"/>
      <c r="AL21" s="860"/>
      <c r="AM21" s="860"/>
      <c r="AN21" s="860"/>
      <c r="AO21" s="860"/>
      <c r="AP21" s="860"/>
      <c r="AQ21" s="860"/>
      <c r="AR21" s="860"/>
      <c r="AS21" s="860"/>
      <c r="AT21" s="860"/>
      <c r="AU21" s="860"/>
      <c r="AV21" s="860"/>
      <c r="AW21" s="860"/>
      <c r="AX21" s="860"/>
      <c r="AY21" s="860"/>
      <c r="AZ21" s="860"/>
      <c r="BA21" s="860"/>
      <c r="BB21" s="860"/>
      <c r="BC21" s="860"/>
      <c r="BD21" s="860"/>
      <c r="BE21" s="860"/>
      <c r="BF21" s="860"/>
      <c r="BG21" s="860"/>
      <c r="BH21" s="860"/>
      <c r="BI21" s="860"/>
      <c r="BJ21" s="860"/>
      <c r="BK21" s="860"/>
      <c r="BL21" s="860"/>
      <c r="BM21" s="860"/>
      <c r="BN21" s="860"/>
      <c r="BO21" s="860"/>
      <c r="BP21" s="860"/>
      <c r="BQ21" s="860"/>
      <c r="BR21" s="860"/>
      <c r="BS21" s="860"/>
      <c r="BT21" s="860"/>
      <c r="BU21" s="860"/>
      <c r="BV21" s="860"/>
      <c r="BW21" s="860"/>
      <c r="BX21" s="860"/>
      <c r="BY21" s="860"/>
      <c r="BZ21" s="860"/>
      <c r="CA21" s="860"/>
      <c r="CB21" s="860"/>
      <c r="CC21" s="860"/>
      <c r="CD21" s="860"/>
      <c r="CE21" s="860"/>
      <c r="CF21" s="860"/>
      <c r="CG21" s="860"/>
      <c r="CH21" s="860"/>
      <c r="CI21" s="860"/>
      <c r="CJ21" s="860"/>
      <c r="CK21" s="860"/>
      <c r="CL21" s="860"/>
      <c r="CM21" s="860"/>
      <c r="CN21" s="860"/>
      <c r="CO21" s="860"/>
      <c r="CP21" s="860"/>
      <c r="CQ21" s="860"/>
      <c r="CR21" s="860"/>
      <c r="CS21" s="860"/>
      <c r="CT21" s="860"/>
      <c r="CU21" s="860"/>
      <c r="CV21" s="860"/>
      <c r="CW21" s="860"/>
      <c r="CX21" s="860"/>
      <c r="CY21" s="860"/>
      <c r="CZ21" s="860"/>
      <c r="DA21" s="860"/>
      <c r="DB21" s="860"/>
      <c r="DC21" s="860"/>
      <c r="DD21" s="860"/>
      <c r="DE21" s="860"/>
      <c r="DF21" s="860"/>
      <c r="DG21" s="860"/>
      <c r="DH21" s="860"/>
      <c r="DI21" s="860"/>
      <c r="DJ21" s="860"/>
      <c r="DK21" s="860"/>
      <c r="DL21" s="860"/>
      <c r="DM21" s="860"/>
      <c r="DN21" s="860"/>
      <c r="DO21" s="860"/>
      <c r="DP21" s="860"/>
      <c r="DQ21" s="860"/>
      <c r="DR21" s="860"/>
      <c r="DS21" s="860"/>
      <c r="DT21" s="860"/>
      <c r="DU21" s="860"/>
      <c r="DV21" s="860"/>
      <c r="DW21" s="860"/>
      <c r="DX21" s="860"/>
      <c r="DY21" s="860"/>
      <c r="DZ21" s="860"/>
      <c r="EA21" s="860"/>
      <c r="EB21" s="860"/>
      <c r="EC21" s="860"/>
      <c r="ED21" s="860"/>
      <c r="EE21" s="860"/>
      <c r="EF21" s="860"/>
      <c r="EG21" s="860"/>
      <c r="EH21" s="860"/>
      <c r="EI21" s="860"/>
      <c r="EJ21" s="860"/>
      <c r="EK21" s="860"/>
      <c r="EL21" s="860"/>
      <c r="EM21" s="860"/>
      <c r="EN21" s="860"/>
      <c r="EO21" s="860"/>
      <c r="EP21" s="860"/>
      <c r="EQ21" s="860"/>
      <c r="ER21" s="860"/>
      <c r="ES21" s="860"/>
      <c r="ET21" s="860"/>
      <c r="EU21" s="860"/>
      <c r="EV21" s="860"/>
      <c r="EW21" s="860"/>
      <c r="EX21" s="860"/>
      <c r="EY21" s="860"/>
      <c r="EZ21" s="860"/>
      <c r="FA21" s="860"/>
      <c r="FB21" s="860"/>
      <c r="FC21" s="860"/>
      <c r="FD21" s="860"/>
      <c r="FE21" s="860"/>
      <c r="FF21" s="860"/>
      <c r="FG21" s="860"/>
      <c r="FH21" s="860"/>
      <c r="FI21" s="860"/>
      <c r="FJ21" s="860"/>
      <c r="FK21" s="860"/>
      <c r="FL21" s="860"/>
      <c r="FM21" s="860"/>
      <c r="FN21" s="860"/>
      <c r="FO21" s="860"/>
      <c r="FP21" s="860"/>
      <c r="FQ21" s="860"/>
      <c r="FR21" s="860"/>
      <c r="FS21" s="860"/>
      <c r="FT21" s="860"/>
      <c r="FU21" s="860"/>
      <c r="FV21" s="860"/>
      <c r="FW21" s="860"/>
      <c r="FX21" s="860"/>
      <c r="FY21" s="860"/>
      <c r="FZ21" s="860"/>
      <c r="GA21" s="860"/>
      <c r="GB21" s="860"/>
      <c r="GC21" s="860"/>
      <c r="GD21" s="860"/>
      <c r="GE21" s="860"/>
      <c r="GF21" s="860"/>
      <c r="GG21" s="860"/>
      <c r="GH21" s="860"/>
      <c r="GI21" s="860"/>
      <c r="GJ21" s="860"/>
      <c r="GK21" s="860"/>
      <c r="GL21" s="860"/>
      <c r="GM21" s="860"/>
      <c r="GN21" s="860"/>
      <c r="GO21" s="860"/>
      <c r="GP21" s="860"/>
      <c r="GQ21" s="860"/>
      <c r="GR21" s="860"/>
      <c r="GS21" s="860"/>
      <c r="GT21" s="860"/>
      <c r="GU21" s="860"/>
      <c r="GV21" s="860"/>
      <c r="GW21" s="860"/>
      <c r="GX21" s="860"/>
      <c r="GY21" s="860"/>
      <c r="GZ21" s="860"/>
      <c r="HA21" s="860"/>
      <c r="HB21" s="860"/>
      <c r="HC21" s="860"/>
      <c r="HD21" s="860"/>
      <c r="HE21" s="860"/>
      <c r="HF21" s="860"/>
      <c r="HG21" s="860"/>
      <c r="HH21" s="860"/>
      <c r="HI21" s="860"/>
      <c r="HJ21" s="860"/>
      <c r="HK21" s="860"/>
      <c r="HL21" s="860"/>
      <c r="HM21" s="860"/>
      <c r="HN21" s="860"/>
      <c r="HO21" s="860"/>
      <c r="HP21" s="860"/>
      <c r="HQ21" s="860"/>
      <c r="HR21" s="860"/>
      <c r="HS21" s="860"/>
      <c r="HT21" s="860"/>
      <c r="HU21" s="860"/>
      <c r="HV21" s="860"/>
      <c r="HW21" s="860"/>
      <c r="HX21" s="860"/>
      <c r="HY21" s="860"/>
      <c r="HZ21" s="860"/>
      <c r="IA21" s="860"/>
      <c r="IB21" s="860"/>
      <c r="IC21" s="860"/>
      <c r="ID21" s="860"/>
      <c r="IE21" s="860"/>
      <c r="IF21" s="860"/>
      <c r="IG21" s="860"/>
      <c r="IH21" s="860"/>
      <c r="II21" s="860"/>
      <c r="IJ21" s="860"/>
      <c r="IK21" s="860"/>
      <c r="IL21" s="860"/>
      <c r="IM21" s="860"/>
      <c r="IN21" s="860"/>
      <c r="IO21" s="860"/>
      <c r="IP21" s="860"/>
      <c r="IQ21" s="860"/>
      <c r="IR21" s="860"/>
      <c r="IS21" s="860"/>
      <c r="IT21" s="860"/>
      <c r="IU21" s="860"/>
      <c r="IV21" s="860"/>
    </row>
    <row r="22" spans="1:256" ht="16.5" customHeight="1">
      <c r="A22" s="865" t="s">
        <v>444</v>
      </c>
      <c r="B22" s="866">
        <v>8744654</v>
      </c>
      <c r="C22" s="866"/>
      <c r="D22" s="867"/>
      <c r="E22" s="867"/>
      <c r="F22" s="867"/>
      <c r="G22" s="866"/>
      <c r="H22" s="866">
        <f t="shared" si="3"/>
        <v>8744654</v>
      </c>
      <c r="I22" s="865" t="s">
        <v>13</v>
      </c>
      <c r="J22" s="866">
        <v>15566246</v>
      </c>
      <c r="K22" s="866"/>
      <c r="L22" s="866"/>
      <c r="M22" s="866"/>
      <c r="N22" s="866"/>
      <c r="O22" s="866"/>
      <c r="P22" s="876">
        <f t="shared" si="4"/>
        <v>15566246</v>
      </c>
      <c r="Q22" s="860"/>
      <c r="R22" s="860"/>
      <c r="S22" s="860"/>
      <c r="T22" s="860"/>
      <c r="U22" s="860"/>
      <c r="V22" s="860"/>
      <c r="W22" s="860"/>
      <c r="X22" s="860"/>
      <c r="Y22" s="860"/>
      <c r="Z22" s="860"/>
      <c r="AA22" s="860"/>
      <c r="AB22" s="860"/>
      <c r="AC22" s="860"/>
      <c r="AD22" s="860"/>
      <c r="AE22" s="860"/>
      <c r="AF22" s="860"/>
      <c r="AG22" s="860"/>
      <c r="AH22" s="860"/>
      <c r="AI22" s="860"/>
      <c r="AJ22" s="860"/>
      <c r="AK22" s="860"/>
      <c r="AL22" s="860"/>
      <c r="AM22" s="860"/>
      <c r="AN22" s="860"/>
      <c r="AO22" s="860"/>
      <c r="AP22" s="860"/>
      <c r="AQ22" s="860"/>
      <c r="AR22" s="860"/>
      <c r="AS22" s="860"/>
      <c r="AT22" s="860"/>
      <c r="AU22" s="860"/>
      <c r="AV22" s="860"/>
      <c r="AW22" s="860"/>
      <c r="AX22" s="860"/>
      <c r="AY22" s="860"/>
      <c r="AZ22" s="860"/>
      <c r="BA22" s="860"/>
      <c r="BB22" s="860"/>
      <c r="BC22" s="860"/>
      <c r="BD22" s="860"/>
      <c r="BE22" s="860"/>
      <c r="BF22" s="860"/>
      <c r="BG22" s="860"/>
      <c r="BH22" s="860"/>
      <c r="BI22" s="860"/>
      <c r="BJ22" s="860"/>
      <c r="BK22" s="860"/>
      <c r="BL22" s="860"/>
      <c r="BM22" s="860"/>
      <c r="BN22" s="860"/>
      <c r="BO22" s="860"/>
      <c r="BP22" s="860"/>
      <c r="BQ22" s="860"/>
      <c r="BR22" s="860"/>
      <c r="BS22" s="860"/>
      <c r="BT22" s="860"/>
      <c r="BU22" s="860"/>
      <c r="BV22" s="860"/>
      <c r="BW22" s="860"/>
      <c r="BX22" s="860"/>
      <c r="BY22" s="860"/>
      <c r="BZ22" s="860"/>
      <c r="CA22" s="860"/>
      <c r="CB22" s="860"/>
      <c r="CC22" s="860"/>
      <c r="CD22" s="860"/>
      <c r="CE22" s="860"/>
      <c r="CF22" s="860"/>
      <c r="CG22" s="860"/>
      <c r="CH22" s="860"/>
      <c r="CI22" s="860"/>
      <c r="CJ22" s="860"/>
      <c r="CK22" s="860"/>
      <c r="CL22" s="860"/>
      <c r="CM22" s="860"/>
      <c r="CN22" s="860"/>
      <c r="CO22" s="860"/>
      <c r="CP22" s="860"/>
      <c r="CQ22" s="860"/>
      <c r="CR22" s="860"/>
      <c r="CS22" s="860"/>
      <c r="CT22" s="860"/>
      <c r="CU22" s="860"/>
      <c r="CV22" s="860"/>
      <c r="CW22" s="860"/>
      <c r="CX22" s="860"/>
      <c r="CY22" s="860"/>
      <c r="CZ22" s="860"/>
      <c r="DA22" s="860"/>
      <c r="DB22" s="860"/>
      <c r="DC22" s="860"/>
      <c r="DD22" s="860"/>
      <c r="DE22" s="860"/>
      <c r="DF22" s="860"/>
      <c r="DG22" s="860"/>
      <c r="DH22" s="860"/>
      <c r="DI22" s="860"/>
      <c r="DJ22" s="860"/>
      <c r="DK22" s="860"/>
      <c r="DL22" s="860"/>
      <c r="DM22" s="860"/>
      <c r="DN22" s="860"/>
      <c r="DO22" s="860"/>
      <c r="DP22" s="860"/>
      <c r="DQ22" s="860"/>
      <c r="DR22" s="860"/>
      <c r="DS22" s="860"/>
      <c r="DT22" s="860"/>
      <c r="DU22" s="860"/>
      <c r="DV22" s="860"/>
      <c r="DW22" s="860"/>
      <c r="DX22" s="860"/>
      <c r="DY22" s="860"/>
      <c r="DZ22" s="860"/>
      <c r="EA22" s="860"/>
      <c r="EB22" s="860"/>
      <c r="EC22" s="860"/>
      <c r="ED22" s="860"/>
      <c r="EE22" s="860"/>
      <c r="EF22" s="860"/>
      <c r="EG22" s="860"/>
      <c r="EH22" s="860"/>
      <c r="EI22" s="860"/>
      <c r="EJ22" s="860"/>
      <c r="EK22" s="860"/>
      <c r="EL22" s="860"/>
      <c r="EM22" s="860"/>
      <c r="EN22" s="860"/>
      <c r="EO22" s="860"/>
      <c r="EP22" s="860"/>
      <c r="EQ22" s="860"/>
      <c r="ER22" s="860"/>
      <c r="ES22" s="860"/>
      <c r="ET22" s="860"/>
      <c r="EU22" s="860"/>
      <c r="EV22" s="860"/>
      <c r="EW22" s="860"/>
      <c r="EX22" s="860"/>
      <c r="EY22" s="860"/>
      <c r="EZ22" s="860"/>
      <c r="FA22" s="860"/>
      <c r="FB22" s="860"/>
      <c r="FC22" s="860"/>
      <c r="FD22" s="860"/>
      <c r="FE22" s="860"/>
      <c r="FF22" s="860"/>
      <c r="FG22" s="860"/>
      <c r="FH22" s="860"/>
      <c r="FI22" s="860"/>
      <c r="FJ22" s="860"/>
      <c r="FK22" s="860"/>
      <c r="FL22" s="860"/>
      <c r="FM22" s="860"/>
      <c r="FN22" s="860"/>
      <c r="FO22" s="860"/>
      <c r="FP22" s="860"/>
      <c r="FQ22" s="860"/>
      <c r="FR22" s="860"/>
      <c r="FS22" s="860"/>
      <c r="FT22" s="860"/>
      <c r="FU22" s="860"/>
      <c r="FV22" s="860"/>
      <c r="FW22" s="860"/>
      <c r="FX22" s="860"/>
      <c r="FY22" s="860"/>
      <c r="FZ22" s="860"/>
      <c r="GA22" s="860"/>
      <c r="GB22" s="860"/>
      <c r="GC22" s="860"/>
      <c r="GD22" s="860"/>
      <c r="GE22" s="860"/>
      <c r="GF22" s="860"/>
      <c r="GG22" s="860"/>
      <c r="GH22" s="860"/>
      <c r="GI22" s="860"/>
      <c r="GJ22" s="860"/>
      <c r="GK22" s="860"/>
      <c r="GL22" s="860"/>
      <c r="GM22" s="860"/>
      <c r="GN22" s="860"/>
      <c r="GO22" s="860"/>
      <c r="GP22" s="860"/>
      <c r="GQ22" s="860"/>
      <c r="GR22" s="860"/>
      <c r="GS22" s="860"/>
      <c r="GT22" s="860"/>
      <c r="GU22" s="860"/>
      <c r="GV22" s="860"/>
      <c r="GW22" s="860"/>
      <c r="GX22" s="860"/>
      <c r="GY22" s="860"/>
      <c r="GZ22" s="860"/>
      <c r="HA22" s="860"/>
      <c r="HB22" s="860"/>
      <c r="HC22" s="860"/>
      <c r="HD22" s="860"/>
      <c r="HE22" s="860"/>
      <c r="HF22" s="860"/>
      <c r="HG22" s="860"/>
      <c r="HH22" s="860"/>
      <c r="HI22" s="860"/>
      <c r="HJ22" s="860"/>
      <c r="HK22" s="860"/>
      <c r="HL22" s="860"/>
      <c r="HM22" s="860"/>
      <c r="HN22" s="860"/>
      <c r="HO22" s="860"/>
      <c r="HP22" s="860"/>
      <c r="HQ22" s="860"/>
      <c r="HR22" s="860"/>
      <c r="HS22" s="860"/>
      <c r="HT22" s="860"/>
      <c r="HU22" s="860"/>
      <c r="HV22" s="860"/>
      <c r="HW22" s="860"/>
      <c r="HX22" s="860"/>
      <c r="HY22" s="860"/>
      <c r="HZ22" s="860"/>
      <c r="IA22" s="860"/>
      <c r="IB22" s="860"/>
      <c r="IC22" s="860"/>
      <c r="ID22" s="860"/>
      <c r="IE22" s="860"/>
      <c r="IF22" s="860"/>
      <c r="IG22" s="860"/>
      <c r="IH22" s="860"/>
      <c r="II22" s="860"/>
      <c r="IJ22" s="860"/>
      <c r="IK22" s="860"/>
      <c r="IL22" s="860"/>
      <c r="IM22" s="860"/>
      <c r="IN22" s="860"/>
      <c r="IO22" s="860"/>
      <c r="IP22" s="860"/>
      <c r="IQ22" s="860"/>
      <c r="IR22" s="860"/>
      <c r="IS22" s="860"/>
      <c r="IT22" s="860"/>
      <c r="IU22" s="860"/>
      <c r="IV22" s="860"/>
    </row>
    <row r="23" spans="1:256" ht="12.75">
      <c r="A23" s="865" t="s">
        <v>1179</v>
      </c>
      <c r="B23" s="866">
        <v>10729481</v>
      </c>
      <c r="C23" s="866"/>
      <c r="D23" s="866"/>
      <c r="E23" s="866"/>
      <c r="F23" s="866"/>
      <c r="G23" s="866"/>
      <c r="H23" s="866">
        <f t="shared" si="3"/>
        <v>10729481</v>
      </c>
      <c r="I23" s="865" t="s">
        <v>227</v>
      </c>
      <c r="J23" s="866">
        <v>3200000</v>
      </c>
      <c r="K23" s="866"/>
      <c r="L23" s="866"/>
      <c r="M23" s="866"/>
      <c r="N23" s="866"/>
      <c r="O23" s="866"/>
      <c r="P23" s="876">
        <f t="shared" si="4"/>
        <v>3200000</v>
      </c>
      <c r="Q23" s="860"/>
      <c r="R23" s="860"/>
      <c r="S23" s="860"/>
      <c r="T23" s="860"/>
      <c r="U23" s="860"/>
      <c r="V23" s="860"/>
      <c r="W23" s="860"/>
      <c r="X23" s="860"/>
      <c r="Y23" s="860"/>
      <c r="Z23" s="860"/>
      <c r="AA23" s="860"/>
      <c r="AB23" s="860"/>
      <c r="AC23" s="860"/>
      <c r="AD23" s="860"/>
      <c r="AE23" s="860"/>
      <c r="AF23" s="860"/>
      <c r="AG23" s="860"/>
      <c r="AH23" s="860"/>
      <c r="AI23" s="860"/>
      <c r="AJ23" s="860"/>
      <c r="AK23" s="860"/>
      <c r="AL23" s="860"/>
      <c r="AM23" s="860"/>
      <c r="AN23" s="860"/>
      <c r="AO23" s="860"/>
      <c r="AP23" s="860"/>
      <c r="AQ23" s="860"/>
      <c r="AR23" s="860"/>
      <c r="AS23" s="860"/>
      <c r="AT23" s="860"/>
      <c r="AU23" s="860"/>
      <c r="AV23" s="860"/>
      <c r="AW23" s="860"/>
      <c r="AX23" s="860"/>
      <c r="AY23" s="860"/>
      <c r="AZ23" s="860"/>
      <c r="BA23" s="860"/>
      <c r="BB23" s="860"/>
      <c r="BC23" s="860"/>
      <c r="BD23" s="860"/>
      <c r="BE23" s="860"/>
      <c r="BF23" s="860"/>
      <c r="BG23" s="860"/>
      <c r="BH23" s="860"/>
      <c r="BI23" s="860"/>
      <c r="BJ23" s="860"/>
      <c r="BK23" s="860"/>
      <c r="BL23" s="860"/>
      <c r="BM23" s="860"/>
      <c r="BN23" s="860"/>
      <c r="BO23" s="860"/>
      <c r="BP23" s="860"/>
      <c r="BQ23" s="860"/>
      <c r="BR23" s="860"/>
      <c r="BS23" s="860"/>
      <c r="BT23" s="860"/>
      <c r="BU23" s="860"/>
      <c r="BV23" s="860"/>
      <c r="BW23" s="860"/>
      <c r="BX23" s="860"/>
      <c r="BY23" s="860"/>
      <c r="BZ23" s="860"/>
      <c r="CA23" s="860"/>
      <c r="CB23" s="860"/>
      <c r="CC23" s="860"/>
      <c r="CD23" s="860"/>
      <c r="CE23" s="860"/>
      <c r="CF23" s="860"/>
      <c r="CG23" s="860"/>
      <c r="CH23" s="860"/>
      <c r="CI23" s="860"/>
      <c r="CJ23" s="860"/>
      <c r="CK23" s="860"/>
      <c r="CL23" s="860"/>
      <c r="CM23" s="860"/>
      <c r="CN23" s="860"/>
      <c r="CO23" s="860"/>
      <c r="CP23" s="860"/>
      <c r="CQ23" s="860"/>
      <c r="CR23" s="860"/>
      <c r="CS23" s="860"/>
      <c r="CT23" s="860"/>
      <c r="CU23" s="860"/>
      <c r="CV23" s="860"/>
      <c r="CW23" s="860"/>
      <c r="CX23" s="860"/>
      <c r="CY23" s="860"/>
      <c r="CZ23" s="860"/>
      <c r="DA23" s="860"/>
      <c r="DB23" s="860"/>
      <c r="DC23" s="860"/>
      <c r="DD23" s="860"/>
      <c r="DE23" s="860"/>
      <c r="DF23" s="860"/>
      <c r="DG23" s="860"/>
      <c r="DH23" s="860"/>
      <c r="DI23" s="860"/>
      <c r="DJ23" s="860"/>
      <c r="DK23" s="860"/>
      <c r="DL23" s="860"/>
      <c r="DM23" s="860"/>
      <c r="DN23" s="860"/>
      <c r="DO23" s="860"/>
      <c r="DP23" s="860"/>
      <c r="DQ23" s="860"/>
      <c r="DR23" s="860"/>
      <c r="DS23" s="860"/>
      <c r="DT23" s="860"/>
      <c r="DU23" s="860"/>
      <c r="DV23" s="860"/>
      <c r="DW23" s="860"/>
      <c r="DX23" s="860"/>
      <c r="DY23" s="860"/>
      <c r="DZ23" s="860"/>
      <c r="EA23" s="860"/>
      <c r="EB23" s="860"/>
      <c r="EC23" s="860"/>
      <c r="ED23" s="860"/>
      <c r="EE23" s="860"/>
      <c r="EF23" s="860"/>
      <c r="EG23" s="860"/>
      <c r="EH23" s="860"/>
      <c r="EI23" s="860"/>
      <c r="EJ23" s="860"/>
      <c r="EK23" s="860"/>
      <c r="EL23" s="860"/>
      <c r="EM23" s="860"/>
      <c r="EN23" s="860"/>
      <c r="EO23" s="860"/>
      <c r="EP23" s="860"/>
      <c r="EQ23" s="860"/>
      <c r="ER23" s="860"/>
      <c r="ES23" s="860"/>
      <c r="ET23" s="860"/>
      <c r="EU23" s="860"/>
      <c r="EV23" s="860"/>
      <c r="EW23" s="860"/>
      <c r="EX23" s="860"/>
      <c r="EY23" s="860"/>
      <c r="EZ23" s="860"/>
      <c r="FA23" s="860"/>
      <c r="FB23" s="860"/>
      <c r="FC23" s="860"/>
      <c r="FD23" s="860"/>
      <c r="FE23" s="860"/>
      <c r="FF23" s="860"/>
      <c r="FG23" s="860"/>
      <c r="FH23" s="860"/>
      <c r="FI23" s="860"/>
      <c r="FJ23" s="860"/>
      <c r="FK23" s="860"/>
      <c r="FL23" s="860"/>
      <c r="FM23" s="860"/>
      <c r="FN23" s="860"/>
      <c r="FO23" s="860"/>
      <c r="FP23" s="860"/>
      <c r="FQ23" s="860"/>
      <c r="FR23" s="860"/>
      <c r="FS23" s="860"/>
      <c r="FT23" s="860"/>
      <c r="FU23" s="860"/>
      <c r="FV23" s="860"/>
      <c r="FW23" s="860"/>
      <c r="FX23" s="860"/>
      <c r="FY23" s="860"/>
      <c r="FZ23" s="860"/>
      <c r="GA23" s="860"/>
      <c r="GB23" s="860"/>
      <c r="GC23" s="860"/>
      <c r="GD23" s="860"/>
      <c r="GE23" s="860"/>
      <c r="GF23" s="860"/>
      <c r="GG23" s="860"/>
      <c r="GH23" s="860"/>
      <c r="GI23" s="860"/>
      <c r="GJ23" s="860"/>
      <c r="GK23" s="860"/>
      <c r="GL23" s="860"/>
      <c r="GM23" s="860"/>
      <c r="GN23" s="860"/>
      <c r="GO23" s="860"/>
      <c r="GP23" s="860"/>
      <c r="GQ23" s="860"/>
      <c r="GR23" s="860"/>
      <c r="GS23" s="860"/>
      <c r="GT23" s="860"/>
      <c r="GU23" s="860"/>
      <c r="GV23" s="860"/>
      <c r="GW23" s="860"/>
      <c r="GX23" s="860"/>
      <c r="GY23" s="860"/>
      <c r="GZ23" s="860"/>
      <c r="HA23" s="860"/>
      <c r="HB23" s="860"/>
      <c r="HC23" s="860"/>
      <c r="HD23" s="860"/>
      <c r="HE23" s="860"/>
      <c r="HF23" s="860"/>
      <c r="HG23" s="860"/>
      <c r="HH23" s="860"/>
      <c r="HI23" s="860"/>
      <c r="HJ23" s="860"/>
      <c r="HK23" s="860"/>
      <c r="HL23" s="860"/>
      <c r="HM23" s="860"/>
      <c r="HN23" s="860"/>
      <c r="HO23" s="860"/>
      <c r="HP23" s="860"/>
      <c r="HQ23" s="860"/>
      <c r="HR23" s="860"/>
      <c r="HS23" s="860"/>
      <c r="HT23" s="860"/>
      <c r="HU23" s="860"/>
      <c r="HV23" s="860"/>
      <c r="HW23" s="860"/>
      <c r="HX23" s="860"/>
      <c r="HY23" s="860"/>
      <c r="HZ23" s="860"/>
      <c r="IA23" s="860"/>
      <c r="IB23" s="860"/>
      <c r="IC23" s="860"/>
      <c r="ID23" s="860"/>
      <c r="IE23" s="860"/>
      <c r="IF23" s="860"/>
      <c r="IG23" s="860"/>
      <c r="IH23" s="860"/>
      <c r="II23" s="860"/>
      <c r="IJ23" s="860"/>
      <c r="IK23" s="860"/>
      <c r="IL23" s="860"/>
      <c r="IM23" s="860"/>
      <c r="IN23" s="860"/>
      <c r="IO23" s="860"/>
      <c r="IP23" s="860"/>
      <c r="IQ23" s="860"/>
      <c r="IR23" s="860"/>
      <c r="IS23" s="860"/>
      <c r="IT23" s="860"/>
      <c r="IU23" s="860"/>
      <c r="IV23" s="860"/>
    </row>
    <row r="24" spans="1:256" ht="16.5" customHeight="1">
      <c r="A24" s="865" t="s">
        <v>16</v>
      </c>
      <c r="B24" s="869">
        <v>573101751</v>
      </c>
      <c r="C24" s="866"/>
      <c r="D24" s="866"/>
      <c r="E24" s="866"/>
      <c r="F24" s="866"/>
      <c r="G24" s="866"/>
      <c r="H24" s="866">
        <f t="shared" si="3"/>
        <v>573101751</v>
      </c>
      <c r="I24" s="865" t="s">
        <v>475</v>
      </c>
      <c r="J24" s="866"/>
      <c r="K24" s="866"/>
      <c r="L24" s="866">
        <v>211478</v>
      </c>
      <c r="M24" s="867">
        <v>817261</v>
      </c>
      <c r="N24" s="866">
        <v>63990</v>
      </c>
      <c r="O24" s="866">
        <v>1481017</v>
      </c>
      <c r="P24" s="876">
        <f t="shared" si="4"/>
        <v>2573746</v>
      </c>
      <c r="Q24" s="860"/>
      <c r="R24" s="860"/>
      <c r="S24" s="860"/>
      <c r="T24" s="860"/>
      <c r="U24" s="860"/>
      <c r="V24" s="860"/>
      <c r="W24" s="860"/>
      <c r="X24" s="860"/>
      <c r="Y24" s="860"/>
      <c r="Z24" s="860"/>
      <c r="AA24" s="860"/>
      <c r="AB24" s="860"/>
      <c r="AC24" s="860"/>
      <c r="AD24" s="860"/>
      <c r="AE24" s="860"/>
      <c r="AF24" s="860"/>
      <c r="AG24" s="860"/>
      <c r="AH24" s="860"/>
      <c r="AI24" s="860"/>
      <c r="AJ24" s="860"/>
      <c r="AK24" s="860"/>
      <c r="AL24" s="860"/>
      <c r="AM24" s="860"/>
      <c r="AN24" s="860"/>
      <c r="AO24" s="860"/>
      <c r="AP24" s="860"/>
      <c r="AQ24" s="860"/>
      <c r="AR24" s="860"/>
      <c r="AS24" s="860"/>
      <c r="AT24" s="860"/>
      <c r="AU24" s="860"/>
      <c r="AV24" s="860"/>
      <c r="AW24" s="860"/>
      <c r="AX24" s="860"/>
      <c r="AY24" s="860"/>
      <c r="AZ24" s="860"/>
      <c r="BA24" s="860"/>
      <c r="BB24" s="860"/>
      <c r="BC24" s="860"/>
      <c r="BD24" s="860"/>
      <c r="BE24" s="860"/>
      <c r="BF24" s="860"/>
      <c r="BG24" s="860"/>
      <c r="BH24" s="860"/>
      <c r="BI24" s="860"/>
      <c r="BJ24" s="860"/>
      <c r="BK24" s="860"/>
      <c r="BL24" s="860"/>
      <c r="BM24" s="860"/>
      <c r="BN24" s="860"/>
      <c r="BO24" s="860"/>
      <c r="BP24" s="860"/>
      <c r="BQ24" s="860"/>
      <c r="BR24" s="860"/>
      <c r="BS24" s="860"/>
      <c r="BT24" s="860"/>
      <c r="BU24" s="860"/>
      <c r="BV24" s="860"/>
      <c r="BW24" s="860"/>
      <c r="BX24" s="860"/>
      <c r="BY24" s="860"/>
      <c r="BZ24" s="860"/>
      <c r="CA24" s="860"/>
      <c r="CB24" s="860"/>
      <c r="CC24" s="860"/>
      <c r="CD24" s="860"/>
      <c r="CE24" s="860"/>
      <c r="CF24" s="860"/>
      <c r="CG24" s="860"/>
      <c r="CH24" s="860"/>
      <c r="CI24" s="860"/>
      <c r="CJ24" s="860"/>
      <c r="CK24" s="860"/>
      <c r="CL24" s="860"/>
      <c r="CM24" s="860"/>
      <c r="CN24" s="860"/>
      <c r="CO24" s="860"/>
      <c r="CP24" s="860"/>
      <c r="CQ24" s="860"/>
      <c r="CR24" s="860"/>
      <c r="CS24" s="860"/>
      <c r="CT24" s="860"/>
      <c r="CU24" s="860"/>
      <c r="CV24" s="860"/>
      <c r="CW24" s="860"/>
      <c r="CX24" s="860"/>
      <c r="CY24" s="860"/>
      <c r="CZ24" s="860"/>
      <c r="DA24" s="860"/>
      <c r="DB24" s="860"/>
      <c r="DC24" s="860"/>
      <c r="DD24" s="860"/>
      <c r="DE24" s="860"/>
      <c r="DF24" s="860"/>
      <c r="DG24" s="860"/>
      <c r="DH24" s="860"/>
      <c r="DI24" s="860"/>
      <c r="DJ24" s="860"/>
      <c r="DK24" s="860"/>
      <c r="DL24" s="860"/>
      <c r="DM24" s="860"/>
      <c r="DN24" s="860"/>
      <c r="DO24" s="860"/>
      <c r="DP24" s="860"/>
      <c r="DQ24" s="860"/>
      <c r="DR24" s="860"/>
      <c r="DS24" s="860"/>
      <c r="DT24" s="860"/>
      <c r="DU24" s="860"/>
      <c r="DV24" s="860"/>
      <c r="DW24" s="860"/>
      <c r="DX24" s="860"/>
      <c r="DY24" s="860"/>
      <c r="DZ24" s="860"/>
      <c r="EA24" s="860"/>
      <c r="EB24" s="860"/>
      <c r="EC24" s="860"/>
      <c r="ED24" s="860"/>
      <c r="EE24" s="860"/>
      <c r="EF24" s="860"/>
      <c r="EG24" s="860"/>
      <c r="EH24" s="860"/>
      <c r="EI24" s="860"/>
      <c r="EJ24" s="860"/>
      <c r="EK24" s="860"/>
      <c r="EL24" s="860"/>
      <c r="EM24" s="860"/>
      <c r="EN24" s="860"/>
      <c r="EO24" s="860"/>
      <c r="EP24" s="860"/>
      <c r="EQ24" s="860"/>
      <c r="ER24" s="860"/>
      <c r="ES24" s="860"/>
      <c r="ET24" s="860"/>
      <c r="EU24" s="860"/>
      <c r="EV24" s="860"/>
      <c r="EW24" s="860"/>
      <c r="EX24" s="860"/>
      <c r="EY24" s="860"/>
      <c r="EZ24" s="860"/>
      <c r="FA24" s="860"/>
      <c r="FB24" s="860"/>
      <c r="FC24" s="860"/>
      <c r="FD24" s="860"/>
      <c r="FE24" s="860"/>
      <c r="FF24" s="860"/>
      <c r="FG24" s="860"/>
      <c r="FH24" s="860"/>
      <c r="FI24" s="860"/>
      <c r="FJ24" s="860"/>
      <c r="FK24" s="860"/>
      <c r="FL24" s="860"/>
      <c r="FM24" s="860"/>
      <c r="FN24" s="860"/>
      <c r="FO24" s="860"/>
      <c r="FP24" s="860"/>
      <c r="FQ24" s="860"/>
      <c r="FR24" s="860"/>
      <c r="FS24" s="860"/>
      <c r="FT24" s="860"/>
      <c r="FU24" s="860"/>
      <c r="FV24" s="860"/>
      <c r="FW24" s="860"/>
      <c r="FX24" s="860"/>
      <c r="FY24" s="860"/>
      <c r="FZ24" s="860"/>
      <c r="GA24" s="860"/>
      <c r="GB24" s="860"/>
      <c r="GC24" s="860"/>
      <c r="GD24" s="860"/>
      <c r="GE24" s="860"/>
      <c r="GF24" s="860"/>
      <c r="GG24" s="860"/>
      <c r="GH24" s="860"/>
      <c r="GI24" s="860"/>
      <c r="GJ24" s="860"/>
      <c r="GK24" s="860"/>
      <c r="GL24" s="860"/>
      <c r="GM24" s="860"/>
      <c r="GN24" s="860"/>
      <c r="GO24" s="860"/>
      <c r="GP24" s="860"/>
      <c r="GQ24" s="860"/>
      <c r="GR24" s="860"/>
      <c r="GS24" s="860"/>
      <c r="GT24" s="860"/>
      <c r="GU24" s="860"/>
      <c r="GV24" s="860"/>
      <c r="GW24" s="860"/>
      <c r="GX24" s="860"/>
      <c r="GY24" s="860"/>
      <c r="GZ24" s="860"/>
      <c r="HA24" s="860"/>
      <c r="HB24" s="860"/>
      <c r="HC24" s="860"/>
      <c r="HD24" s="860"/>
      <c r="HE24" s="860"/>
      <c r="HF24" s="860"/>
      <c r="HG24" s="860"/>
      <c r="HH24" s="860"/>
      <c r="HI24" s="860"/>
      <c r="HJ24" s="860"/>
      <c r="HK24" s="860"/>
      <c r="HL24" s="860"/>
      <c r="HM24" s="860"/>
      <c r="HN24" s="860"/>
      <c r="HO24" s="860"/>
      <c r="HP24" s="860"/>
      <c r="HQ24" s="860"/>
      <c r="HR24" s="860"/>
      <c r="HS24" s="860"/>
      <c r="HT24" s="860"/>
      <c r="HU24" s="860"/>
      <c r="HV24" s="860"/>
      <c r="HW24" s="860"/>
      <c r="HX24" s="860"/>
      <c r="HY24" s="860"/>
      <c r="HZ24" s="860"/>
      <c r="IA24" s="860"/>
      <c r="IB24" s="860"/>
      <c r="IC24" s="860"/>
      <c r="ID24" s="860"/>
      <c r="IE24" s="860"/>
      <c r="IF24" s="860"/>
      <c r="IG24" s="860"/>
      <c r="IH24" s="860"/>
      <c r="II24" s="860"/>
      <c r="IJ24" s="860"/>
      <c r="IK24" s="860"/>
      <c r="IL24" s="860"/>
      <c r="IM24" s="860"/>
      <c r="IN24" s="860"/>
      <c r="IO24" s="860"/>
      <c r="IP24" s="860"/>
      <c r="IQ24" s="860"/>
      <c r="IR24" s="860"/>
      <c r="IS24" s="860"/>
      <c r="IT24" s="860"/>
      <c r="IU24" s="860"/>
      <c r="IV24" s="860"/>
    </row>
    <row r="25" spans="1:256" ht="16.5" customHeight="1">
      <c r="A25" s="865"/>
      <c r="B25" s="866"/>
      <c r="C25" s="866"/>
      <c r="D25" s="866"/>
      <c r="E25" s="866"/>
      <c r="F25" s="866"/>
      <c r="G25" s="866"/>
      <c r="H25" s="866">
        <f t="shared" si="3"/>
        <v>0</v>
      </c>
      <c r="I25" s="865" t="s">
        <v>476</v>
      </c>
      <c r="J25" s="866"/>
      <c r="K25" s="877"/>
      <c r="L25" s="877"/>
      <c r="M25" s="877"/>
      <c r="N25" s="877"/>
      <c r="O25" s="877"/>
      <c r="P25" s="876">
        <f t="shared" si="4"/>
        <v>0</v>
      </c>
      <c r="Q25" s="860"/>
      <c r="R25" s="860"/>
      <c r="S25" s="860"/>
      <c r="T25" s="860"/>
      <c r="U25" s="860"/>
      <c r="V25" s="860"/>
      <c r="W25" s="860"/>
      <c r="X25" s="860"/>
      <c r="Y25" s="860"/>
      <c r="Z25" s="860"/>
      <c r="AA25" s="860"/>
      <c r="AB25" s="860"/>
      <c r="AC25" s="860"/>
      <c r="AD25" s="860"/>
      <c r="AE25" s="860"/>
      <c r="AF25" s="860"/>
      <c r="AG25" s="860"/>
      <c r="AH25" s="860"/>
      <c r="AI25" s="860"/>
      <c r="AJ25" s="860"/>
      <c r="AK25" s="860"/>
      <c r="AL25" s="860"/>
      <c r="AM25" s="860"/>
      <c r="AN25" s="860"/>
      <c r="AO25" s="860"/>
      <c r="AP25" s="860"/>
      <c r="AQ25" s="860"/>
      <c r="AR25" s="860"/>
      <c r="AS25" s="860"/>
      <c r="AT25" s="860"/>
      <c r="AU25" s="860"/>
      <c r="AV25" s="860"/>
      <c r="AW25" s="860"/>
      <c r="AX25" s="860"/>
      <c r="AY25" s="860"/>
      <c r="AZ25" s="860"/>
      <c r="BA25" s="860"/>
      <c r="BB25" s="860"/>
      <c r="BC25" s="860"/>
      <c r="BD25" s="860"/>
      <c r="BE25" s="860"/>
      <c r="BF25" s="860"/>
      <c r="BG25" s="860"/>
      <c r="BH25" s="860"/>
      <c r="BI25" s="860"/>
      <c r="BJ25" s="860"/>
      <c r="BK25" s="860"/>
      <c r="BL25" s="860"/>
      <c r="BM25" s="860"/>
      <c r="BN25" s="860"/>
      <c r="BO25" s="860"/>
      <c r="BP25" s="860"/>
      <c r="BQ25" s="860"/>
      <c r="BR25" s="860"/>
      <c r="BS25" s="860"/>
      <c r="BT25" s="860"/>
      <c r="BU25" s="860"/>
      <c r="BV25" s="860"/>
      <c r="BW25" s="860"/>
      <c r="BX25" s="860"/>
      <c r="BY25" s="860"/>
      <c r="BZ25" s="860"/>
      <c r="CA25" s="860"/>
      <c r="CB25" s="860"/>
      <c r="CC25" s="860"/>
      <c r="CD25" s="860"/>
      <c r="CE25" s="860"/>
      <c r="CF25" s="860"/>
      <c r="CG25" s="860"/>
      <c r="CH25" s="860"/>
      <c r="CI25" s="860"/>
      <c r="CJ25" s="860"/>
      <c r="CK25" s="860"/>
      <c r="CL25" s="860"/>
      <c r="CM25" s="860"/>
      <c r="CN25" s="860"/>
      <c r="CO25" s="860"/>
      <c r="CP25" s="860"/>
      <c r="CQ25" s="860"/>
      <c r="CR25" s="860"/>
      <c r="CS25" s="860"/>
      <c r="CT25" s="860"/>
      <c r="CU25" s="860"/>
      <c r="CV25" s="860"/>
      <c r="CW25" s="860"/>
      <c r="CX25" s="860"/>
      <c r="CY25" s="860"/>
      <c r="CZ25" s="860"/>
      <c r="DA25" s="860"/>
      <c r="DB25" s="860"/>
      <c r="DC25" s="860"/>
      <c r="DD25" s="860"/>
      <c r="DE25" s="860"/>
      <c r="DF25" s="860"/>
      <c r="DG25" s="860"/>
      <c r="DH25" s="860"/>
      <c r="DI25" s="860"/>
      <c r="DJ25" s="860"/>
      <c r="DK25" s="860"/>
      <c r="DL25" s="860"/>
      <c r="DM25" s="860"/>
      <c r="DN25" s="860"/>
      <c r="DO25" s="860"/>
      <c r="DP25" s="860"/>
      <c r="DQ25" s="860"/>
      <c r="DR25" s="860"/>
      <c r="DS25" s="860"/>
      <c r="DT25" s="860"/>
      <c r="DU25" s="860"/>
      <c r="DV25" s="860"/>
      <c r="DW25" s="860"/>
      <c r="DX25" s="860"/>
      <c r="DY25" s="860"/>
      <c r="DZ25" s="860"/>
      <c r="EA25" s="860"/>
      <c r="EB25" s="860"/>
      <c r="EC25" s="860"/>
      <c r="ED25" s="860"/>
      <c r="EE25" s="860"/>
      <c r="EF25" s="860"/>
      <c r="EG25" s="860"/>
      <c r="EH25" s="860"/>
      <c r="EI25" s="860"/>
      <c r="EJ25" s="860"/>
      <c r="EK25" s="860"/>
      <c r="EL25" s="860"/>
      <c r="EM25" s="860"/>
      <c r="EN25" s="860"/>
      <c r="EO25" s="860"/>
      <c r="EP25" s="860"/>
      <c r="EQ25" s="860"/>
      <c r="ER25" s="860"/>
      <c r="ES25" s="860"/>
      <c r="ET25" s="860"/>
      <c r="EU25" s="860"/>
      <c r="EV25" s="860"/>
      <c r="EW25" s="860"/>
      <c r="EX25" s="860"/>
      <c r="EY25" s="860"/>
      <c r="EZ25" s="860"/>
      <c r="FA25" s="860"/>
      <c r="FB25" s="860"/>
      <c r="FC25" s="860"/>
      <c r="FD25" s="860"/>
      <c r="FE25" s="860"/>
      <c r="FF25" s="860"/>
      <c r="FG25" s="860"/>
      <c r="FH25" s="860"/>
      <c r="FI25" s="860"/>
      <c r="FJ25" s="860"/>
      <c r="FK25" s="860"/>
      <c r="FL25" s="860"/>
      <c r="FM25" s="860"/>
      <c r="FN25" s="860"/>
      <c r="FO25" s="860"/>
      <c r="FP25" s="860"/>
      <c r="FQ25" s="860"/>
      <c r="FR25" s="860"/>
      <c r="FS25" s="860"/>
      <c r="FT25" s="860"/>
      <c r="FU25" s="860"/>
      <c r="FV25" s="860"/>
      <c r="FW25" s="860"/>
      <c r="FX25" s="860"/>
      <c r="FY25" s="860"/>
      <c r="FZ25" s="860"/>
      <c r="GA25" s="860"/>
      <c r="GB25" s="860"/>
      <c r="GC25" s="860"/>
      <c r="GD25" s="860"/>
      <c r="GE25" s="860"/>
      <c r="GF25" s="860"/>
      <c r="GG25" s="860"/>
      <c r="GH25" s="860"/>
      <c r="GI25" s="860"/>
      <c r="GJ25" s="860"/>
      <c r="GK25" s="860"/>
      <c r="GL25" s="860"/>
      <c r="GM25" s="860"/>
      <c r="GN25" s="860"/>
      <c r="GO25" s="860"/>
      <c r="GP25" s="860"/>
      <c r="GQ25" s="860"/>
      <c r="GR25" s="860"/>
      <c r="GS25" s="860"/>
      <c r="GT25" s="860"/>
      <c r="GU25" s="860"/>
      <c r="GV25" s="860"/>
      <c r="GW25" s="860"/>
      <c r="GX25" s="860"/>
      <c r="GY25" s="860"/>
      <c r="GZ25" s="860"/>
      <c r="HA25" s="860"/>
      <c r="HB25" s="860"/>
      <c r="HC25" s="860"/>
      <c r="HD25" s="860"/>
      <c r="HE25" s="860"/>
      <c r="HF25" s="860"/>
      <c r="HG25" s="860"/>
      <c r="HH25" s="860"/>
      <c r="HI25" s="860"/>
      <c r="HJ25" s="860"/>
      <c r="HK25" s="860"/>
      <c r="HL25" s="860"/>
      <c r="HM25" s="860"/>
      <c r="HN25" s="860"/>
      <c r="HO25" s="860"/>
      <c r="HP25" s="860"/>
      <c r="HQ25" s="860"/>
      <c r="HR25" s="860"/>
      <c r="HS25" s="860"/>
      <c r="HT25" s="860"/>
      <c r="HU25" s="860"/>
      <c r="HV25" s="860"/>
      <c r="HW25" s="860"/>
      <c r="HX25" s="860"/>
      <c r="HY25" s="860"/>
      <c r="HZ25" s="860"/>
      <c r="IA25" s="860"/>
      <c r="IB25" s="860"/>
      <c r="IC25" s="860"/>
      <c r="ID25" s="860"/>
      <c r="IE25" s="860"/>
      <c r="IF25" s="860"/>
      <c r="IG25" s="860"/>
      <c r="IH25" s="860"/>
      <c r="II25" s="860"/>
      <c r="IJ25" s="860"/>
      <c r="IK25" s="860"/>
      <c r="IL25" s="860"/>
      <c r="IM25" s="860"/>
      <c r="IN25" s="860"/>
      <c r="IO25" s="860"/>
      <c r="IP25" s="860"/>
      <c r="IQ25" s="860"/>
      <c r="IR25" s="860"/>
      <c r="IS25" s="860"/>
      <c r="IT25" s="860"/>
      <c r="IU25" s="860"/>
      <c r="IV25" s="860"/>
    </row>
    <row r="26" spans="1:256" ht="16.5" customHeight="1">
      <c r="A26" s="865"/>
      <c r="B26" s="866"/>
      <c r="C26" s="866"/>
      <c r="D26" s="866"/>
      <c r="E26" s="866"/>
      <c r="F26" s="866"/>
      <c r="G26" s="866"/>
      <c r="H26" s="866">
        <f t="shared" si="3"/>
        <v>0</v>
      </c>
      <c r="I26" s="865" t="s">
        <v>469</v>
      </c>
      <c r="J26" s="866">
        <v>608262692</v>
      </c>
      <c r="K26" s="866"/>
      <c r="L26" s="866"/>
      <c r="M26" s="866"/>
      <c r="N26" s="866"/>
      <c r="O26" s="866"/>
      <c r="P26" s="876">
        <f t="shared" si="4"/>
        <v>608262692</v>
      </c>
      <c r="Q26" s="860"/>
      <c r="R26" s="860"/>
      <c r="S26" s="860"/>
      <c r="T26" s="860"/>
      <c r="U26" s="860"/>
      <c r="V26" s="860"/>
      <c r="W26" s="860"/>
      <c r="X26" s="860"/>
      <c r="Y26" s="860"/>
      <c r="Z26" s="860"/>
      <c r="AA26" s="860"/>
      <c r="AB26" s="860"/>
      <c r="AC26" s="860"/>
      <c r="AD26" s="860"/>
      <c r="AE26" s="860"/>
      <c r="AF26" s="860"/>
      <c r="AG26" s="860"/>
      <c r="AH26" s="860"/>
      <c r="AI26" s="860"/>
      <c r="AJ26" s="860"/>
      <c r="AK26" s="860"/>
      <c r="AL26" s="860"/>
      <c r="AM26" s="860"/>
      <c r="AN26" s="860"/>
      <c r="AO26" s="860"/>
      <c r="AP26" s="860"/>
      <c r="AQ26" s="860"/>
      <c r="AR26" s="860"/>
      <c r="AS26" s="860"/>
      <c r="AT26" s="860"/>
      <c r="AU26" s="860"/>
      <c r="AV26" s="860"/>
      <c r="AW26" s="860"/>
      <c r="AX26" s="860"/>
      <c r="AY26" s="860"/>
      <c r="AZ26" s="860"/>
      <c r="BA26" s="860"/>
      <c r="BB26" s="860"/>
      <c r="BC26" s="860"/>
      <c r="BD26" s="860"/>
      <c r="BE26" s="860"/>
      <c r="BF26" s="860"/>
      <c r="BG26" s="860"/>
      <c r="BH26" s="860"/>
      <c r="BI26" s="860"/>
      <c r="BJ26" s="860"/>
      <c r="BK26" s="860"/>
      <c r="BL26" s="860"/>
      <c r="BM26" s="860"/>
      <c r="BN26" s="860"/>
      <c r="BO26" s="860"/>
      <c r="BP26" s="860"/>
      <c r="BQ26" s="860"/>
      <c r="BR26" s="860"/>
      <c r="BS26" s="860"/>
      <c r="BT26" s="860"/>
      <c r="BU26" s="860"/>
      <c r="BV26" s="860"/>
      <c r="BW26" s="860"/>
      <c r="BX26" s="860"/>
      <c r="BY26" s="860"/>
      <c r="BZ26" s="860"/>
      <c r="CA26" s="860"/>
      <c r="CB26" s="860"/>
      <c r="CC26" s="860"/>
      <c r="CD26" s="860"/>
      <c r="CE26" s="860"/>
      <c r="CF26" s="860"/>
      <c r="CG26" s="860"/>
      <c r="CH26" s="860"/>
      <c r="CI26" s="860"/>
      <c r="CJ26" s="860"/>
      <c r="CK26" s="860"/>
      <c r="CL26" s="860"/>
      <c r="CM26" s="860"/>
      <c r="CN26" s="860"/>
      <c r="CO26" s="860"/>
      <c r="CP26" s="860"/>
      <c r="CQ26" s="860"/>
      <c r="CR26" s="860"/>
      <c r="CS26" s="860"/>
      <c r="CT26" s="860"/>
      <c r="CU26" s="860"/>
      <c r="CV26" s="860"/>
      <c r="CW26" s="860"/>
      <c r="CX26" s="860"/>
      <c r="CY26" s="860"/>
      <c r="CZ26" s="860"/>
      <c r="DA26" s="860"/>
      <c r="DB26" s="860"/>
      <c r="DC26" s="860"/>
      <c r="DD26" s="860"/>
      <c r="DE26" s="860"/>
      <c r="DF26" s="860"/>
      <c r="DG26" s="860"/>
      <c r="DH26" s="860"/>
      <c r="DI26" s="860"/>
      <c r="DJ26" s="860"/>
      <c r="DK26" s="860"/>
      <c r="DL26" s="860"/>
      <c r="DM26" s="860"/>
      <c r="DN26" s="860"/>
      <c r="DO26" s="860"/>
      <c r="DP26" s="860"/>
      <c r="DQ26" s="860"/>
      <c r="DR26" s="860"/>
      <c r="DS26" s="860"/>
      <c r="DT26" s="860"/>
      <c r="DU26" s="860"/>
      <c r="DV26" s="860"/>
      <c r="DW26" s="860"/>
      <c r="DX26" s="860"/>
      <c r="DY26" s="860"/>
      <c r="DZ26" s="860"/>
      <c r="EA26" s="860"/>
      <c r="EB26" s="860"/>
      <c r="EC26" s="860"/>
      <c r="ED26" s="860"/>
      <c r="EE26" s="860"/>
      <c r="EF26" s="860"/>
      <c r="EG26" s="860"/>
      <c r="EH26" s="860"/>
      <c r="EI26" s="860"/>
      <c r="EJ26" s="860"/>
      <c r="EK26" s="860"/>
      <c r="EL26" s="860"/>
      <c r="EM26" s="860"/>
      <c r="EN26" s="860"/>
      <c r="EO26" s="860"/>
      <c r="EP26" s="860"/>
      <c r="EQ26" s="860"/>
      <c r="ER26" s="860"/>
      <c r="ES26" s="860"/>
      <c r="ET26" s="860"/>
      <c r="EU26" s="860"/>
      <c r="EV26" s="860"/>
      <c r="EW26" s="860"/>
      <c r="EX26" s="860"/>
      <c r="EY26" s="860"/>
      <c r="EZ26" s="860"/>
      <c r="FA26" s="860"/>
      <c r="FB26" s="860"/>
      <c r="FC26" s="860"/>
      <c r="FD26" s="860"/>
      <c r="FE26" s="860"/>
      <c r="FF26" s="860"/>
      <c r="FG26" s="860"/>
      <c r="FH26" s="860"/>
      <c r="FI26" s="860"/>
      <c r="FJ26" s="860"/>
      <c r="FK26" s="860"/>
      <c r="FL26" s="860"/>
      <c r="FM26" s="860"/>
      <c r="FN26" s="860"/>
      <c r="FO26" s="860"/>
      <c r="FP26" s="860"/>
      <c r="FQ26" s="860"/>
      <c r="FR26" s="860"/>
      <c r="FS26" s="860"/>
      <c r="FT26" s="860"/>
      <c r="FU26" s="860"/>
      <c r="FV26" s="860"/>
      <c r="FW26" s="860"/>
      <c r="FX26" s="860"/>
      <c r="FY26" s="860"/>
      <c r="FZ26" s="860"/>
      <c r="GA26" s="860"/>
      <c r="GB26" s="860"/>
      <c r="GC26" s="860"/>
      <c r="GD26" s="860"/>
      <c r="GE26" s="860"/>
      <c r="GF26" s="860"/>
      <c r="GG26" s="860"/>
      <c r="GH26" s="860"/>
      <c r="GI26" s="860"/>
      <c r="GJ26" s="860"/>
      <c r="GK26" s="860"/>
      <c r="GL26" s="860"/>
      <c r="GM26" s="860"/>
      <c r="GN26" s="860"/>
      <c r="GO26" s="860"/>
      <c r="GP26" s="860"/>
      <c r="GQ26" s="860"/>
      <c r="GR26" s="860"/>
      <c r="GS26" s="860"/>
      <c r="GT26" s="860"/>
      <c r="GU26" s="860"/>
      <c r="GV26" s="860"/>
      <c r="GW26" s="860"/>
      <c r="GX26" s="860"/>
      <c r="GY26" s="860"/>
      <c r="GZ26" s="860"/>
      <c r="HA26" s="860"/>
      <c r="HB26" s="860"/>
      <c r="HC26" s="860"/>
      <c r="HD26" s="860"/>
      <c r="HE26" s="860"/>
      <c r="HF26" s="860"/>
      <c r="HG26" s="860"/>
      <c r="HH26" s="860"/>
      <c r="HI26" s="860"/>
      <c r="HJ26" s="860"/>
      <c r="HK26" s="860"/>
      <c r="HL26" s="860"/>
      <c r="HM26" s="860"/>
      <c r="HN26" s="860"/>
      <c r="HO26" s="860"/>
      <c r="HP26" s="860"/>
      <c r="HQ26" s="860"/>
      <c r="HR26" s="860"/>
      <c r="HS26" s="860"/>
      <c r="HT26" s="860"/>
      <c r="HU26" s="860"/>
      <c r="HV26" s="860"/>
      <c r="HW26" s="860"/>
      <c r="HX26" s="860"/>
      <c r="HY26" s="860"/>
      <c r="HZ26" s="860"/>
      <c r="IA26" s="860"/>
      <c r="IB26" s="860"/>
      <c r="IC26" s="860"/>
      <c r="ID26" s="860"/>
      <c r="IE26" s="860"/>
      <c r="IF26" s="860"/>
      <c r="IG26" s="860"/>
      <c r="IH26" s="860"/>
      <c r="II26" s="860"/>
      <c r="IJ26" s="860"/>
      <c r="IK26" s="860"/>
      <c r="IL26" s="860"/>
      <c r="IM26" s="860"/>
      <c r="IN26" s="860"/>
      <c r="IO26" s="860"/>
      <c r="IP26" s="860"/>
      <c r="IQ26" s="860"/>
      <c r="IR26" s="860"/>
      <c r="IS26" s="860"/>
      <c r="IT26" s="860"/>
      <c r="IU26" s="860"/>
      <c r="IV26" s="860"/>
    </row>
    <row r="27" spans="1:256" ht="16.5" customHeight="1">
      <c r="A27" s="873" t="s">
        <v>467</v>
      </c>
      <c r="B27" s="874">
        <f>SUM(B21:B26)</f>
        <v>638637990</v>
      </c>
      <c r="C27" s="874">
        <f aca="true" t="shared" si="5" ref="C27:H27">SUM(C21:C26)</f>
        <v>0</v>
      </c>
      <c r="D27" s="874">
        <f t="shared" si="5"/>
        <v>211478</v>
      </c>
      <c r="E27" s="874">
        <f t="shared" si="5"/>
        <v>817261</v>
      </c>
      <c r="F27" s="874">
        <f t="shared" si="5"/>
        <v>63990</v>
      </c>
      <c r="G27" s="874">
        <f t="shared" si="5"/>
        <v>1481017</v>
      </c>
      <c r="H27" s="874">
        <f t="shared" si="5"/>
        <v>641211736</v>
      </c>
      <c r="I27" s="873" t="s">
        <v>467</v>
      </c>
      <c r="J27" s="874">
        <f aca="true" t="shared" si="6" ref="J27:O27">SUM(J21:J26)</f>
        <v>641211736</v>
      </c>
      <c r="K27" s="874">
        <f t="shared" si="6"/>
        <v>0</v>
      </c>
      <c r="L27" s="874">
        <f t="shared" si="6"/>
        <v>211478</v>
      </c>
      <c r="M27" s="874">
        <f t="shared" si="6"/>
        <v>817261</v>
      </c>
      <c r="N27" s="874">
        <f t="shared" si="6"/>
        <v>63990</v>
      </c>
      <c r="O27" s="874">
        <f t="shared" si="6"/>
        <v>1481017</v>
      </c>
      <c r="P27" s="874">
        <f>SUM(P22+P26)+P21+P23</f>
        <v>641211736</v>
      </c>
      <c r="Q27" s="860"/>
      <c r="R27" s="860"/>
      <c r="S27" s="860"/>
      <c r="T27" s="860"/>
      <c r="U27" s="860"/>
      <c r="V27" s="860"/>
      <c r="W27" s="860"/>
      <c r="X27" s="860"/>
      <c r="Y27" s="860"/>
      <c r="Z27" s="860"/>
      <c r="AA27" s="860"/>
      <c r="AB27" s="860"/>
      <c r="AC27" s="860"/>
      <c r="AD27" s="860"/>
      <c r="AE27" s="860"/>
      <c r="AF27" s="860"/>
      <c r="AG27" s="860"/>
      <c r="AH27" s="860"/>
      <c r="AI27" s="860"/>
      <c r="AJ27" s="860"/>
      <c r="AK27" s="860"/>
      <c r="AL27" s="860"/>
      <c r="AM27" s="860"/>
      <c r="AN27" s="860"/>
      <c r="AO27" s="860"/>
      <c r="AP27" s="860"/>
      <c r="AQ27" s="860"/>
      <c r="AR27" s="860"/>
      <c r="AS27" s="860"/>
      <c r="AT27" s="860"/>
      <c r="AU27" s="860"/>
      <c r="AV27" s="860"/>
      <c r="AW27" s="860"/>
      <c r="AX27" s="860"/>
      <c r="AY27" s="860"/>
      <c r="AZ27" s="860"/>
      <c r="BA27" s="860"/>
      <c r="BB27" s="860"/>
      <c r="BC27" s="860"/>
      <c r="BD27" s="860"/>
      <c r="BE27" s="860"/>
      <c r="BF27" s="860"/>
      <c r="BG27" s="860"/>
      <c r="BH27" s="860"/>
      <c r="BI27" s="860"/>
      <c r="BJ27" s="860"/>
      <c r="BK27" s="860"/>
      <c r="BL27" s="860"/>
      <c r="BM27" s="860"/>
      <c r="BN27" s="860"/>
      <c r="BO27" s="860"/>
      <c r="BP27" s="860"/>
      <c r="BQ27" s="860"/>
      <c r="BR27" s="860"/>
      <c r="BS27" s="860"/>
      <c r="BT27" s="860"/>
      <c r="BU27" s="860"/>
      <c r="BV27" s="860"/>
      <c r="BW27" s="860"/>
      <c r="BX27" s="860"/>
      <c r="BY27" s="860"/>
      <c r="BZ27" s="860"/>
      <c r="CA27" s="860"/>
      <c r="CB27" s="860"/>
      <c r="CC27" s="860"/>
      <c r="CD27" s="860"/>
      <c r="CE27" s="860"/>
      <c r="CF27" s="860"/>
      <c r="CG27" s="860"/>
      <c r="CH27" s="860"/>
      <c r="CI27" s="860"/>
      <c r="CJ27" s="860"/>
      <c r="CK27" s="860"/>
      <c r="CL27" s="860"/>
      <c r="CM27" s="860"/>
      <c r="CN27" s="860"/>
      <c r="CO27" s="860"/>
      <c r="CP27" s="860"/>
      <c r="CQ27" s="860"/>
      <c r="CR27" s="860"/>
      <c r="CS27" s="860"/>
      <c r="CT27" s="860"/>
      <c r="CU27" s="860"/>
      <c r="CV27" s="860"/>
      <c r="CW27" s="860"/>
      <c r="CX27" s="860"/>
      <c r="CY27" s="860"/>
      <c r="CZ27" s="860"/>
      <c r="DA27" s="860"/>
      <c r="DB27" s="860"/>
      <c r="DC27" s="860"/>
      <c r="DD27" s="860"/>
      <c r="DE27" s="860"/>
      <c r="DF27" s="860"/>
      <c r="DG27" s="860"/>
      <c r="DH27" s="860"/>
      <c r="DI27" s="860"/>
      <c r="DJ27" s="860"/>
      <c r="DK27" s="860"/>
      <c r="DL27" s="860"/>
      <c r="DM27" s="860"/>
      <c r="DN27" s="860"/>
      <c r="DO27" s="860"/>
      <c r="DP27" s="860"/>
      <c r="DQ27" s="860"/>
      <c r="DR27" s="860"/>
      <c r="DS27" s="860"/>
      <c r="DT27" s="860"/>
      <c r="DU27" s="860"/>
      <c r="DV27" s="860"/>
      <c r="DW27" s="860"/>
      <c r="DX27" s="860"/>
      <c r="DY27" s="860"/>
      <c r="DZ27" s="860"/>
      <c r="EA27" s="860"/>
      <c r="EB27" s="860"/>
      <c r="EC27" s="860"/>
      <c r="ED27" s="860"/>
      <c r="EE27" s="860"/>
      <c r="EF27" s="860"/>
      <c r="EG27" s="860"/>
      <c r="EH27" s="860"/>
      <c r="EI27" s="860"/>
      <c r="EJ27" s="860"/>
      <c r="EK27" s="860"/>
      <c r="EL27" s="860"/>
      <c r="EM27" s="860"/>
      <c r="EN27" s="860"/>
      <c r="EO27" s="860"/>
      <c r="EP27" s="860"/>
      <c r="EQ27" s="860"/>
      <c r="ER27" s="860"/>
      <c r="ES27" s="860"/>
      <c r="ET27" s="860"/>
      <c r="EU27" s="860"/>
      <c r="EV27" s="860"/>
      <c r="EW27" s="860"/>
      <c r="EX27" s="860"/>
      <c r="EY27" s="860"/>
      <c r="EZ27" s="860"/>
      <c r="FA27" s="860"/>
      <c r="FB27" s="860"/>
      <c r="FC27" s="860"/>
      <c r="FD27" s="860"/>
      <c r="FE27" s="860"/>
      <c r="FF27" s="860"/>
      <c r="FG27" s="860"/>
      <c r="FH27" s="860"/>
      <c r="FI27" s="860"/>
      <c r="FJ27" s="860"/>
      <c r="FK27" s="860"/>
      <c r="FL27" s="860"/>
      <c r="FM27" s="860"/>
      <c r="FN27" s="860"/>
      <c r="FO27" s="860"/>
      <c r="FP27" s="860"/>
      <c r="FQ27" s="860"/>
      <c r="FR27" s="860"/>
      <c r="FS27" s="860"/>
      <c r="FT27" s="860"/>
      <c r="FU27" s="860"/>
      <c r="FV27" s="860"/>
      <c r="FW27" s="860"/>
      <c r="FX27" s="860"/>
      <c r="FY27" s="860"/>
      <c r="FZ27" s="860"/>
      <c r="GA27" s="860"/>
      <c r="GB27" s="860"/>
      <c r="GC27" s="860"/>
      <c r="GD27" s="860"/>
      <c r="GE27" s="860"/>
      <c r="GF27" s="860"/>
      <c r="GG27" s="860"/>
      <c r="GH27" s="860"/>
      <c r="GI27" s="860"/>
      <c r="GJ27" s="860"/>
      <c r="GK27" s="860"/>
      <c r="GL27" s="860"/>
      <c r="GM27" s="860"/>
      <c r="GN27" s="860"/>
      <c r="GO27" s="860"/>
      <c r="GP27" s="860"/>
      <c r="GQ27" s="860"/>
      <c r="GR27" s="860"/>
      <c r="GS27" s="860"/>
      <c r="GT27" s="860"/>
      <c r="GU27" s="860"/>
      <c r="GV27" s="860"/>
      <c r="GW27" s="860"/>
      <c r="GX27" s="860"/>
      <c r="GY27" s="860"/>
      <c r="GZ27" s="860"/>
      <c r="HA27" s="860"/>
      <c r="HB27" s="860"/>
      <c r="HC27" s="860"/>
      <c r="HD27" s="860"/>
      <c r="HE27" s="860"/>
      <c r="HF27" s="860"/>
      <c r="HG27" s="860"/>
      <c r="HH27" s="860"/>
      <c r="HI27" s="860"/>
      <c r="HJ27" s="860"/>
      <c r="HK27" s="860"/>
      <c r="HL27" s="860"/>
      <c r="HM27" s="860"/>
      <c r="HN27" s="860"/>
      <c r="HO27" s="860"/>
      <c r="HP27" s="860"/>
      <c r="HQ27" s="860"/>
      <c r="HR27" s="860"/>
      <c r="HS27" s="860"/>
      <c r="HT27" s="860"/>
      <c r="HU27" s="860"/>
      <c r="HV27" s="860"/>
      <c r="HW27" s="860"/>
      <c r="HX27" s="860"/>
      <c r="HY27" s="860"/>
      <c r="HZ27" s="860"/>
      <c r="IA27" s="860"/>
      <c r="IB27" s="860"/>
      <c r="IC27" s="860"/>
      <c r="ID27" s="860"/>
      <c r="IE27" s="860"/>
      <c r="IF27" s="860"/>
      <c r="IG27" s="860"/>
      <c r="IH27" s="860"/>
      <c r="II27" s="860"/>
      <c r="IJ27" s="860"/>
      <c r="IK27" s="860"/>
      <c r="IL27" s="860"/>
      <c r="IM27" s="860"/>
      <c r="IN27" s="860"/>
      <c r="IO27" s="860"/>
      <c r="IP27" s="860"/>
      <c r="IQ27" s="860"/>
      <c r="IR27" s="860"/>
      <c r="IS27" s="860"/>
      <c r="IT27" s="860"/>
      <c r="IU27" s="860"/>
      <c r="IV27" s="860"/>
    </row>
    <row r="28" spans="1:256" ht="16.5" customHeight="1">
      <c r="A28" s="862" t="s">
        <v>477</v>
      </c>
      <c r="B28" s="878">
        <f aca="true" t="shared" si="7" ref="B28:G28">SUM(B18+B27)</f>
        <v>1183115801</v>
      </c>
      <c r="C28" s="878">
        <f t="shared" si="7"/>
        <v>1592137</v>
      </c>
      <c r="D28" s="878">
        <f t="shared" si="7"/>
        <v>82951167</v>
      </c>
      <c r="E28" s="878">
        <f t="shared" si="7"/>
        <v>117182205</v>
      </c>
      <c r="F28" s="878">
        <f t="shared" si="7"/>
        <v>14325698</v>
      </c>
      <c r="G28" s="878">
        <f t="shared" si="7"/>
        <v>92965316</v>
      </c>
      <c r="H28" s="878">
        <f>SUM(H18+H27)</f>
        <v>1217323589</v>
      </c>
      <c r="I28" s="862" t="s">
        <v>478</v>
      </c>
      <c r="J28" s="878">
        <f aca="true" t="shared" si="8" ref="J28:O28">SUM(J18+J27)</f>
        <v>1184707938</v>
      </c>
      <c r="K28" s="878">
        <f t="shared" si="8"/>
        <v>0</v>
      </c>
      <c r="L28" s="878">
        <f t="shared" si="8"/>
        <v>82951167</v>
      </c>
      <c r="M28" s="878">
        <f t="shared" si="8"/>
        <v>117182205</v>
      </c>
      <c r="N28" s="878">
        <f t="shared" si="8"/>
        <v>14325698</v>
      </c>
      <c r="O28" s="878">
        <f t="shared" si="8"/>
        <v>92965316</v>
      </c>
      <c r="P28" s="878">
        <f>SUM(P18+P27)</f>
        <v>1217323589</v>
      </c>
      <c r="Q28" s="860"/>
      <c r="R28" s="860"/>
      <c r="S28" s="860"/>
      <c r="T28" s="860"/>
      <c r="U28" s="860"/>
      <c r="V28" s="860"/>
      <c r="W28" s="860"/>
      <c r="X28" s="860"/>
      <c r="Y28" s="860"/>
      <c r="Z28" s="860"/>
      <c r="AA28" s="860"/>
      <c r="AB28" s="860"/>
      <c r="AC28" s="860"/>
      <c r="AD28" s="860"/>
      <c r="AE28" s="860"/>
      <c r="AF28" s="860"/>
      <c r="AG28" s="860"/>
      <c r="AH28" s="860"/>
      <c r="AI28" s="860"/>
      <c r="AJ28" s="860"/>
      <c r="AK28" s="860"/>
      <c r="AL28" s="860"/>
      <c r="AM28" s="860"/>
      <c r="AN28" s="860"/>
      <c r="AO28" s="860"/>
      <c r="AP28" s="860"/>
      <c r="AQ28" s="860"/>
      <c r="AR28" s="860"/>
      <c r="AS28" s="860"/>
      <c r="AT28" s="860"/>
      <c r="AU28" s="860"/>
      <c r="AV28" s="860"/>
      <c r="AW28" s="860"/>
      <c r="AX28" s="860"/>
      <c r="AY28" s="860"/>
      <c r="AZ28" s="860"/>
      <c r="BA28" s="860"/>
      <c r="BB28" s="860"/>
      <c r="BC28" s="860"/>
      <c r="BD28" s="860"/>
      <c r="BE28" s="860"/>
      <c r="BF28" s="860"/>
      <c r="BG28" s="860"/>
      <c r="BH28" s="860"/>
      <c r="BI28" s="860"/>
      <c r="BJ28" s="860"/>
      <c r="BK28" s="860"/>
      <c r="BL28" s="860"/>
      <c r="BM28" s="860"/>
      <c r="BN28" s="860"/>
      <c r="BO28" s="860"/>
      <c r="BP28" s="860"/>
      <c r="BQ28" s="860"/>
      <c r="BR28" s="860"/>
      <c r="BS28" s="860"/>
      <c r="BT28" s="860"/>
      <c r="BU28" s="860"/>
      <c r="BV28" s="860"/>
      <c r="BW28" s="860"/>
      <c r="BX28" s="860"/>
      <c r="BY28" s="860"/>
      <c r="BZ28" s="860"/>
      <c r="CA28" s="860"/>
      <c r="CB28" s="860"/>
      <c r="CC28" s="860"/>
      <c r="CD28" s="860"/>
      <c r="CE28" s="860"/>
      <c r="CF28" s="860"/>
      <c r="CG28" s="860"/>
      <c r="CH28" s="860"/>
      <c r="CI28" s="860"/>
      <c r="CJ28" s="860"/>
      <c r="CK28" s="860"/>
      <c r="CL28" s="860"/>
      <c r="CM28" s="860"/>
      <c r="CN28" s="860"/>
      <c r="CO28" s="860"/>
      <c r="CP28" s="860"/>
      <c r="CQ28" s="860"/>
      <c r="CR28" s="860"/>
      <c r="CS28" s="860"/>
      <c r="CT28" s="860"/>
      <c r="CU28" s="860"/>
      <c r="CV28" s="860"/>
      <c r="CW28" s="860"/>
      <c r="CX28" s="860"/>
      <c r="CY28" s="860"/>
      <c r="CZ28" s="860"/>
      <c r="DA28" s="860"/>
      <c r="DB28" s="860"/>
      <c r="DC28" s="860"/>
      <c r="DD28" s="860"/>
      <c r="DE28" s="860"/>
      <c r="DF28" s="860"/>
      <c r="DG28" s="860"/>
      <c r="DH28" s="860"/>
      <c r="DI28" s="860"/>
      <c r="DJ28" s="860"/>
      <c r="DK28" s="860"/>
      <c r="DL28" s="860"/>
      <c r="DM28" s="860"/>
      <c r="DN28" s="860"/>
      <c r="DO28" s="860"/>
      <c r="DP28" s="860"/>
      <c r="DQ28" s="860"/>
      <c r="DR28" s="860"/>
      <c r="DS28" s="860"/>
      <c r="DT28" s="860"/>
      <c r="DU28" s="860"/>
      <c r="DV28" s="860"/>
      <c r="DW28" s="860"/>
      <c r="DX28" s="860"/>
      <c r="DY28" s="860"/>
      <c r="DZ28" s="860"/>
      <c r="EA28" s="860"/>
      <c r="EB28" s="860"/>
      <c r="EC28" s="860"/>
      <c r="ED28" s="860"/>
      <c r="EE28" s="860"/>
      <c r="EF28" s="860"/>
      <c r="EG28" s="860"/>
      <c r="EH28" s="860"/>
      <c r="EI28" s="860"/>
      <c r="EJ28" s="860"/>
      <c r="EK28" s="860"/>
      <c r="EL28" s="860"/>
      <c r="EM28" s="860"/>
      <c r="EN28" s="860"/>
      <c r="EO28" s="860"/>
      <c r="EP28" s="860"/>
      <c r="EQ28" s="860"/>
      <c r="ER28" s="860"/>
      <c r="ES28" s="860"/>
      <c r="ET28" s="860"/>
      <c r="EU28" s="860"/>
      <c r="EV28" s="860"/>
      <c r="EW28" s="860"/>
      <c r="EX28" s="860"/>
      <c r="EY28" s="860"/>
      <c r="EZ28" s="860"/>
      <c r="FA28" s="860"/>
      <c r="FB28" s="860"/>
      <c r="FC28" s="860"/>
      <c r="FD28" s="860"/>
      <c r="FE28" s="860"/>
      <c r="FF28" s="860"/>
      <c r="FG28" s="860"/>
      <c r="FH28" s="860"/>
      <c r="FI28" s="860"/>
      <c r="FJ28" s="860"/>
      <c r="FK28" s="860"/>
      <c r="FL28" s="860"/>
      <c r="FM28" s="860"/>
      <c r="FN28" s="860"/>
      <c r="FO28" s="860"/>
      <c r="FP28" s="860"/>
      <c r="FQ28" s="860"/>
      <c r="FR28" s="860"/>
      <c r="FS28" s="860"/>
      <c r="FT28" s="860"/>
      <c r="FU28" s="860"/>
      <c r="FV28" s="860"/>
      <c r="FW28" s="860"/>
      <c r="FX28" s="860"/>
      <c r="FY28" s="860"/>
      <c r="FZ28" s="860"/>
      <c r="GA28" s="860"/>
      <c r="GB28" s="860"/>
      <c r="GC28" s="860"/>
      <c r="GD28" s="860"/>
      <c r="GE28" s="860"/>
      <c r="GF28" s="860"/>
      <c r="GG28" s="860"/>
      <c r="GH28" s="860"/>
      <c r="GI28" s="860"/>
      <c r="GJ28" s="860"/>
      <c r="GK28" s="860"/>
      <c r="GL28" s="860"/>
      <c r="GM28" s="860"/>
      <c r="GN28" s="860"/>
      <c r="GO28" s="860"/>
      <c r="GP28" s="860"/>
      <c r="GQ28" s="860"/>
      <c r="GR28" s="860"/>
      <c r="GS28" s="860"/>
      <c r="GT28" s="860"/>
      <c r="GU28" s="860"/>
      <c r="GV28" s="860"/>
      <c r="GW28" s="860"/>
      <c r="GX28" s="860"/>
      <c r="GY28" s="860"/>
      <c r="GZ28" s="860"/>
      <c r="HA28" s="860"/>
      <c r="HB28" s="860"/>
      <c r="HC28" s="860"/>
      <c r="HD28" s="860"/>
      <c r="HE28" s="860"/>
      <c r="HF28" s="860"/>
      <c r="HG28" s="860"/>
      <c r="HH28" s="860"/>
      <c r="HI28" s="860"/>
      <c r="HJ28" s="860"/>
      <c r="HK28" s="860"/>
      <c r="HL28" s="860"/>
      <c r="HM28" s="860"/>
      <c r="HN28" s="860"/>
      <c r="HO28" s="860"/>
      <c r="HP28" s="860"/>
      <c r="HQ28" s="860"/>
      <c r="HR28" s="860"/>
      <c r="HS28" s="860"/>
      <c r="HT28" s="860"/>
      <c r="HU28" s="860"/>
      <c r="HV28" s="860"/>
      <c r="HW28" s="860"/>
      <c r="HX28" s="860"/>
      <c r="HY28" s="860"/>
      <c r="HZ28" s="860"/>
      <c r="IA28" s="860"/>
      <c r="IB28" s="860"/>
      <c r="IC28" s="860"/>
      <c r="ID28" s="860"/>
      <c r="IE28" s="860"/>
      <c r="IF28" s="860"/>
      <c r="IG28" s="860"/>
      <c r="IH28" s="860"/>
      <c r="II28" s="860"/>
      <c r="IJ28" s="860"/>
      <c r="IK28" s="860"/>
      <c r="IL28" s="860"/>
      <c r="IM28" s="860"/>
      <c r="IN28" s="860"/>
      <c r="IO28" s="860"/>
      <c r="IP28" s="860"/>
      <c r="IQ28" s="860"/>
      <c r="IR28" s="860"/>
      <c r="IS28" s="860"/>
      <c r="IT28" s="860"/>
      <c r="IU28" s="860"/>
      <c r="IV28" s="860"/>
    </row>
    <row r="29" ht="18" customHeight="1"/>
    <row r="30" ht="20.25" customHeight="1"/>
    <row r="31" ht="20.25" customHeight="1"/>
    <row r="32" ht="20.25" customHeight="1"/>
    <row r="33" ht="20.25" customHeight="1"/>
  </sheetData>
  <sheetProtection selectLockedCells="1" selectUnlockedCells="1"/>
  <mergeCells count="9">
    <mergeCell ref="A19:H19"/>
    <mergeCell ref="I19:P19"/>
    <mergeCell ref="A1:D1"/>
    <mergeCell ref="I1:P1"/>
    <mergeCell ref="A2:P2"/>
    <mergeCell ref="A4:P4"/>
    <mergeCell ref="G6:H6"/>
    <mergeCell ref="N6:P6"/>
    <mergeCell ref="G3:I3"/>
  </mergeCells>
  <printOptions/>
  <pageMargins left="0.25" right="0.25" top="0.75" bottom="0.75" header="0.3" footer="0.3"/>
  <pageSetup fitToHeight="1" fitToWidth="1" horizontalDpi="600" verticalDpi="600" orientation="landscape" paperSize="9" scale="58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V19"/>
  <sheetViews>
    <sheetView showGridLines="0" view="pageBreakPreview" zoomScale="110" zoomScaleSheetLayoutView="110" zoomScalePageLayoutView="0" workbookViewId="0" topLeftCell="A1">
      <selection activeCell="A2" sqref="A2:F2"/>
    </sheetView>
  </sheetViews>
  <sheetFormatPr defaultColWidth="11.7109375" defaultRowHeight="12.75" customHeight="1"/>
  <cols>
    <col min="1" max="1" width="6.421875" style="5" customWidth="1"/>
    <col min="2" max="2" width="23.7109375" style="5" customWidth="1"/>
    <col min="3" max="3" width="22.00390625" style="5" customWidth="1"/>
    <col min="4" max="5" width="10.7109375" style="5" customWidth="1"/>
    <col min="6" max="6" width="7.421875" style="95" customWidth="1"/>
    <col min="7" max="16384" width="11.7109375" style="5" customWidth="1"/>
  </cols>
  <sheetData>
    <row r="1" spans="1:6" s="96" customFormat="1" ht="18" customHeight="1">
      <c r="A1" s="1593" t="s">
        <v>866</v>
      </c>
      <c r="B1" s="1593"/>
      <c r="C1" s="1593"/>
      <c r="D1" s="1593"/>
      <c r="E1" s="1593"/>
      <c r="F1" s="1593"/>
    </row>
    <row r="2" spans="1:6" ht="12.75" customHeight="1">
      <c r="A2" s="1594" t="s">
        <v>1226</v>
      </c>
      <c r="B2" s="1594"/>
      <c r="C2" s="1594"/>
      <c r="D2" s="1594"/>
      <c r="E2" s="1594"/>
      <c r="F2" s="1594"/>
    </row>
    <row r="3" spans="1:5" ht="6.75" customHeight="1">
      <c r="A3" s="197"/>
      <c r="B3" s="197"/>
      <c r="C3" s="197"/>
      <c r="D3" s="197"/>
      <c r="E3" s="197"/>
    </row>
    <row r="4" spans="1:256" ht="29.25" customHeight="1">
      <c r="A4"/>
      <c r="B4" s="1549" t="s">
        <v>1014</v>
      </c>
      <c r="C4" s="1549"/>
      <c r="D4" s="1549"/>
      <c r="E4" s="1549"/>
      <c r="F4" s="154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25" customHeight="1">
      <c r="A5"/>
      <c r="B5" s="1108"/>
      <c r="C5" s="1108"/>
      <c r="D5" s="1108"/>
      <c r="E5" s="1108"/>
      <c r="F5" s="110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/>
      <c r="B6" s="1108"/>
      <c r="C6" s="1108"/>
      <c r="D6" s="1108"/>
      <c r="E6" s="1108"/>
      <c r="F6" s="110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/>
      <c r="D7"/>
      <c r="E7"/>
      <c r="F7" s="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0.25" customHeight="1">
      <c r="A8" s="1595" t="s">
        <v>33</v>
      </c>
      <c r="B8" s="1103" t="s">
        <v>24</v>
      </c>
      <c r="C8" s="1109" t="s">
        <v>867</v>
      </c>
      <c r="D8" s="1110" t="s">
        <v>868</v>
      </c>
      <c r="E8" s="1110" t="s">
        <v>869</v>
      </c>
      <c r="F8" s="1110" t="s">
        <v>25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1595"/>
      <c r="B9" s="1103" t="s">
        <v>159</v>
      </c>
      <c r="C9" s="1109" t="s">
        <v>160</v>
      </c>
      <c r="D9" s="1110" t="s">
        <v>161</v>
      </c>
      <c r="E9" s="1110" t="s">
        <v>162</v>
      </c>
      <c r="F9" s="1110" t="s">
        <v>479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111" t="s">
        <v>38</v>
      </c>
      <c r="B10" s="1112" t="s">
        <v>258</v>
      </c>
      <c r="C10" s="1113">
        <v>0</v>
      </c>
      <c r="D10" s="1113">
        <v>1</v>
      </c>
      <c r="E10" s="1113"/>
      <c r="F10" s="1113">
        <f>SUM(C10:E10)</f>
        <v>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1111" t="s">
        <v>40</v>
      </c>
      <c r="B11" s="1114" t="s">
        <v>870</v>
      </c>
      <c r="C11" s="1113">
        <v>1</v>
      </c>
      <c r="D11" s="1113"/>
      <c r="E11" s="1113">
        <v>6</v>
      </c>
      <c r="F11" s="1113">
        <f>SUM(C11:E11)</f>
        <v>7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1111" t="s">
        <v>53</v>
      </c>
      <c r="B12" s="1115" t="s">
        <v>238</v>
      </c>
      <c r="C12" s="1116">
        <f>SUM(C10:C11)</f>
        <v>1</v>
      </c>
      <c r="D12" s="1116">
        <f>SUM(D10:D11)</f>
        <v>1</v>
      </c>
      <c r="E12" s="1116">
        <f>SUM(E10:E11)</f>
        <v>6</v>
      </c>
      <c r="F12" s="1116">
        <f>SUM(F10:F11)</f>
        <v>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1111" t="s">
        <v>55</v>
      </c>
      <c r="B13" s="1114" t="s">
        <v>313</v>
      </c>
      <c r="C13" s="1113">
        <v>14</v>
      </c>
      <c r="D13" s="1113"/>
      <c r="E13" s="1113"/>
      <c r="F13" s="1113">
        <f>SUM(C13:E13)</f>
        <v>14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1111" t="s">
        <v>57</v>
      </c>
      <c r="B14" s="1114" t="s">
        <v>871</v>
      </c>
      <c r="C14" s="1113">
        <v>17</v>
      </c>
      <c r="D14" s="1113">
        <v>2</v>
      </c>
      <c r="E14" s="1113"/>
      <c r="F14" s="1113">
        <f>SUM(C14:E14)</f>
        <v>19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 s="1111" t="s">
        <v>86</v>
      </c>
      <c r="B15" s="1114" t="s">
        <v>241</v>
      </c>
      <c r="C15" s="1113">
        <v>24</v>
      </c>
      <c r="D15" s="1113"/>
      <c r="E15" s="1113"/>
      <c r="F15" s="1113">
        <f>SUM(C15:E15)</f>
        <v>24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 s="1111" t="s">
        <v>59</v>
      </c>
      <c r="B16" s="1114" t="s">
        <v>854</v>
      </c>
      <c r="C16" s="1113">
        <v>2</v>
      </c>
      <c r="D16" s="1113">
        <v>2</v>
      </c>
      <c r="E16" s="1113"/>
      <c r="F16" s="1113">
        <f>SUM(C16:E16)</f>
        <v>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1111" t="s">
        <v>61</v>
      </c>
      <c r="B17" s="1115" t="s">
        <v>467</v>
      </c>
      <c r="C17" s="1116">
        <f>SUM(C12:C16)</f>
        <v>58</v>
      </c>
      <c r="D17" s="1116">
        <f>SUM(D12:D16)</f>
        <v>5</v>
      </c>
      <c r="E17" s="1116">
        <f>SUM(E12:E16)</f>
        <v>6</v>
      </c>
      <c r="F17" s="1116">
        <f>SUM(F12:F16)</f>
        <v>69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1111" t="s">
        <v>63</v>
      </c>
      <c r="B18" s="1114" t="s">
        <v>872</v>
      </c>
      <c r="C18" s="1116">
        <v>6</v>
      </c>
      <c r="D18" s="1116"/>
      <c r="E18" s="1116"/>
      <c r="F18" s="1116">
        <f>SUM(C18:E18)</f>
        <v>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1111" t="s">
        <v>65</v>
      </c>
      <c r="B19" s="1117" t="s">
        <v>873</v>
      </c>
      <c r="C19" s="201">
        <f>SUM(C17:C18)</f>
        <v>64</v>
      </c>
      <c r="D19" s="201">
        <f>SUM(D17:D18)</f>
        <v>5</v>
      </c>
      <c r="E19" s="201">
        <f>SUM(E17:E18)</f>
        <v>6</v>
      </c>
      <c r="F19" s="201">
        <f>SUM(F17:F18)</f>
        <v>75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</sheetData>
  <sheetProtection selectLockedCells="1" selectUnlockedCells="1"/>
  <mergeCells count="4">
    <mergeCell ref="A1:F1"/>
    <mergeCell ref="A2:F2"/>
    <mergeCell ref="B4:F4"/>
    <mergeCell ref="A8:A9"/>
  </mergeCells>
  <printOptions/>
  <pageMargins left="1.2902777777777779" right="0.2298611111111111" top="0.3902777777777778" bottom="0.15" header="0.5118055555555555" footer="0.5118055555555555"/>
  <pageSetup firstPageNumber="1" useFirstPageNumber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40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3" sqref="N3:N4"/>
    </sheetView>
  </sheetViews>
  <sheetFormatPr defaultColWidth="11.7109375" defaultRowHeight="12.75" customHeight="1"/>
  <cols>
    <col min="1" max="1" width="21.7109375" style="5" customWidth="1"/>
    <col min="2" max="2" width="11.7109375" style="5" customWidth="1"/>
    <col min="3" max="3" width="11.28125" style="5" customWidth="1"/>
    <col min="4" max="5" width="11.28125" style="5" bestFit="1" customWidth="1"/>
    <col min="6" max="6" width="11.28125" style="95" bestFit="1" customWidth="1"/>
    <col min="7" max="9" width="12.140625" style="5" bestFit="1" customWidth="1"/>
    <col min="10" max="13" width="11.28125" style="5" bestFit="1" customWidth="1"/>
    <col min="14" max="14" width="14.140625" style="5" customWidth="1"/>
    <col min="15" max="25" width="10.7109375" style="5" customWidth="1"/>
    <col min="26" max="16384" width="11.7109375" style="5" customWidth="1"/>
  </cols>
  <sheetData>
    <row r="1" spans="9:14" s="96" customFormat="1" ht="18" customHeight="1">
      <c r="I1" s="1596" t="s">
        <v>480</v>
      </c>
      <c r="J1" s="1596"/>
      <c r="K1" s="1596"/>
      <c r="L1" s="1596"/>
      <c r="M1" s="1596"/>
      <c r="N1" s="1596"/>
    </row>
    <row r="2" spans="1:14" ht="12.75" customHeight="1">
      <c r="A2" s="1597" t="s">
        <v>1226</v>
      </c>
      <c r="B2" s="1597"/>
      <c r="C2" s="1597"/>
      <c r="D2" s="1597"/>
      <c r="E2" s="1597"/>
      <c r="F2" s="1597"/>
      <c r="G2" s="1597"/>
      <c r="H2" s="1597"/>
      <c r="I2" s="1597"/>
      <c r="J2" s="1597"/>
      <c r="K2" s="1597"/>
      <c r="L2" s="1597"/>
      <c r="M2" s="1597"/>
      <c r="N2" s="1597"/>
    </row>
    <row r="3" spans="1:14" ht="6.75" customHeight="1">
      <c r="A3" s="197"/>
      <c r="B3" s="197"/>
      <c r="C3" s="197"/>
      <c r="D3" s="197"/>
      <c r="E3" s="1930" t="s">
        <v>1227</v>
      </c>
      <c r="F3" s="1930"/>
      <c r="G3" s="1930"/>
      <c r="H3" s="1930"/>
      <c r="I3" s="1930"/>
      <c r="N3" s="1923" t="s">
        <v>1231</v>
      </c>
    </row>
    <row r="4" spans="1:14" ht="6.75" customHeight="1">
      <c r="A4" s="197"/>
      <c r="B4" s="197"/>
      <c r="C4" s="197"/>
      <c r="D4" s="197"/>
      <c r="E4" s="1930"/>
      <c r="F4" s="1930"/>
      <c r="G4" s="1930"/>
      <c r="H4" s="1930"/>
      <c r="I4" s="1930"/>
      <c r="N4" s="1923"/>
    </row>
    <row r="5" spans="1:256" ht="12.75" customHeight="1">
      <c r="A5" s="1598" t="s">
        <v>1015</v>
      </c>
      <c r="B5" s="1598"/>
      <c r="C5" s="1598"/>
      <c r="D5" s="1598"/>
      <c r="E5" s="1598"/>
      <c r="F5" s="1598"/>
      <c r="G5" s="1598"/>
      <c r="H5" s="1598"/>
      <c r="I5" s="1598"/>
      <c r="J5" s="1598"/>
      <c r="K5" s="1598"/>
      <c r="L5" s="1598"/>
      <c r="M5" s="1598"/>
      <c r="N5" s="159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598"/>
      <c r="B6" s="1598"/>
      <c r="C6" s="1598"/>
      <c r="D6" s="1598"/>
      <c r="E6" s="1598"/>
      <c r="F6" s="1598"/>
      <c r="G6" s="1598"/>
      <c r="H6" s="1598"/>
      <c r="I6" s="1598"/>
      <c r="J6" s="1598"/>
      <c r="K6" s="1598"/>
      <c r="L6" s="1598"/>
      <c r="M6" s="1598"/>
      <c r="N6" s="159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/>
      <c r="M7" s="1599" t="s">
        <v>155</v>
      </c>
      <c r="N7" s="159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506" t="s">
        <v>24</v>
      </c>
      <c r="B8" s="507" t="s">
        <v>481</v>
      </c>
      <c r="C8" s="507" t="s">
        <v>482</v>
      </c>
      <c r="D8" s="507" t="s">
        <v>483</v>
      </c>
      <c r="E8" s="507" t="s">
        <v>484</v>
      </c>
      <c r="F8" s="507" t="s">
        <v>485</v>
      </c>
      <c r="G8" s="507" t="s">
        <v>486</v>
      </c>
      <c r="H8" s="507" t="s">
        <v>487</v>
      </c>
      <c r="I8" s="507" t="s">
        <v>488</v>
      </c>
      <c r="J8" s="507" t="s">
        <v>489</v>
      </c>
      <c r="K8" s="507" t="s">
        <v>490</v>
      </c>
      <c r="L8" s="507" t="s">
        <v>491</v>
      </c>
      <c r="M8" s="507" t="s">
        <v>492</v>
      </c>
      <c r="N8" s="508" t="s">
        <v>493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509" t="s">
        <v>157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510">
        <f>SUM(B9:M9)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8.5" customHeight="1">
      <c r="A10" s="511" t="s">
        <v>163</v>
      </c>
      <c r="B10" s="203">
        <v>17011539</v>
      </c>
      <c r="C10" s="203">
        <v>17011539</v>
      </c>
      <c r="D10" s="203">
        <v>17011539</v>
      </c>
      <c r="E10" s="203">
        <v>17011539</v>
      </c>
      <c r="F10" s="203">
        <v>17011539</v>
      </c>
      <c r="G10" s="203">
        <v>17011539</v>
      </c>
      <c r="H10" s="203">
        <v>17011539</v>
      </c>
      <c r="I10" s="203">
        <v>17011539</v>
      </c>
      <c r="J10" s="203">
        <v>17011539</v>
      </c>
      <c r="K10" s="203">
        <v>17011539</v>
      </c>
      <c r="L10" s="203">
        <v>17011539</v>
      </c>
      <c r="M10" s="203">
        <v>17011542</v>
      </c>
      <c r="N10" s="510">
        <f>SUM(B10:M10)</f>
        <v>204138471</v>
      </c>
      <c r="O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8.25" customHeight="1">
      <c r="A11" s="511" t="s">
        <v>659</v>
      </c>
      <c r="B11" s="203">
        <v>652814</v>
      </c>
      <c r="C11" s="203">
        <v>652814</v>
      </c>
      <c r="D11" s="203">
        <v>652814</v>
      </c>
      <c r="E11" s="203">
        <v>652814</v>
      </c>
      <c r="F11" s="203">
        <v>652814</v>
      </c>
      <c r="G11" s="203">
        <v>652814</v>
      </c>
      <c r="H11" s="203">
        <v>652814</v>
      </c>
      <c r="I11" s="203">
        <v>652814</v>
      </c>
      <c r="J11" s="203">
        <v>652814</v>
      </c>
      <c r="K11" s="203">
        <v>652814</v>
      </c>
      <c r="L11" s="203">
        <v>652814</v>
      </c>
      <c r="M11" s="203">
        <v>652809</v>
      </c>
      <c r="N11" s="510">
        <f>SUM(B11:M11)</f>
        <v>7833763</v>
      </c>
      <c r="O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511" t="s">
        <v>168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>
        <v>14182798</v>
      </c>
      <c r="N12" s="510">
        <f>SUM(B12:M12)</f>
        <v>14182798</v>
      </c>
      <c r="O12" s="204"/>
      <c r="Q12" s="20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511" t="s">
        <v>175</v>
      </c>
      <c r="B13" s="203">
        <v>15556347</v>
      </c>
      <c r="C13" s="203">
        <v>15556347</v>
      </c>
      <c r="D13" s="203">
        <v>15556347</v>
      </c>
      <c r="E13" s="203">
        <v>15556347</v>
      </c>
      <c r="F13" s="203">
        <v>15556347</v>
      </c>
      <c r="G13" s="203">
        <v>15556347</v>
      </c>
      <c r="H13" s="203">
        <v>15556347</v>
      </c>
      <c r="I13" s="203">
        <v>15556347</v>
      </c>
      <c r="J13" s="203">
        <v>15556347</v>
      </c>
      <c r="K13" s="203">
        <v>15556347</v>
      </c>
      <c r="L13" s="203">
        <v>15556347</v>
      </c>
      <c r="M13" s="203">
        <v>15556343</v>
      </c>
      <c r="N13" s="510">
        <f aca="true" t="shared" si="0" ref="N13:N20">SUM(B13:M13)</f>
        <v>186676160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511" t="s">
        <v>78</v>
      </c>
      <c r="B14" s="203">
        <v>3699393</v>
      </c>
      <c r="C14" s="203">
        <v>3699393</v>
      </c>
      <c r="D14" s="203">
        <v>3699393</v>
      </c>
      <c r="E14" s="203">
        <v>3699393</v>
      </c>
      <c r="F14" s="203">
        <v>3699393</v>
      </c>
      <c r="G14" s="203">
        <v>3699393</v>
      </c>
      <c r="H14" s="203">
        <v>3699393</v>
      </c>
      <c r="I14" s="203">
        <v>3699393</v>
      </c>
      <c r="J14" s="203">
        <v>3699393</v>
      </c>
      <c r="K14" s="203">
        <v>3699393</v>
      </c>
      <c r="L14" s="203">
        <v>3699393</v>
      </c>
      <c r="M14" s="203">
        <v>3699394</v>
      </c>
      <c r="N14" s="510">
        <f t="shared" si="0"/>
        <v>44392717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511" t="s">
        <v>13</v>
      </c>
      <c r="B15" s="203">
        <v>1297187</v>
      </c>
      <c r="C15" s="203">
        <v>1297187</v>
      </c>
      <c r="D15" s="203">
        <v>1297187</v>
      </c>
      <c r="E15" s="203">
        <v>1297187</v>
      </c>
      <c r="F15" s="203">
        <v>1297187</v>
      </c>
      <c r="G15" s="203">
        <v>1297187</v>
      </c>
      <c r="H15" s="203">
        <v>1297187</v>
      </c>
      <c r="I15" s="203">
        <v>1297187</v>
      </c>
      <c r="J15" s="203">
        <v>1297187</v>
      </c>
      <c r="K15" s="203">
        <v>1297187</v>
      </c>
      <c r="L15" s="203">
        <v>1297187</v>
      </c>
      <c r="M15" s="203">
        <v>1297189</v>
      </c>
      <c r="N15" s="510">
        <f t="shared" si="0"/>
        <v>15566246</v>
      </c>
      <c r="O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>
      <c r="A16" s="511" t="s">
        <v>187</v>
      </c>
      <c r="B16" s="203">
        <v>16667</v>
      </c>
      <c r="C16" s="203">
        <v>1219926</v>
      </c>
      <c r="D16" s="203">
        <v>16667</v>
      </c>
      <c r="E16" s="203">
        <v>16667</v>
      </c>
      <c r="F16" s="203">
        <v>16667</v>
      </c>
      <c r="G16" s="203">
        <v>490669</v>
      </c>
      <c r="H16" s="203">
        <v>16667</v>
      </c>
      <c r="I16" s="203">
        <v>475667</v>
      </c>
      <c r="J16" s="203">
        <v>16667</v>
      </c>
      <c r="K16" s="203">
        <v>7417</v>
      </c>
      <c r="L16" s="203"/>
      <c r="M16" s="203"/>
      <c r="N16" s="510">
        <f t="shared" si="0"/>
        <v>2293681</v>
      </c>
      <c r="O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>
      <c r="A17" s="511" t="s">
        <v>227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>
        <v>3200000</v>
      </c>
      <c r="N17" s="510">
        <f t="shared" si="0"/>
        <v>3200000</v>
      </c>
      <c r="O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 s="511" t="s">
        <v>660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510">
        <f t="shared" si="0"/>
        <v>0</v>
      </c>
      <c r="O18" s="204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511" t="s">
        <v>222</v>
      </c>
      <c r="B19" s="203">
        <v>57469046</v>
      </c>
      <c r="C19" s="203">
        <v>57469046</v>
      </c>
      <c r="D19" s="203">
        <v>73604294</v>
      </c>
      <c r="E19" s="203">
        <v>57469046</v>
      </c>
      <c r="F19" s="203">
        <v>57469046</v>
      </c>
      <c r="G19" s="203">
        <v>76796244</v>
      </c>
      <c r="H19" s="203">
        <v>57469046</v>
      </c>
      <c r="I19" s="203">
        <v>61170146</v>
      </c>
      <c r="J19" s="203">
        <v>57469046</v>
      </c>
      <c r="K19" s="203">
        <v>57469046</v>
      </c>
      <c r="L19" s="203">
        <v>57573900</v>
      </c>
      <c r="M19" s="203">
        <v>58187929</v>
      </c>
      <c r="N19" s="510">
        <f t="shared" si="0"/>
        <v>729615835</v>
      </c>
      <c r="O19" s="204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511" t="s">
        <v>225</v>
      </c>
      <c r="B20" s="203">
        <v>6703536</v>
      </c>
      <c r="C20" s="203"/>
      <c r="D20" s="203">
        <v>715544</v>
      </c>
      <c r="E20" s="203"/>
      <c r="F20" s="203"/>
      <c r="G20" s="203">
        <v>676489</v>
      </c>
      <c r="H20" s="203"/>
      <c r="I20" s="203">
        <v>583515</v>
      </c>
      <c r="J20" s="203"/>
      <c r="K20" s="203"/>
      <c r="L20" s="203"/>
      <c r="M20" s="203">
        <v>744834</v>
      </c>
      <c r="N20" s="510">
        <f t="shared" si="0"/>
        <v>9423918</v>
      </c>
      <c r="O20" s="204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>
      <c r="A21" s="512" t="s">
        <v>494</v>
      </c>
      <c r="B21" s="12">
        <f>SUM(B9:B20)</f>
        <v>102406529</v>
      </c>
      <c r="C21" s="12">
        <f aca="true" t="shared" si="1" ref="C21:M21">SUM(C9:C20)</f>
        <v>96906252</v>
      </c>
      <c r="D21" s="12">
        <f t="shared" si="1"/>
        <v>112553785</v>
      </c>
      <c r="E21" s="12">
        <f t="shared" si="1"/>
        <v>95702993</v>
      </c>
      <c r="F21" s="12">
        <f t="shared" si="1"/>
        <v>95702993</v>
      </c>
      <c r="G21" s="12">
        <f t="shared" si="1"/>
        <v>116180682</v>
      </c>
      <c r="H21" s="12">
        <f t="shared" si="1"/>
        <v>95702993</v>
      </c>
      <c r="I21" s="12">
        <f t="shared" si="1"/>
        <v>100446608</v>
      </c>
      <c r="J21" s="12">
        <f t="shared" si="1"/>
        <v>95702993</v>
      </c>
      <c r="K21" s="12">
        <f t="shared" si="1"/>
        <v>95693743</v>
      </c>
      <c r="L21" s="12">
        <f t="shared" si="1"/>
        <v>95791180</v>
      </c>
      <c r="M21" s="12">
        <f t="shared" si="1"/>
        <v>114532838</v>
      </c>
      <c r="N21" s="12">
        <f>SUM(N9:N20)</f>
        <v>1217323589</v>
      </c>
      <c r="O21" s="1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509" t="s">
        <v>119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514"/>
      <c r="O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>
      <c r="A23" s="511" t="s">
        <v>661</v>
      </c>
      <c r="B23" s="17">
        <f>SUM(N23/12)</f>
        <v>16913176.666666668</v>
      </c>
      <c r="C23" s="17">
        <v>16913176.666666668</v>
      </c>
      <c r="D23" s="17">
        <v>16913176.666666668</v>
      </c>
      <c r="E23" s="17">
        <v>16913176.666666668</v>
      </c>
      <c r="F23" s="17">
        <v>16913176.666666668</v>
      </c>
      <c r="G23" s="17">
        <v>16913176.666666668</v>
      </c>
      <c r="H23" s="17">
        <v>16913176.666666668</v>
      </c>
      <c r="I23" s="17">
        <v>16913176.666666668</v>
      </c>
      <c r="J23" s="17">
        <v>16913176.666666668</v>
      </c>
      <c r="K23" s="17">
        <v>16913176.666666668</v>
      </c>
      <c r="L23" s="17">
        <v>16913176.666666668</v>
      </c>
      <c r="M23" s="17">
        <v>16913176.666666668</v>
      </c>
      <c r="N23" s="514">
        <v>202958120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>
      <c r="A24" s="511" t="s">
        <v>123</v>
      </c>
      <c r="B24" s="203">
        <f>SUM(N24/12)</f>
        <v>4059748.0833333335</v>
      </c>
      <c r="C24" s="203">
        <v>4059748.0833333335</v>
      </c>
      <c r="D24" s="203">
        <v>4059748.0833333335</v>
      </c>
      <c r="E24" s="203">
        <v>4059748.0833333335</v>
      </c>
      <c r="F24" s="203">
        <v>4059748.0833333335</v>
      </c>
      <c r="G24" s="203">
        <v>4059748.0833333335</v>
      </c>
      <c r="H24" s="203">
        <v>4059748.0833333335</v>
      </c>
      <c r="I24" s="203">
        <v>4059748.0833333335</v>
      </c>
      <c r="J24" s="203">
        <v>4059748.0833333335</v>
      </c>
      <c r="K24" s="203">
        <v>4059748.0833333335</v>
      </c>
      <c r="L24" s="203">
        <v>4059748.0833333335</v>
      </c>
      <c r="M24" s="203">
        <v>4059748.0833333335</v>
      </c>
      <c r="N24" s="514">
        <v>48716977</v>
      </c>
      <c r="O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511" t="s">
        <v>125</v>
      </c>
      <c r="B25" s="203">
        <v>14952070</v>
      </c>
      <c r="C25" s="203">
        <v>14952070</v>
      </c>
      <c r="D25" s="203">
        <v>14952070</v>
      </c>
      <c r="E25" s="203">
        <v>14952070</v>
      </c>
      <c r="F25" s="203">
        <v>14952070</v>
      </c>
      <c r="G25" s="203">
        <v>14952070</v>
      </c>
      <c r="H25" s="203">
        <v>14952070</v>
      </c>
      <c r="I25" s="203">
        <v>14952070</v>
      </c>
      <c r="J25" s="203">
        <v>14952070</v>
      </c>
      <c r="K25" s="203">
        <v>14952070</v>
      </c>
      <c r="L25" s="203">
        <v>14952070</v>
      </c>
      <c r="M25" s="203">
        <v>14952066</v>
      </c>
      <c r="N25" s="514">
        <f aca="true" t="shared" si="2" ref="N25:N33">SUM(B25:M25)</f>
        <v>179424836</v>
      </c>
      <c r="O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.75" customHeight="1">
      <c r="A26" s="511" t="s">
        <v>472</v>
      </c>
      <c r="B26" s="203">
        <v>432833</v>
      </c>
      <c r="C26" s="203">
        <v>432833</v>
      </c>
      <c r="D26" s="203">
        <v>432833</v>
      </c>
      <c r="E26" s="203">
        <v>432833</v>
      </c>
      <c r="F26" s="203">
        <v>432833</v>
      </c>
      <c r="G26" s="203">
        <v>432833</v>
      </c>
      <c r="H26" s="203">
        <v>432833</v>
      </c>
      <c r="I26" s="203">
        <v>432833</v>
      </c>
      <c r="J26" s="203">
        <v>164386</v>
      </c>
      <c r="K26" s="203"/>
      <c r="L26" s="203"/>
      <c r="M26" s="203"/>
      <c r="N26" s="514">
        <f t="shared" si="2"/>
        <v>3627050</v>
      </c>
      <c r="O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511" t="s">
        <v>150</v>
      </c>
      <c r="B27" s="203">
        <f>SUM(N27/12)</f>
        <v>55385612.583333336</v>
      </c>
      <c r="C27" s="203">
        <v>55385612.583333336</v>
      </c>
      <c r="D27" s="203">
        <v>55385612.583333336</v>
      </c>
      <c r="E27" s="203">
        <v>55385612.583333336</v>
      </c>
      <c r="F27" s="203">
        <v>55385612.583333336</v>
      </c>
      <c r="G27" s="203">
        <v>55385612.583333336</v>
      </c>
      <c r="H27" s="203">
        <v>55385612.583333336</v>
      </c>
      <c r="I27" s="203">
        <v>55385612.583333336</v>
      </c>
      <c r="J27" s="203">
        <v>55385612.583333336</v>
      </c>
      <c r="K27" s="203">
        <v>55385612.583333336</v>
      </c>
      <c r="L27" s="203">
        <v>55385612.583333336</v>
      </c>
      <c r="M27" s="203">
        <v>55385612.583333336</v>
      </c>
      <c r="N27" s="514">
        <v>664627351</v>
      </c>
      <c r="O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 customHeight="1">
      <c r="A28" s="511" t="s">
        <v>204</v>
      </c>
      <c r="B28" s="203">
        <f>SUM(N28/12)</f>
        <v>3397239.9166666665</v>
      </c>
      <c r="C28" s="203">
        <v>3397239.9166666665</v>
      </c>
      <c r="D28" s="203">
        <v>3397239.9166666665</v>
      </c>
      <c r="E28" s="203">
        <v>3397239.9166666665</v>
      </c>
      <c r="F28" s="203">
        <v>3397239.9166666665</v>
      </c>
      <c r="G28" s="203">
        <v>3397239.9166666665</v>
      </c>
      <c r="H28" s="203">
        <v>3397239.9166666665</v>
      </c>
      <c r="I28" s="203">
        <v>3397239.9166666665</v>
      </c>
      <c r="J28" s="203">
        <v>3397239.9166666665</v>
      </c>
      <c r="K28" s="203">
        <v>3397239.9166666665</v>
      </c>
      <c r="L28" s="203">
        <v>3397239.9166666665</v>
      </c>
      <c r="M28" s="203">
        <v>3397239.9166666665</v>
      </c>
      <c r="N28" s="514">
        <v>40766879</v>
      </c>
      <c r="O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8.25" customHeight="1">
      <c r="A29" s="511" t="s">
        <v>132</v>
      </c>
      <c r="B29" s="203">
        <v>445644</v>
      </c>
      <c r="C29" s="203">
        <v>1648903</v>
      </c>
      <c r="D29" s="203">
        <v>10255912</v>
      </c>
      <c r="E29" s="203">
        <v>445644</v>
      </c>
      <c r="F29" s="203">
        <v>445644</v>
      </c>
      <c r="G29" s="203">
        <v>20363513</v>
      </c>
      <c r="H29" s="203">
        <v>562313</v>
      </c>
      <c r="I29" s="203">
        <v>3072426</v>
      </c>
      <c r="J29" s="203">
        <v>761087</v>
      </c>
      <c r="K29" s="203">
        <v>869227</v>
      </c>
      <c r="L29" s="203">
        <v>1083333</v>
      </c>
      <c r="M29" s="203">
        <v>19411685</v>
      </c>
      <c r="N29" s="514">
        <f t="shared" si="2"/>
        <v>59365331</v>
      </c>
      <c r="O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511" t="s">
        <v>134</v>
      </c>
      <c r="B30" s="203">
        <v>116669</v>
      </c>
      <c r="C30" s="203">
        <v>116669</v>
      </c>
      <c r="D30" s="203">
        <v>6441649</v>
      </c>
      <c r="E30" s="203">
        <v>116669</v>
      </c>
      <c r="F30" s="203">
        <v>116669</v>
      </c>
      <c r="G30" s="203"/>
      <c r="H30" s="203"/>
      <c r="I30" s="203">
        <v>1649987</v>
      </c>
      <c r="J30" s="203">
        <v>69673</v>
      </c>
      <c r="K30" s="203">
        <v>116669</v>
      </c>
      <c r="L30" s="203"/>
      <c r="M30" s="203"/>
      <c r="N30" s="514">
        <f t="shared" si="2"/>
        <v>8744654</v>
      </c>
      <c r="O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511" t="s">
        <v>205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514">
        <f t="shared" si="2"/>
        <v>0</v>
      </c>
      <c r="O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511" t="s">
        <v>662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514">
        <f t="shared" si="2"/>
        <v>0</v>
      </c>
      <c r="O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" customHeight="1">
      <c r="A33" s="511" t="s">
        <v>663</v>
      </c>
      <c r="B33" s="203">
        <v>6703536</v>
      </c>
      <c r="C33" s="203"/>
      <c r="D33" s="203">
        <v>715544</v>
      </c>
      <c r="E33" s="203"/>
      <c r="F33" s="203"/>
      <c r="G33" s="203">
        <v>676489</v>
      </c>
      <c r="H33" s="203"/>
      <c r="I33" s="203">
        <v>583515</v>
      </c>
      <c r="J33" s="203"/>
      <c r="K33" s="203"/>
      <c r="L33" s="203"/>
      <c r="M33" s="203">
        <v>413307</v>
      </c>
      <c r="N33" s="514">
        <f t="shared" si="2"/>
        <v>9092391</v>
      </c>
      <c r="O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512" t="s">
        <v>496</v>
      </c>
      <c r="B34" s="12">
        <f>SUM(B23:B33)</f>
        <v>102406529.25000001</v>
      </c>
      <c r="C34" s="12">
        <f aca="true" t="shared" si="3" ref="C34:N34">SUM(C23:C33)</f>
        <v>96906252.25000001</v>
      </c>
      <c r="D34" s="12">
        <f t="shared" si="3"/>
        <v>112553785.25000001</v>
      </c>
      <c r="E34" s="12">
        <f t="shared" si="3"/>
        <v>95702993.25000001</v>
      </c>
      <c r="F34" s="12">
        <f t="shared" si="3"/>
        <v>95702993.25000001</v>
      </c>
      <c r="G34" s="12">
        <f t="shared" si="3"/>
        <v>116180682.25000001</v>
      </c>
      <c r="H34" s="12">
        <f t="shared" si="3"/>
        <v>95702993.25000001</v>
      </c>
      <c r="I34" s="12">
        <f t="shared" si="3"/>
        <v>100446608.25000001</v>
      </c>
      <c r="J34" s="12">
        <f t="shared" si="3"/>
        <v>95702993.25000001</v>
      </c>
      <c r="K34" s="12">
        <f t="shared" si="3"/>
        <v>95693743.25000001</v>
      </c>
      <c r="L34" s="12">
        <f t="shared" si="3"/>
        <v>95791180.25000001</v>
      </c>
      <c r="M34" s="12">
        <v>114526844</v>
      </c>
      <c r="N34" s="513">
        <f t="shared" si="3"/>
        <v>1217323589</v>
      </c>
      <c r="O34" s="10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 customHeight="1">
      <c r="A35" s="511" t="s">
        <v>497</v>
      </c>
      <c r="B35" s="17">
        <f>SUM(B21-B34)</f>
        <v>-0.2500000149011612</v>
      </c>
      <c r="C35" s="17">
        <f aca="true" t="shared" si="4" ref="C35:N35">SUM(C21-C34)</f>
        <v>-0.2500000149011612</v>
      </c>
      <c r="D35" s="17">
        <f t="shared" si="4"/>
        <v>-0.2500000149011612</v>
      </c>
      <c r="E35" s="17">
        <f t="shared" si="4"/>
        <v>-0.2500000149011612</v>
      </c>
      <c r="F35" s="17">
        <f t="shared" si="4"/>
        <v>-0.2500000149011612</v>
      </c>
      <c r="G35" s="17">
        <f t="shared" si="4"/>
        <v>-0.2500000149011612</v>
      </c>
      <c r="H35" s="17">
        <f t="shared" si="4"/>
        <v>-0.2500000149011612</v>
      </c>
      <c r="I35" s="17">
        <f t="shared" si="4"/>
        <v>-0.2500000149011612</v>
      </c>
      <c r="J35" s="17">
        <f t="shared" si="4"/>
        <v>-0.2500000149011612</v>
      </c>
      <c r="K35" s="17">
        <f t="shared" si="4"/>
        <v>-0.2500000149011612</v>
      </c>
      <c r="L35" s="17">
        <f t="shared" si="4"/>
        <v>-0.2500000149011612</v>
      </c>
      <c r="M35" s="17">
        <v>0</v>
      </c>
      <c r="N35" s="514">
        <f t="shared" si="4"/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515" t="s">
        <v>498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7">
        <f>SUM(N34:N35)</f>
        <v>1217323589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/>
      <c r="B37"/>
      <c r="C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40" ht="12.75" customHeight="1">
      <c r="N40" s="5">
        <f>N21-N36</f>
        <v>0</v>
      </c>
    </row>
  </sheetData>
  <sheetProtection selectLockedCells="1" selectUnlockedCells="1"/>
  <mergeCells count="6">
    <mergeCell ref="I1:N1"/>
    <mergeCell ref="A2:N2"/>
    <mergeCell ref="A5:N6"/>
    <mergeCell ref="M7:N7"/>
    <mergeCell ref="E3:I4"/>
    <mergeCell ref="N3:N4"/>
  </mergeCells>
  <printOptions horizontalCentered="1"/>
  <pageMargins left="0.35433070866141736" right="0.2362204724409449" top="0.5118110236220472" bottom="0.15748031496062992" header="0.5118110236220472" footer="0.5118110236220472"/>
  <pageSetup firstPageNumber="1" useFirstPageNumber="1" fitToHeight="1" fitToWidth="1" horizontalDpi="600" verticalDpi="600" orientation="landscape" paperSize="9" scale="69" r:id="rId1"/>
  <rowBreaks count="2" manualBreakCount="2">
    <brk id="21" max="13" man="1"/>
    <brk id="24" max="13" man="1"/>
  </rowBreaks>
  <colBreaks count="1" manualBreakCount="1">
    <brk id="7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58"/>
  <sheetViews>
    <sheetView view="pageBreakPreview" zoomScale="110" zoomScaleSheetLayoutView="110" zoomScalePageLayoutView="0" workbookViewId="0" topLeftCell="A1">
      <selection activeCell="G3" sqref="G3"/>
    </sheetView>
  </sheetViews>
  <sheetFormatPr defaultColWidth="9.140625" defaultRowHeight="12.75"/>
  <cols>
    <col min="1" max="1" width="5.00390625" style="1131" customWidth="1"/>
    <col min="2" max="2" width="15.57421875" style="0" customWidth="1"/>
    <col min="3" max="3" width="76.140625" style="0" customWidth="1"/>
    <col min="4" max="4" width="9.28125" style="0" customWidth="1"/>
    <col min="5" max="5" width="6.57421875" style="0" customWidth="1"/>
    <col min="6" max="6" width="14.7109375" style="52" customWidth="1"/>
    <col min="7" max="7" width="20.8515625" style="52" customWidth="1"/>
    <col min="9" max="9" width="15.28125" style="52" customWidth="1"/>
    <col min="11" max="11" width="16.28125" style="0" customWidth="1"/>
  </cols>
  <sheetData>
    <row r="1" spans="1:9" s="10" customFormat="1" ht="15">
      <c r="A1" s="600"/>
      <c r="F1" s="1603" t="s">
        <v>874</v>
      </c>
      <c r="G1" s="1603"/>
      <c r="I1" s="52"/>
    </row>
    <row r="2" spans="1:7" ht="12.75">
      <c r="A2" s="1604" t="s">
        <v>1226</v>
      </c>
      <c r="B2" s="1604"/>
      <c r="C2" s="1604"/>
      <c r="D2" s="1604"/>
      <c r="E2" s="1604"/>
      <c r="F2" s="1604"/>
      <c r="G2" s="1604"/>
    </row>
    <row r="3" spans="3:7" ht="12.75">
      <c r="C3" s="1931" t="s">
        <v>1227</v>
      </c>
      <c r="D3" s="1931"/>
      <c r="E3" s="1931"/>
      <c r="F3" s="1931"/>
      <c r="G3" s="137" t="s">
        <v>1232</v>
      </c>
    </row>
    <row r="4" spans="1:9" s="10" customFormat="1" ht="15.75" customHeight="1">
      <c r="A4" s="1605" t="s">
        <v>1016</v>
      </c>
      <c r="B4" s="1605"/>
      <c r="C4" s="1605"/>
      <c r="D4" s="1605"/>
      <c r="E4" s="1605"/>
      <c r="F4" s="1605"/>
      <c r="G4" s="1605"/>
      <c r="I4" s="52"/>
    </row>
    <row r="7" spans="1:9" s="10" customFormat="1" ht="16.5" thickBot="1">
      <c r="A7" s="600"/>
      <c r="C7" s="10" t="s">
        <v>875</v>
      </c>
      <c r="F7" s="52"/>
      <c r="G7" s="1118">
        <f>SUM(G33+G45+G55+G58)</f>
        <v>191775876</v>
      </c>
      <c r="I7" s="52"/>
    </row>
    <row r="9" spans="1:9" s="600" customFormat="1" ht="38.25">
      <c r="A9" s="1119" t="s">
        <v>33</v>
      </c>
      <c r="B9" s="206" t="s">
        <v>876</v>
      </c>
      <c r="C9" s="206" t="s">
        <v>877</v>
      </c>
      <c r="D9" s="1119" t="s">
        <v>878</v>
      </c>
      <c r="E9" s="206" t="s">
        <v>879</v>
      </c>
      <c r="F9" s="1149" t="s">
        <v>880</v>
      </c>
      <c r="G9" s="186" t="s">
        <v>881</v>
      </c>
      <c r="I9" s="207"/>
    </row>
    <row r="10" spans="1:7" ht="12.75">
      <c r="A10" s="502" t="s">
        <v>882</v>
      </c>
      <c r="B10" s="103" t="s">
        <v>883</v>
      </c>
      <c r="C10" s="103" t="s">
        <v>884</v>
      </c>
      <c r="D10" s="103" t="s">
        <v>885</v>
      </c>
      <c r="E10" s="1120">
        <v>15.6</v>
      </c>
      <c r="F10" s="84">
        <v>4580000</v>
      </c>
      <c r="G10" s="84">
        <v>71448000</v>
      </c>
    </row>
    <row r="11" spans="1:7" ht="12.75">
      <c r="A11" s="206" t="s">
        <v>886</v>
      </c>
      <c r="B11" s="102" t="s">
        <v>887</v>
      </c>
      <c r="C11" s="102" t="s">
        <v>888</v>
      </c>
      <c r="D11" s="102" t="s">
        <v>889</v>
      </c>
      <c r="E11" s="102"/>
      <c r="F11" s="84"/>
      <c r="G11" s="84">
        <v>57888365</v>
      </c>
    </row>
    <row r="12" spans="1:7" ht="12.75">
      <c r="A12" s="1606" t="s">
        <v>890</v>
      </c>
      <c r="B12" s="1606"/>
      <c r="C12" s="1606"/>
      <c r="D12" s="1606"/>
      <c r="E12" s="1606"/>
      <c r="F12" s="1606"/>
      <c r="G12" s="1606"/>
    </row>
    <row r="13" spans="1:7" ht="12.75">
      <c r="A13" s="502" t="s">
        <v>891</v>
      </c>
      <c r="B13" s="103" t="s">
        <v>892</v>
      </c>
      <c r="C13" s="103" t="s">
        <v>893</v>
      </c>
      <c r="D13" s="103" t="s">
        <v>889</v>
      </c>
      <c r="E13" s="103"/>
      <c r="F13" s="84"/>
      <c r="G13" s="84">
        <v>14870770</v>
      </c>
    </row>
    <row r="14" spans="1:9" s="10" customFormat="1" ht="12.75">
      <c r="A14" s="206" t="s">
        <v>894</v>
      </c>
      <c r="B14" s="102" t="s">
        <v>895</v>
      </c>
      <c r="C14" s="102" t="s">
        <v>896</v>
      </c>
      <c r="D14" s="102" t="s">
        <v>889</v>
      </c>
      <c r="E14" s="102"/>
      <c r="F14" s="84"/>
      <c r="G14" s="84">
        <v>0</v>
      </c>
      <c r="I14" s="52"/>
    </row>
    <row r="15" spans="1:7" ht="12.75">
      <c r="A15" s="502" t="s">
        <v>897</v>
      </c>
      <c r="B15" s="103" t="s">
        <v>898</v>
      </c>
      <c r="C15" s="103" t="s">
        <v>899</v>
      </c>
      <c r="D15" s="103" t="s">
        <v>900</v>
      </c>
      <c r="E15" s="103"/>
      <c r="F15" s="84">
        <v>22300</v>
      </c>
      <c r="G15" s="84">
        <v>4007310</v>
      </c>
    </row>
    <row r="16" spans="1:9" s="10" customFormat="1" ht="12.75">
      <c r="A16" s="206" t="s">
        <v>901</v>
      </c>
      <c r="B16" s="102" t="s">
        <v>902</v>
      </c>
      <c r="C16" s="102" t="s">
        <v>903</v>
      </c>
      <c r="D16" s="102" t="s">
        <v>889</v>
      </c>
      <c r="E16" s="102"/>
      <c r="F16" s="84">
        <v>22300</v>
      </c>
      <c r="G16" s="84">
        <v>0</v>
      </c>
      <c r="I16" s="52"/>
    </row>
    <row r="17" spans="1:7" ht="12.75">
      <c r="A17" s="502" t="s">
        <v>904</v>
      </c>
      <c r="B17" s="103" t="s">
        <v>905</v>
      </c>
      <c r="C17" s="103" t="s">
        <v>906</v>
      </c>
      <c r="D17" s="103" t="s">
        <v>907</v>
      </c>
      <c r="E17" s="103"/>
      <c r="F17" s="84"/>
      <c r="G17" s="84">
        <v>7136000</v>
      </c>
    </row>
    <row r="18" spans="1:9" s="10" customFormat="1" ht="12.75">
      <c r="A18" s="206" t="s">
        <v>908</v>
      </c>
      <c r="B18" s="102" t="s">
        <v>909</v>
      </c>
      <c r="C18" s="102" t="s">
        <v>910</v>
      </c>
      <c r="D18" s="102" t="s">
        <v>889</v>
      </c>
      <c r="E18" s="102"/>
      <c r="F18" s="84"/>
      <c r="G18" s="84">
        <v>0</v>
      </c>
      <c r="I18" s="52"/>
    </row>
    <row r="19" spans="1:7" ht="12.75">
      <c r="A19" s="502" t="s">
        <v>911</v>
      </c>
      <c r="B19" s="103" t="s">
        <v>912</v>
      </c>
      <c r="C19" s="103" t="s">
        <v>913</v>
      </c>
      <c r="D19" s="103" t="s">
        <v>914</v>
      </c>
      <c r="E19" s="103"/>
      <c r="F19" s="84"/>
      <c r="G19" s="84">
        <v>100000</v>
      </c>
    </row>
    <row r="20" spans="1:9" s="10" customFormat="1" ht="12.75">
      <c r="A20" s="206" t="s">
        <v>915</v>
      </c>
      <c r="B20" s="102" t="s">
        <v>916</v>
      </c>
      <c r="C20" s="102" t="s">
        <v>917</v>
      </c>
      <c r="D20" s="102" t="s">
        <v>889</v>
      </c>
      <c r="E20" s="102"/>
      <c r="F20" s="84"/>
      <c r="G20" s="84">
        <v>0</v>
      </c>
      <c r="I20" s="52"/>
    </row>
    <row r="21" spans="1:7" ht="12.75">
      <c r="A21" s="502" t="s">
        <v>918</v>
      </c>
      <c r="B21" s="103" t="s">
        <v>919</v>
      </c>
      <c r="C21" s="103" t="s">
        <v>920</v>
      </c>
      <c r="D21" s="103" t="s">
        <v>907</v>
      </c>
      <c r="E21" s="103"/>
      <c r="F21" s="84"/>
      <c r="G21" s="84">
        <v>3627460</v>
      </c>
    </row>
    <row r="22" spans="1:9" s="10" customFormat="1" ht="12.75">
      <c r="A22" s="206" t="s">
        <v>921</v>
      </c>
      <c r="B22" s="102" t="s">
        <v>922</v>
      </c>
      <c r="C22" s="102" t="s">
        <v>923</v>
      </c>
      <c r="D22" s="102" t="s">
        <v>889</v>
      </c>
      <c r="E22" s="102"/>
      <c r="F22" s="84"/>
      <c r="G22" s="84">
        <v>0</v>
      </c>
      <c r="I22" s="52"/>
    </row>
    <row r="23" spans="1:7" ht="12.75">
      <c r="A23" s="502" t="s">
        <v>924</v>
      </c>
      <c r="B23" s="103" t="s">
        <v>925</v>
      </c>
      <c r="C23" s="103" t="s">
        <v>926</v>
      </c>
      <c r="D23" s="103" t="s">
        <v>927</v>
      </c>
      <c r="E23" s="103"/>
      <c r="F23" s="84">
        <v>2700</v>
      </c>
      <c r="G23" s="84">
        <v>9509400</v>
      </c>
    </row>
    <row r="24" spans="1:9" s="10" customFormat="1" ht="12.75">
      <c r="A24" s="206" t="s">
        <v>928</v>
      </c>
      <c r="B24" s="102" t="s">
        <v>929</v>
      </c>
      <c r="C24" s="102" t="s">
        <v>930</v>
      </c>
      <c r="D24" s="102" t="s">
        <v>889</v>
      </c>
      <c r="E24" s="102"/>
      <c r="F24" s="84">
        <v>2700</v>
      </c>
      <c r="G24" s="84">
        <v>0</v>
      </c>
      <c r="I24" s="52"/>
    </row>
    <row r="25" spans="1:7" ht="25.5">
      <c r="A25" s="502" t="s">
        <v>931</v>
      </c>
      <c r="B25" s="103" t="s">
        <v>932</v>
      </c>
      <c r="C25" s="103" t="s">
        <v>933</v>
      </c>
      <c r="D25" s="104" t="s">
        <v>934</v>
      </c>
      <c r="E25" s="103"/>
      <c r="F25" s="84">
        <v>2550</v>
      </c>
      <c r="G25" s="84">
        <v>328950</v>
      </c>
    </row>
    <row r="26" spans="1:9" s="10" customFormat="1" ht="12.75">
      <c r="A26" s="206" t="s">
        <v>935</v>
      </c>
      <c r="B26" s="102" t="s">
        <v>936</v>
      </c>
      <c r="C26" s="102" t="s">
        <v>937</v>
      </c>
      <c r="D26" s="102" t="s">
        <v>889</v>
      </c>
      <c r="E26" s="102"/>
      <c r="F26" s="84">
        <v>2550</v>
      </c>
      <c r="G26" s="84">
        <v>0</v>
      </c>
      <c r="I26" s="52"/>
    </row>
    <row r="27" spans="1:7" ht="12.75">
      <c r="A27" s="502">
        <v>17</v>
      </c>
      <c r="B27" s="103" t="s">
        <v>938</v>
      </c>
      <c r="C27" s="103" t="s">
        <v>939</v>
      </c>
      <c r="D27" s="103" t="s">
        <v>889</v>
      </c>
      <c r="E27" s="103"/>
      <c r="F27" s="84"/>
      <c r="G27" s="84">
        <v>57888365</v>
      </c>
    </row>
    <row r="28" spans="1:7" ht="12.75">
      <c r="A28" s="502">
        <v>18</v>
      </c>
      <c r="B28" s="103" t="s">
        <v>940</v>
      </c>
      <c r="C28" s="103" t="s">
        <v>941</v>
      </c>
      <c r="D28" s="103" t="s">
        <v>889</v>
      </c>
      <c r="E28" s="103"/>
      <c r="F28" s="84"/>
      <c r="G28" s="84">
        <v>38268755</v>
      </c>
    </row>
    <row r="29" spans="1:7" ht="25.5">
      <c r="A29" s="502">
        <v>19</v>
      </c>
      <c r="B29" s="104" t="s">
        <v>942</v>
      </c>
      <c r="C29" s="103" t="s">
        <v>943</v>
      </c>
      <c r="D29" s="103" t="s">
        <v>889</v>
      </c>
      <c r="E29" s="103"/>
      <c r="F29" s="84"/>
      <c r="G29" s="84">
        <v>0</v>
      </c>
    </row>
    <row r="30" spans="1:7" ht="12.75">
      <c r="A30" s="502">
        <v>20</v>
      </c>
      <c r="B30" s="103" t="s">
        <v>944</v>
      </c>
      <c r="C30" s="103" t="s">
        <v>945</v>
      </c>
      <c r="D30" s="103" t="s">
        <v>946</v>
      </c>
      <c r="E30" s="17">
        <v>355</v>
      </c>
      <c r="F30" s="84">
        <v>100</v>
      </c>
      <c r="G30" s="84">
        <v>0</v>
      </c>
    </row>
    <row r="31" spans="1:7" ht="12.75">
      <c r="A31" s="502">
        <v>21</v>
      </c>
      <c r="B31" s="103" t="s">
        <v>1017</v>
      </c>
      <c r="C31" s="103" t="s">
        <v>1221</v>
      </c>
      <c r="D31" s="103"/>
      <c r="E31" s="17"/>
      <c r="F31" s="84"/>
      <c r="G31" s="84">
        <v>62672</v>
      </c>
    </row>
    <row r="32" spans="1:7" ht="12.75">
      <c r="A32" s="502">
        <v>22</v>
      </c>
      <c r="B32" s="103" t="s">
        <v>947</v>
      </c>
      <c r="C32" s="103" t="s">
        <v>1018</v>
      </c>
      <c r="D32" s="103" t="s">
        <v>889</v>
      </c>
      <c r="E32" s="17"/>
      <c r="F32" s="84"/>
      <c r="G32" s="84">
        <v>260300</v>
      </c>
    </row>
    <row r="33" spans="1:9" s="10" customFormat="1" ht="31.5">
      <c r="A33" s="1121" t="s">
        <v>948</v>
      </c>
      <c r="B33" s="1122" t="s">
        <v>949</v>
      </c>
      <c r="C33" s="1123" t="s">
        <v>950</v>
      </c>
      <c r="D33" s="1122" t="s">
        <v>889</v>
      </c>
      <c r="E33" s="1122"/>
      <c r="F33" s="1148"/>
      <c r="G33" s="1124">
        <f>SUM(G27+G32)+G31</f>
        <v>58211337</v>
      </c>
      <c r="I33" s="52"/>
    </row>
    <row r="34" spans="1:7" ht="12.75">
      <c r="A34" s="1131">
        <v>24</v>
      </c>
      <c r="B34" s="1600" t="s">
        <v>951</v>
      </c>
      <c r="C34" s="1601"/>
      <c r="D34" s="1601"/>
      <c r="E34" s="1601"/>
      <c r="F34" s="1601"/>
      <c r="G34" s="1602"/>
    </row>
    <row r="35" spans="1:7" ht="12.75">
      <c r="A35" s="502" t="s">
        <v>952</v>
      </c>
      <c r="B35" s="103" t="s">
        <v>953</v>
      </c>
      <c r="C35" s="103" t="s">
        <v>1020</v>
      </c>
      <c r="D35" s="103" t="s">
        <v>927</v>
      </c>
      <c r="E35" s="1125">
        <v>9.6</v>
      </c>
      <c r="F35" s="84">
        <v>4419000</v>
      </c>
      <c r="G35" s="84">
        <v>29165400</v>
      </c>
    </row>
    <row r="36" spans="1:7" ht="12.75">
      <c r="A36" s="502" t="s">
        <v>954</v>
      </c>
      <c r="B36" s="103" t="s">
        <v>955</v>
      </c>
      <c r="C36" s="103" t="s">
        <v>956</v>
      </c>
      <c r="D36" s="103" t="s">
        <v>927</v>
      </c>
      <c r="E36" s="1125">
        <v>7</v>
      </c>
      <c r="F36" s="84">
        <v>2205000</v>
      </c>
      <c r="G36" s="84">
        <v>10290000</v>
      </c>
    </row>
    <row r="37" spans="1:7" ht="12.75">
      <c r="A37" s="502">
        <v>27</v>
      </c>
      <c r="B37" s="103" t="s">
        <v>957</v>
      </c>
      <c r="C37" s="103" t="s">
        <v>1019</v>
      </c>
      <c r="D37" s="103" t="s">
        <v>927</v>
      </c>
      <c r="E37" s="1125">
        <v>10.4</v>
      </c>
      <c r="F37" s="84">
        <v>4419000</v>
      </c>
      <c r="G37" s="84">
        <v>14877300</v>
      </c>
    </row>
    <row r="38" spans="1:7" ht="12.75">
      <c r="A38" s="502">
        <v>28</v>
      </c>
      <c r="B38" s="103" t="s">
        <v>958</v>
      </c>
      <c r="C38" s="103" t="s">
        <v>956</v>
      </c>
      <c r="D38" s="103" t="s">
        <v>927</v>
      </c>
      <c r="E38" s="1125">
        <v>7</v>
      </c>
      <c r="F38" s="84">
        <v>2205000</v>
      </c>
      <c r="G38" s="84">
        <v>5145000</v>
      </c>
    </row>
    <row r="39" spans="1:7" ht="12.75">
      <c r="A39" s="1131">
        <v>29</v>
      </c>
      <c r="B39" s="1600" t="s">
        <v>959</v>
      </c>
      <c r="C39" s="1601"/>
      <c r="D39" s="1601"/>
      <c r="E39" s="1601"/>
      <c r="F39" s="1601"/>
      <c r="G39" s="1602"/>
    </row>
    <row r="40" spans="1:7" ht="12.75">
      <c r="A40" s="502">
        <v>30</v>
      </c>
      <c r="B40" s="103" t="s">
        <v>960</v>
      </c>
      <c r="C40" s="103" t="s">
        <v>961</v>
      </c>
      <c r="D40" s="103" t="s">
        <v>927</v>
      </c>
      <c r="E40" s="17">
        <v>103</v>
      </c>
      <c r="F40" s="84">
        <v>81700</v>
      </c>
      <c r="G40" s="84">
        <v>5773467</v>
      </c>
    </row>
    <row r="41" spans="1:7" ht="12.75">
      <c r="A41" s="502">
        <v>31</v>
      </c>
      <c r="B41" s="103" t="s">
        <v>1021</v>
      </c>
      <c r="C41" s="103" t="s">
        <v>961</v>
      </c>
      <c r="D41" s="103" t="s">
        <v>927</v>
      </c>
      <c r="E41" s="103">
        <v>113</v>
      </c>
      <c r="F41" s="1126">
        <v>81700</v>
      </c>
      <c r="G41" s="84">
        <v>3022900</v>
      </c>
    </row>
    <row r="42" spans="1:7" ht="12.75">
      <c r="A42" s="1131">
        <v>32</v>
      </c>
      <c r="B42" s="1600" t="s">
        <v>1022</v>
      </c>
      <c r="C42" s="1601"/>
      <c r="D42" s="1601"/>
      <c r="E42" s="1601"/>
      <c r="F42" s="1601"/>
      <c r="G42" s="1602"/>
    </row>
    <row r="43" spans="1:7" ht="25.5">
      <c r="A43" s="502">
        <v>33</v>
      </c>
      <c r="B43" s="103" t="s">
        <v>1023</v>
      </c>
      <c r="C43" s="104" t="s">
        <v>962</v>
      </c>
      <c r="D43" s="103" t="s">
        <v>927</v>
      </c>
      <c r="E43" s="103">
        <v>4</v>
      </c>
      <c r="F43" s="84">
        <v>401000</v>
      </c>
      <c r="G43" s="84">
        <v>1002500</v>
      </c>
    </row>
    <row r="44" spans="1:7" ht="25.5">
      <c r="A44" s="502" t="s">
        <v>126</v>
      </c>
      <c r="B44" s="103" t="s">
        <v>1054</v>
      </c>
      <c r="C44" s="104" t="s">
        <v>1055</v>
      </c>
      <c r="D44" s="103" t="s">
        <v>927</v>
      </c>
      <c r="E44" s="103">
        <v>1</v>
      </c>
      <c r="F44" s="84">
        <v>367584</v>
      </c>
      <c r="G44" s="84">
        <v>367584</v>
      </c>
    </row>
    <row r="45" spans="1:7" ht="31.5">
      <c r="A45" s="1121">
        <v>35</v>
      </c>
      <c r="B45" s="1122" t="s">
        <v>963</v>
      </c>
      <c r="C45" s="1123" t="s">
        <v>964</v>
      </c>
      <c r="D45" s="1122" t="s">
        <v>889</v>
      </c>
      <c r="E45" s="1122"/>
      <c r="F45" s="1148"/>
      <c r="G45" s="1124">
        <f>SUM(G35+G36+G37+G38+G40+G41+G43)+G44</f>
        <v>69644151</v>
      </c>
    </row>
    <row r="46" spans="1:9" s="208" customFormat="1" ht="12.75">
      <c r="A46" s="1127">
        <v>36</v>
      </c>
      <c r="B46" s="1128" t="s">
        <v>965</v>
      </c>
      <c r="C46" s="1129" t="s">
        <v>966</v>
      </c>
      <c r="D46" s="1128" t="s">
        <v>889</v>
      </c>
      <c r="E46" s="1128"/>
      <c r="F46" s="87"/>
      <c r="G46" s="67">
        <v>5194000</v>
      </c>
      <c r="I46" s="1130"/>
    </row>
    <row r="47" spans="1:7" ht="12.75">
      <c r="A47" s="1131">
        <v>37</v>
      </c>
      <c r="B47" s="1600" t="s">
        <v>967</v>
      </c>
      <c r="C47" s="1601"/>
      <c r="D47" s="1601"/>
      <c r="E47" s="1601"/>
      <c r="F47" s="1601"/>
      <c r="G47" s="1602"/>
    </row>
    <row r="48" spans="1:9" s="528" customFormat="1" ht="25.5" customHeight="1">
      <c r="A48" s="502">
        <v>38</v>
      </c>
      <c r="B48" s="1144" t="s">
        <v>968</v>
      </c>
      <c r="C48" s="1144" t="s">
        <v>969</v>
      </c>
      <c r="D48" s="1607" t="s">
        <v>970</v>
      </c>
      <c r="E48" s="1608"/>
      <c r="F48" s="1145">
        <v>3400000</v>
      </c>
      <c r="G48" s="1145">
        <v>17000000</v>
      </c>
      <c r="I48" s="1146"/>
    </row>
    <row r="49" spans="1:7" ht="12.75">
      <c r="A49" s="1131">
        <v>39</v>
      </c>
      <c r="B49" s="1600" t="s">
        <v>971</v>
      </c>
      <c r="C49" s="1601"/>
      <c r="D49" s="1601"/>
      <c r="E49" s="1601"/>
      <c r="F49" s="1601"/>
      <c r="G49" s="1602"/>
    </row>
    <row r="50" spans="1:7" ht="12.75">
      <c r="A50" s="502">
        <v>40</v>
      </c>
      <c r="B50" s="103" t="s">
        <v>1024</v>
      </c>
      <c r="C50" s="103" t="s">
        <v>1025</v>
      </c>
      <c r="D50" s="103" t="s">
        <v>927</v>
      </c>
      <c r="E50" s="103">
        <v>8.43</v>
      </c>
      <c r="F50" s="84">
        <v>1900000</v>
      </c>
      <c r="G50" s="84">
        <v>15808000</v>
      </c>
    </row>
    <row r="51" spans="1:7" ht="12.75">
      <c r="A51" s="502">
        <v>41</v>
      </c>
      <c r="B51" s="103" t="s">
        <v>972</v>
      </c>
      <c r="C51" s="103" t="s">
        <v>973</v>
      </c>
      <c r="D51" s="103" t="s">
        <v>889</v>
      </c>
      <c r="E51" s="103">
        <v>0</v>
      </c>
      <c r="F51" s="84"/>
      <c r="G51" s="84">
        <v>12677768</v>
      </c>
    </row>
    <row r="52" spans="1:7" ht="12.75">
      <c r="A52" s="1144">
        <v>42</v>
      </c>
      <c r="B52" s="1600" t="s">
        <v>1026</v>
      </c>
      <c r="C52" s="1601"/>
      <c r="D52" s="1601"/>
      <c r="E52" s="1601"/>
      <c r="F52" s="1601"/>
      <c r="G52" s="1602"/>
    </row>
    <row r="53" spans="1:11" ht="12.75">
      <c r="A53" s="502">
        <v>43</v>
      </c>
      <c r="B53" s="103" t="s">
        <v>1027</v>
      </c>
      <c r="C53" s="103" t="s">
        <v>1028</v>
      </c>
      <c r="D53" s="103" t="s">
        <v>927</v>
      </c>
      <c r="E53" s="103">
        <v>3</v>
      </c>
      <c r="F53" s="84">
        <v>2993000</v>
      </c>
      <c r="G53" s="84">
        <v>8979000</v>
      </c>
      <c r="K53" s="52"/>
    </row>
    <row r="54" spans="1:11" ht="12.75">
      <c r="A54" s="502">
        <v>44</v>
      </c>
      <c r="B54" s="103" t="s">
        <v>1029</v>
      </c>
      <c r="C54" s="103" t="s">
        <v>1030</v>
      </c>
      <c r="D54" s="103" t="s">
        <v>889</v>
      </c>
      <c r="E54" s="103"/>
      <c r="F54" s="84"/>
      <c r="G54" s="84">
        <v>0</v>
      </c>
      <c r="K54" s="52"/>
    </row>
    <row r="55" spans="1:9" s="991" customFormat="1" ht="31.5">
      <c r="A55" s="1121">
        <v>45</v>
      </c>
      <c r="B55" s="1147" t="s">
        <v>174</v>
      </c>
      <c r="C55" s="1123" t="s">
        <v>974</v>
      </c>
      <c r="D55" s="1122" t="s">
        <v>889</v>
      </c>
      <c r="E55" s="1122"/>
      <c r="F55" s="1148"/>
      <c r="G55" s="1124">
        <f>SUM(G46+G48+G50+G51+G53+G54)</f>
        <v>59658768</v>
      </c>
      <c r="I55" s="52"/>
    </row>
    <row r="56" spans="1:7" ht="12.75">
      <c r="A56" s="1131">
        <v>46</v>
      </c>
      <c r="B56" s="1600" t="s">
        <v>975</v>
      </c>
      <c r="C56" s="1601"/>
      <c r="D56" s="1601"/>
      <c r="E56" s="1601"/>
      <c r="F56" s="1601"/>
      <c r="G56" s="1602"/>
    </row>
    <row r="57" spans="1:7" ht="38.25">
      <c r="A57" s="502">
        <v>47</v>
      </c>
      <c r="B57" s="103" t="s">
        <v>977</v>
      </c>
      <c r="C57" s="104" t="s">
        <v>978</v>
      </c>
      <c r="D57" s="103" t="s">
        <v>976</v>
      </c>
      <c r="E57" s="103"/>
      <c r="F57" s="84">
        <v>1210</v>
      </c>
      <c r="G57" s="84">
        <v>4261620</v>
      </c>
    </row>
    <row r="58" spans="1:7" ht="15.75">
      <c r="A58" s="1121">
        <v>48</v>
      </c>
      <c r="B58" s="1122" t="s">
        <v>184</v>
      </c>
      <c r="C58" s="1122" t="s">
        <v>979</v>
      </c>
      <c r="D58" s="1122" t="s">
        <v>976</v>
      </c>
      <c r="E58" s="1122"/>
      <c r="F58" s="1148"/>
      <c r="G58" s="1124">
        <f>SUM(G57)</f>
        <v>4261620</v>
      </c>
    </row>
  </sheetData>
  <sheetProtection selectLockedCells="1" selectUnlockedCells="1"/>
  <mergeCells count="13">
    <mergeCell ref="B49:G49"/>
    <mergeCell ref="B52:G52"/>
    <mergeCell ref="C3:F3"/>
    <mergeCell ref="B56:G56"/>
    <mergeCell ref="F1:G1"/>
    <mergeCell ref="A2:G2"/>
    <mergeCell ref="A4:G4"/>
    <mergeCell ref="A12:G12"/>
    <mergeCell ref="B34:G34"/>
    <mergeCell ref="B39:G39"/>
    <mergeCell ref="B42:G42"/>
    <mergeCell ref="B47:G47"/>
    <mergeCell ref="D48:E48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O27"/>
  <sheetViews>
    <sheetView view="pageBreakPreview" zoomScaleSheetLayoutView="100" zoomScalePageLayoutView="0" workbookViewId="0" topLeftCell="A1">
      <selection activeCell="B3" sqref="B3:F3"/>
    </sheetView>
  </sheetViews>
  <sheetFormatPr defaultColWidth="9.140625" defaultRowHeight="12.75"/>
  <cols>
    <col min="1" max="1" width="7.28125" style="0" customWidth="1"/>
    <col min="2" max="2" width="17.140625" style="0" customWidth="1"/>
    <col min="3" max="3" width="29.57421875" style="0" customWidth="1"/>
    <col min="4" max="4" width="18.7109375" style="0" customWidth="1"/>
    <col min="5" max="5" width="11.00390625" style="0" customWidth="1"/>
  </cols>
  <sheetData>
    <row r="1" spans="1:15" ht="15.75" customHeight="1">
      <c r="A1" s="1609" t="s">
        <v>980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1609"/>
      <c r="N1" s="1609"/>
      <c r="O1" s="1609"/>
    </row>
    <row r="2" spans="1:15" ht="15.75" customHeight="1">
      <c r="A2" s="1610"/>
      <c r="B2" s="1610"/>
      <c r="C2" s="1610"/>
      <c r="D2" s="1610"/>
      <c r="E2" s="1610"/>
      <c r="F2" s="1098"/>
      <c r="G2" s="1098"/>
      <c r="H2" s="1098"/>
      <c r="I2" s="1098"/>
      <c r="J2" s="1098"/>
      <c r="K2" s="1098"/>
      <c r="L2" s="1098"/>
      <c r="M2" s="1098"/>
      <c r="N2" s="1098"/>
      <c r="O2" s="1098"/>
    </row>
    <row r="3" spans="2:6" ht="18" customHeight="1">
      <c r="B3" s="1605" t="s">
        <v>1226</v>
      </c>
      <c r="C3" s="1605"/>
      <c r="D3" s="1605"/>
      <c r="E3" s="1605"/>
      <c r="F3" s="1605"/>
    </row>
    <row r="4" ht="18" customHeight="1">
      <c r="F4" s="1132"/>
    </row>
    <row r="5" spans="2:15" ht="37.5" customHeight="1">
      <c r="B5" s="1501" t="s">
        <v>981</v>
      </c>
      <c r="C5" s="1501"/>
      <c r="D5" s="1501"/>
      <c r="E5" s="1501"/>
      <c r="F5" s="1501"/>
      <c r="G5" s="1501"/>
      <c r="H5" s="1501"/>
      <c r="I5" s="1501"/>
      <c r="J5" s="1501"/>
      <c r="K5" s="1501"/>
      <c r="L5" s="1501"/>
      <c r="M5" s="1501"/>
      <c r="N5" s="1501"/>
      <c r="O5" s="1501"/>
    </row>
    <row r="6" spans="2:15" ht="12.75"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</row>
    <row r="8" spans="14:15" ht="12.75">
      <c r="N8" s="1611" t="s">
        <v>155</v>
      </c>
      <c r="O8" s="1611"/>
    </row>
    <row r="9" spans="1:15" ht="14.25" customHeight="1">
      <c r="A9" s="1612" t="s">
        <v>33</v>
      </c>
      <c r="B9" s="1595" t="s">
        <v>982</v>
      </c>
      <c r="C9" s="1613" t="s">
        <v>983</v>
      </c>
      <c r="D9" s="1595" t="s">
        <v>984</v>
      </c>
      <c r="E9" s="1613" t="s">
        <v>985</v>
      </c>
      <c r="F9" s="1614"/>
      <c r="G9" s="1614"/>
      <c r="H9" s="1614"/>
      <c r="I9" s="1614"/>
      <c r="J9" s="1614"/>
      <c r="K9" s="1614"/>
      <c r="L9" s="1614"/>
      <c r="M9" s="1614"/>
      <c r="N9" s="1614"/>
      <c r="O9" s="1614"/>
    </row>
    <row r="10" spans="1:15" ht="12.75">
      <c r="A10" s="1612"/>
      <c r="B10" s="1595"/>
      <c r="C10" s="1613"/>
      <c r="D10" s="1595"/>
      <c r="E10" s="1613"/>
      <c r="F10" s="1134" t="s">
        <v>986</v>
      </c>
      <c r="G10" s="1134">
        <v>2019</v>
      </c>
      <c r="H10" s="1134">
        <v>2020</v>
      </c>
      <c r="I10" s="1134">
        <v>2021</v>
      </c>
      <c r="J10" s="1134">
        <v>2022</v>
      </c>
      <c r="K10" s="1134">
        <v>2023</v>
      </c>
      <c r="L10" s="1134">
        <v>2024</v>
      </c>
      <c r="M10" s="1134">
        <v>2025</v>
      </c>
      <c r="N10" s="1134">
        <v>2026</v>
      </c>
      <c r="O10" s="1134">
        <v>2027</v>
      </c>
    </row>
    <row r="11" spans="1:15" ht="12.75">
      <c r="A11" s="1612"/>
      <c r="B11" s="1135" t="s">
        <v>159</v>
      </c>
      <c r="C11" s="1136" t="s">
        <v>160</v>
      </c>
      <c r="D11" s="1135" t="s">
        <v>161</v>
      </c>
      <c r="E11" s="1136" t="s">
        <v>162</v>
      </c>
      <c r="F11" s="1136" t="s">
        <v>479</v>
      </c>
      <c r="G11" s="1136" t="s">
        <v>499</v>
      </c>
      <c r="H11" s="1136" t="s">
        <v>745</v>
      </c>
      <c r="I11" s="1136" t="s">
        <v>826</v>
      </c>
      <c r="J11" s="1136" t="s">
        <v>830</v>
      </c>
      <c r="K11" s="1136" t="s">
        <v>987</v>
      </c>
      <c r="L11" s="1136" t="s">
        <v>988</v>
      </c>
      <c r="M11" s="1136" t="s">
        <v>989</v>
      </c>
      <c r="N11" s="1136" t="s">
        <v>990</v>
      </c>
      <c r="O11" s="1136" t="s">
        <v>991</v>
      </c>
    </row>
    <row r="12" spans="1:15" ht="12.75">
      <c r="A12" s="210" t="s">
        <v>38</v>
      </c>
      <c r="B12" s="104"/>
      <c r="C12" s="103"/>
      <c r="D12" s="103">
        <v>0</v>
      </c>
      <c r="E12" s="103"/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</row>
    <row r="15" ht="12.75">
      <c r="B15" t="s">
        <v>992</v>
      </c>
    </row>
    <row r="16" spans="1:15" ht="14.25" customHeight="1">
      <c r="A16" s="1615" t="s">
        <v>33</v>
      </c>
      <c r="B16" s="1616" t="s">
        <v>217</v>
      </c>
      <c r="C16" s="1616"/>
      <c r="D16" s="1616"/>
      <c r="E16" s="1616"/>
      <c r="F16" s="1617" t="s">
        <v>992</v>
      </c>
      <c r="G16" s="1617"/>
      <c r="H16" s="1617"/>
      <c r="I16" s="1617"/>
      <c r="J16" s="1617"/>
      <c r="K16" s="1617"/>
      <c r="L16" s="1617"/>
      <c r="M16" s="1617"/>
      <c r="N16" s="1617"/>
      <c r="O16" s="1617"/>
    </row>
    <row r="17" spans="1:15" ht="12.75">
      <c r="A17" s="1615"/>
      <c r="B17" s="1616"/>
      <c r="C17" s="1616"/>
      <c r="D17" s="1616"/>
      <c r="E17" s="1616"/>
      <c r="F17" s="1137" t="s">
        <v>993</v>
      </c>
      <c r="G17" s="1137">
        <v>2019</v>
      </c>
      <c r="H17" s="1137">
        <v>2020</v>
      </c>
      <c r="I17" s="1137">
        <v>2021</v>
      </c>
      <c r="J17" s="1137">
        <v>2022</v>
      </c>
      <c r="K17" s="1137">
        <v>2023</v>
      </c>
      <c r="L17" s="1137">
        <v>2024</v>
      </c>
      <c r="M17" s="1137">
        <v>2025</v>
      </c>
      <c r="N17" s="1137">
        <v>2026</v>
      </c>
      <c r="O17" s="1137">
        <v>2027</v>
      </c>
    </row>
    <row r="18" spans="1:15" ht="14.25" customHeight="1">
      <c r="A18" s="1615"/>
      <c r="B18" s="1595" t="s">
        <v>159</v>
      </c>
      <c r="C18" s="1595"/>
      <c r="D18" s="1595"/>
      <c r="E18" s="1595"/>
      <c r="F18" s="1103" t="s">
        <v>160</v>
      </c>
      <c r="G18" s="1103" t="s">
        <v>161</v>
      </c>
      <c r="H18" s="1103" t="s">
        <v>162</v>
      </c>
      <c r="I18" s="1103" t="s">
        <v>479</v>
      </c>
      <c r="J18" s="1103" t="s">
        <v>499</v>
      </c>
      <c r="K18" s="1103" t="s">
        <v>745</v>
      </c>
      <c r="L18" s="1103" t="s">
        <v>826</v>
      </c>
      <c r="M18" s="1103" t="s">
        <v>830</v>
      </c>
      <c r="N18" s="1103" t="s">
        <v>987</v>
      </c>
      <c r="O18" s="1103" t="s">
        <v>988</v>
      </c>
    </row>
    <row r="19" spans="1:15" ht="14.25" customHeight="1">
      <c r="A19" s="1138" t="s">
        <v>38</v>
      </c>
      <c r="B19" s="1618" t="s">
        <v>39</v>
      </c>
      <c r="C19" s="1618"/>
      <c r="D19" s="1618"/>
      <c r="E19" s="1618"/>
      <c r="F19" s="1139"/>
      <c r="G19" s="1139"/>
      <c r="H19" s="1139"/>
      <c r="I19" s="1139"/>
      <c r="J19" s="1139"/>
      <c r="K19" s="1139"/>
      <c r="L19" s="1139"/>
      <c r="M19" s="1139"/>
      <c r="N19" s="1139"/>
      <c r="O19" s="1139"/>
    </row>
    <row r="20" spans="1:15" ht="14.25" customHeight="1">
      <c r="A20" s="1138" t="s">
        <v>40</v>
      </c>
      <c r="B20" s="1620" t="s">
        <v>994</v>
      </c>
      <c r="C20" s="1620"/>
      <c r="D20" s="1620"/>
      <c r="E20" s="1620"/>
      <c r="F20" s="1140"/>
      <c r="G20" s="1140"/>
      <c r="H20" s="1140"/>
      <c r="I20" s="1140"/>
      <c r="J20" s="1140"/>
      <c r="K20" s="1140"/>
      <c r="L20" s="1140"/>
      <c r="M20" s="1140"/>
      <c r="N20" s="1140"/>
      <c r="O20" s="1140"/>
    </row>
    <row r="21" spans="1:15" ht="14.25" customHeight="1">
      <c r="A21" s="1138" t="s">
        <v>47</v>
      </c>
      <c r="B21" s="1620" t="s">
        <v>995</v>
      </c>
      <c r="C21" s="1620"/>
      <c r="D21" s="1620"/>
      <c r="E21" s="1620"/>
      <c r="F21" s="1140"/>
      <c r="G21" s="1140"/>
      <c r="H21" s="1140"/>
      <c r="I21" s="1140"/>
      <c r="J21" s="1140"/>
      <c r="K21" s="1140"/>
      <c r="L21" s="1140"/>
      <c r="M21" s="1140"/>
      <c r="N21" s="1140"/>
      <c r="O21" s="1140"/>
    </row>
    <row r="22" spans="1:15" ht="26.25" customHeight="1">
      <c r="A22" s="1138" t="s">
        <v>49</v>
      </c>
      <c r="B22" s="1620" t="s">
        <v>996</v>
      </c>
      <c r="C22" s="1620"/>
      <c r="D22" s="1620"/>
      <c r="E22" s="1620"/>
      <c r="F22" s="1140"/>
      <c r="G22" s="1140"/>
      <c r="H22" s="1140"/>
      <c r="I22" s="1140"/>
      <c r="J22" s="1140"/>
      <c r="K22" s="1140"/>
      <c r="L22" s="1140"/>
      <c r="M22" s="1140"/>
      <c r="N22" s="1140"/>
      <c r="O22" s="1140"/>
    </row>
    <row r="23" spans="1:15" ht="14.25" customHeight="1">
      <c r="A23" s="1138" t="s">
        <v>51</v>
      </c>
      <c r="B23" s="1620" t="s">
        <v>997</v>
      </c>
      <c r="C23" s="1620"/>
      <c r="D23" s="1620"/>
      <c r="E23" s="1620"/>
      <c r="F23" s="1140"/>
      <c r="G23" s="1140"/>
      <c r="H23" s="1140"/>
      <c r="I23" s="1140"/>
      <c r="J23" s="1140"/>
      <c r="K23" s="1140"/>
      <c r="L23" s="1140"/>
      <c r="M23" s="1140"/>
      <c r="N23" s="1140"/>
      <c r="O23" s="1140"/>
    </row>
    <row r="24" spans="1:15" ht="14.25" customHeight="1">
      <c r="A24" s="1138" t="s">
        <v>53</v>
      </c>
      <c r="B24" s="1620" t="s">
        <v>998</v>
      </c>
      <c r="C24" s="1620"/>
      <c r="D24" s="1620"/>
      <c r="E24" s="1620"/>
      <c r="F24" s="1140"/>
      <c r="G24" s="1140"/>
      <c r="H24" s="1140"/>
      <c r="I24" s="1140"/>
      <c r="J24" s="1140"/>
      <c r="K24" s="1140"/>
      <c r="L24" s="1140"/>
      <c r="M24" s="1140"/>
      <c r="N24" s="1140"/>
      <c r="O24" s="1140"/>
    </row>
    <row r="25" spans="1:15" ht="14.25" customHeight="1">
      <c r="A25" s="1138" t="s">
        <v>55</v>
      </c>
      <c r="B25" s="1620" t="s">
        <v>999</v>
      </c>
      <c r="C25" s="1620"/>
      <c r="D25" s="1620"/>
      <c r="E25" s="1620"/>
      <c r="F25" s="1140"/>
      <c r="G25" s="1140"/>
      <c r="H25" s="1140"/>
      <c r="I25" s="1140"/>
      <c r="J25" s="1140"/>
      <c r="K25" s="1140"/>
      <c r="L25" s="1140"/>
      <c r="M25" s="1140"/>
      <c r="N25" s="1140"/>
      <c r="O25" s="1140"/>
    </row>
    <row r="26" spans="1:15" ht="14.25" customHeight="1">
      <c r="A26" s="1138" t="s">
        <v>57</v>
      </c>
      <c r="B26" s="1619" t="s">
        <v>1000</v>
      </c>
      <c r="C26" s="1619"/>
      <c r="D26" s="1619"/>
      <c r="E26" s="1619"/>
      <c r="F26" s="1141">
        <f aca="true" t="shared" si="0" ref="F26:O26">SUM(F19:F25)</f>
        <v>0</v>
      </c>
      <c r="G26" s="1141">
        <f t="shared" si="0"/>
        <v>0</v>
      </c>
      <c r="H26" s="1141">
        <f t="shared" si="0"/>
        <v>0</v>
      </c>
      <c r="I26" s="1141">
        <f t="shared" si="0"/>
        <v>0</v>
      </c>
      <c r="J26" s="1141">
        <f t="shared" si="0"/>
        <v>0</v>
      </c>
      <c r="K26" s="1141">
        <f t="shared" si="0"/>
        <v>0</v>
      </c>
      <c r="L26" s="1141">
        <f t="shared" si="0"/>
        <v>0</v>
      </c>
      <c r="M26" s="1141">
        <f t="shared" si="0"/>
        <v>0</v>
      </c>
      <c r="N26" s="1141">
        <f t="shared" si="0"/>
        <v>0</v>
      </c>
      <c r="O26" s="1141">
        <f t="shared" si="0"/>
        <v>0</v>
      </c>
    </row>
    <row r="27" spans="1:15" ht="14.25" customHeight="1">
      <c r="A27" s="1138" t="s">
        <v>86</v>
      </c>
      <c r="B27" s="1619" t="s">
        <v>1001</v>
      </c>
      <c r="C27" s="1619"/>
      <c r="D27" s="1619"/>
      <c r="E27" s="1619"/>
      <c r="F27" s="1142">
        <f aca="true" t="shared" si="1" ref="F27:O27">F26/2</f>
        <v>0</v>
      </c>
      <c r="G27" s="1142">
        <f t="shared" si="1"/>
        <v>0</v>
      </c>
      <c r="H27" s="1142">
        <f t="shared" si="1"/>
        <v>0</v>
      </c>
      <c r="I27" s="1142">
        <f t="shared" si="1"/>
        <v>0</v>
      </c>
      <c r="J27" s="1142">
        <f t="shared" si="1"/>
        <v>0</v>
      </c>
      <c r="K27" s="1142">
        <f t="shared" si="1"/>
        <v>0</v>
      </c>
      <c r="L27" s="1142">
        <f t="shared" si="1"/>
        <v>0</v>
      </c>
      <c r="M27" s="1142">
        <f t="shared" si="1"/>
        <v>0</v>
      </c>
      <c r="N27" s="1142">
        <f t="shared" si="1"/>
        <v>0</v>
      </c>
      <c r="O27" s="1142">
        <f t="shared" si="1"/>
        <v>0</v>
      </c>
    </row>
  </sheetData>
  <sheetProtection selectLockedCells="1" selectUnlockedCells="1"/>
  <mergeCells count="24">
    <mergeCell ref="B26:E26"/>
    <mergeCell ref="B27:E27"/>
    <mergeCell ref="B20:E20"/>
    <mergeCell ref="B21:E21"/>
    <mergeCell ref="B22:E22"/>
    <mergeCell ref="B23:E23"/>
    <mergeCell ref="B24:E24"/>
    <mergeCell ref="B25:E25"/>
    <mergeCell ref="F9:O9"/>
    <mergeCell ref="A16:A18"/>
    <mergeCell ref="B16:E17"/>
    <mergeCell ref="F16:O16"/>
    <mergeCell ref="B18:E18"/>
    <mergeCell ref="B19:E19"/>
    <mergeCell ref="A1:O1"/>
    <mergeCell ref="A2:E2"/>
    <mergeCell ref="B3:F3"/>
    <mergeCell ref="B5:O5"/>
    <mergeCell ref="N8:O8"/>
    <mergeCell ref="A9:A11"/>
    <mergeCell ref="B9:B10"/>
    <mergeCell ref="C9:C10"/>
    <mergeCell ref="D9:D10"/>
    <mergeCell ref="E9:E10"/>
  </mergeCells>
  <printOptions/>
  <pageMargins left="0.7" right="0.7" top="0.75" bottom="0.75" header="0.5118055555555555" footer="0.5118055555555555"/>
  <pageSetup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IV47"/>
  <sheetViews>
    <sheetView view="pageBreakPreview" zoomScaleSheetLayoutView="100" zoomScalePageLayoutView="0" workbookViewId="0" topLeftCell="A1">
      <selection activeCell="H15" sqref="H15"/>
    </sheetView>
  </sheetViews>
  <sheetFormatPr defaultColWidth="11.7109375" defaultRowHeight="12.75" customHeight="1"/>
  <cols>
    <col min="1" max="1" width="7.57421875" style="79" customWidth="1"/>
    <col min="2" max="2" width="36.8515625" style="5" customWidth="1"/>
    <col min="3" max="6" width="20.57421875" style="5" bestFit="1" customWidth="1"/>
    <col min="7" max="16384" width="11.7109375" style="5" customWidth="1"/>
  </cols>
  <sheetData>
    <row r="1" spans="1:6" s="96" customFormat="1" ht="25.5" customHeight="1">
      <c r="A1" s="1593" t="s">
        <v>500</v>
      </c>
      <c r="B1" s="1593"/>
      <c r="C1" s="1593"/>
      <c r="D1" s="1593"/>
      <c r="E1" s="1593"/>
      <c r="F1" s="1593"/>
    </row>
    <row r="2" spans="1:6" ht="12.75" customHeight="1">
      <c r="A2" s="1597" t="s">
        <v>1226</v>
      </c>
      <c r="B2" s="1597"/>
      <c r="C2" s="1597"/>
      <c r="D2" s="1597"/>
      <c r="E2" s="1597"/>
      <c r="F2" s="1597"/>
    </row>
    <row r="3" spans="1:6" ht="12.75" customHeight="1">
      <c r="A3" s="1932" t="s">
        <v>1227</v>
      </c>
      <c r="B3" s="1932"/>
      <c r="C3" s="1932"/>
      <c r="D3" s="1932"/>
      <c r="E3" s="1932"/>
      <c r="F3" s="1924" t="s">
        <v>1233</v>
      </c>
    </row>
    <row r="4" spans="1:6" ht="12.75" customHeight="1">
      <c r="A4" s="1932"/>
      <c r="B4" s="1932"/>
      <c r="C4" s="1932"/>
      <c r="D4" s="1932"/>
      <c r="E4" s="1932"/>
      <c r="F4" s="1924"/>
    </row>
    <row r="5" spans="1:256" ht="12.75" customHeight="1">
      <c r="A5" s="1604" t="s">
        <v>73</v>
      </c>
      <c r="B5" s="1604"/>
      <c r="C5" s="1604"/>
      <c r="D5" s="1604"/>
      <c r="E5" s="1604"/>
      <c r="F5" s="160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604" t="s">
        <v>1032</v>
      </c>
      <c r="B6" s="1604"/>
      <c r="C6" s="1604"/>
      <c r="D6" s="1604"/>
      <c r="E6" s="1604"/>
      <c r="F6" s="160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11"/>
      <c r="B7" s="211"/>
      <c r="C7" s="212"/>
      <c r="D7" s="212"/>
      <c r="E7" s="212"/>
      <c r="F7" s="21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13"/>
      <c r="B8"/>
      <c r="C8"/>
      <c r="D8" s="1621" t="s">
        <v>216</v>
      </c>
      <c r="E8" s="1621"/>
      <c r="F8" s="162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595" t="s">
        <v>33</v>
      </c>
      <c r="B9" s="209" t="s">
        <v>24</v>
      </c>
      <c r="C9" s="201" t="s">
        <v>501</v>
      </c>
      <c r="D9" s="201" t="s">
        <v>502</v>
      </c>
      <c r="E9" s="201" t="s">
        <v>503</v>
      </c>
      <c r="F9" s="201" t="s">
        <v>1031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595"/>
      <c r="B10" s="209" t="s">
        <v>159</v>
      </c>
      <c r="C10" s="201" t="s">
        <v>160</v>
      </c>
      <c r="D10" s="201" t="s">
        <v>161</v>
      </c>
      <c r="E10" s="201" t="s">
        <v>162</v>
      </c>
      <c r="F10" s="201" t="s">
        <v>479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7" customHeight="1">
      <c r="A11" s="214" t="s">
        <v>38</v>
      </c>
      <c r="B11" s="662" t="s">
        <v>166</v>
      </c>
      <c r="C11" s="215">
        <v>211972234</v>
      </c>
      <c r="D11" s="215">
        <v>198000000</v>
      </c>
      <c r="E11" s="215">
        <v>198000000</v>
      </c>
      <c r="F11" s="215">
        <v>198000000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8" customFormat="1" ht="27" customHeight="1">
      <c r="A12" s="219" t="s">
        <v>40</v>
      </c>
      <c r="B12" s="220" t="s">
        <v>168</v>
      </c>
      <c r="C12" s="215">
        <v>14182798</v>
      </c>
      <c r="D12" s="215">
        <v>0</v>
      </c>
      <c r="E12" s="215">
        <v>0</v>
      </c>
      <c r="F12" s="215"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68" customFormat="1" ht="12.75" customHeight="1">
      <c r="A13" s="214" t="s">
        <v>47</v>
      </c>
      <c r="B13" s="218" t="s">
        <v>175</v>
      </c>
      <c r="C13" s="215">
        <v>186676160</v>
      </c>
      <c r="D13" s="215">
        <f>SUM(D14:D18)</f>
        <v>150185000</v>
      </c>
      <c r="E13" s="215">
        <f>SUM(E14:E18)</f>
        <v>150185000</v>
      </c>
      <c r="F13" s="215">
        <f>SUM(F14:F18)</f>
        <v>150185000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667" customFormat="1" ht="12.75" customHeight="1">
      <c r="A14" s="663" t="s">
        <v>49</v>
      </c>
      <c r="B14" s="669" t="s">
        <v>706</v>
      </c>
      <c r="C14" s="665">
        <v>8127945</v>
      </c>
      <c r="D14" s="665">
        <v>6685000</v>
      </c>
      <c r="E14" s="665">
        <v>6685000</v>
      </c>
      <c r="F14" s="665">
        <v>6685000</v>
      </c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  <c r="AM14" s="666"/>
      <c r="AN14" s="666"/>
      <c r="AO14" s="666"/>
      <c r="AP14" s="666"/>
      <c r="AQ14" s="666"/>
      <c r="AR14" s="666"/>
      <c r="AS14" s="666"/>
      <c r="AT14" s="666"/>
      <c r="AU14" s="666"/>
      <c r="AV14" s="666"/>
      <c r="AW14" s="666"/>
      <c r="AX14" s="666"/>
      <c r="AY14" s="666"/>
      <c r="AZ14" s="666"/>
      <c r="BA14" s="666"/>
      <c r="BB14" s="666"/>
      <c r="BC14" s="666"/>
      <c r="BD14" s="666"/>
      <c r="BE14" s="666"/>
      <c r="BF14" s="666"/>
      <c r="BG14" s="666"/>
      <c r="BH14" s="666"/>
      <c r="BI14" s="666"/>
      <c r="BJ14" s="666"/>
      <c r="BK14" s="666"/>
      <c r="BL14" s="666"/>
      <c r="BM14" s="666"/>
      <c r="BN14" s="666"/>
      <c r="BO14" s="666"/>
      <c r="BP14" s="666"/>
      <c r="BQ14" s="666"/>
      <c r="BR14" s="666"/>
      <c r="BS14" s="666"/>
      <c r="BT14" s="666"/>
      <c r="BU14" s="666"/>
      <c r="BV14" s="666"/>
      <c r="BW14" s="666"/>
      <c r="BX14" s="666"/>
      <c r="BY14" s="666"/>
      <c r="BZ14" s="666"/>
      <c r="CA14" s="666"/>
      <c r="CB14" s="666"/>
      <c r="CC14" s="666"/>
      <c r="CD14" s="666"/>
      <c r="CE14" s="666"/>
      <c r="CF14" s="666"/>
      <c r="CG14" s="666"/>
      <c r="CH14" s="666"/>
      <c r="CI14" s="666"/>
      <c r="CJ14" s="666"/>
      <c r="CK14" s="666"/>
      <c r="CL14" s="666"/>
      <c r="CM14" s="666"/>
      <c r="CN14" s="666"/>
      <c r="CO14" s="666"/>
      <c r="CP14" s="666"/>
      <c r="CQ14" s="666"/>
      <c r="CR14" s="666"/>
      <c r="CS14" s="666"/>
      <c r="CT14" s="666"/>
      <c r="CU14" s="666"/>
      <c r="CV14" s="666"/>
      <c r="CW14" s="666"/>
      <c r="CX14" s="666"/>
      <c r="CY14" s="666"/>
      <c r="CZ14" s="666"/>
      <c r="DA14" s="666"/>
      <c r="DB14" s="666"/>
      <c r="DC14" s="666"/>
      <c r="DD14" s="666"/>
      <c r="DE14" s="666"/>
      <c r="DF14" s="666"/>
      <c r="DG14" s="666"/>
      <c r="DH14" s="666"/>
      <c r="DI14" s="666"/>
      <c r="DJ14" s="666"/>
      <c r="DK14" s="666"/>
      <c r="DL14" s="666"/>
      <c r="DM14" s="666"/>
      <c r="DN14" s="666"/>
      <c r="DO14" s="666"/>
      <c r="DP14" s="666"/>
      <c r="DQ14" s="666"/>
      <c r="DR14" s="666"/>
      <c r="DS14" s="666"/>
      <c r="DT14" s="666"/>
      <c r="DU14" s="666"/>
      <c r="DV14" s="666"/>
      <c r="DW14" s="666"/>
      <c r="DX14" s="666"/>
      <c r="DY14" s="666"/>
      <c r="DZ14" s="666"/>
      <c r="EA14" s="666"/>
      <c r="EB14" s="666"/>
      <c r="EC14" s="666"/>
      <c r="ED14" s="666"/>
      <c r="EE14" s="666"/>
      <c r="EF14" s="666"/>
      <c r="EG14" s="666"/>
      <c r="EH14" s="666"/>
      <c r="EI14" s="666"/>
      <c r="EJ14" s="666"/>
      <c r="EK14" s="666"/>
      <c r="EL14" s="666"/>
      <c r="EM14" s="666"/>
      <c r="EN14" s="666"/>
      <c r="EO14" s="666"/>
      <c r="EP14" s="666"/>
      <c r="EQ14" s="666"/>
      <c r="ER14" s="666"/>
      <c r="ES14" s="666"/>
      <c r="ET14" s="666"/>
      <c r="EU14" s="666"/>
      <c r="EV14" s="666"/>
      <c r="EW14" s="666"/>
      <c r="EX14" s="666"/>
      <c r="EY14" s="666"/>
      <c r="EZ14" s="666"/>
      <c r="FA14" s="666"/>
      <c r="FB14" s="666"/>
      <c r="FC14" s="666"/>
      <c r="FD14" s="666"/>
      <c r="FE14" s="666"/>
      <c r="FF14" s="666"/>
      <c r="FG14" s="666"/>
      <c r="FH14" s="666"/>
      <c r="FI14" s="666"/>
      <c r="FJ14" s="666"/>
      <c r="FK14" s="666"/>
      <c r="FL14" s="666"/>
      <c r="FM14" s="666"/>
      <c r="FN14" s="666"/>
      <c r="FO14" s="666"/>
      <c r="FP14" s="666"/>
      <c r="FQ14" s="666"/>
      <c r="FR14" s="666"/>
      <c r="FS14" s="666"/>
      <c r="FT14" s="666"/>
      <c r="FU14" s="666"/>
      <c r="FV14" s="666"/>
      <c r="FW14" s="666"/>
      <c r="FX14" s="666"/>
      <c r="FY14" s="666"/>
      <c r="FZ14" s="666"/>
      <c r="GA14" s="666"/>
      <c r="GB14" s="666"/>
      <c r="GC14" s="666"/>
      <c r="GD14" s="666"/>
      <c r="GE14" s="666"/>
      <c r="GF14" s="666"/>
      <c r="GG14" s="666"/>
      <c r="GH14" s="666"/>
      <c r="GI14" s="666"/>
      <c r="GJ14" s="666"/>
      <c r="GK14" s="666"/>
      <c r="GL14" s="666"/>
      <c r="GM14" s="666"/>
      <c r="GN14" s="666"/>
      <c r="GO14" s="666"/>
      <c r="GP14" s="666"/>
      <c r="GQ14" s="666"/>
      <c r="GR14" s="666"/>
      <c r="GS14" s="666"/>
      <c r="GT14" s="666"/>
      <c r="GU14" s="666"/>
      <c r="GV14" s="666"/>
      <c r="GW14" s="666"/>
      <c r="GX14" s="666"/>
      <c r="GY14" s="666"/>
      <c r="GZ14" s="666"/>
      <c r="HA14" s="666"/>
      <c r="HB14" s="666"/>
      <c r="HC14" s="666"/>
      <c r="HD14" s="666"/>
      <c r="HE14" s="666"/>
      <c r="HF14" s="666"/>
      <c r="HG14" s="666"/>
      <c r="HH14" s="666"/>
      <c r="HI14" s="666"/>
      <c r="HJ14" s="666"/>
      <c r="HK14" s="666"/>
      <c r="HL14" s="666"/>
      <c r="HM14" s="666"/>
      <c r="HN14" s="666"/>
      <c r="HO14" s="666"/>
      <c r="HP14" s="666"/>
      <c r="HQ14" s="666"/>
      <c r="HR14" s="666"/>
      <c r="HS14" s="666"/>
      <c r="HT14" s="666"/>
      <c r="HU14" s="666"/>
      <c r="HV14" s="666"/>
      <c r="HW14" s="666"/>
      <c r="HX14" s="666"/>
      <c r="HY14" s="666"/>
      <c r="HZ14" s="666"/>
      <c r="IA14" s="666"/>
      <c r="IB14" s="666"/>
      <c r="IC14" s="666"/>
      <c r="ID14" s="666"/>
      <c r="IE14" s="666"/>
      <c r="IF14" s="666"/>
      <c r="IG14" s="666"/>
      <c r="IH14" s="666"/>
      <c r="II14" s="666"/>
      <c r="IJ14" s="666"/>
      <c r="IK14" s="666"/>
      <c r="IL14" s="666"/>
      <c r="IM14" s="666"/>
      <c r="IN14" s="666"/>
      <c r="IO14" s="666"/>
      <c r="IP14" s="666"/>
      <c r="IQ14" s="666"/>
      <c r="IR14" s="666"/>
      <c r="IS14" s="666"/>
      <c r="IT14" s="666"/>
      <c r="IU14" s="666"/>
      <c r="IV14" s="666"/>
    </row>
    <row r="15" spans="1:256" s="667" customFormat="1" ht="12.75" customHeight="1">
      <c r="A15" s="668" t="s">
        <v>51</v>
      </c>
      <c r="B15" s="664" t="s">
        <v>705</v>
      </c>
      <c r="C15" s="665">
        <v>164505470</v>
      </c>
      <c r="D15" s="665">
        <v>135000000</v>
      </c>
      <c r="E15" s="665">
        <v>135000000</v>
      </c>
      <c r="F15" s="665">
        <v>135000000</v>
      </c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  <c r="AF15" s="666"/>
      <c r="AG15" s="666"/>
      <c r="AH15" s="666"/>
      <c r="AI15" s="666"/>
      <c r="AJ15" s="666"/>
      <c r="AK15" s="666"/>
      <c r="AL15" s="666"/>
      <c r="AM15" s="666"/>
      <c r="AN15" s="666"/>
      <c r="AO15" s="666"/>
      <c r="AP15" s="666"/>
      <c r="AQ15" s="666"/>
      <c r="AR15" s="666"/>
      <c r="AS15" s="666"/>
      <c r="AT15" s="666"/>
      <c r="AU15" s="666"/>
      <c r="AV15" s="666"/>
      <c r="AW15" s="666"/>
      <c r="AX15" s="666"/>
      <c r="AY15" s="666"/>
      <c r="AZ15" s="666"/>
      <c r="BA15" s="666"/>
      <c r="BB15" s="666"/>
      <c r="BC15" s="666"/>
      <c r="BD15" s="666"/>
      <c r="BE15" s="666"/>
      <c r="BF15" s="666"/>
      <c r="BG15" s="666"/>
      <c r="BH15" s="666"/>
      <c r="BI15" s="666"/>
      <c r="BJ15" s="666"/>
      <c r="BK15" s="666"/>
      <c r="BL15" s="666"/>
      <c r="BM15" s="666"/>
      <c r="BN15" s="666"/>
      <c r="BO15" s="666"/>
      <c r="BP15" s="666"/>
      <c r="BQ15" s="666"/>
      <c r="BR15" s="666"/>
      <c r="BS15" s="666"/>
      <c r="BT15" s="666"/>
      <c r="BU15" s="666"/>
      <c r="BV15" s="666"/>
      <c r="BW15" s="666"/>
      <c r="BX15" s="666"/>
      <c r="BY15" s="666"/>
      <c r="BZ15" s="666"/>
      <c r="CA15" s="666"/>
      <c r="CB15" s="666"/>
      <c r="CC15" s="666"/>
      <c r="CD15" s="666"/>
      <c r="CE15" s="666"/>
      <c r="CF15" s="666"/>
      <c r="CG15" s="666"/>
      <c r="CH15" s="666"/>
      <c r="CI15" s="666"/>
      <c r="CJ15" s="666"/>
      <c r="CK15" s="666"/>
      <c r="CL15" s="666"/>
      <c r="CM15" s="666"/>
      <c r="CN15" s="666"/>
      <c r="CO15" s="666"/>
      <c r="CP15" s="666"/>
      <c r="CQ15" s="666"/>
      <c r="CR15" s="666"/>
      <c r="CS15" s="666"/>
      <c r="CT15" s="666"/>
      <c r="CU15" s="666"/>
      <c r="CV15" s="666"/>
      <c r="CW15" s="666"/>
      <c r="CX15" s="666"/>
      <c r="CY15" s="666"/>
      <c r="CZ15" s="666"/>
      <c r="DA15" s="666"/>
      <c r="DB15" s="666"/>
      <c r="DC15" s="666"/>
      <c r="DD15" s="666"/>
      <c r="DE15" s="666"/>
      <c r="DF15" s="666"/>
      <c r="DG15" s="666"/>
      <c r="DH15" s="666"/>
      <c r="DI15" s="666"/>
      <c r="DJ15" s="666"/>
      <c r="DK15" s="666"/>
      <c r="DL15" s="666"/>
      <c r="DM15" s="666"/>
      <c r="DN15" s="666"/>
      <c r="DO15" s="666"/>
      <c r="DP15" s="666"/>
      <c r="DQ15" s="666"/>
      <c r="DR15" s="666"/>
      <c r="DS15" s="666"/>
      <c r="DT15" s="666"/>
      <c r="DU15" s="666"/>
      <c r="DV15" s="666"/>
      <c r="DW15" s="666"/>
      <c r="DX15" s="666"/>
      <c r="DY15" s="666"/>
      <c r="DZ15" s="666"/>
      <c r="EA15" s="666"/>
      <c r="EB15" s="666"/>
      <c r="EC15" s="666"/>
      <c r="ED15" s="666"/>
      <c r="EE15" s="666"/>
      <c r="EF15" s="666"/>
      <c r="EG15" s="666"/>
      <c r="EH15" s="666"/>
      <c r="EI15" s="666"/>
      <c r="EJ15" s="666"/>
      <c r="EK15" s="666"/>
      <c r="EL15" s="666"/>
      <c r="EM15" s="666"/>
      <c r="EN15" s="666"/>
      <c r="EO15" s="666"/>
      <c r="EP15" s="666"/>
      <c r="EQ15" s="666"/>
      <c r="ER15" s="666"/>
      <c r="ES15" s="666"/>
      <c r="ET15" s="666"/>
      <c r="EU15" s="666"/>
      <c r="EV15" s="666"/>
      <c r="EW15" s="666"/>
      <c r="EX15" s="666"/>
      <c r="EY15" s="666"/>
      <c r="EZ15" s="666"/>
      <c r="FA15" s="666"/>
      <c r="FB15" s="666"/>
      <c r="FC15" s="666"/>
      <c r="FD15" s="666"/>
      <c r="FE15" s="666"/>
      <c r="FF15" s="666"/>
      <c r="FG15" s="666"/>
      <c r="FH15" s="666"/>
      <c r="FI15" s="666"/>
      <c r="FJ15" s="666"/>
      <c r="FK15" s="666"/>
      <c r="FL15" s="666"/>
      <c r="FM15" s="666"/>
      <c r="FN15" s="666"/>
      <c r="FO15" s="666"/>
      <c r="FP15" s="666"/>
      <c r="FQ15" s="666"/>
      <c r="FR15" s="666"/>
      <c r="FS15" s="666"/>
      <c r="FT15" s="666"/>
      <c r="FU15" s="666"/>
      <c r="FV15" s="666"/>
      <c r="FW15" s="666"/>
      <c r="FX15" s="666"/>
      <c r="FY15" s="666"/>
      <c r="FZ15" s="666"/>
      <c r="GA15" s="666"/>
      <c r="GB15" s="666"/>
      <c r="GC15" s="666"/>
      <c r="GD15" s="666"/>
      <c r="GE15" s="666"/>
      <c r="GF15" s="666"/>
      <c r="GG15" s="666"/>
      <c r="GH15" s="666"/>
      <c r="GI15" s="666"/>
      <c r="GJ15" s="666"/>
      <c r="GK15" s="666"/>
      <c r="GL15" s="666"/>
      <c r="GM15" s="666"/>
      <c r="GN15" s="666"/>
      <c r="GO15" s="666"/>
      <c r="GP15" s="666"/>
      <c r="GQ15" s="666"/>
      <c r="GR15" s="666"/>
      <c r="GS15" s="666"/>
      <c r="GT15" s="666"/>
      <c r="GU15" s="666"/>
      <c r="GV15" s="666"/>
      <c r="GW15" s="666"/>
      <c r="GX15" s="666"/>
      <c r="GY15" s="666"/>
      <c r="GZ15" s="666"/>
      <c r="HA15" s="666"/>
      <c r="HB15" s="666"/>
      <c r="HC15" s="666"/>
      <c r="HD15" s="666"/>
      <c r="HE15" s="666"/>
      <c r="HF15" s="666"/>
      <c r="HG15" s="666"/>
      <c r="HH15" s="666"/>
      <c r="HI15" s="666"/>
      <c r="HJ15" s="666"/>
      <c r="HK15" s="666"/>
      <c r="HL15" s="666"/>
      <c r="HM15" s="666"/>
      <c r="HN15" s="666"/>
      <c r="HO15" s="666"/>
      <c r="HP15" s="666"/>
      <c r="HQ15" s="666"/>
      <c r="HR15" s="666"/>
      <c r="HS15" s="666"/>
      <c r="HT15" s="666"/>
      <c r="HU15" s="666"/>
      <c r="HV15" s="666"/>
      <c r="HW15" s="666"/>
      <c r="HX15" s="666"/>
      <c r="HY15" s="666"/>
      <c r="HZ15" s="666"/>
      <c r="IA15" s="666"/>
      <c r="IB15" s="666"/>
      <c r="IC15" s="666"/>
      <c r="ID15" s="666"/>
      <c r="IE15" s="666"/>
      <c r="IF15" s="666"/>
      <c r="IG15" s="666"/>
      <c r="IH15" s="666"/>
      <c r="II15" s="666"/>
      <c r="IJ15" s="666"/>
      <c r="IK15" s="666"/>
      <c r="IL15" s="666"/>
      <c r="IM15" s="666"/>
      <c r="IN15" s="666"/>
      <c r="IO15" s="666"/>
      <c r="IP15" s="666"/>
      <c r="IQ15" s="666"/>
      <c r="IR15" s="666"/>
      <c r="IS15" s="666"/>
      <c r="IT15" s="666"/>
      <c r="IU15" s="666"/>
      <c r="IV15" s="666"/>
    </row>
    <row r="16" spans="1:256" s="667" customFormat="1" ht="12.75" customHeight="1">
      <c r="A16" s="663" t="s">
        <v>53</v>
      </c>
      <c r="B16" s="664" t="s">
        <v>620</v>
      </c>
      <c r="C16" s="665">
        <v>12680105</v>
      </c>
      <c r="D16" s="665">
        <v>8000000</v>
      </c>
      <c r="E16" s="665">
        <v>8000000</v>
      </c>
      <c r="F16" s="665">
        <v>8000000</v>
      </c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6"/>
      <c r="AN16" s="666"/>
      <c r="AO16" s="666"/>
      <c r="AP16" s="666"/>
      <c r="AQ16" s="666"/>
      <c r="AR16" s="666"/>
      <c r="AS16" s="666"/>
      <c r="AT16" s="666"/>
      <c r="AU16" s="666"/>
      <c r="AV16" s="666"/>
      <c r="AW16" s="666"/>
      <c r="AX16" s="666"/>
      <c r="AY16" s="666"/>
      <c r="AZ16" s="666"/>
      <c r="BA16" s="666"/>
      <c r="BB16" s="666"/>
      <c r="BC16" s="666"/>
      <c r="BD16" s="666"/>
      <c r="BE16" s="666"/>
      <c r="BF16" s="666"/>
      <c r="BG16" s="666"/>
      <c r="BH16" s="666"/>
      <c r="BI16" s="666"/>
      <c r="BJ16" s="666"/>
      <c r="BK16" s="666"/>
      <c r="BL16" s="666"/>
      <c r="BM16" s="666"/>
      <c r="BN16" s="666"/>
      <c r="BO16" s="666"/>
      <c r="BP16" s="666"/>
      <c r="BQ16" s="666"/>
      <c r="BR16" s="666"/>
      <c r="BS16" s="666"/>
      <c r="BT16" s="666"/>
      <c r="BU16" s="666"/>
      <c r="BV16" s="666"/>
      <c r="BW16" s="666"/>
      <c r="BX16" s="666"/>
      <c r="BY16" s="666"/>
      <c r="BZ16" s="666"/>
      <c r="CA16" s="666"/>
      <c r="CB16" s="666"/>
      <c r="CC16" s="666"/>
      <c r="CD16" s="666"/>
      <c r="CE16" s="666"/>
      <c r="CF16" s="666"/>
      <c r="CG16" s="666"/>
      <c r="CH16" s="666"/>
      <c r="CI16" s="666"/>
      <c r="CJ16" s="666"/>
      <c r="CK16" s="666"/>
      <c r="CL16" s="666"/>
      <c r="CM16" s="666"/>
      <c r="CN16" s="666"/>
      <c r="CO16" s="666"/>
      <c r="CP16" s="666"/>
      <c r="CQ16" s="666"/>
      <c r="CR16" s="666"/>
      <c r="CS16" s="666"/>
      <c r="CT16" s="666"/>
      <c r="CU16" s="666"/>
      <c r="CV16" s="666"/>
      <c r="CW16" s="666"/>
      <c r="CX16" s="666"/>
      <c r="CY16" s="666"/>
      <c r="CZ16" s="666"/>
      <c r="DA16" s="666"/>
      <c r="DB16" s="666"/>
      <c r="DC16" s="666"/>
      <c r="DD16" s="666"/>
      <c r="DE16" s="666"/>
      <c r="DF16" s="666"/>
      <c r="DG16" s="666"/>
      <c r="DH16" s="666"/>
      <c r="DI16" s="666"/>
      <c r="DJ16" s="666"/>
      <c r="DK16" s="666"/>
      <c r="DL16" s="666"/>
      <c r="DM16" s="666"/>
      <c r="DN16" s="666"/>
      <c r="DO16" s="666"/>
      <c r="DP16" s="666"/>
      <c r="DQ16" s="666"/>
      <c r="DR16" s="666"/>
      <c r="DS16" s="666"/>
      <c r="DT16" s="666"/>
      <c r="DU16" s="666"/>
      <c r="DV16" s="666"/>
      <c r="DW16" s="666"/>
      <c r="DX16" s="666"/>
      <c r="DY16" s="666"/>
      <c r="DZ16" s="666"/>
      <c r="EA16" s="666"/>
      <c r="EB16" s="666"/>
      <c r="EC16" s="666"/>
      <c r="ED16" s="666"/>
      <c r="EE16" s="666"/>
      <c r="EF16" s="666"/>
      <c r="EG16" s="666"/>
      <c r="EH16" s="666"/>
      <c r="EI16" s="666"/>
      <c r="EJ16" s="666"/>
      <c r="EK16" s="666"/>
      <c r="EL16" s="666"/>
      <c r="EM16" s="666"/>
      <c r="EN16" s="666"/>
      <c r="EO16" s="666"/>
      <c r="EP16" s="666"/>
      <c r="EQ16" s="666"/>
      <c r="ER16" s="666"/>
      <c r="ES16" s="666"/>
      <c r="ET16" s="666"/>
      <c r="EU16" s="666"/>
      <c r="EV16" s="666"/>
      <c r="EW16" s="666"/>
      <c r="EX16" s="666"/>
      <c r="EY16" s="666"/>
      <c r="EZ16" s="666"/>
      <c r="FA16" s="666"/>
      <c r="FB16" s="666"/>
      <c r="FC16" s="666"/>
      <c r="FD16" s="666"/>
      <c r="FE16" s="666"/>
      <c r="FF16" s="666"/>
      <c r="FG16" s="666"/>
      <c r="FH16" s="666"/>
      <c r="FI16" s="666"/>
      <c r="FJ16" s="666"/>
      <c r="FK16" s="666"/>
      <c r="FL16" s="666"/>
      <c r="FM16" s="666"/>
      <c r="FN16" s="666"/>
      <c r="FO16" s="666"/>
      <c r="FP16" s="666"/>
      <c r="FQ16" s="666"/>
      <c r="FR16" s="666"/>
      <c r="FS16" s="666"/>
      <c r="FT16" s="666"/>
      <c r="FU16" s="666"/>
      <c r="FV16" s="666"/>
      <c r="FW16" s="666"/>
      <c r="FX16" s="666"/>
      <c r="FY16" s="666"/>
      <c r="FZ16" s="666"/>
      <c r="GA16" s="666"/>
      <c r="GB16" s="666"/>
      <c r="GC16" s="666"/>
      <c r="GD16" s="666"/>
      <c r="GE16" s="666"/>
      <c r="GF16" s="666"/>
      <c r="GG16" s="666"/>
      <c r="GH16" s="666"/>
      <c r="GI16" s="666"/>
      <c r="GJ16" s="666"/>
      <c r="GK16" s="666"/>
      <c r="GL16" s="666"/>
      <c r="GM16" s="666"/>
      <c r="GN16" s="666"/>
      <c r="GO16" s="666"/>
      <c r="GP16" s="666"/>
      <c r="GQ16" s="666"/>
      <c r="GR16" s="666"/>
      <c r="GS16" s="666"/>
      <c r="GT16" s="666"/>
      <c r="GU16" s="666"/>
      <c r="GV16" s="666"/>
      <c r="GW16" s="666"/>
      <c r="GX16" s="666"/>
      <c r="GY16" s="666"/>
      <c r="GZ16" s="666"/>
      <c r="HA16" s="666"/>
      <c r="HB16" s="666"/>
      <c r="HC16" s="666"/>
      <c r="HD16" s="666"/>
      <c r="HE16" s="666"/>
      <c r="HF16" s="666"/>
      <c r="HG16" s="666"/>
      <c r="HH16" s="666"/>
      <c r="HI16" s="666"/>
      <c r="HJ16" s="666"/>
      <c r="HK16" s="666"/>
      <c r="HL16" s="666"/>
      <c r="HM16" s="666"/>
      <c r="HN16" s="666"/>
      <c r="HO16" s="666"/>
      <c r="HP16" s="666"/>
      <c r="HQ16" s="666"/>
      <c r="HR16" s="666"/>
      <c r="HS16" s="666"/>
      <c r="HT16" s="666"/>
      <c r="HU16" s="666"/>
      <c r="HV16" s="666"/>
      <c r="HW16" s="666"/>
      <c r="HX16" s="666"/>
      <c r="HY16" s="666"/>
      <c r="HZ16" s="666"/>
      <c r="IA16" s="666"/>
      <c r="IB16" s="666"/>
      <c r="IC16" s="666"/>
      <c r="ID16" s="666"/>
      <c r="IE16" s="666"/>
      <c r="IF16" s="666"/>
      <c r="IG16" s="666"/>
      <c r="IH16" s="666"/>
      <c r="II16" s="666"/>
      <c r="IJ16" s="666"/>
      <c r="IK16" s="666"/>
      <c r="IL16" s="666"/>
      <c r="IM16" s="666"/>
      <c r="IN16" s="666"/>
      <c r="IO16" s="666"/>
      <c r="IP16" s="666"/>
      <c r="IQ16" s="666"/>
      <c r="IR16" s="666"/>
      <c r="IS16" s="666"/>
      <c r="IT16" s="666"/>
      <c r="IU16" s="666"/>
      <c r="IV16" s="666"/>
    </row>
    <row r="17" spans="1:256" s="667" customFormat="1" ht="12.75" customHeight="1">
      <c r="A17" s="668" t="s">
        <v>55</v>
      </c>
      <c r="B17" s="664" t="s">
        <v>96</v>
      </c>
      <c r="C17" s="665">
        <v>0</v>
      </c>
      <c r="D17" s="665">
        <v>0</v>
      </c>
      <c r="E17" s="665">
        <v>0</v>
      </c>
      <c r="F17" s="665">
        <v>0</v>
      </c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6"/>
      <c r="AE17" s="666"/>
      <c r="AF17" s="666"/>
      <c r="AG17" s="666"/>
      <c r="AH17" s="666"/>
      <c r="AI17" s="666"/>
      <c r="AJ17" s="666"/>
      <c r="AK17" s="666"/>
      <c r="AL17" s="666"/>
      <c r="AM17" s="666"/>
      <c r="AN17" s="666"/>
      <c r="AO17" s="666"/>
      <c r="AP17" s="666"/>
      <c r="AQ17" s="666"/>
      <c r="AR17" s="666"/>
      <c r="AS17" s="666"/>
      <c r="AT17" s="666"/>
      <c r="AU17" s="666"/>
      <c r="AV17" s="666"/>
      <c r="AW17" s="666"/>
      <c r="AX17" s="666"/>
      <c r="AY17" s="666"/>
      <c r="AZ17" s="666"/>
      <c r="BA17" s="666"/>
      <c r="BB17" s="666"/>
      <c r="BC17" s="666"/>
      <c r="BD17" s="666"/>
      <c r="BE17" s="666"/>
      <c r="BF17" s="666"/>
      <c r="BG17" s="666"/>
      <c r="BH17" s="666"/>
      <c r="BI17" s="666"/>
      <c r="BJ17" s="666"/>
      <c r="BK17" s="666"/>
      <c r="BL17" s="666"/>
      <c r="BM17" s="666"/>
      <c r="BN17" s="666"/>
      <c r="BO17" s="666"/>
      <c r="BP17" s="666"/>
      <c r="BQ17" s="666"/>
      <c r="BR17" s="666"/>
      <c r="BS17" s="666"/>
      <c r="BT17" s="666"/>
      <c r="BU17" s="666"/>
      <c r="BV17" s="666"/>
      <c r="BW17" s="666"/>
      <c r="BX17" s="666"/>
      <c r="BY17" s="666"/>
      <c r="BZ17" s="666"/>
      <c r="CA17" s="666"/>
      <c r="CB17" s="666"/>
      <c r="CC17" s="666"/>
      <c r="CD17" s="666"/>
      <c r="CE17" s="666"/>
      <c r="CF17" s="666"/>
      <c r="CG17" s="666"/>
      <c r="CH17" s="666"/>
      <c r="CI17" s="666"/>
      <c r="CJ17" s="666"/>
      <c r="CK17" s="666"/>
      <c r="CL17" s="666"/>
      <c r="CM17" s="666"/>
      <c r="CN17" s="666"/>
      <c r="CO17" s="666"/>
      <c r="CP17" s="666"/>
      <c r="CQ17" s="666"/>
      <c r="CR17" s="666"/>
      <c r="CS17" s="666"/>
      <c r="CT17" s="666"/>
      <c r="CU17" s="666"/>
      <c r="CV17" s="666"/>
      <c r="CW17" s="666"/>
      <c r="CX17" s="666"/>
      <c r="CY17" s="666"/>
      <c r="CZ17" s="666"/>
      <c r="DA17" s="666"/>
      <c r="DB17" s="666"/>
      <c r="DC17" s="666"/>
      <c r="DD17" s="666"/>
      <c r="DE17" s="666"/>
      <c r="DF17" s="666"/>
      <c r="DG17" s="666"/>
      <c r="DH17" s="666"/>
      <c r="DI17" s="666"/>
      <c r="DJ17" s="666"/>
      <c r="DK17" s="666"/>
      <c r="DL17" s="666"/>
      <c r="DM17" s="666"/>
      <c r="DN17" s="666"/>
      <c r="DO17" s="666"/>
      <c r="DP17" s="666"/>
      <c r="DQ17" s="666"/>
      <c r="DR17" s="666"/>
      <c r="DS17" s="666"/>
      <c r="DT17" s="666"/>
      <c r="DU17" s="666"/>
      <c r="DV17" s="666"/>
      <c r="DW17" s="666"/>
      <c r="DX17" s="666"/>
      <c r="DY17" s="666"/>
      <c r="DZ17" s="666"/>
      <c r="EA17" s="666"/>
      <c r="EB17" s="666"/>
      <c r="EC17" s="666"/>
      <c r="ED17" s="666"/>
      <c r="EE17" s="666"/>
      <c r="EF17" s="666"/>
      <c r="EG17" s="666"/>
      <c r="EH17" s="666"/>
      <c r="EI17" s="666"/>
      <c r="EJ17" s="666"/>
      <c r="EK17" s="666"/>
      <c r="EL17" s="666"/>
      <c r="EM17" s="666"/>
      <c r="EN17" s="666"/>
      <c r="EO17" s="666"/>
      <c r="EP17" s="666"/>
      <c r="EQ17" s="666"/>
      <c r="ER17" s="666"/>
      <c r="ES17" s="666"/>
      <c r="ET17" s="666"/>
      <c r="EU17" s="666"/>
      <c r="EV17" s="666"/>
      <c r="EW17" s="666"/>
      <c r="EX17" s="666"/>
      <c r="EY17" s="666"/>
      <c r="EZ17" s="666"/>
      <c r="FA17" s="666"/>
      <c r="FB17" s="666"/>
      <c r="FC17" s="666"/>
      <c r="FD17" s="666"/>
      <c r="FE17" s="666"/>
      <c r="FF17" s="666"/>
      <c r="FG17" s="666"/>
      <c r="FH17" s="666"/>
      <c r="FI17" s="666"/>
      <c r="FJ17" s="666"/>
      <c r="FK17" s="666"/>
      <c r="FL17" s="666"/>
      <c r="FM17" s="666"/>
      <c r="FN17" s="666"/>
      <c r="FO17" s="666"/>
      <c r="FP17" s="666"/>
      <c r="FQ17" s="666"/>
      <c r="FR17" s="666"/>
      <c r="FS17" s="666"/>
      <c r="FT17" s="666"/>
      <c r="FU17" s="666"/>
      <c r="FV17" s="666"/>
      <c r="FW17" s="666"/>
      <c r="FX17" s="666"/>
      <c r="FY17" s="666"/>
      <c r="FZ17" s="666"/>
      <c r="GA17" s="666"/>
      <c r="GB17" s="666"/>
      <c r="GC17" s="666"/>
      <c r="GD17" s="666"/>
      <c r="GE17" s="666"/>
      <c r="GF17" s="666"/>
      <c r="GG17" s="666"/>
      <c r="GH17" s="666"/>
      <c r="GI17" s="666"/>
      <c r="GJ17" s="666"/>
      <c r="GK17" s="666"/>
      <c r="GL17" s="666"/>
      <c r="GM17" s="666"/>
      <c r="GN17" s="666"/>
      <c r="GO17" s="666"/>
      <c r="GP17" s="666"/>
      <c r="GQ17" s="666"/>
      <c r="GR17" s="666"/>
      <c r="GS17" s="666"/>
      <c r="GT17" s="666"/>
      <c r="GU17" s="666"/>
      <c r="GV17" s="666"/>
      <c r="GW17" s="666"/>
      <c r="GX17" s="666"/>
      <c r="GY17" s="666"/>
      <c r="GZ17" s="666"/>
      <c r="HA17" s="666"/>
      <c r="HB17" s="666"/>
      <c r="HC17" s="666"/>
      <c r="HD17" s="666"/>
      <c r="HE17" s="666"/>
      <c r="HF17" s="666"/>
      <c r="HG17" s="666"/>
      <c r="HH17" s="666"/>
      <c r="HI17" s="666"/>
      <c r="HJ17" s="666"/>
      <c r="HK17" s="666"/>
      <c r="HL17" s="666"/>
      <c r="HM17" s="666"/>
      <c r="HN17" s="666"/>
      <c r="HO17" s="666"/>
      <c r="HP17" s="666"/>
      <c r="HQ17" s="666"/>
      <c r="HR17" s="666"/>
      <c r="HS17" s="666"/>
      <c r="HT17" s="666"/>
      <c r="HU17" s="666"/>
      <c r="HV17" s="666"/>
      <c r="HW17" s="666"/>
      <c r="HX17" s="666"/>
      <c r="HY17" s="666"/>
      <c r="HZ17" s="666"/>
      <c r="IA17" s="666"/>
      <c r="IB17" s="666"/>
      <c r="IC17" s="666"/>
      <c r="ID17" s="666"/>
      <c r="IE17" s="666"/>
      <c r="IF17" s="666"/>
      <c r="IG17" s="666"/>
      <c r="IH17" s="666"/>
      <c r="II17" s="666"/>
      <c r="IJ17" s="666"/>
      <c r="IK17" s="666"/>
      <c r="IL17" s="666"/>
      <c r="IM17" s="666"/>
      <c r="IN17" s="666"/>
      <c r="IO17" s="666"/>
      <c r="IP17" s="666"/>
      <c r="IQ17" s="666"/>
      <c r="IR17" s="666"/>
      <c r="IS17" s="666"/>
      <c r="IT17" s="666"/>
      <c r="IU17" s="666"/>
      <c r="IV17" s="666"/>
    </row>
    <row r="18" spans="1:256" s="667" customFormat="1" ht="12.75" customHeight="1">
      <c r="A18" s="663" t="s">
        <v>57</v>
      </c>
      <c r="B18" s="664" t="s">
        <v>173</v>
      </c>
      <c r="C18" s="665">
        <v>1362640</v>
      </c>
      <c r="D18" s="665">
        <v>500000</v>
      </c>
      <c r="E18" s="665">
        <v>500000</v>
      </c>
      <c r="F18" s="665">
        <v>500000</v>
      </c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666"/>
      <c r="AO18" s="666"/>
      <c r="AP18" s="666"/>
      <c r="AQ18" s="666"/>
      <c r="AR18" s="666"/>
      <c r="AS18" s="666"/>
      <c r="AT18" s="666"/>
      <c r="AU18" s="666"/>
      <c r="AV18" s="666"/>
      <c r="AW18" s="666"/>
      <c r="AX18" s="666"/>
      <c r="AY18" s="666"/>
      <c r="AZ18" s="666"/>
      <c r="BA18" s="666"/>
      <c r="BB18" s="666"/>
      <c r="BC18" s="666"/>
      <c r="BD18" s="666"/>
      <c r="BE18" s="666"/>
      <c r="BF18" s="666"/>
      <c r="BG18" s="666"/>
      <c r="BH18" s="666"/>
      <c r="BI18" s="666"/>
      <c r="BJ18" s="666"/>
      <c r="BK18" s="666"/>
      <c r="BL18" s="666"/>
      <c r="BM18" s="666"/>
      <c r="BN18" s="666"/>
      <c r="BO18" s="666"/>
      <c r="BP18" s="666"/>
      <c r="BQ18" s="666"/>
      <c r="BR18" s="666"/>
      <c r="BS18" s="666"/>
      <c r="BT18" s="666"/>
      <c r="BU18" s="666"/>
      <c r="BV18" s="666"/>
      <c r="BW18" s="666"/>
      <c r="BX18" s="666"/>
      <c r="BY18" s="666"/>
      <c r="BZ18" s="666"/>
      <c r="CA18" s="666"/>
      <c r="CB18" s="666"/>
      <c r="CC18" s="666"/>
      <c r="CD18" s="666"/>
      <c r="CE18" s="666"/>
      <c r="CF18" s="666"/>
      <c r="CG18" s="666"/>
      <c r="CH18" s="666"/>
      <c r="CI18" s="666"/>
      <c r="CJ18" s="666"/>
      <c r="CK18" s="666"/>
      <c r="CL18" s="666"/>
      <c r="CM18" s="666"/>
      <c r="CN18" s="666"/>
      <c r="CO18" s="666"/>
      <c r="CP18" s="666"/>
      <c r="CQ18" s="666"/>
      <c r="CR18" s="666"/>
      <c r="CS18" s="666"/>
      <c r="CT18" s="666"/>
      <c r="CU18" s="666"/>
      <c r="CV18" s="666"/>
      <c r="CW18" s="666"/>
      <c r="CX18" s="666"/>
      <c r="CY18" s="666"/>
      <c r="CZ18" s="666"/>
      <c r="DA18" s="666"/>
      <c r="DB18" s="666"/>
      <c r="DC18" s="666"/>
      <c r="DD18" s="666"/>
      <c r="DE18" s="666"/>
      <c r="DF18" s="666"/>
      <c r="DG18" s="666"/>
      <c r="DH18" s="666"/>
      <c r="DI18" s="666"/>
      <c r="DJ18" s="666"/>
      <c r="DK18" s="666"/>
      <c r="DL18" s="666"/>
      <c r="DM18" s="666"/>
      <c r="DN18" s="666"/>
      <c r="DO18" s="666"/>
      <c r="DP18" s="666"/>
      <c r="DQ18" s="666"/>
      <c r="DR18" s="666"/>
      <c r="DS18" s="666"/>
      <c r="DT18" s="666"/>
      <c r="DU18" s="666"/>
      <c r="DV18" s="666"/>
      <c r="DW18" s="666"/>
      <c r="DX18" s="666"/>
      <c r="DY18" s="666"/>
      <c r="DZ18" s="666"/>
      <c r="EA18" s="666"/>
      <c r="EB18" s="666"/>
      <c r="EC18" s="666"/>
      <c r="ED18" s="666"/>
      <c r="EE18" s="666"/>
      <c r="EF18" s="666"/>
      <c r="EG18" s="666"/>
      <c r="EH18" s="666"/>
      <c r="EI18" s="666"/>
      <c r="EJ18" s="666"/>
      <c r="EK18" s="666"/>
      <c r="EL18" s="666"/>
      <c r="EM18" s="666"/>
      <c r="EN18" s="666"/>
      <c r="EO18" s="666"/>
      <c r="EP18" s="666"/>
      <c r="EQ18" s="666"/>
      <c r="ER18" s="666"/>
      <c r="ES18" s="666"/>
      <c r="ET18" s="666"/>
      <c r="EU18" s="666"/>
      <c r="EV18" s="666"/>
      <c r="EW18" s="666"/>
      <c r="EX18" s="666"/>
      <c r="EY18" s="666"/>
      <c r="EZ18" s="666"/>
      <c r="FA18" s="666"/>
      <c r="FB18" s="666"/>
      <c r="FC18" s="666"/>
      <c r="FD18" s="666"/>
      <c r="FE18" s="666"/>
      <c r="FF18" s="666"/>
      <c r="FG18" s="666"/>
      <c r="FH18" s="666"/>
      <c r="FI18" s="666"/>
      <c r="FJ18" s="666"/>
      <c r="FK18" s="666"/>
      <c r="FL18" s="666"/>
      <c r="FM18" s="666"/>
      <c r="FN18" s="666"/>
      <c r="FO18" s="666"/>
      <c r="FP18" s="666"/>
      <c r="FQ18" s="666"/>
      <c r="FR18" s="666"/>
      <c r="FS18" s="666"/>
      <c r="FT18" s="666"/>
      <c r="FU18" s="666"/>
      <c r="FV18" s="666"/>
      <c r="FW18" s="666"/>
      <c r="FX18" s="666"/>
      <c r="FY18" s="666"/>
      <c r="FZ18" s="666"/>
      <c r="GA18" s="666"/>
      <c r="GB18" s="666"/>
      <c r="GC18" s="666"/>
      <c r="GD18" s="666"/>
      <c r="GE18" s="666"/>
      <c r="GF18" s="666"/>
      <c r="GG18" s="666"/>
      <c r="GH18" s="666"/>
      <c r="GI18" s="666"/>
      <c r="GJ18" s="666"/>
      <c r="GK18" s="666"/>
      <c r="GL18" s="666"/>
      <c r="GM18" s="666"/>
      <c r="GN18" s="666"/>
      <c r="GO18" s="666"/>
      <c r="GP18" s="666"/>
      <c r="GQ18" s="666"/>
      <c r="GR18" s="666"/>
      <c r="GS18" s="666"/>
      <c r="GT18" s="666"/>
      <c r="GU18" s="666"/>
      <c r="GV18" s="666"/>
      <c r="GW18" s="666"/>
      <c r="GX18" s="666"/>
      <c r="GY18" s="666"/>
      <c r="GZ18" s="666"/>
      <c r="HA18" s="666"/>
      <c r="HB18" s="666"/>
      <c r="HC18" s="666"/>
      <c r="HD18" s="666"/>
      <c r="HE18" s="666"/>
      <c r="HF18" s="666"/>
      <c r="HG18" s="666"/>
      <c r="HH18" s="666"/>
      <c r="HI18" s="666"/>
      <c r="HJ18" s="666"/>
      <c r="HK18" s="666"/>
      <c r="HL18" s="666"/>
      <c r="HM18" s="666"/>
      <c r="HN18" s="666"/>
      <c r="HO18" s="666"/>
      <c r="HP18" s="666"/>
      <c r="HQ18" s="666"/>
      <c r="HR18" s="666"/>
      <c r="HS18" s="666"/>
      <c r="HT18" s="666"/>
      <c r="HU18" s="666"/>
      <c r="HV18" s="666"/>
      <c r="HW18" s="666"/>
      <c r="HX18" s="666"/>
      <c r="HY18" s="666"/>
      <c r="HZ18" s="666"/>
      <c r="IA18" s="666"/>
      <c r="IB18" s="666"/>
      <c r="IC18" s="666"/>
      <c r="ID18" s="666"/>
      <c r="IE18" s="666"/>
      <c r="IF18" s="666"/>
      <c r="IG18" s="666"/>
      <c r="IH18" s="666"/>
      <c r="II18" s="666"/>
      <c r="IJ18" s="666"/>
      <c r="IK18" s="666"/>
      <c r="IL18" s="666"/>
      <c r="IM18" s="666"/>
      <c r="IN18" s="666"/>
      <c r="IO18" s="666"/>
      <c r="IP18" s="666"/>
      <c r="IQ18" s="666"/>
      <c r="IR18" s="666"/>
      <c r="IS18" s="666"/>
      <c r="IT18" s="666"/>
      <c r="IU18" s="666"/>
      <c r="IV18" s="666"/>
    </row>
    <row r="19" spans="1:256" s="68" customFormat="1" ht="12.75" customHeight="1">
      <c r="A19" s="214" t="s">
        <v>86</v>
      </c>
      <c r="B19" s="218" t="s">
        <v>78</v>
      </c>
      <c r="C19" s="215">
        <f>SUM(C20:C26)</f>
        <v>44392717</v>
      </c>
      <c r="D19" s="215">
        <f>SUM(D20:D26)</f>
        <v>44505000</v>
      </c>
      <c r="E19" s="215">
        <f>SUM(E20:E26)</f>
        <v>44505000</v>
      </c>
      <c r="F19" s="215">
        <f>SUM(F20:F26)</f>
        <v>44505000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667" customFormat="1" ht="12.75" customHeight="1">
      <c r="A20" s="663" t="s">
        <v>59</v>
      </c>
      <c r="B20" s="669" t="s">
        <v>712</v>
      </c>
      <c r="C20" s="665">
        <v>3702751</v>
      </c>
      <c r="D20" s="665">
        <v>7000000</v>
      </c>
      <c r="E20" s="665">
        <v>7000000</v>
      </c>
      <c r="F20" s="665">
        <v>7000000</v>
      </c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666"/>
      <c r="Y20" s="666"/>
      <c r="Z20" s="666"/>
      <c r="AA20" s="666"/>
      <c r="AB20" s="666"/>
      <c r="AC20" s="666"/>
      <c r="AD20" s="666"/>
      <c r="AE20" s="666"/>
      <c r="AF20" s="666"/>
      <c r="AG20" s="666"/>
      <c r="AH20" s="666"/>
      <c r="AI20" s="666"/>
      <c r="AJ20" s="666"/>
      <c r="AK20" s="666"/>
      <c r="AL20" s="666"/>
      <c r="AM20" s="666"/>
      <c r="AN20" s="666"/>
      <c r="AO20" s="666"/>
      <c r="AP20" s="666"/>
      <c r="AQ20" s="666"/>
      <c r="AR20" s="666"/>
      <c r="AS20" s="666"/>
      <c r="AT20" s="666"/>
      <c r="AU20" s="666"/>
      <c r="AV20" s="666"/>
      <c r="AW20" s="666"/>
      <c r="AX20" s="666"/>
      <c r="AY20" s="666"/>
      <c r="AZ20" s="666"/>
      <c r="BA20" s="666"/>
      <c r="BB20" s="666"/>
      <c r="BC20" s="666"/>
      <c r="BD20" s="666"/>
      <c r="BE20" s="666"/>
      <c r="BF20" s="666"/>
      <c r="BG20" s="666"/>
      <c r="BH20" s="666"/>
      <c r="BI20" s="666"/>
      <c r="BJ20" s="666"/>
      <c r="BK20" s="666"/>
      <c r="BL20" s="666"/>
      <c r="BM20" s="666"/>
      <c r="BN20" s="666"/>
      <c r="BO20" s="666"/>
      <c r="BP20" s="666"/>
      <c r="BQ20" s="666"/>
      <c r="BR20" s="666"/>
      <c r="BS20" s="666"/>
      <c r="BT20" s="666"/>
      <c r="BU20" s="666"/>
      <c r="BV20" s="666"/>
      <c r="BW20" s="666"/>
      <c r="BX20" s="666"/>
      <c r="BY20" s="666"/>
      <c r="BZ20" s="666"/>
      <c r="CA20" s="666"/>
      <c r="CB20" s="666"/>
      <c r="CC20" s="666"/>
      <c r="CD20" s="666"/>
      <c r="CE20" s="666"/>
      <c r="CF20" s="666"/>
      <c r="CG20" s="666"/>
      <c r="CH20" s="666"/>
      <c r="CI20" s="666"/>
      <c r="CJ20" s="666"/>
      <c r="CK20" s="666"/>
      <c r="CL20" s="666"/>
      <c r="CM20" s="666"/>
      <c r="CN20" s="666"/>
      <c r="CO20" s="666"/>
      <c r="CP20" s="666"/>
      <c r="CQ20" s="666"/>
      <c r="CR20" s="666"/>
      <c r="CS20" s="666"/>
      <c r="CT20" s="666"/>
      <c r="CU20" s="666"/>
      <c r="CV20" s="666"/>
      <c r="CW20" s="666"/>
      <c r="CX20" s="666"/>
      <c r="CY20" s="666"/>
      <c r="CZ20" s="666"/>
      <c r="DA20" s="666"/>
      <c r="DB20" s="666"/>
      <c r="DC20" s="666"/>
      <c r="DD20" s="666"/>
      <c r="DE20" s="666"/>
      <c r="DF20" s="666"/>
      <c r="DG20" s="666"/>
      <c r="DH20" s="666"/>
      <c r="DI20" s="666"/>
      <c r="DJ20" s="666"/>
      <c r="DK20" s="666"/>
      <c r="DL20" s="666"/>
      <c r="DM20" s="666"/>
      <c r="DN20" s="666"/>
      <c r="DO20" s="666"/>
      <c r="DP20" s="666"/>
      <c r="DQ20" s="666"/>
      <c r="DR20" s="666"/>
      <c r="DS20" s="666"/>
      <c r="DT20" s="666"/>
      <c r="DU20" s="666"/>
      <c r="DV20" s="666"/>
      <c r="DW20" s="666"/>
      <c r="DX20" s="666"/>
      <c r="DY20" s="666"/>
      <c r="DZ20" s="666"/>
      <c r="EA20" s="666"/>
      <c r="EB20" s="666"/>
      <c r="EC20" s="666"/>
      <c r="ED20" s="666"/>
      <c r="EE20" s="666"/>
      <c r="EF20" s="666"/>
      <c r="EG20" s="666"/>
      <c r="EH20" s="666"/>
      <c r="EI20" s="666"/>
      <c r="EJ20" s="666"/>
      <c r="EK20" s="666"/>
      <c r="EL20" s="666"/>
      <c r="EM20" s="666"/>
      <c r="EN20" s="666"/>
      <c r="EO20" s="666"/>
      <c r="EP20" s="666"/>
      <c r="EQ20" s="666"/>
      <c r="ER20" s="666"/>
      <c r="ES20" s="666"/>
      <c r="ET20" s="666"/>
      <c r="EU20" s="666"/>
      <c r="EV20" s="666"/>
      <c r="EW20" s="666"/>
      <c r="EX20" s="666"/>
      <c r="EY20" s="666"/>
      <c r="EZ20" s="666"/>
      <c r="FA20" s="666"/>
      <c r="FB20" s="666"/>
      <c r="FC20" s="666"/>
      <c r="FD20" s="666"/>
      <c r="FE20" s="666"/>
      <c r="FF20" s="666"/>
      <c r="FG20" s="666"/>
      <c r="FH20" s="666"/>
      <c r="FI20" s="666"/>
      <c r="FJ20" s="666"/>
      <c r="FK20" s="666"/>
      <c r="FL20" s="666"/>
      <c r="FM20" s="666"/>
      <c r="FN20" s="666"/>
      <c r="FO20" s="666"/>
      <c r="FP20" s="666"/>
      <c r="FQ20" s="666"/>
      <c r="FR20" s="666"/>
      <c r="FS20" s="666"/>
      <c r="FT20" s="666"/>
      <c r="FU20" s="666"/>
      <c r="FV20" s="666"/>
      <c r="FW20" s="666"/>
      <c r="FX20" s="666"/>
      <c r="FY20" s="666"/>
      <c r="FZ20" s="666"/>
      <c r="GA20" s="666"/>
      <c r="GB20" s="666"/>
      <c r="GC20" s="666"/>
      <c r="GD20" s="666"/>
      <c r="GE20" s="666"/>
      <c r="GF20" s="666"/>
      <c r="GG20" s="666"/>
      <c r="GH20" s="666"/>
      <c r="GI20" s="666"/>
      <c r="GJ20" s="666"/>
      <c r="GK20" s="666"/>
      <c r="GL20" s="666"/>
      <c r="GM20" s="666"/>
      <c r="GN20" s="666"/>
      <c r="GO20" s="666"/>
      <c r="GP20" s="666"/>
      <c r="GQ20" s="666"/>
      <c r="GR20" s="666"/>
      <c r="GS20" s="666"/>
      <c r="GT20" s="666"/>
      <c r="GU20" s="666"/>
      <c r="GV20" s="666"/>
      <c r="GW20" s="666"/>
      <c r="GX20" s="666"/>
      <c r="GY20" s="666"/>
      <c r="GZ20" s="666"/>
      <c r="HA20" s="666"/>
      <c r="HB20" s="666"/>
      <c r="HC20" s="666"/>
      <c r="HD20" s="666"/>
      <c r="HE20" s="666"/>
      <c r="HF20" s="666"/>
      <c r="HG20" s="666"/>
      <c r="HH20" s="666"/>
      <c r="HI20" s="666"/>
      <c r="HJ20" s="666"/>
      <c r="HK20" s="666"/>
      <c r="HL20" s="666"/>
      <c r="HM20" s="666"/>
      <c r="HN20" s="666"/>
      <c r="HO20" s="666"/>
      <c r="HP20" s="666"/>
      <c r="HQ20" s="666"/>
      <c r="HR20" s="666"/>
      <c r="HS20" s="666"/>
      <c r="HT20" s="666"/>
      <c r="HU20" s="666"/>
      <c r="HV20" s="666"/>
      <c r="HW20" s="666"/>
      <c r="HX20" s="666"/>
      <c r="HY20" s="666"/>
      <c r="HZ20" s="666"/>
      <c r="IA20" s="666"/>
      <c r="IB20" s="666"/>
      <c r="IC20" s="666"/>
      <c r="ID20" s="666"/>
      <c r="IE20" s="666"/>
      <c r="IF20" s="666"/>
      <c r="IG20" s="666"/>
      <c r="IH20" s="666"/>
      <c r="II20" s="666"/>
      <c r="IJ20" s="666"/>
      <c r="IK20" s="666"/>
      <c r="IL20" s="666"/>
      <c r="IM20" s="666"/>
      <c r="IN20" s="666"/>
      <c r="IO20" s="666"/>
      <c r="IP20" s="666"/>
      <c r="IQ20" s="666"/>
      <c r="IR20" s="666"/>
      <c r="IS20" s="666"/>
      <c r="IT20" s="666"/>
      <c r="IU20" s="666"/>
      <c r="IV20" s="666"/>
    </row>
    <row r="21" spans="1:256" s="667" customFormat="1" ht="12.75" customHeight="1">
      <c r="A21" s="668" t="s">
        <v>61</v>
      </c>
      <c r="B21" s="664" t="s">
        <v>707</v>
      </c>
      <c r="C21" s="665">
        <v>4803116</v>
      </c>
      <c r="D21" s="665">
        <v>5000000</v>
      </c>
      <c r="E21" s="665">
        <v>5000000</v>
      </c>
      <c r="F21" s="665">
        <v>5000000</v>
      </c>
      <c r="G21" s="666"/>
      <c r="H21" s="666"/>
      <c r="I21" s="666"/>
      <c r="J21" s="666"/>
      <c r="K21" s="666"/>
      <c r="L21" s="666"/>
      <c r="M21" s="666"/>
      <c r="N21" s="666"/>
      <c r="O21" s="666"/>
      <c r="P21" s="666"/>
      <c r="Q21" s="666"/>
      <c r="R21" s="666"/>
      <c r="S21" s="666"/>
      <c r="T21" s="666"/>
      <c r="U21" s="666"/>
      <c r="V21" s="666"/>
      <c r="W21" s="666"/>
      <c r="X21" s="666"/>
      <c r="Y21" s="666"/>
      <c r="Z21" s="666"/>
      <c r="AA21" s="666"/>
      <c r="AB21" s="666"/>
      <c r="AC21" s="666"/>
      <c r="AD21" s="666"/>
      <c r="AE21" s="666"/>
      <c r="AF21" s="666"/>
      <c r="AG21" s="666"/>
      <c r="AH21" s="666"/>
      <c r="AI21" s="666"/>
      <c r="AJ21" s="666"/>
      <c r="AK21" s="666"/>
      <c r="AL21" s="666"/>
      <c r="AM21" s="666"/>
      <c r="AN21" s="666"/>
      <c r="AO21" s="666"/>
      <c r="AP21" s="666"/>
      <c r="AQ21" s="666"/>
      <c r="AR21" s="666"/>
      <c r="AS21" s="666"/>
      <c r="AT21" s="666"/>
      <c r="AU21" s="666"/>
      <c r="AV21" s="666"/>
      <c r="AW21" s="666"/>
      <c r="AX21" s="666"/>
      <c r="AY21" s="666"/>
      <c r="AZ21" s="666"/>
      <c r="BA21" s="666"/>
      <c r="BB21" s="666"/>
      <c r="BC21" s="666"/>
      <c r="BD21" s="666"/>
      <c r="BE21" s="666"/>
      <c r="BF21" s="666"/>
      <c r="BG21" s="666"/>
      <c r="BH21" s="666"/>
      <c r="BI21" s="666"/>
      <c r="BJ21" s="666"/>
      <c r="BK21" s="666"/>
      <c r="BL21" s="666"/>
      <c r="BM21" s="666"/>
      <c r="BN21" s="666"/>
      <c r="BO21" s="666"/>
      <c r="BP21" s="666"/>
      <c r="BQ21" s="666"/>
      <c r="BR21" s="666"/>
      <c r="BS21" s="666"/>
      <c r="BT21" s="666"/>
      <c r="BU21" s="666"/>
      <c r="BV21" s="666"/>
      <c r="BW21" s="666"/>
      <c r="BX21" s="666"/>
      <c r="BY21" s="666"/>
      <c r="BZ21" s="666"/>
      <c r="CA21" s="666"/>
      <c r="CB21" s="666"/>
      <c r="CC21" s="666"/>
      <c r="CD21" s="666"/>
      <c r="CE21" s="666"/>
      <c r="CF21" s="666"/>
      <c r="CG21" s="666"/>
      <c r="CH21" s="666"/>
      <c r="CI21" s="666"/>
      <c r="CJ21" s="666"/>
      <c r="CK21" s="666"/>
      <c r="CL21" s="666"/>
      <c r="CM21" s="666"/>
      <c r="CN21" s="666"/>
      <c r="CO21" s="666"/>
      <c r="CP21" s="666"/>
      <c r="CQ21" s="666"/>
      <c r="CR21" s="666"/>
      <c r="CS21" s="666"/>
      <c r="CT21" s="666"/>
      <c r="CU21" s="666"/>
      <c r="CV21" s="666"/>
      <c r="CW21" s="666"/>
      <c r="CX21" s="666"/>
      <c r="CY21" s="666"/>
      <c r="CZ21" s="666"/>
      <c r="DA21" s="666"/>
      <c r="DB21" s="666"/>
      <c r="DC21" s="666"/>
      <c r="DD21" s="666"/>
      <c r="DE21" s="666"/>
      <c r="DF21" s="666"/>
      <c r="DG21" s="666"/>
      <c r="DH21" s="666"/>
      <c r="DI21" s="666"/>
      <c r="DJ21" s="666"/>
      <c r="DK21" s="666"/>
      <c r="DL21" s="666"/>
      <c r="DM21" s="666"/>
      <c r="DN21" s="666"/>
      <c r="DO21" s="666"/>
      <c r="DP21" s="666"/>
      <c r="DQ21" s="666"/>
      <c r="DR21" s="666"/>
      <c r="DS21" s="666"/>
      <c r="DT21" s="666"/>
      <c r="DU21" s="666"/>
      <c r="DV21" s="666"/>
      <c r="DW21" s="666"/>
      <c r="DX21" s="666"/>
      <c r="DY21" s="666"/>
      <c r="DZ21" s="666"/>
      <c r="EA21" s="666"/>
      <c r="EB21" s="666"/>
      <c r="EC21" s="666"/>
      <c r="ED21" s="666"/>
      <c r="EE21" s="666"/>
      <c r="EF21" s="666"/>
      <c r="EG21" s="666"/>
      <c r="EH21" s="666"/>
      <c r="EI21" s="666"/>
      <c r="EJ21" s="666"/>
      <c r="EK21" s="666"/>
      <c r="EL21" s="666"/>
      <c r="EM21" s="666"/>
      <c r="EN21" s="666"/>
      <c r="EO21" s="666"/>
      <c r="EP21" s="666"/>
      <c r="EQ21" s="666"/>
      <c r="ER21" s="666"/>
      <c r="ES21" s="666"/>
      <c r="ET21" s="666"/>
      <c r="EU21" s="666"/>
      <c r="EV21" s="666"/>
      <c r="EW21" s="666"/>
      <c r="EX21" s="666"/>
      <c r="EY21" s="666"/>
      <c r="EZ21" s="666"/>
      <c r="FA21" s="666"/>
      <c r="FB21" s="666"/>
      <c r="FC21" s="666"/>
      <c r="FD21" s="666"/>
      <c r="FE21" s="666"/>
      <c r="FF21" s="666"/>
      <c r="FG21" s="666"/>
      <c r="FH21" s="666"/>
      <c r="FI21" s="666"/>
      <c r="FJ21" s="666"/>
      <c r="FK21" s="666"/>
      <c r="FL21" s="666"/>
      <c r="FM21" s="666"/>
      <c r="FN21" s="666"/>
      <c r="FO21" s="666"/>
      <c r="FP21" s="666"/>
      <c r="FQ21" s="666"/>
      <c r="FR21" s="666"/>
      <c r="FS21" s="666"/>
      <c r="FT21" s="666"/>
      <c r="FU21" s="666"/>
      <c r="FV21" s="666"/>
      <c r="FW21" s="666"/>
      <c r="FX21" s="666"/>
      <c r="FY21" s="666"/>
      <c r="FZ21" s="666"/>
      <c r="GA21" s="666"/>
      <c r="GB21" s="666"/>
      <c r="GC21" s="666"/>
      <c r="GD21" s="666"/>
      <c r="GE21" s="666"/>
      <c r="GF21" s="666"/>
      <c r="GG21" s="666"/>
      <c r="GH21" s="666"/>
      <c r="GI21" s="666"/>
      <c r="GJ21" s="666"/>
      <c r="GK21" s="666"/>
      <c r="GL21" s="666"/>
      <c r="GM21" s="666"/>
      <c r="GN21" s="666"/>
      <c r="GO21" s="666"/>
      <c r="GP21" s="666"/>
      <c r="GQ21" s="666"/>
      <c r="GR21" s="666"/>
      <c r="GS21" s="666"/>
      <c r="GT21" s="666"/>
      <c r="GU21" s="666"/>
      <c r="GV21" s="666"/>
      <c r="GW21" s="666"/>
      <c r="GX21" s="666"/>
      <c r="GY21" s="666"/>
      <c r="GZ21" s="666"/>
      <c r="HA21" s="666"/>
      <c r="HB21" s="666"/>
      <c r="HC21" s="666"/>
      <c r="HD21" s="666"/>
      <c r="HE21" s="666"/>
      <c r="HF21" s="666"/>
      <c r="HG21" s="666"/>
      <c r="HH21" s="666"/>
      <c r="HI21" s="666"/>
      <c r="HJ21" s="666"/>
      <c r="HK21" s="666"/>
      <c r="HL21" s="666"/>
      <c r="HM21" s="666"/>
      <c r="HN21" s="666"/>
      <c r="HO21" s="666"/>
      <c r="HP21" s="666"/>
      <c r="HQ21" s="666"/>
      <c r="HR21" s="666"/>
      <c r="HS21" s="666"/>
      <c r="HT21" s="666"/>
      <c r="HU21" s="666"/>
      <c r="HV21" s="666"/>
      <c r="HW21" s="666"/>
      <c r="HX21" s="666"/>
      <c r="HY21" s="666"/>
      <c r="HZ21" s="666"/>
      <c r="IA21" s="666"/>
      <c r="IB21" s="666"/>
      <c r="IC21" s="666"/>
      <c r="ID21" s="666"/>
      <c r="IE21" s="666"/>
      <c r="IF21" s="666"/>
      <c r="IG21" s="666"/>
      <c r="IH21" s="666"/>
      <c r="II21" s="666"/>
      <c r="IJ21" s="666"/>
      <c r="IK21" s="666"/>
      <c r="IL21" s="666"/>
      <c r="IM21" s="666"/>
      <c r="IN21" s="666"/>
      <c r="IO21" s="666"/>
      <c r="IP21" s="666"/>
      <c r="IQ21" s="666"/>
      <c r="IR21" s="666"/>
      <c r="IS21" s="666"/>
      <c r="IT21" s="666"/>
      <c r="IU21" s="666"/>
      <c r="IV21" s="666"/>
    </row>
    <row r="22" spans="1:256" s="667" customFormat="1" ht="12.75" customHeight="1">
      <c r="A22" s="663" t="s">
        <v>63</v>
      </c>
      <c r="B22" s="664" t="s">
        <v>708</v>
      </c>
      <c r="C22" s="665">
        <v>22522681</v>
      </c>
      <c r="D22" s="665">
        <v>18000000</v>
      </c>
      <c r="E22" s="665">
        <v>18000000</v>
      </c>
      <c r="F22" s="665">
        <v>18000000</v>
      </c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666"/>
      <c r="R22" s="666"/>
      <c r="S22" s="666"/>
      <c r="T22" s="666"/>
      <c r="U22" s="666"/>
      <c r="V22" s="666"/>
      <c r="W22" s="666"/>
      <c r="X22" s="666"/>
      <c r="Y22" s="666"/>
      <c r="Z22" s="666"/>
      <c r="AA22" s="666"/>
      <c r="AB22" s="666"/>
      <c r="AC22" s="666"/>
      <c r="AD22" s="666"/>
      <c r="AE22" s="666"/>
      <c r="AF22" s="666"/>
      <c r="AG22" s="666"/>
      <c r="AH22" s="666"/>
      <c r="AI22" s="666"/>
      <c r="AJ22" s="666"/>
      <c r="AK22" s="666"/>
      <c r="AL22" s="666"/>
      <c r="AM22" s="666"/>
      <c r="AN22" s="666"/>
      <c r="AO22" s="666"/>
      <c r="AP22" s="666"/>
      <c r="AQ22" s="666"/>
      <c r="AR22" s="666"/>
      <c r="AS22" s="666"/>
      <c r="AT22" s="666"/>
      <c r="AU22" s="666"/>
      <c r="AV22" s="666"/>
      <c r="AW22" s="666"/>
      <c r="AX22" s="666"/>
      <c r="AY22" s="666"/>
      <c r="AZ22" s="666"/>
      <c r="BA22" s="666"/>
      <c r="BB22" s="666"/>
      <c r="BC22" s="666"/>
      <c r="BD22" s="666"/>
      <c r="BE22" s="666"/>
      <c r="BF22" s="666"/>
      <c r="BG22" s="666"/>
      <c r="BH22" s="666"/>
      <c r="BI22" s="666"/>
      <c r="BJ22" s="666"/>
      <c r="BK22" s="666"/>
      <c r="BL22" s="666"/>
      <c r="BM22" s="666"/>
      <c r="BN22" s="666"/>
      <c r="BO22" s="666"/>
      <c r="BP22" s="666"/>
      <c r="BQ22" s="666"/>
      <c r="BR22" s="666"/>
      <c r="BS22" s="666"/>
      <c r="BT22" s="666"/>
      <c r="BU22" s="666"/>
      <c r="BV22" s="666"/>
      <c r="BW22" s="666"/>
      <c r="BX22" s="666"/>
      <c r="BY22" s="666"/>
      <c r="BZ22" s="666"/>
      <c r="CA22" s="666"/>
      <c r="CB22" s="666"/>
      <c r="CC22" s="666"/>
      <c r="CD22" s="666"/>
      <c r="CE22" s="666"/>
      <c r="CF22" s="666"/>
      <c r="CG22" s="666"/>
      <c r="CH22" s="666"/>
      <c r="CI22" s="666"/>
      <c r="CJ22" s="666"/>
      <c r="CK22" s="666"/>
      <c r="CL22" s="666"/>
      <c r="CM22" s="666"/>
      <c r="CN22" s="666"/>
      <c r="CO22" s="666"/>
      <c r="CP22" s="666"/>
      <c r="CQ22" s="666"/>
      <c r="CR22" s="666"/>
      <c r="CS22" s="666"/>
      <c r="CT22" s="666"/>
      <c r="CU22" s="666"/>
      <c r="CV22" s="666"/>
      <c r="CW22" s="666"/>
      <c r="CX22" s="666"/>
      <c r="CY22" s="666"/>
      <c r="CZ22" s="666"/>
      <c r="DA22" s="666"/>
      <c r="DB22" s="666"/>
      <c r="DC22" s="666"/>
      <c r="DD22" s="666"/>
      <c r="DE22" s="666"/>
      <c r="DF22" s="666"/>
      <c r="DG22" s="666"/>
      <c r="DH22" s="666"/>
      <c r="DI22" s="666"/>
      <c r="DJ22" s="666"/>
      <c r="DK22" s="666"/>
      <c r="DL22" s="666"/>
      <c r="DM22" s="666"/>
      <c r="DN22" s="666"/>
      <c r="DO22" s="666"/>
      <c r="DP22" s="666"/>
      <c r="DQ22" s="666"/>
      <c r="DR22" s="666"/>
      <c r="DS22" s="666"/>
      <c r="DT22" s="666"/>
      <c r="DU22" s="666"/>
      <c r="DV22" s="666"/>
      <c r="DW22" s="666"/>
      <c r="DX22" s="666"/>
      <c r="DY22" s="666"/>
      <c r="DZ22" s="666"/>
      <c r="EA22" s="666"/>
      <c r="EB22" s="666"/>
      <c r="EC22" s="666"/>
      <c r="ED22" s="666"/>
      <c r="EE22" s="666"/>
      <c r="EF22" s="666"/>
      <c r="EG22" s="666"/>
      <c r="EH22" s="666"/>
      <c r="EI22" s="666"/>
      <c r="EJ22" s="666"/>
      <c r="EK22" s="666"/>
      <c r="EL22" s="666"/>
      <c r="EM22" s="666"/>
      <c r="EN22" s="666"/>
      <c r="EO22" s="666"/>
      <c r="EP22" s="666"/>
      <c r="EQ22" s="666"/>
      <c r="ER22" s="666"/>
      <c r="ES22" s="666"/>
      <c r="ET22" s="666"/>
      <c r="EU22" s="666"/>
      <c r="EV22" s="666"/>
      <c r="EW22" s="666"/>
      <c r="EX22" s="666"/>
      <c r="EY22" s="666"/>
      <c r="EZ22" s="666"/>
      <c r="FA22" s="666"/>
      <c r="FB22" s="666"/>
      <c r="FC22" s="666"/>
      <c r="FD22" s="666"/>
      <c r="FE22" s="666"/>
      <c r="FF22" s="666"/>
      <c r="FG22" s="666"/>
      <c r="FH22" s="666"/>
      <c r="FI22" s="666"/>
      <c r="FJ22" s="666"/>
      <c r="FK22" s="666"/>
      <c r="FL22" s="666"/>
      <c r="FM22" s="666"/>
      <c r="FN22" s="666"/>
      <c r="FO22" s="666"/>
      <c r="FP22" s="666"/>
      <c r="FQ22" s="666"/>
      <c r="FR22" s="666"/>
      <c r="FS22" s="666"/>
      <c r="FT22" s="666"/>
      <c r="FU22" s="666"/>
      <c r="FV22" s="666"/>
      <c r="FW22" s="666"/>
      <c r="FX22" s="666"/>
      <c r="FY22" s="666"/>
      <c r="FZ22" s="666"/>
      <c r="GA22" s="666"/>
      <c r="GB22" s="666"/>
      <c r="GC22" s="666"/>
      <c r="GD22" s="666"/>
      <c r="GE22" s="666"/>
      <c r="GF22" s="666"/>
      <c r="GG22" s="666"/>
      <c r="GH22" s="666"/>
      <c r="GI22" s="666"/>
      <c r="GJ22" s="666"/>
      <c r="GK22" s="666"/>
      <c r="GL22" s="666"/>
      <c r="GM22" s="666"/>
      <c r="GN22" s="666"/>
      <c r="GO22" s="666"/>
      <c r="GP22" s="666"/>
      <c r="GQ22" s="666"/>
      <c r="GR22" s="666"/>
      <c r="GS22" s="666"/>
      <c r="GT22" s="666"/>
      <c r="GU22" s="666"/>
      <c r="GV22" s="666"/>
      <c r="GW22" s="666"/>
      <c r="GX22" s="666"/>
      <c r="GY22" s="666"/>
      <c r="GZ22" s="666"/>
      <c r="HA22" s="666"/>
      <c r="HB22" s="666"/>
      <c r="HC22" s="666"/>
      <c r="HD22" s="666"/>
      <c r="HE22" s="666"/>
      <c r="HF22" s="666"/>
      <c r="HG22" s="666"/>
      <c r="HH22" s="666"/>
      <c r="HI22" s="666"/>
      <c r="HJ22" s="666"/>
      <c r="HK22" s="666"/>
      <c r="HL22" s="666"/>
      <c r="HM22" s="666"/>
      <c r="HN22" s="666"/>
      <c r="HO22" s="666"/>
      <c r="HP22" s="666"/>
      <c r="HQ22" s="666"/>
      <c r="HR22" s="666"/>
      <c r="HS22" s="666"/>
      <c r="HT22" s="666"/>
      <c r="HU22" s="666"/>
      <c r="HV22" s="666"/>
      <c r="HW22" s="666"/>
      <c r="HX22" s="666"/>
      <c r="HY22" s="666"/>
      <c r="HZ22" s="666"/>
      <c r="IA22" s="666"/>
      <c r="IB22" s="666"/>
      <c r="IC22" s="666"/>
      <c r="ID22" s="666"/>
      <c r="IE22" s="666"/>
      <c r="IF22" s="666"/>
      <c r="IG22" s="666"/>
      <c r="IH22" s="666"/>
      <c r="II22" s="666"/>
      <c r="IJ22" s="666"/>
      <c r="IK22" s="666"/>
      <c r="IL22" s="666"/>
      <c r="IM22" s="666"/>
      <c r="IN22" s="666"/>
      <c r="IO22" s="666"/>
      <c r="IP22" s="666"/>
      <c r="IQ22" s="666"/>
      <c r="IR22" s="666"/>
      <c r="IS22" s="666"/>
      <c r="IT22" s="666"/>
      <c r="IU22" s="666"/>
      <c r="IV22" s="666"/>
    </row>
    <row r="23" spans="1:256" s="667" customFormat="1" ht="12.75" customHeight="1">
      <c r="A23" s="668" t="s">
        <v>65</v>
      </c>
      <c r="B23" s="664" t="s">
        <v>709</v>
      </c>
      <c r="C23" s="665">
        <v>11551896</v>
      </c>
      <c r="D23" s="665">
        <v>9000000</v>
      </c>
      <c r="E23" s="665">
        <v>9000000</v>
      </c>
      <c r="F23" s="665">
        <v>9000000</v>
      </c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666"/>
      <c r="V23" s="666"/>
      <c r="W23" s="666"/>
      <c r="X23" s="666"/>
      <c r="Y23" s="666"/>
      <c r="Z23" s="666"/>
      <c r="AA23" s="666"/>
      <c r="AB23" s="666"/>
      <c r="AC23" s="666"/>
      <c r="AD23" s="666"/>
      <c r="AE23" s="666"/>
      <c r="AF23" s="666"/>
      <c r="AG23" s="666"/>
      <c r="AH23" s="666"/>
      <c r="AI23" s="666"/>
      <c r="AJ23" s="666"/>
      <c r="AK23" s="666"/>
      <c r="AL23" s="666"/>
      <c r="AM23" s="666"/>
      <c r="AN23" s="666"/>
      <c r="AO23" s="666"/>
      <c r="AP23" s="666"/>
      <c r="AQ23" s="666"/>
      <c r="AR23" s="666"/>
      <c r="AS23" s="666"/>
      <c r="AT23" s="666"/>
      <c r="AU23" s="666"/>
      <c r="AV23" s="666"/>
      <c r="AW23" s="666"/>
      <c r="AX23" s="666"/>
      <c r="AY23" s="666"/>
      <c r="AZ23" s="666"/>
      <c r="BA23" s="666"/>
      <c r="BB23" s="666"/>
      <c r="BC23" s="666"/>
      <c r="BD23" s="666"/>
      <c r="BE23" s="666"/>
      <c r="BF23" s="666"/>
      <c r="BG23" s="666"/>
      <c r="BH23" s="666"/>
      <c r="BI23" s="666"/>
      <c r="BJ23" s="666"/>
      <c r="BK23" s="666"/>
      <c r="BL23" s="666"/>
      <c r="BM23" s="666"/>
      <c r="BN23" s="666"/>
      <c r="BO23" s="666"/>
      <c r="BP23" s="666"/>
      <c r="BQ23" s="666"/>
      <c r="BR23" s="666"/>
      <c r="BS23" s="666"/>
      <c r="BT23" s="666"/>
      <c r="BU23" s="666"/>
      <c r="BV23" s="666"/>
      <c r="BW23" s="666"/>
      <c r="BX23" s="666"/>
      <c r="BY23" s="666"/>
      <c r="BZ23" s="666"/>
      <c r="CA23" s="666"/>
      <c r="CB23" s="666"/>
      <c r="CC23" s="666"/>
      <c r="CD23" s="666"/>
      <c r="CE23" s="666"/>
      <c r="CF23" s="666"/>
      <c r="CG23" s="666"/>
      <c r="CH23" s="666"/>
      <c r="CI23" s="666"/>
      <c r="CJ23" s="666"/>
      <c r="CK23" s="666"/>
      <c r="CL23" s="666"/>
      <c r="CM23" s="666"/>
      <c r="CN23" s="666"/>
      <c r="CO23" s="666"/>
      <c r="CP23" s="666"/>
      <c r="CQ23" s="666"/>
      <c r="CR23" s="666"/>
      <c r="CS23" s="666"/>
      <c r="CT23" s="666"/>
      <c r="CU23" s="666"/>
      <c r="CV23" s="666"/>
      <c r="CW23" s="666"/>
      <c r="CX23" s="666"/>
      <c r="CY23" s="666"/>
      <c r="CZ23" s="666"/>
      <c r="DA23" s="666"/>
      <c r="DB23" s="666"/>
      <c r="DC23" s="666"/>
      <c r="DD23" s="666"/>
      <c r="DE23" s="666"/>
      <c r="DF23" s="666"/>
      <c r="DG23" s="666"/>
      <c r="DH23" s="666"/>
      <c r="DI23" s="666"/>
      <c r="DJ23" s="666"/>
      <c r="DK23" s="666"/>
      <c r="DL23" s="666"/>
      <c r="DM23" s="666"/>
      <c r="DN23" s="666"/>
      <c r="DO23" s="666"/>
      <c r="DP23" s="666"/>
      <c r="DQ23" s="666"/>
      <c r="DR23" s="666"/>
      <c r="DS23" s="666"/>
      <c r="DT23" s="666"/>
      <c r="DU23" s="666"/>
      <c r="DV23" s="666"/>
      <c r="DW23" s="666"/>
      <c r="DX23" s="666"/>
      <c r="DY23" s="666"/>
      <c r="DZ23" s="666"/>
      <c r="EA23" s="666"/>
      <c r="EB23" s="666"/>
      <c r="EC23" s="666"/>
      <c r="ED23" s="666"/>
      <c r="EE23" s="666"/>
      <c r="EF23" s="666"/>
      <c r="EG23" s="666"/>
      <c r="EH23" s="666"/>
      <c r="EI23" s="666"/>
      <c r="EJ23" s="666"/>
      <c r="EK23" s="666"/>
      <c r="EL23" s="666"/>
      <c r="EM23" s="666"/>
      <c r="EN23" s="666"/>
      <c r="EO23" s="666"/>
      <c r="EP23" s="666"/>
      <c r="EQ23" s="666"/>
      <c r="ER23" s="666"/>
      <c r="ES23" s="666"/>
      <c r="ET23" s="666"/>
      <c r="EU23" s="666"/>
      <c r="EV23" s="666"/>
      <c r="EW23" s="666"/>
      <c r="EX23" s="666"/>
      <c r="EY23" s="666"/>
      <c r="EZ23" s="666"/>
      <c r="FA23" s="666"/>
      <c r="FB23" s="666"/>
      <c r="FC23" s="666"/>
      <c r="FD23" s="666"/>
      <c r="FE23" s="666"/>
      <c r="FF23" s="666"/>
      <c r="FG23" s="666"/>
      <c r="FH23" s="666"/>
      <c r="FI23" s="666"/>
      <c r="FJ23" s="666"/>
      <c r="FK23" s="666"/>
      <c r="FL23" s="666"/>
      <c r="FM23" s="666"/>
      <c r="FN23" s="666"/>
      <c r="FO23" s="666"/>
      <c r="FP23" s="666"/>
      <c r="FQ23" s="666"/>
      <c r="FR23" s="666"/>
      <c r="FS23" s="666"/>
      <c r="FT23" s="666"/>
      <c r="FU23" s="666"/>
      <c r="FV23" s="666"/>
      <c r="FW23" s="666"/>
      <c r="FX23" s="666"/>
      <c r="FY23" s="666"/>
      <c r="FZ23" s="666"/>
      <c r="GA23" s="666"/>
      <c r="GB23" s="666"/>
      <c r="GC23" s="666"/>
      <c r="GD23" s="666"/>
      <c r="GE23" s="666"/>
      <c r="GF23" s="666"/>
      <c r="GG23" s="666"/>
      <c r="GH23" s="666"/>
      <c r="GI23" s="666"/>
      <c r="GJ23" s="666"/>
      <c r="GK23" s="666"/>
      <c r="GL23" s="666"/>
      <c r="GM23" s="666"/>
      <c r="GN23" s="666"/>
      <c r="GO23" s="666"/>
      <c r="GP23" s="666"/>
      <c r="GQ23" s="666"/>
      <c r="GR23" s="666"/>
      <c r="GS23" s="666"/>
      <c r="GT23" s="666"/>
      <c r="GU23" s="666"/>
      <c r="GV23" s="666"/>
      <c r="GW23" s="666"/>
      <c r="GX23" s="666"/>
      <c r="GY23" s="666"/>
      <c r="GZ23" s="666"/>
      <c r="HA23" s="666"/>
      <c r="HB23" s="666"/>
      <c r="HC23" s="666"/>
      <c r="HD23" s="666"/>
      <c r="HE23" s="666"/>
      <c r="HF23" s="666"/>
      <c r="HG23" s="666"/>
      <c r="HH23" s="666"/>
      <c r="HI23" s="666"/>
      <c r="HJ23" s="666"/>
      <c r="HK23" s="666"/>
      <c r="HL23" s="666"/>
      <c r="HM23" s="666"/>
      <c r="HN23" s="666"/>
      <c r="HO23" s="666"/>
      <c r="HP23" s="666"/>
      <c r="HQ23" s="666"/>
      <c r="HR23" s="666"/>
      <c r="HS23" s="666"/>
      <c r="HT23" s="666"/>
      <c r="HU23" s="666"/>
      <c r="HV23" s="666"/>
      <c r="HW23" s="666"/>
      <c r="HX23" s="666"/>
      <c r="HY23" s="666"/>
      <c r="HZ23" s="666"/>
      <c r="IA23" s="666"/>
      <c r="IB23" s="666"/>
      <c r="IC23" s="666"/>
      <c r="ID23" s="666"/>
      <c r="IE23" s="666"/>
      <c r="IF23" s="666"/>
      <c r="IG23" s="666"/>
      <c r="IH23" s="666"/>
      <c r="II23" s="666"/>
      <c r="IJ23" s="666"/>
      <c r="IK23" s="666"/>
      <c r="IL23" s="666"/>
      <c r="IM23" s="666"/>
      <c r="IN23" s="666"/>
      <c r="IO23" s="666"/>
      <c r="IP23" s="666"/>
      <c r="IQ23" s="666"/>
      <c r="IR23" s="666"/>
      <c r="IS23" s="666"/>
      <c r="IT23" s="666"/>
      <c r="IU23" s="666"/>
      <c r="IV23" s="666"/>
    </row>
    <row r="24" spans="1:256" s="667" customFormat="1" ht="12.75" customHeight="1">
      <c r="A24" s="668" t="s">
        <v>92</v>
      </c>
      <c r="B24" s="664" t="s">
        <v>743</v>
      </c>
      <c r="C24" s="665">
        <v>818000</v>
      </c>
      <c r="D24" s="665">
        <v>5500000</v>
      </c>
      <c r="E24" s="665">
        <v>5500000</v>
      </c>
      <c r="F24" s="665">
        <v>5500000</v>
      </c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AQ24" s="666"/>
      <c r="AR24" s="666"/>
      <c r="AS24" s="666"/>
      <c r="AT24" s="666"/>
      <c r="AU24" s="666"/>
      <c r="AV24" s="666"/>
      <c r="AW24" s="666"/>
      <c r="AX24" s="666"/>
      <c r="AY24" s="666"/>
      <c r="AZ24" s="666"/>
      <c r="BA24" s="666"/>
      <c r="BB24" s="666"/>
      <c r="BC24" s="666"/>
      <c r="BD24" s="666"/>
      <c r="BE24" s="666"/>
      <c r="BF24" s="666"/>
      <c r="BG24" s="666"/>
      <c r="BH24" s="666"/>
      <c r="BI24" s="666"/>
      <c r="BJ24" s="666"/>
      <c r="BK24" s="666"/>
      <c r="BL24" s="666"/>
      <c r="BM24" s="666"/>
      <c r="BN24" s="666"/>
      <c r="BO24" s="666"/>
      <c r="BP24" s="666"/>
      <c r="BQ24" s="666"/>
      <c r="BR24" s="666"/>
      <c r="BS24" s="666"/>
      <c r="BT24" s="666"/>
      <c r="BU24" s="666"/>
      <c r="BV24" s="666"/>
      <c r="BW24" s="666"/>
      <c r="BX24" s="666"/>
      <c r="BY24" s="666"/>
      <c r="BZ24" s="666"/>
      <c r="CA24" s="666"/>
      <c r="CB24" s="666"/>
      <c r="CC24" s="666"/>
      <c r="CD24" s="666"/>
      <c r="CE24" s="666"/>
      <c r="CF24" s="666"/>
      <c r="CG24" s="666"/>
      <c r="CH24" s="666"/>
      <c r="CI24" s="666"/>
      <c r="CJ24" s="666"/>
      <c r="CK24" s="666"/>
      <c r="CL24" s="666"/>
      <c r="CM24" s="666"/>
      <c r="CN24" s="666"/>
      <c r="CO24" s="666"/>
      <c r="CP24" s="666"/>
      <c r="CQ24" s="666"/>
      <c r="CR24" s="666"/>
      <c r="CS24" s="666"/>
      <c r="CT24" s="666"/>
      <c r="CU24" s="666"/>
      <c r="CV24" s="666"/>
      <c r="CW24" s="666"/>
      <c r="CX24" s="666"/>
      <c r="CY24" s="666"/>
      <c r="CZ24" s="666"/>
      <c r="DA24" s="666"/>
      <c r="DB24" s="666"/>
      <c r="DC24" s="666"/>
      <c r="DD24" s="666"/>
      <c r="DE24" s="666"/>
      <c r="DF24" s="666"/>
      <c r="DG24" s="666"/>
      <c r="DH24" s="666"/>
      <c r="DI24" s="666"/>
      <c r="DJ24" s="666"/>
      <c r="DK24" s="666"/>
      <c r="DL24" s="666"/>
      <c r="DM24" s="666"/>
      <c r="DN24" s="666"/>
      <c r="DO24" s="666"/>
      <c r="DP24" s="666"/>
      <c r="DQ24" s="666"/>
      <c r="DR24" s="666"/>
      <c r="DS24" s="666"/>
      <c r="DT24" s="666"/>
      <c r="DU24" s="666"/>
      <c r="DV24" s="666"/>
      <c r="DW24" s="666"/>
      <c r="DX24" s="666"/>
      <c r="DY24" s="666"/>
      <c r="DZ24" s="666"/>
      <c r="EA24" s="666"/>
      <c r="EB24" s="666"/>
      <c r="EC24" s="666"/>
      <c r="ED24" s="666"/>
      <c r="EE24" s="666"/>
      <c r="EF24" s="666"/>
      <c r="EG24" s="666"/>
      <c r="EH24" s="666"/>
      <c r="EI24" s="666"/>
      <c r="EJ24" s="666"/>
      <c r="EK24" s="666"/>
      <c r="EL24" s="666"/>
      <c r="EM24" s="666"/>
      <c r="EN24" s="666"/>
      <c r="EO24" s="666"/>
      <c r="EP24" s="666"/>
      <c r="EQ24" s="666"/>
      <c r="ER24" s="666"/>
      <c r="ES24" s="666"/>
      <c r="ET24" s="666"/>
      <c r="EU24" s="666"/>
      <c r="EV24" s="666"/>
      <c r="EW24" s="666"/>
      <c r="EX24" s="666"/>
      <c r="EY24" s="666"/>
      <c r="EZ24" s="666"/>
      <c r="FA24" s="666"/>
      <c r="FB24" s="666"/>
      <c r="FC24" s="666"/>
      <c r="FD24" s="666"/>
      <c r="FE24" s="666"/>
      <c r="FF24" s="666"/>
      <c r="FG24" s="666"/>
      <c r="FH24" s="666"/>
      <c r="FI24" s="666"/>
      <c r="FJ24" s="666"/>
      <c r="FK24" s="666"/>
      <c r="FL24" s="666"/>
      <c r="FM24" s="666"/>
      <c r="FN24" s="666"/>
      <c r="FO24" s="666"/>
      <c r="FP24" s="666"/>
      <c r="FQ24" s="666"/>
      <c r="FR24" s="666"/>
      <c r="FS24" s="666"/>
      <c r="FT24" s="666"/>
      <c r="FU24" s="666"/>
      <c r="FV24" s="666"/>
      <c r="FW24" s="666"/>
      <c r="FX24" s="666"/>
      <c r="FY24" s="666"/>
      <c r="FZ24" s="666"/>
      <c r="GA24" s="666"/>
      <c r="GB24" s="666"/>
      <c r="GC24" s="666"/>
      <c r="GD24" s="666"/>
      <c r="GE24" s="666"/>
      <c r="GF24" s="666"/>
      <c r="GG24" s="666"/>
      <c r="GH24" s="666"/>
      <c r="GI24" s="666"/>
      <c r="GJ24" s="666"/>
      <c r="GK24" s="666"/>
      <c r="GL24" s="666"/>
      <c r="GM24" s="666"/>
      <c r="GN24" s="666"/>
      <c r="GO24" s="666"/>
      <c r="GP24" s="666"/>
      <c r="GQ24" s="666"/>
      <c r="GR24" s="666"/>
      <c r="GS24" s="666"/>
      <c r="GT24" s="666"/>
      <c r="GU24" s="666"/>
      <c r="GV24" s="666"/>
      <c r="GW24" s="666"/>
      <c r="GX24" s="666"/>
      <c r="GY24" s="666"/>
      <c r="GZ24" s="666"/>
      <c r="HA24" s="666"/>
      <c r="HB24" s="666"/>
      <c r="HC24" s="666"/>
      <c r="HD24" s="666"/>
      <c r="HE24" s="666"/>
      <c r="HF24" s="666"/>
      <c r="HG24" s="666"/>
      <c r="HH24" s="666"/>
      <c r="HI24" s="666"/>
      <c r="HJ24" s="666"/>
      <c r="HK24" s="666"/>
      <c r="HL24" s="666"/>
      <c r="HM24" s="666"/>
      <c r="HN24" s="666"/>
      <c r="HO24" s="666"/>
      <c r="HP24" s="666"/>
      <c r="HQ24" s="666"/>
      <c r="HR24" s="666"/>
      <c r="HS24" s="666"/>
      <c r="HT24" s="666"/>
      <c r="HU24" s="666"/>
      <c r="HV24" s="666"/>
      <c r="HW24" s="666"/>
      <c r="HX24" s="666"/>
      <c r="HY24" s="666"/>
      <c r="HZ24" s="666"/>
      <c r="IA24" s="666"/>
      <c r="IB24" s="666"/>
      <c r="IC24" s="666"/>
      <c r="ID24" s="666"/>
      <c r="IE24" s="666"/>
      <c r="IF24" s="666"/>
      <c r="IG24" s="666"/>
      <c r="IH24" s="666"/>
      <c r="II24" s="666"/>
      <c r="IJ24" s="666"/>
      <c r="IK24" s="666"/>
      <c r="IL24" s="666"/>
      <c r="IM24" s="666"/>
      <c r="IN24" s="666"/>
      <c r="IO24" s="666"/>
      <c r="IP24" s="666"/>
      <c r="IQ24" s="666"/>
      <c r="IR24" s="666"/>
      <c r="IS24" s="666"/>
      <c r="IT24" s="666"/>
      <c r="IU24" s="666"/>
      <c r="IV24" s="666"/>
    </row>
    <row r="25" spans="1:256" s="667" customFormat="1" ht="12.75" customHeight="1">
      <c r="A25" s="663" t="s">
        <v>66</v>
      </c>
      <c r="B25" s="664" t="s">
        <v>710</v>
      </c>
      <c r="C25" s="665">
        <v>554</v>
      </c>
      <c r="D25" s="665">
        <v>5000</v>
      </c>
      <c r="E25" s="665">
        <v>5000</v>
      </c>
      <c r="F25" s="665">
        <v>5000</v>
      </c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6"/>
      <c r="Z25" s="666"/>
      <c r="AA25" s="666"/>
      <c r="AB25" s="666"/>
      <c r="AC25" s="666"/>
      <c r="AD25" s="666"/>
      <c r="AE25" s="666"/>
      <c r="AF25" s="666"/>
      <c r="AG25" s="666"/>
      <c r="AH25" s="666"/>
      <c r="AI25" s="666"/>
      <c r="AJ25" s="666"/>
      <c r="AK25" s="666"/>
      <c r="AL25" s="666"/>
      <c r="AM25" s="666"/>
      <c r="AN25" s="666"/>
      <c r="AO25" s="666"/>
      <c r="AP25" s="666"/>
      <c r="AQ25" s="666"/>
      <c r="AR25" s="666"/>
      <c r="AS25" s="666"/>
      <c r="AT25" s="666"/>
      <c r="AU25" s="666"/>
      <c r="AV25" s="666"/>
      <c r="AW25" s="666"/>
      <c r="AX25" s="666"/>
      <c r="AY25" s="666"/>
      <c r="AZ25" s="666"/>
      <c r="BA25" s="666"/>
      <c r="BB25" s="666"/>
      <c r="BC25" s="666"/>
      <c r="BD25" s="666"/>
      <c r="BE25" s="666"/>
      <c r="BF25" s="666"/>
      <c r="BG25" s="666"/>
      <c r="BH25" s="666"/>
      <c r="BI25" s="666"/>
      <c r="BJ25" s="666"/>
      <c r="BK25" s="666"/>
      <c r="BL25" s="666"/>
      <c r="BM25" s="666"/>
      <c r="BN25" s="666"/>
      <c r="BO25" s="666"/>
      <c r="BP25" s="666"/>
      <c r="BQ25" s="666"/>
      <c r="BR25" s="666"/>
      <c r="BS25" s="666"/>
      <c r="BT25" s="666"/>
      <c r="BU25" s="666"/>
      <c r="BV25" s="666"/>
      <c r="BW25" s="666"/>
      <c r="BX25" s="666"/>
      <c r="BY25" s="666"/>
      <c r="BZ25" s="666"/>
      <c r="CA25" s="666"/>
      <c r="CB25" s="666"/>
      <c r="CC25" s="666"/>
      <c r="CD25" s="666"/>
      <c r="CE25" s="666"/>
      <c r="CF25" s="666"/>
      <c r="CG25" s="666"/>
      <c r="CH25" s="666"/>
      <c r="CI25" s="666"/>
      <c r="CJ25" s="666"/>
      <c r="CK25" s="666"/>
      <c r="CL25" s="666"/>
      <c r="CM25" s="666"/>
      <c r="CN25" s="666"/>
      <c r="CO25" s="666"/>
      <c r="CP25" s="666"/>
      <c r="CQ25" s="666"/>
      <c r="CR25" s="666"/>
      <c r="CS25" s="666"/>
      <c r="CT25" s="666"/>
      <c r="CU25" s="666"/>
      <c r="CV25" s="666"/>
      <c r="CW25" s="666"/>
      <c r="CX25" s="666"/>
      <c r="CY25" s="666"/>
      <c r="CZ25" s="666"/>
      <c r="DA25" s="666"/>
      <c r="DB25" s="666"/>
      <c r="DC25" s="666"/>
      <c r="DD25" s="666"/>
      <c r="DE25" s="666"/>
      <c r="DF25" s="666"/>
      <c r="DG25" s="666"/>
      <c r="DH25" s="666"/>
      <c r="DI25" s="666"/>
      <c r="DJ25" s="666"/>
      <c r="DK25" s="666"/>
      <c r="DL25" s="666"/>
      <c r="DM25" s="666"/>
      <c r="DN25" s="666"/>
      <c r="DO25" s="666"/>
      <c r="DP25" s="666"/>
      <c r="DQ25" s="666"/>
      <c r="DR25" s="666"/>
      <c r="DS25" s="666"/>
      <c r="DT25" s="666"/>
      <c r="DU25" s="666"/>
      <c r="DV25" s="666"/>
      <c r="DW25" s="666"/>
      <c r="DX25" s="666"/>
      <c r="DY25" s="666"/>
      <c r="DZ25" s="666"/>
      <c r="EA25" s="666"/>
      <c r="EB25" s="666"/>
      <c r="EC25" s="666"/>
      <c r="ED25" s="666"/>
      <c r="EE25" s="666"/>
      <c r="EF25" s="666"/>
      <c r="EG25" s="666"/>
      <c r="EH25" s="666"/>
      <c r="EI25" s="666"/>
      <c r="EJ25" s="666"/>
      <c r="EK25" s="666"/>
      <c r="EL25" s="666"/>
      <c r="EM25" s="666"/>
      <c r="EN25" s="666"/>
      <c r="EO25" s="666"/>
      <c r="EP25" s="666"/>
      <c r="EQ25" s="666"/>
      <c r="ER25" s="666"/>
      <c r="ES25" s="666"/>
      <c r="ET25" s="666"/>
      <c r="EU25" s="666"/>
      <c r="EV25" s="666"/>
      <c r="EW25" s="666"/>
      <c r="EX25" s="666"/>
      <c r="EY25" s="666"/>
      <c r="EZ25" s="666"/>
      <c r="FA25" s="666"/>
      <c r="FB25" s="666"/>
      <c r="FC25" s="666"/>
      <c r="FD25" s="666"/>
      <c r="FE25" s="666"/>
      <c r="FF25" s="666"/>
      <c r="FG25" s="666"/>
      <c r="FH25" s="666"/>
      <c r="FI25" s="666"/>
      <c r="FJ25" s="666"/>
      <c r="FK25" s="666"/>
      <c r="FL25" s="666"/>
      <c r="FM25" s="666"/>
      <c r="FN25" s="666"/>
      <c r="FO25" s="666"/>
      <c r="FP25" s="666"/>
      <c r="FQ25" s="666"/>
      <c r="FR25" s="666"/>
      <c r="FS25" s="666"/>
      <c r="FT25" s="666"/>
      <c r="FU25" s="666"/>
      <c r="FV25" s="666"/>
      <c r="FW25" s="666"/>
      <c r="FX25" s="666"/>
      <c r="FY25" s="666"/>
      <c r="FZ25" s="666"/>
      <c r="GA25" s="666"/>
      <c r="GB25" s="666"/>
      <c r="GC25" s="666"/>
      <c r="GD25" s="666"/>
      <c r="GE25" s="666"/>
      <c r="GF25" s="666"/>
      <c r="GG25" s="666"/>
      <c r="GH25" s="666"/>
      <c r="GI25" s="666"/>
      <c r="GJ25" s="666"/>
      <c r="GK25" s="666"/>
      <c r="GL25" s="666"/>
      <c r="GM25" s="666"/>
      <c r="GN25" s="666"/>
      <c r="GO25" s="666"/>
      <c r="GP25" s="666"/>
      <c r="GQ25" s="666"/>
      <c r="GR25" s="666"/>
      <c r="GS25" s="666"/>
      <c r="GT25" s="666"/>
      <c r="GU25" s="666"/>
      <c r="GV25" s="666"/>
      <c r="GW25" s="666"/>
      <c r="GX25" s="666"/>
      <c r="GY25" s="666"/>
      <c r="GZ25" s="666"/>
      <c r="HA25" s="666"/>
      <c r="HB25" s="666"/>
      <c r="HC25" s="666"/>
      <c r="HD25" s="666"/>
      <c r="HE25" s="666"/>
      <c r="HF25" s="666"/>
      <c r="HG25" s="666"/>
      <c r="HH25" s="666"/>
      <c r="HI25" s="666"/>
      <c r="HJ25" s="666"/>
      <c r="HK25" s="666"/>
      <c r="HL25" s="666"/>
      <c r="HM25" s="666"/>
      <c r="HN25" s="666"/>
      <c r="HO25" s="666"/>
      <c r="HP25" s="666"/>
      <c r="HQ25" s="666"/>
      <c r="HR25" s="666"/>
      <c r="HS25" s="666"/>
      <c r="HT25" s="666"/>
      <c r="HU25" s="666"/>
      <c r="HV25" s="666"/>
      <c r="HW25" s="666"/>
      <c r="HX25" s="666"/>
      <c r="HY25" s="666"/>
      <c r="HZ25" s="666"/>
      <c r="IA25" s="666"/>
      <c r="IB25" s="666"/>
      <c r="IC25" s="666"/>
      <c r="ID25" s="666"/>
      <c r="IE25" s="666"/>
      <c r="IF25" s="666"/>
      <c r="IG25" s="666"/>
      <c r="IH25" s="666"/>
      <c r="II25" s="666"/>
      <c r="IJ25" s="666"/>
      <c r="IK25" s="666"/>
      <c r="IL25" s="666"/>
      <c r="IM25" s="666"/>
      <c r="IN25" s="666"/>
      <c r="IO25" s="666"/>
      <c r="IP25" s="666"/>
      <c r="IQ25" s="666"/>
      <c r="IR25" s="666"/>
      <c r="IS25" s="666"/>
      <c r="IT25" s="666"/>
      <c r="IU25" s="666"/>
      <c r="IV25" s="666"/>
    </row>
    <row r="26" spans="1:256" s="667" customFormat="1" ht="12.75" customHeight="1">
      <c r="A26" s="668" t="s">
        <v>67</v>
      </c>
      <c r="B26" s="664" t="s">
        <v>711</v>
      </c>
      <c r="C26" s="665">
        <v>993719</v>
      </c>
      <c r="D26" s="665"/>
      <c r="E26" s="665"/>
      <c r="F26" s="665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6"/>
      <c r="AO26" s="666"/>
      <c r="AP26" s="666"/>
      <c r="AQ26" s="666"/>
      <c r="AR26" s="666"/>
      <c r="AS26" s="666"/>
      <c r="AT26" s="666"/>
      <c r="AU26" s="666"/>
      <c r="AV26" s="666"/>
      <c r="AW26" s="666"/>
      <c r="AX26" s="666"/>
      <c r="AY26" s="666"/>
      <c r="AZ26" s="666"/>
      <c r="BA26" s="666"/>
      <c r="BB26" s="666"/>
      <c r="BC26" s="666"/>
      <c r="BD26" s="666"/>
      <c r="BE26" s="666"/>
      <c r="BF26" s="666"/>
      <c r="BG26" s="666"/>
      <c r="BH26" s="666"/>
      <c r="BI26" s="666"/>
      <c r="BJ26" s="666"/>
      <c r="BK26" s="666"/>
      <c r="BL26" s="666"/>
      <c r="BM26" s="666"/>
      <c r="BN26" s="666"/>
      <c r="BO26" s="666"/>
      <c r="BP26" s="666"/>
      <c r="BQ26" s="666"/>
      <c r="BR26" s="666"/>
      <c r="BS26" s="666"/>
      <c r="BT26" s="666"/>
      <c r="BU26" s="666"/>
      <c r="BV26" s="666"/>
      <c r="BW26" s="666"/>
      <c r="BX26" s="666"/>
      <c r="BY26" s="666"/>
      <c r="BZ26" s="666"/>
      <c r="CA26" s="666"/>
      <c r="CB26" s="666"/>
      <c r="CC26" s="666"/>
      <c r="CD26" s="666"/>
      <c r="CE26" s="666"/>
      <c r="CF26" s="666"/>
      <c r="CG26" s="666"/>
      <c r="CH26" s="666"/>
      <c r="CI26" s="666"/>
      <c r="CJ26" s="666"/>
      <c r="CK26" s="666"/>
      <c r="CL26" s="666"/>
      <c r="CM26" s="666"/>
      <c r="CN26" s="666"/>
      <c r="CO26" s="666"/>
      <c r="CP26" s="666"/>
      <c r="CQ26" s="666"/>
      <c r="CR26" s="666"/>
      <c r="CS26" s="666"/>
      <c r="CT26" s="666"/>
      <c r="CU26" s="666"/>
      <c r="CV26" s="666"/>
      <c r="CW26" s="666"/>
      <c r="CX26" s="666"/>
      <c r="CY26" s="666"/>
      <c r="CZ26" s="666"/>
      <c r="DA26" s="666"/>
      <c r="DB26" s="666"/>
      <c r="DC26" s="666"/>
      <c r="DD26" s="666"/>
      <c r="DE26" s="666"/>
      <c r="DF26" s="666"/>
      <c r="DG26" s="666"/>
      <c r="DH26" s="666"/>
      <c r="DI26" s="666"/>
      <c r="DJ26" s="666"/>
      <c r="DK26" s="666"/>
      <c r="DL26" s="666"/>
      <c r="DM26" s="666"/>
      <c r="DN26" s="666"/>
      <c r="DO26" s="666"/>
      <c r="DP26" s="666"/>
      <c r="DQ26" s="666"/>
      <c r="DR26" s="666"/>
      <c r="DS26" s="666"/>
      <c r="DT26" s="666"/>
      <c r="DU26" s="666"/>
      <c r="DV26" s="666"/>
      <c r="DW26" s="666"/>
      <c r="DX26" s="666"/>
      <c r="DY26" s="666"/>
      <c r="DZ26" s="666"/>
      <c r="EA26" s="666"/>
      <c r="EB26" s="666"/>
      <c r="EC26" s="666"/>
      <c r="ED26" s="666"/>
      <c r="EE26" s="666"/>
      <c r="EF26" s="666"/>
      <c r="EG26" s="666"/>
      <c r="EH26" s="666"/>
      <c r="EI26" s="666"/>
      <c r="EJ26" s="666"/>
      <c r="EK26" s="666"/>
      <c r="EL26" s="666"/>
      <c r="EM26" s="666"/>
      <c r="EN26" s="666"/>
      <c r="EO26" s="666"/>
      <c r="EP26" s="666"/>
      <c r="EQ26" s="666"/>
      <c r="ER26" s="666"/>
      <c r="ES26" s="666"/>
      <c r="ET26" s="666"/>
      <c r="EU26" s="666"/>
      <c r="EV26" s="666"/>
      <c r="EW26" s="666"/>
      <c r="EX26" s="666"/>
      <c r="EY26" s="666"/>
      <c r="EZ26" s="666"/>
      <c r="FA26" s="666"/>
      <c r="FB26" s="666"/>
      <c r="FC26" s="666"/>
      <c r="FD26" s="666"/>
      <c r="FE26" s="666"/>
      <c r="FF26" s="666"/>
      <c r="FG26" s="666"/>
      <c r="FH26" s="666"/>
      <c r="FI26" s="666"/>
      <c r="FJ26" s="666"/>
      <c r="FK26" s="666"/>
      <c r="FL26" s="666"/>
      <c r="FM26" s="666"/>
      <c r="FN26" s="666"/>
      <c r="FO26" s="666"/>
      <c r="FP26" s="666"/>
      <c r="FQ26" s="666"/>
      <c r="FR26" s="666"/>
      <c r="FS26" s="666"/>
      <c r="FT26" s="666"/>
      <c r="FU26" s="666"/>
      <c r="FV26" s="666"/>
      <c r="FW26" s="666"/>
      <c r="FX26" s="666"/>
      <c r="FY26" s="666"/>
      <c r="FZ26" s="666"/>
      <c r="GA26" s="666"/>
      <c r="GB26" s="666"/>
      <c r="GC26" s="666"/>
      <c r="GD26" s="666"/>
      <c r="GE26" s="666"/>
      <c r="GF26" s="666"/>
      <c r="GG26" s="666"/>
      <c r="GH26" s="666"/>
      <c r="GI26" s="666"/>
      <c r="GJ26" s="666"/>
      <c r="GK26" s="666"/>
      <c r="GL26" s="666"/>
      <c r="GM26" s="666"/>
      <c r="GN26" s="666"/>
      <c r="GO26" s="666"/>
      <c r="GP26" s="666"/>
      <c r="GQ26" s="666"/>
      <c r="GR26" s="666"/>
      <c r="GS26" s="666"/>
      <c r="GT26" s="666"/>
      <c r="GU26" s="666"/>
      <c r="GV26" s="666"/>
      <c r="GW26" s="666"/>
      <c r="GX26" s="666"/>
      <c r="GY26" s="666"/>
      <c r="GZ26" s="666"/>
      <c r="HA26" s="666"/>
      <c r="HB26" s="666"/>
      <c r="HC26" s="666"/>
      <c r="HD26" s="666"/>
      <c r="HE26" s="666"/>
      <c r="HF26" s="666"/>
      <c r="HG26" s="666"/>
      <c r="HH26" s="666"/>
      <c r="HI26" s="666"/>
      <c r="HJ26" s="666"/>
      <c r="HK26" s="666"/>
      <c r="HL26" s="666"/>
      <c r="HM26" s="666"/>
      <c r="HN26" s="666"/>
      <c r="HO26" s="666"/>
      <c r="HP26" s="666"/>
      <c r="HQ26" s="666"/>
      <c r="HR26" s="666"/>
      <c r="HS26" s="666"/>
      <c r="HT26" s="666"/>
      <c r="HU26" s="666"/>
      <c r="HV26" s="666"/>
      <c r="HW26" s="666"/>
      <c r="HX26" s="666"/>
      <c r="HY26" s="666"/>
      <c r="HZ26" s="666"/>
      <c r="IA26" s="666"/>
      <c r="IB26" s="666"/>
      <c r="IC26" s="666"/>
      <c r="ID26" s="666"/>
      <c r="IE26" s="666"/>
      <c r="IF26" s="666"/>
      <c r="IG26" s="666"/>
      <c r="IH26" s="666"/>
      <c r="II26" s="666"/>
      <c r="IJ26" s="666"/>
      <c r="IK26" s="666"/>
      <c r="IL26" s="666"/>
      <c r="IM26" s="666"/>
      <c r="IN26" s="666"/>
      <c r="IO26" s="666"/>
      <c r="IP26" s="666"/>
      <c r="IQ26" s="666"/>
      <c r="IR26" s="666"/>
      <c r="IS26" s="666"/>
      <c r="IT26" s="666"/>
      <c r="IU26" s="666"/>
      <c r="IV26" s="666"/>
    </row>
    <row r="27" spans="1:256" s="68" customFormat="1" ht="12.75" customHeight="1">
      <c r="A27" s="219" t="s">
        <v>68</v>
      </c>
      <c r="B27" s="218" t="s">
        <v>13</v>
      </c>
      <c r="C27" s="215">
        <v>15566246</v>
      </c>
      <c r="D27" s="215">
        <v>0</v>
      </c>
      <c r="E27" s="215">
        <v>0</v>
      </c>
      <c r="F27" s="215">
        <v>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2.75" customHeight="1">
      <c r="A28" s="214" t="s">
        <v>70</v>
      </c>
      <c r="B28" s="218" t="s">
        <v>187</v>
      </c>
      <c r="C28" s="215">
        <v>2293681</v>
      </c>
      <c r="D28" s="215">
        <v>0</v>
      </c>
      <c r="E28" s="215">
        <v>0</v>
      </c>
      <c r="F28" s="21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214" t="s">
        <v>97</v>
      </c>
      <c r="B29" s="218" t="s">
        <v>744</v>
      </c>
      <c r="C29" s="215">
        <v>3200000</v>
      </c>
      <c r="D29" s="215"/>
      <c r="E29" s="215"/>
      <c r="F29" s="215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3" customFormat="1" ht="12.75" customHeight="1">
      <c r="A30" s="670" t="s">
        <v>99</v>
      </c>
      <c r="B30" s="671" t="s">
        <v>713</v>
      </c>
      <c r="C30" s="672">
        <f>SUM(C11+C12+C13+C19+C27+C28)+C29</f>
        <v>478283836</v>
      </c>
      <c r="D30" s="672">
        <f>SUM(D11+D12+D13+D19+D27+D28)</f>
        <v>392690000</v>
      </c>
      <c r="E30" s="672">
        <f>SUM(E11+E12+E13+E19+E27+E28)</f>
        <v>392690000</v>
      </c>
      <c r="F30" s="672">
        <f>SUM(F11+F12+F13+F19+F27+F28)</f>
        <v>392690000</v>
      </c>
      <c r="G30" s="673"/>
      <c r="H30" s="673"/>
      <c r="I30" s="673"/>
      <c r="J30" s="673"/>
      <c r="K30" s="673"/>
      <c r="L30" s="673"/>
      <c r="M30" s="673"/>
      <c r="N30" s="673"/>
      <c r="O30" s="673"/>
      <c r="P30" s="673"/>
      <c r="Q30" s="673"/>
      <c r="R30" s="673"/>
      <c r="S30" s="673"/>
      <c r="T30" s="673"/>
      <c r="U30" s="673"/>
      <c r="V30" s="673"/>
      <c r="W30" s="673"/>
      <c r="X30" s="673"/>
      <c r="Y30" s="673"/>
      <c r="Z30" s="673"/>
      <c r="AA30" s="673"/>
      <c r="AB30" s="673"/>
      <c r="AC30" s="673"/>
      <c r="AD30" s="673"/>
      <c r="AE30" s="673"/>
      <c r="AF30" s="673"/>
      <c r="AG30" s="673"/>
      <c r="AH30" s="673"/>
      <c r="AI30" s="673"/>
      <c r="AJ30" s="673"/>
      <c r="AK30" s="673"/>
      <c r="AL30" s="673"/>
      <c r="AM30" s="673"/>
      <c r="AN30" s="673"/>
      <c r="AO30" s="673"/>
      <c r="AP30" s="673"/>
      <c r="AQ30" s="673"/>
      <c r="AR30" s="673"/>
      <c r="AS30" s="673"/>
      <c r="AT30" s="673"/>
      <c r="AU30" s="673"/>
      <c r="AV30" s="673"/>
      <c r="AW30" s="673"/>
      <c r="AX30" s="673"/>
      <c r="AY30" s="673"/>
      <c r="AZ30" s="673"/>
      <c r="BA30" s="673"/>
      <c r="BB30" s="673"/>
      <c r="BC30" s="673"/>
      <c r="BD30" s="673"/>
      <c r="BE30" s="673"/>
      <c r="BF30" s="673"/>
      <c r="BG30" s="673"/>
      <c r="BH30" s="673"/>
      <c r="BI30" s="673"/>
      <c r="BJ30" s="673"/>
      <c r="BK30" s="673"/>
      <c r="BL30" s="673"/>
      <c r="BM30" s="673"/>
      <c r="BN30" s="673"/>
      <c r="BO30" s="673"/>
      <c r="BP30" s="673"/>
      <c r="BQ30" s="673"/>
      <c r="BR30" s="673"/>
      <c r="BS30" s="673"/>
      <c r="BT30" s="673"/>
      <c r="BU30" s="673"/>
      <c r="BV30" s="673"/>
      <c r="BW30" s="673"/>
      <c r="BX30" s="673"/>
      <c r="BY30" s="673"/>
      <c r="BZ30" s="673"/>
      <c r="CA30" s="673"/>
      <c r="CB30" s="673"/>
      <c r="CC30" s="673"/>
      <c r="CD30" s="673"/>
      <c r="CE30" s="673"/>
      <c r="CF30" s="673"/>
      <c r="CG30" s="673"/>
      <c r="CH30" s="673"/>
      <c r="CI30" s="673"/>
      <c r="CJ30" s="673"/>
      <c r="CK30" s="673"/>
      <c r="CL30" s="673"/>
      <c r="CM30" s="673"/>
      <c r="CN30" s="673"/>
      <c r="CO30" s="673"/>
      <c r="CP30" s="673"/>
      <c r="CQ30" s="673"/>
      <c r="CR30" s="673"/>
      <c r="CS30" s="673"/>
      <c r="CT30" s="673"/>
      <c r="CU30" s="673"/>
      <c r="CV30" s="673"/>
      <c r="CW30" s="673"/>
      <c r="CX30" s="673"/>
      <c r="CY30" s="673"/>
      <c r="CZ30" s="673"/>
      <c r="DA30" s="673"/>
      <c r="DB30" s="673"/>
      <c r="DC30" s="673"/>
      <c r="DD30" s="673"/>
      <c r="DE30" s="673"/>
      <c r="DF30" s="673"/>
      <c r="DG30" s="673"/>
      <c r="DH30" s="673"/>
      <c r="DI30" s="673"/>
      <c r="DJ30" s="673"/>
      <c r="DK30" s="673"/>
      <c r="DL30" s="673"/>
      <c r="DM30" s="673"/>
      <c r="DN30" s="673"/>
      <c r="DO30" s="673"/>
      <c r="DP30" s="673"/>
      <c r="DQ30" s="673"/>
      <c r="DR30" s="673"/>
      <c r="DS30" s="673"/>
      <c r="DT30" s="673"/>
      <c r="DU30" s="673"/>
      <c r="DV30" s="673"/>
      <c r="DW30" s="673"/>
      <c r="DX30" s="673"/>
      <c r="DY30" s="673"/>
      <c r="DZ30" s="673"/>
      <c r="EA30" s="673"/>
      <c r="EB30" s="673"/>
      <c r="EC30" s="673"/>
      <c r="ED30" s="673"/>
      <c r="EE30" s="673"/>
      <c r="EF30" s="673"/>
      <c r="EG30" s="673"/>
      <c r="EH30" s="673"/>
      <c r="EI30" s="673"/>
      <c r="EJ30" s="673"/>
      <c r="EK30" s="673"/>
      <c r="EL30" s="673"/>
      <c r="EM30" s="673"/>
      <c r="EN30" s="673"/>
      <c r="EO30" s="673"/>
      <c r="EP30" s="673"/>
      <c r="EQ30" s="673"/>
      <c r="ER30" s="673"/>
      <c r="ES30" s="673"/>
      <c r="ET30" s="673"/>
      <c r="EU30" s="673"/>
      <c r="EV30" s="673"/>
      <c r="EW30" s="673"/>
      <c r="EX30" s="673"/>
      <c r="EY30" s="673"/>
      <c r="EZ30" s="673"/>
      <c r="FA30" s="673"/>
      <c r="FB30" s="673"/>
      <c r="FC30" s="673"/>
      <c r="FD30" s="673"/>
      <c r="FE30" s="673"/>
      <c r="FF30" s="673"/>
      <c r="FG30" s="673"/>
      <c r="FH30" s="673"/>
      <c r="FI30" s="673"/>
      <c r="FJ30" s="673"/>
      <c r="FK30" s="673"/>
      <c r="FL30" s="673"/>
      <c r="FM30" s="673"/>
      <c r="FN30" s="673"/>
      <c r="FO30" s="673"/>
      <c r="FP30" s="673"/>
      <c r="FQ30" s="673"/>
      <c r="FR30" s="673"/>
      <c r="FS30" s="673"/>
      <c r="FT30" s="673"/>
      <c r="FU30" s="673"/>
      <c r="FV30" s="673"/>
      <c r="FW30" s="673"/>
      <c r="FX30" s="673"/>
      <c r="FY30" s="673"/>
      <c r="FZ30" s="673"/>
      <c r="GA30" s="673"/>
      <c r="GB30" s="673"/>
      <c r="GC30" s="673"/>
      <c r="GD30" s="673"/>
      <c r="GE30" s="673"/>
      <c r="GF30" s="673"/>
      <c r="GG30" s="673"/>
      <c r="GH30" s="673"/>
      <c r="GI30" s="673"/>
      <c r="GJ30" s="673"/>
      <c r="GK30" s="673"/>
      <c r="GL30" s="673"/>
      <c r="GM30" s="673"/>
      <c r="GN30" s="673"/>
      <c r="GO30" s="673"/>
      <c r="GP30" s="673"/>
      <c r="GQ30" s="673"/>
      <c r="GR30" s="673"/>
      <c r="GS30" s="673"/>
      <c r="GT30" s="673"/>
      <c r="GU30" s="673"/>
      <c r="GV30" s="673"/>
      <c r="GW30" s="673"/>
      <c r="GX30" s="673"/>
      <c r="GY30" s="673"/>
      <c r="GZ30" s="673"/>
      <c r="HA30" s="673"/>
      <c r="HB30" s="673"/>
      <c r="HC30" s="673"/>
      <c r="HD30" s="673"/>
      <c r="HE30" s="673"/>
      <c r="HF30" s="673"/>
      <c r="HG30" s="673"/>
      <c r="HH30" s="673"/>
      <c r="HI30" s="673"/>
      <c r="HJ30" s="673"/>
      <c r="HK30" s="673"/>
      <c r="HL30" s="673"/>
      <c r="HM30" s="673"/>
      <c r="HN30" s="673"/>
      <c r="HO30" s="673"/>
      <c r="HP30" s="673"/>
      <c r="HQ30" s="673"/>
      <c r="HR30" s="673"/>
      <c r="HS30" s="673"/>
      <c r="HT30" s="673"/>
      <c r="HU30" s="673"/>
      <c r="HV30" s="673"/>
      <c r="HW30" s="673"/>
      <c r="HX30" s="673"/>
      <c r="HY30" s="673"/>
      <c r="HZ30" s="673"/>
      <c r="IA30" s="673"/>
      <c r="IB30" s="673"/>
      <c r="IC30" s="673"/>
      <c r="ID30" s="673"/>
      <c r="IE30" s="673"/>
      <c r="IF30" s="673"/>
      <c r="IG30" s="673"/>
      <c r="IH30" s="673"/>
      <c r="II30" s="673"/>
      <c r="IJ30" s="673"/>
      <c r="IK30" s="673"/>
      <c r="IL30" s="673"/>
      <c r="IM30" s="673"/>
      <c r="IN30" s="673"/>
      <c r="IO30" s="673"/>
      <c r="IP30" s="673"/>
      <c r="IQ30" s="673"/>
      <c r="IR30" s="673"/>
      <c r="IS30" s="673"/>
      <c r="IT30" s="673"/>
      <c r="IU30" s="673"/>
      <c r="IV30" s="673"/>
    </row>
    <row r="31" spans="1:256" ht="12.75" customHeight="1">
      <c r="A31" s="217" t="s">
        <v>101</v>
      </c>
      <c r="B31" s="216" t="s">
        <v>221</v>
      </c>
      <c r="C31" s="199">
        <v>0</v>
      </c>
      <c r="D31" s="199">
        <v>0</v>
      </c>
      <c r="E31" s="199">
        <v>0</v>
      </c>
      <c r="F31" s="199"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210" t="s">
        <v>103</v>
      </c>
      <c r="B32" s="216" t="s">
        <v>222</v>
      </c>
      <c r="C32" s="199">
        <v>729615835</v>
      </c>
      <c r="D32" s="199">
        <v>0</v>
      </c>
      <c r="E32" s="199">
        <v>0</v>
      </c>
      <c r="F32" s="199"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6" ht="12.75" customHeight="1">
      <c r="A33" s="677" t="s">
        <v>105</v>
      </c>
      <c r="B33" s="216" t="s">
        <v>223</v>
      </c>
      <c r="C33" s="199">
        <v>9423918</v>
      </c>
      <c r="D33" s="199">
        <v>0</v>
      </c>
      <c r="E33" s="199">
        <v>0</v>
      </c>
      <c r="F33" s="199">
        <v>0</v>
      </c>
    </row>
    <row r="34" spans="1:6" s="673" customFormat="1" ht="12.75" customHeight="1">
      <c r="A34" s="1217" t="s">
        <v>107</v>
      </c>
      <c r="B34" s="1216" t="s">
        <v>519</v>
      </c>
      <c r="C34" s="672">
        <f>SUM(C31:C33)</f>
        <v>739039753</v>
      </c>
      <c r="D34" s="672">
        <f>SUM(D31:D33)</f>
        <v>0</v>
      </c>
      <c r="E34" s="672">
        <f>SUM(E31:E33)</f>
        <v>0</v>
      </c>
      <c r="F34" s="672">
        <v>0</v>
      </c>
    </row>
    <row r="35" spans="1:256" s="140" customFormat="1" ht="15.75">
      <c r="A35" s="680" t="s">
        <v>109</v>
      </c>
      <c r="B35" s="674" t="s">
        <v>116</v>
      </c>
      <c r="C35" s="675">
        <f>SUM(C30+C34)</f>
        <v>1217323589</v>
      </c>
      <c r="D35" s="675">
        <f>SUM(D30+D34)</f>
        <v>392690000</v>
      </c>
      <c r="E35" s="675">
        <f>SUM(E30+E34)</f>
        <v>392690000</v>
      </c>
      <c r="F35" s="675">
        <f>SUM(F30+F34)</f>
        <v>392690000</v>
      </c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/>
      <c r="CX35" s="434"/>
      <c r="CY35" s="434"/>
      <c r="CZ35" s="434"/>
      <c r="DA35" s="434"/>
      <c r="DB35" s="434"/>
      <c r="DC35" s="434"/>
      <c r="DD35" s="434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4"/>
      <c r="DV35" s="434"/>
      <c r="DW35" s="434"/>
      <c r="DX35" s="434"/>
      <c r="DY35" s="434"/>
      <c r="DZ35" s="434"/>
      <c r="EA35" s="434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434"/>
      <c r="FL35" s="434"/>
      <c r="FM35" s="434"/>
      <c r="FN35" s="434"/>
      <c r="FO35" s="434"/>
      <c r="FP35" s="434"/>
      <c r="FQ35" s="434"/>
      <c r="FR35" s="434"/>
      <c r="FS35" s="434"/>
      <c r="FT35" s="434"/>
      <c r="FU35" s="434"/>
      <c r="FV35" s="434"/>
      <c r="FW35" s="434"/>
      <c r="FX35" s="434"/>
      <c r="FY35" s="434"/>
      <c r="FZ35" s="434"/>
      <c r="GA35" s="434"/>
      <c r="GB35" s="434"/>
      <c r="GC35" s="434"/>
      <c r="GD35" s="434"/>
      <c r="GE35" s="434"/>
      <c r="GF35" s="434"/>
      <c r="GG35" s="434"/>
      <c r="GH35" s="434"/>
      <c r="GI35" s="434"/>
      <c r="GJ35" s="434"/>
      <c r="GK35" s="434"/>
      <c r="GL35" s="434"/>
      <c r="GM35" s="434"/>
      <c r="GN35" s="434"/>
      <c r="GO35" s="434"/>
      <c r="GP35" s="434"/>
      <c r="GQ35" s="434"/>
      <c r="GR35" s="434"/>
      <c r="GS35" s="434"/>
      <c r="GT35" s="434"/>
      <c r="GU35" s="434"/>
      <c r="GV35" s="434"/>
      <c r="GW35" s="434"/>
      <c r="GX35" s="434"/>
      <c r="GY35" s="434"/>
      <c r="GZ35" s="434"/>
      <c r="HA35" s="434"/>
      <c r="HB35" s="434"/>
      <c r="HC35" s="434"/>
      <c r="HD35" s="434"/>
      <c r="HE35" s="434"/>
      <c r="HF35" s="434"/>
      <c r="HG35" s="434"/>
      <c r="HH35" s="434"/>
      <c r="HI35" s="434"/>
      <c r="HJ35" s="434"/>
      <c r="HK35" s="434"/>
      <c r="HL35" s="434"/>
      <c r="HM35" s="434"/>
      <c r="HN35" s="434"/>
      <c r="HO35" s="434"/>
      <c r="HP35" s="434"/>
      <c r="HQ35" s="434"/>
      <c r="HR35" s="434"/>
      <c r="HS35" s="434"/>
      <c r="HT35" s="434"/>
      <c r="HU35" s="434"/>
      <c r="HV35" s="434"/>
      <c r="HW35" s="434"/>
      <c r="HX35" s="434"/>
      <c r="HY35" s="434"/>
      <c r="HZ35" s="434"/>
      <c r="IA35" s="434"/>
      <c r="IB35" s="434"/>
      <c r="IC35" s="434"/>
      <c r="ID35" s="434"/>
      <c r="IE35" s="434"/>
      <c r="IF35" s="434"/>
      <c r="IG35" s="434"/>
      <c r="IH35" s="434"/>
      <c r="II35" s="434"/>
      <c r="IJ35" s="434"/>
      <c r="IK35" s="434"/>
      <c r="IL35" s="434"/>
      <c r="IM35" s="434"/>
      <c r="IN35" s="434"/>
      <c r="IO35" s="434"/>
      <c r="IP35" s="434"/>
      <c r="IQ35" s="434"/>
      <c r="IR35" s="434"/>
      <c r="IS35" s="434"/>
      <c r="IT35" s="434"/>
      <c r="IU35" s="434"/>
      <c r="IV35" s="434"/>
    </row>
    <row r="36" spans="1:256" ht="12.75" customHeight="1">
      <c r="A36" s="210" t="s">
        <v>111</v>
      </c>
      <c r="B36" s="216" t="s">
        <v>121</v>
      </c>
      <c r="C36" s="199">
        <v>202958120</v>
      </c>
      <c r="D36" s="199">
        <v>200000000</v>
      </c>
      <c r="E36" s="199">
        <v>200000000</v>
      </c>
      <c r="F36" s="199">
        <v>200000000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210" t="s">
        <v>109</v>
      </c>
      <c r="B37" s="216" t="s">
        <v>123</v>
      </c>
      <c r="C37" s="199">
        <v>48716977</v>
      </c>
      <c r="D37" s="199">
        <v>35000000</v>
      </c>
      <c r="E37" s="199">
        <v>35000000</v>
      </c>
      <c r="F37" s="199">
        <v>35000000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210" t="s">
        <v>111</v>
      </c>
      <c r="B38" s="216" t="s">
        <v>125</v>
      </c>
      <c r="C38" s="199">
        <v>179424836</v>
      </c>
      <c r="D38" s="199">
        <v>124190000</v>
      </c>
      <c r="E38" s="199">
        <v>124190000</v>
      </c>
      <c r="F38" s="199">
        <v>124190000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210" t="s">
        <v>113</v>
      </c>
      <c r="B39" s="216" t="s">
        <v>204</v>
      </c>
      <c r="C39" s="199">
        <v>40766879</v>
      </c>
      <c r="D39" s="199">
        <v>30000000</v>
      </c>
      <c r="E39" s="199">
        <v>30000000</v>
      </c>
      <c r="F39" s="199">
        <v>30000000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210" t="s">
        <v>115</v>
      </c>
      <c r="B40" s="216" t="s">
        <v>203</v>
      </c>
      <c r="C40" s="199">
        <v>3627050</v>
      </c>
      <c r="D40" s="199">
        <v>3500000</v>
      </c>
      <c r="E40" s="199">
        <v>3500000</v>
      </c>
      <c r="F40" s="199">
        <v>3500000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 s="210" t="s">
        <v>117</v>
      </c>
      <c r="B41" s="216" t="s">
        <v>150</v>
      </c>
      <c r="C41" s="199">
        <v>664627351</v>
      </c>
      <c r="D41" s="199">
        <v>0</v>
      </c>
      <c r="E41" s="199">
        <v>0</v>
      </c>
      <c r="F41" s="199"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 s="210" t="s">
        <v>118</v>
      </c>
      <c r="B42" s="216" t="s">
        <v>495</v>
      </c>
      <c r="C42" s="199">
        <v>0</v>
      </c>
      <c r="D42" s="199">
        <v>0</v>
      </c>
      <c r="E42" s="199">
        <v>0</v>
      </c>
      <c r="F42" s="199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 s="210" t="s">
        <v>120</v>
      </c>
      <c r="B43" s="216" t="s">
        <v>15</v>
      </c>
      <c r="C43" s="199">
        <v>68109985</v>
      </c>
      <c r="D43" s="199">
        <v>0</v>
      </c>
      <c r="E43" s="199">
        <v>0</v>
      </c>
      <c r="F43" s="199"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71" customFormat="1" ht="12.75" customHeight="1">
      <c r="A44" s="676" t="s">
        <v>122</v>
      </c>
      <c r="B44" s="671" t="s">
        <v>714</v>
      </c>
      <c r="C44" s="672">
        <f>SUM(C36:C43)</f>
        <v>1208231198</v>
      </c>
      <c r="D44" s="672">
        <f>SUM(D36:D43)</f>
        <v>392690000</v>
      </c>
      <c r="E44" s="672">
        <f>SUM(E36,E37,E38,E39,E40,)</f>
        <v>392690000</v>
      </c>
      <c r="F44" s="672">
        <f>SUM(F36,F37,F38,F39,F40,)</f>
        <v>392690000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6" ht="28.5" customHeight="1">
      <c r="A45" s="677" t="s">
        <v>124</v>
      </c>
      <c r="B45" s="678" t="s">
        <v>274</v>
      </c>
      <c r="C45" s="679">
        <v>9092391</v>
      </c>
      <c r="D45" s="679">
        <v>0</v>
      </c>
      <c r="E45" s="679">
        <v>0</v>
      </c>
      <c r="F45" s="679">
        <v>0</v>
      </c>
    </row>
    <row r="46" spans="1:6" s="93" customFormat="1" ht="15">
      <c r="A46" s="683" t="s">
        <v>126</v>
      </c>
      <c r="B46" s="684" t="s">
        <v>211</v>
      </c>
      <c r="C46" s="684">
        <f>SUM(C45)</f>
        <v>9092391</v>
      </c>
      <c r="D46" s="684">
        <f>SUM(D45)</f>
        <v>0</v>
      </c>
      <c r="E46" s="684">
        <f>SUM(E45)</f>
        <v>0</v>
      </c>
      <c r="F46" s="684">
        <f>SUM(F45)</f>
        <v>0</v>
      </c>
    </row>
    <row r="47" spans="1:256" s="140" customFormat="1" ht="15.75">
      <c r="A47" s="680" t="s">
        <v>128</v>
      </c>
      <c r="B47" s="681" t="s">
        <v>734</v>
      </c>
      <c r="C47" s="682">
        <f>SUM(C44+C46)</f>
        <v>1217323589</v>
      </c>
      <c r="D47" s="682">
        <f>SUM(D44+D46)</f>
        <v>392690000</v>
      </c>
      <c r="E47" s="682">
        <f>SUM(E44+E46)</f>
        <v>392690000</v>
      </c>
      <c r="F47" s="682">
        <f>SUM(F44+F46)</f>
        <v>392690000</v>
      </c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4"/>
      <c r="CR47" s="434"/>
      <c r="CS47" s="434"/>
      <c r="CT47" s="434"/>
      <c r="CU47" s="434"/>
      <c r="CV47" s="434"/>
      <c r="CW47" s="434"/>
      <c r="CX47" s="434"/>
      <c r="CY47" s="434"/>
      <c r="CZ47" s="434"/>
      <c r="DA47" s="434"/>
      <c r="DB47" s="434"/>
      <c r="DC47" s="434"/>
      <c r="DD47" s="434"/>
      <c r="DE47" s="434"/>
      <c r="DF47" s="434"/>
      <c r="DG47" s="434"/>
      <c r="DH47" s="434"/>
      <c r="DI47" s="434"/>
      <c r="DJ47" s="434"/>
      <c r="DK47" s="434"/>
      <c r="DL47" s="434"/>
      <c r="DM47" s="434"/>
      <c r="DN47" s="434"/>
      <c r="DO47" s="434"/>
      <c r="DP47" s="434"/>
      <c r="DQ47" s="434"/>
      <c r="DR47" s="434"/>
      <c r="DS47" s="434"/>
      <c r="DT47" s="434"/>
      <c r="DU47" s="434"/>
      <c r="DV47" s="434"/>
      <c r="DW47" s="434"/>
      <c r="DX47" s="434"/>
      <c r="DY47" s="434"/>
      <c r="DZ47" s="434"/>
      <c r="EA47" s="434"/>
      <c r="EB47" s="434"/>
      <c r="EC47" s="434"/>
      <c r="ED47" s="434"/>
      <c r="EE47" s="434"/>
      <c r="EF47" s="434"/>
      <c r="EG47" s="434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/>
      <c r="EW47" s="434"/>
      <c r="EX47" s="434"/>
      <c r="EY47" s="434"/>
      <c r="EZ47" s="434"/>
      <c r="FA47" s="434"/>
      <c r="FB47" s="434"/>
      <c r="FC47" s="434"/>
      <c r="FD47" s="434"/>
      <c r="FE47" s="434"/>
      <c r="FF47" s="434"/>
      <c r="FG47" s="434"/>
      <c r="FH47" s="434"/>
      <c r="FI47" s="434"/>
      <c r="FJ47" s="434"/>
      <c r="FK47" s="434"/>
      <c r="FL47" s="434"/>
      <c r="FM47" s="434"/>
      <c r="FN47" s="434"/>
      <c r="FO47" s="434"/>
      <c r="FP47" s="434"/>
      <c r="FQ47" s="434"/>
      <c r="FR47" s="434"/>
      <c r="FS47" s="434"/>
      <c r="FT47" s="434"/>
      <c r="FU47" s="434"/>
      <c r="FV47" s="434"/>
      <c r="FW47" s="434"/>
      <c r="FX47" s="434"/>
      <c r="FY47" s="434"/>
      <c r="FZ47" s="434"/>
      <c r="GA47" s="434"/>
      <c r="GB47" s="434"/>
      <c r="GC47" s="434"/>
      <c r="GD47" s="434"/>
      <c r="GE47" s="434"/>
      <c r="GF47" s="434"/>
      <c r="GG47" s="434"/>
      <c r="GH47" s="434"/>
      <c r="GI47" s="434"/>
      <c r="GJ47" s="434"/>
      <c r="GK47" s="434"/>
      <c r="GL47" s="434"/>
      <c r="GM47" s="434"/>
      <c r="GN47" s="434"/>
      <c r="GO47" s="434"/>
      <c r="GP47" s="434"/>
      <c r="GQ47" s="434"/>
      <c r="GR47" s="434"/>
      <c r="GS47" s="434"/>
      <c r="GT47" s="434"/>
      <c r="GU47" s="434"/>
      <c r="GV47" s="434"/>
      <c r="GW47" s="434"/>
      <c r="GX47" s="434"/>
      <c r="GY47" s="434"/>
      <c r="GZ47" s="434"/>
      <c r="HA47" s="434"/>
      <c r="HB47" s="434"/>
      <c r="HC47" s="434"/>
      <c r="HD47" s="434"/>
      <c r="HE47" s="434"/>
      <c r="HF47" s="434"/>
      <c r="HG47" s="434"/>
      <c r="HH47" s="434"/>
      <c r="HI47" s="434"/>
      <c r="HJ47" s="434"/>
      <c r="HK47" s="434"/>
      <c r="HL47" s="434"/>
      <c r="HM47" s="434"/>
      <c r="HN47" s="434"/>
      <c r="HO47" s="434"/>
      <c r="HP47" s="434"/>
      <c r="HQ47" s="434"/>
      <c r="HR47" s="434"/>
      <c r="HS47" s="434"/>
      <c r="HT47" s="434"/>
      <c r="HU47" s="434"/>
      <c r="HV47" s="434"/>
      <c r="HW47" s="434"/>
      <c r="HX47" s="434"/>
      <c r="HY47" s="434"/>
      <c r="HZ47" s="434"/>
      <c r="IA47" s="434"/>
      <c r="IB47" s="434"/>
      <c r="IC47" s="434"/>
      <c r="ID47" s="434"/>
      <c r="IE47" s="434"/>
      <c r="IF47" s="434"/>
      <c r="IG47" s="434"/>
      <c r="IH47" s="434"/>
      <c r="II47" s="434"/>
      <c r="IJ47" s="434"/>
      <c r="IK47" s="434"/>
      <c r="IL47" s="434"/>
      <c r="IM47" s="434"/>
      <c r="IN47" s="434"/>
      <c r="IO47" s="434"/>
      <c r="IP47" s="434"/>
      <c r="IQ47" s="434"/>
      <c r="IR47" s="434"/>
      <c r="IS47" s="434"/>
      <c r="IT47" s="434"/>
      <c r="IU47" s="434"/>
      <c r="IV47" s="434"/>
    </row>
  </sheetData>
  <sheetProtection selectLockedCells="1" selectUnlockedCells="1"/>
  <mergeCells count="8">
    <mergeCell ref="A9:A10"/>
    <mergeCell ref="A1:F1"/>
    <mergeCell ref="A2:F2"/>
    <mergeCell ref="A3:E4"/>
    <mergeCell ref="A5:F5"/>
    <mergeCell ref="A6:F6"/>
    <mergeCell ref="D8:F8"/>
    <mergeCell ref="F3:F4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68" r:id="rId1"/>
  <headerFooter alignWithMargins="0"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BI73"/>
  <sheetViews>
    <sheetView view="pageBreakPreview" zoomScaleSheetLayoutView="100" zoomScalePageLayoutView="0" workbookViewId="0" topLeftCell="D1">
      <selection activeCell="L3" sqref="L3"/>
    </sheetView>
  </sheetViews>
  <sheetFormatPr defaultColWidth="11.57421875" defaultRowHeight="12.75" customHeight="1"/>
  <cols>
    <col min="1" max="1" width="3.7109375" style="0" customWidth="1"/>
    <col min="2" max="2" width="4.140625" style="0" customWidth="1"/>
    <col min="3" max="3" width="27.8515625" style="0" customWidth="1"/>
    <col min="4" max="4" width="6.00390625" style="0" customWidth="1"/>
    <col min="5" max="9" width="18.140625" style="52" customWidth="1"/>
    <col min="10" max="10" width="18.00390625" style="52" customWidth="1"/>
    <col min="11" max="12" width="18.140625" style="52" customWidth="1"/>
  </cols>
  <sheetData>
    <row r="1" spans="1:12" s="222" customFormat="1" ht="18" customHeight="1">
      <c r="A1" s="1622" t="s">
        <v>504</v>
      </c>
      <c r="B1" s="1622"/>
      <c r="C1" s="1622"/>
      <c r="D1" s="1622"/>
      <c r="E1" s="1622"/>
      <c r="F1" s="1622"/>
      <c r="G1" s="1622"/>
      <c r="H1" s="1622"/>
      <c r="I1" s="1622"/>
      <c r="J1" s="1622"/>
      <c r="K1" s="1622"/>
      <c r="L1" s="1622"/>
    </row>
    <row r="2" spans="1:12" ht="12.75" customHeight="1">
      <c r="A2" s="1551" t="s">
        <v>1226</v>
      </c>
      <c r="B2" s="1551"/>
      <c r="C2" s="1551"/>
      <c r="D2" s="1551"/>
      <c r="E2" s="1551"/>
      <c r="F2" s="1551"/>
      <c r="G2" s="1551"/>
      <c r="H2" s="1551"/>
      <c r="I2" s="1551"/>
      <c r="J2" s="1551"/>
      <c r="K2" s="1551"/>
      <c r="L2" s="1551"/>
    </row>
    <row r="3" spans="3:12" ht="12.75" customHeight="1">
      <c r="C3" s="1"/>
      <c r="D3" s="1"/>
      <c r="F3" s="1933" t="s">
        <v>1227</v>
      </c>
      <c r="G3" s="1933"/>
      <c r="H3" s="1933"/>
      <c r="I3" s="1933"/>
      <c r="L3" s="137" t="s">
        <v>874</v>
      </c>
    </row>
    <row r="4" spans="1:12" ht="41.25" customHeight="1">
      <c r="A4" s="1623" t="s">
        <v>1033</v>
      </c>
      <c r="B4" s="1623"/>
      <c r="C4" s="1623"/>
      <c r="D4" s="1623"/>
      <c r="E4" s="1623"/>
      <c r="F4" s="1623"/>
      <c r="G4" s="1623"/>
      <c r="H4" s="1623"/>
      <c r="I4" s="1623"/>
      <c r="J4" s="1623"/>
      <c r="K4" s="1623"/>
      <c r="L4" s="1623"/>
    </row>
    <row r="5" spans="1:12" ht="19.5">
      <c r="A5" s="1105"/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</row>
    <row r="6" spans="5:12" ht="12.75" customHeight="1" thickBot="1">
      <c r="E6" s="1104"/>
      <c r="F6" s="1104"/>
      <c r="G6" s="1104"/>
      <c r="H6" s="1104"/>
      <c r="I6" s="1104"/>
      <c r="J6" s="1104"/>
      <c r="K6" s="1104"/>
      <c r="L6" s="1104" t="s">
        <v>216</v>
      </c>
    </row>
    <row r="7" spans="1:12" ht="49.5" customHeight="1" thickBot="1">
      <c r="A7" s="1654" t="s">
        <v>156</v>
      </c>
      <c r="B7" s="1655"/>
      <c r="C7" s="520" t="s">
        <v>157</v>
      </c>
      <c r="D7" s="521"/>
      <c r="E7" s="522" t="s">
        <v>158</v>
      </c>
      <c r="F7" s="522" t="s">
        <v>1002</v>
      </c>
      <c r="G7" s="522" t="s">
        <v>1070</v>
      </c>
      <c r="H7" s="522" t="s">
        <v>1131</v>
      </c>
      <c r="I7" s="522" t="s">
        <v>1141</v>
      </c>
      <c r="J7" s="522" t="s">
        <v>1148</v>
      </c>
      <c r="K7" s="522" t="s">
        <v>1158</v>
      </c>
      <c r="L7" s="522" t="s">
        <v>1181</v>
      </c>
    </row>
    <row r="8" spans="1:12" ht="12.75" customHeight="1" thickBot="1">
      <c r="A8" s="1668"/>
      <c r="B8" s="1669"/>
      <c r="C8" s="523" t="s">
        <v>159</v>
      </c>
      <c r="D8" s="381"/>
      <c r="E8" s="524" t="s">
        <v>160</v>
      </c>
      <c r="F8" s="524" t="s">
        <v>161</v>
      </c>
      <c r="G8" s="524" t="s">
        <v>162</v>
      </c>
      <c r="H8" s="524" t="s">
        <v>479</v>
      </c>
      <c r="I8" s="524" t="s">
        <v>499</v>
      </c>
      <c r="J8" s="524" t="s">
        <v>745</v>
      </c>
      <c r="K8" s="524" t="s">
        <v>826</v>
      </c>
      <c r="L8" s="524" t="s">
        <v>830</v>
      </c>
    </row>
    <row r="9" spans="1:12" s="10" customFormat="1" ht="39" customHeight="1">
      <c r="A9" s="1670" t="s">
        <v>38</v>
      </c>
      <c r="B9" s="1671"/>
      <c r="C9" s="1666" t="s">
        <v>665</v>
      </c>
      <c r="D9" s="1667"/>
      <c r="E9" s="547">
        <v>65000</v>
      </c>
      <c r="F9" s="547">
        <v>0</v>
      </c>
      <c r="G9" s="547">
        <v>50000</v>
      </c>
      <c r="H9" s="547">
        <v>50000</v>
      </c>
      <c r="I9" s="547">
        <v>50000</v>
      </c>
      <c r="J9" s="547">
        <v>50000</v>
      </c>
      <c r="K9" s="547">
        <v>130000</v>
      </c>
      <c r="L9" s="547">
        <v>130000</v>
      </c>
    </row>
    <row r="10" spans="1:12" s="10" customFormat="1" ht="12.75" customHeight="1">
      <c r="A10" s="1626" t="s">
        <v>40</v>
      </c>
      <c r="B10" s="1627"/>
      <c r="C10" s="1646" t="s">
        <v>78</v>
      </c>
      <c r="D10" s="1646"/>
      <c r="E10" s="525">
        <f>SUM(E11:E16)</f>
        <v>1410114</v>
      </c>
      <c r="F10" s="525">
        <f>SUM(F11:F16)</f>
        <v>1400000</v>
      </c>
      <c r="G10" s="525">
        <f aca="true" t="shared" si="0" ref="G10:L10">SUM(G11:G17)</f>
        <v>1685000</v>
      </c>
      <c r="H10" s="525">
        <f t="shared" si="0"/>
        <v>1685000</v>
      </c>
      <c r="I10" s="525">
        <f t="shared" si="0"/>
        <v>1685000</v>
      </c>
      <c r="J10" s="525">
        <f t="shared" si="0"/>
        <v>1685000</v>
      </c>
      <c r="K10" s="525">
        <f t="shared" si="0"/>
        <v>1869838</v>
      </c>
      <c r="L10" s="525">
        <f t="shared" si="0"/>
        <v>1869838</v>
      </c>
    </row>
    <row r="11" spans="1:12" s="366" customFormat="1" ht="12.75" customHeight="1">
      <c r="A11" s="1633" t="s">
        <v>47</v>
      </c>
      <c r="B11" s="1634"/>
      <c r="C11" s="1672" t="s">
        <v>666</v>
      </c>
      <c r="D11" s="1672"/>
      <c r="E11" s="526">
        <v>870800</v>
      </c>
      <c r="F11" s="526">
        <v>1000000</v>
      </c>
      <c r="G11" s="526">
        <v>1000000</v>
      </c>
      <c r="H11" s="526">
        <v>1000000</v>
      </c>
      <c r="I11" s="526">
        <v>970000</v>
      </c>
      <c r="J11" s="526">
        <v>970000</v>
      </c>
      <c r="K11" s="526">
        <v>1129555</v>
      </c>
      <c r="L11" s="526">
        <v>938922</v>
      </c>
    </row>
    <row r="12" spans="1:12" s="366" customFormat="1" ht="12.75" customHeight="1">
      <c r="A12" s="1633" t="s">
        <v>49</v>
      </c>
      <c r="B12" s="1634"/>
      <c r="C12" s="1632" t="s">
        <v>667</v>
      </c>
      <c r="D12" s="1632"/>
      <c r="E12" s="526">
        <v>221855</v>
      </c>
      <c r="F12" s="526">
        <v>100000</v>
      </c>
      <c r="G12" s="526">
        <v>100000</v>
      </c>
      <c r="H12" s="526">
        <v>100000</v>
      </c>
      <c r="I12" s="526">
        <v>100000</v>
      </c>
      <c r="J12" s="526">
        <v>100000</v>
      </c>
      <c r="K12" s="526">
        <v>100000</v>
      </c>
      <c r="L12" s="526">
        <v>281813</v>
      </c>
    </row>
    <row r="13" spans="1:12" s="366" customFormat="1" ht="12.75" customHeight="1">
      <c r="A13" s="1642" t="s">
        <v>51</v>
      </c>
      <c r="B13" s="1643"/>
      <c r="C13" s="1652" t="s">
        <v>1130</v>
      </c>
      <c r="D13" s="1653"/>
      <c r="E13" s="526">
        <v>17639</v>
      </c>
      <c r="F13" s="526"/>
      <c r="G13" s="526"/>
      <c r="H13" s="526"/>
      <c r="I13" s="526"/>
      <c r="J13" s="526"/>
      <c r="K13" s="526"/>
      <c r="L13" s="526">
        <v>8820</v>
      </c>
    </row>
    <row r="14" spans="1:12" s="366" customFormat="1" ht="12.75" customHeight="1">
      <c r="A14" s="1633" t="s">
        <v>53</v>
      </c>
      <c r="B14" s="1634"/>
      <c r="C14" s="1632" t="s">
        <v>668</v>
      </c>
      <c r="D14" s="1632"/>
      <c r="E14" s="526">
        <v>299786</v>
      </c>
      <c r="F14" s="526">
        <v>300000</v>
      </c>
      <c r="G14" s="526">
        <v>300000</v>
      </c>
      <c r="H14" s="526">
        <v>300000</v>
      </c>
      <c r="I14" s="526">
        <v>300000</v>
      </c>
      <c r="J14" s="526">
        <v>300000</v>
      </c>
      <c r="K14" s="526">
        <v>332008</v>
      </c>
      <c r="L14" s="526">
        <v>332008</v>
      </c>
    </row>
    <row r="15" spans="1:12" s="366" customFormat="1" ht="12.75" customHeight="1">
      <c r="A15" s="1633" t="s">
        <v>55</v>
      </c>
      <c r="B15" s="1634"/>
      <c r="C15" s="1632" t="s">
        <v>669</v>
      </c>
      <c r="D15" s="1632"/>
      <c r="E15" s="526">
        <v>26</v>
      </c>
      <c r="F15" s="526">
        <v>0</v>
      </c>
      <c r="G15" s="526">
        <v>0</v>
      </c>
      <c r="H15" s="526">
        <v>0</v>
      </c>
      <c r="I15" s="526">
        <v>0</v>
      </c>
      <c r="J15" s="526">
        <v>0</v>
      </c>
      <c r="K15" s="526">
        <v>0</v>
      </c>
      <c r="L15" s="526">
        <v>0</v>
      </c>
    </row>
    <row r="16" spans="1:12" s="366" customFormat="1" ht="12.75" customHeight="1">
      <c r="A16" s="1642" t="s">
        <v>57</v>
      </c>
      <c r="B16" s="1643"/>
      <c r="C16" s="1199" t="s">
        <v>1053</v>
      </c>
      <c r="D16" s="1200"/>
      <c r="E16" s="526">
        <v>8</v>
      </c>
      <c r="F16" s="526">
        <v>0</v>
      </c>
      <c r="G16" s="526">
        <v>0</v>
      </c>
      <c r="H16" s="526">
        <v>0</v>
      </c>
      <c r="I16" s="526">
        <v>30000</v>
      </c>
      <c r="J16" s="526">
        <v>30000</v>
      </c>
      <c r="K16" s="526">
        <v>23275</v>
      </c>
      <c r="L16" s="526">
        <v>23275</v>
      </c>
    </row>
    <row r="17" spans="1:12" s="366" customFormat="1" ht="12.75" customHeight="1">
      <c r="A17" s="1642" t="s">
        <v>86</v>
      </c>
      <c r="B17" s="1643"/>
      <c r="C17" s="1199" t="s">
        <v>1075</v>
      </c>
      <c r="D17" s="1200"/>
      <c r="E17" s="526"/>
      <c r="F17" s="526"/>
      <c r="G17" s="526">
        <v>285000</v>
      </c>
      <c r="H17" s="526">
        <v>285000</v>
      </c>
      <c r="I17" s="526">
        <v>285000</v>
      </c>
      <c r="J17" s="526">
        <v>285000</v>
      </c>
      <c r="K17" s="526">
        <v>285000</v>
      </c>
      <c r="L17" s="526">
        <v>285000</v>
      </c>
    </row>
    <row r="18" spans="1:12" s="10" customFormat="1" ht="12.75" customHeight="1">
      <c r="A18" s="1650" t="s">
        <v>59</v>
      </c>
      <c r="B18" s="1651"/>
      <c r="C18" s="1630" t="s">
        <v>187</v>
      </c>
      <c r="D18" s="1631"/>
      <c r="E18" s="525">
        <v>186267</v>
      </c>
      <c r="F18" s="525">
        <v>0</v>
      </c>
      <c r="G18" s="525">
        <v>0</v>
      </c>
      <c r="H18" s="525">
        <v>0</v>
      </c>
      <c r="I18" s="525">
        <v>0</v>
      </c>
      <c r="J18" s="525">
        <v>0</v>
      </c>
      <c r="K18" s="525">
        <v>0</v>
      </c>
      <c r="L18" s="525">
        <v>0</v>
      </c>
    </row>
    <row r="19" spans="1:12" s="10" customFormat="1" ht="12.75" customHeight="1">
      <c r="A19" s="1626" t="s">
        <v>61</v>
      </c>
      <c r="B19" s="1627"/>
      <c r="C19" s="1646" t="s">
        <v>227</v>
      </c>
      <c r="D19" s="1646"/>
      <c r="E19" s="525">
        <v>800000</v>
      </c>
      <c r="F19" s="525">
        <v>0</v>
      </c>
      <c r="G19" s="525">
        <v>0</v>
      </c>
      <c r="H19" s="525">
        <v>0</v>
      </c>
      <c r="I19" s="525">
        <v>0</v>
      </c>
      <c r="J19" s="525">
        <v>0</v>
      </c>
      <c r="K19" s="525">
        <v>0</v>
      </c>
      <c r="L19" s="525">
        <v>0</v>
      </c>
    </row>
    <row r="20" spans="1:12" s="366" customFormat="1" ht="12.75" customHeight="1" thickBot="1">
      <c r="A20" s="1634" t="s">
        <v>63</v>
      </c>
      <c r="B20" s="1634"/>
      <c r="C20" s="1649" t="s">
        <v>670</v>
      </c>
      <c r="D20" s="1649"/>
      <c r="E20" s="518">
        <v>0</v>
      </c>
      <c r="F20" s="518">
        <v>0</v>
      </c>
      <c r="G20" s="518">
        <v>0</v>
      </c>
      <c r="H20" s="518">
        <v>0</v>
      </c>
      <c r="I20" s="518">
        <v>0</v>
      </c>
      <c r="J20" s="518">
        <v>0</v>
      </c>
      <c r="K20" s="518">
        <v>0</v>
      </c>
      <c r="L20" s="518">
        <v>0</v>
      </c>
    </row>
    <row r="21" spans="1:12" s="528" customFormat="1" ht="18.75" customHeight="1" thickBot="1">
      <c r="A21" s="1628" t="s">
        <v>65</v>
      </c>
      <c r="B21" s="1629"/>
      <c r="C21" s="1624" t="s">
        <v>505</v>
      </c>
      <c r="D21" s="1625"/>
      <c r="E21" s="551">
        <f>SUM(E9+E10+E19)+E18</f>
        <v>2461381</v>
      </c>
      <c r="F21" s="551">
        <f>SUM(F9+F10+F19)</f>
        <v>1400000</v>
      </c>
      <c r="G21" s="551">
        <f aca="true" t="shared" si="1" ref="G21:L21">SUM(G9+G10+G19)+G18</f>
        <v>1735000</v>
      </c>
      <c r="H21" s="551">
        <f t="shared" si="1"/>
        <v>1735000</v>
      </c>
      <c r="I21" s="551">
        <f t="shared" si="1"/>
        <v>1735000</v>
      </c>
      <c r="J21" s="551">
        <f t="shared" si="1"/>
        <v>1735000</v>
      </c>
      <c r="K21" s="551">
        <f t="shared" si="1"/>
        <v>1999838</v>
      </c>
      <c r="L21" s="551">
        <f t="shared" si="1"/>
        <v>1999838</v>
      </c>
    </row>
    <row r="22" spans="1:12" s="10" customFormat="1" ht="12.75" customHeight="1">
      <c r="A22" s="1644" t="s">
        <v>92</v>
      </c>
      <c r="B22" s="1645"/>
      <c r="C22" s="1647" t="s">
        <v>506</v>
      </c>
      <c r="D22" s="1648"/>
      <c r="E22" s="550">
        <f aca="true" t="shared" si="2" ref="E22:J22">SUM(E23:E24)</f>
        <v>114886187</v>
      </c>
      <c r="F22" s="550">
        <f t="shared" si="2"/>
        <v>113917648</v>
      </c>
      <c r="G22" s="550">
        <f t="shared" si="2"/>
        <v>114749425</v>
      </c>
      <c r="H22" s="550">
        <f t="shared" si="2"/>
        <v>114778666</v>
      </c>
      <c r="I22" s="550">
        <f t="shared" si="2"/>
        <v>114812845</v>
      </c>
      <c r="J22" s="550">
        <f t="shared" si="2"/>
        <v>115952613</v>
      </c>
      <c r="K22" s="550">
        <f>SUM(K23:K24)</f>
        <v>114660023</v>
      </c>
      <c r="L22" s="550">
        <f>SUM(L23:L24)</f>
        <v>114660023</v>
      </c>
    </row>
    <row r="23" spans="1:12" s="122" customFormat="1" ht="12.75" customHeight="1">
      <c r="A23" s="1658" t="s">
        <v>66</v>
      </c>
      <c r="B23" s="1659"/>
      <c r="C23" s="1638" t="s">
        <v>507</v>
      </c>
      <c r="D23" s="1639"/>
      <c r="E23" s="548">
        <v>85657376</v>
      </c>
      <c r="F23" s="548">
        <v>85845221</v>
      </c>
      <c r="G23" s="548">
        <v>85845221</v>
      </c>
      <c r="H23" s="548">
        <v>85874462</v>
      </c>
      <c r="I23" s="548">
        <v>85908641</v>
      </c>
      <c r="J23" s="548">
        <v>86331409</v>
      </c>
      <c r="K23" s="548">
        <v>86358177</v>
      </c>
      <c r="L23" s="548">
        <v>86358177</v>
      </c>
    </row>
    <row r="24" spans="1:12" ht="12.75" customHeight="1">
      <c r="A24" s="1660" t="s">
        <v>67</v>
      </c>
      <c r="B24" s="1661"/>
      <c r="C24" s="1638" t="s">
        <v>508</v>
      </c>
      <c r="D24" s="1639"/>
      <c r="E24" s="714">
        <v>29228811</v>
      </c>
      <c r="F24" s="714">
        <v>28072427</v>
      </c>
      <c r="G24" s="714">
        <v>28904204</v>
      </c>
      <c r="H24" s="714">
        <v>28904204</v>
      </c>
      <c r="I24" s="714">
        <v>28904204</v>
      </c>
      <c r="J24" s="714">
        <v>29621204</v>
      </c>
      <c r="K24" s="714">
        <v>28301846</v>
      </c>
      <c r="L24" s="714">
        <v>28301846</v>
      </c>
    </row>
    <row r="25" spans="1:12" s="122" customFormat="1" ht="12.75" customHeight="1" thickBot="1">
      <c r="A25" s="1662" t="s">
        <v>68</v>
      </c>
      <c r="B25" s="1663"/>
      <c r="C25" s="1641" t="s">
        <v>509</v>
      </c>
      <c r="D25" s="1641"/>
      <c r="E25" s="552">
        <v>455730</v>
      </c>
      <c r="F25" s="1201">
        <v>522344</v>
      </c>
      <c r="G25" s="1201">
        <v>522344</v>
      </c>
      <c r="H25" s="1201">
        <v>522344</v>
      </c>
      <c r="I25" s="1201">
        <v>522344</v>
      </c>
      <c r="J25" s="1201">
        <v>522344</v>
      </c>
      <c r="K25" s="1201">
        <v>522344</v>
      </c>
      <c r="L25" s="1201">
        <v>522344</v>
      </c>
    </row>
    <row r="26" spans="1:12" s="10" customFormat="1" ht="17.25" customHeight="1" thickBot="1">
      <c r="A26" s="1664" t="s">
        <v>70</v>
      </c>
      <c r="B26" s="1665"/>
      <c r="C26" s="1635" t="s">
        <v>519</v>
      </c>
      <c r="D26" s="1635"/>
      <c r="E26" s="554">
        <f aca="true" t="shared" si="3" ref="E26:J26">SUM(E22+E25)</f>
        <v>115341917</v>
      </c>
      <c r="F26" s="554">
        <f t="shared" si="3"/>
        <v>114439992</v>
      </c>
      <c r="G26" s="554">
        <f t="shared" si="3"/>
        <v>115271769</v>
      </c>
      <c r="H26" s="554">
        <f t="shared" si="3"/>
        <v>115301010</v>
      </c>
      <c r="I26" s="554">
        <f t="shared" si="3"/>
        <v>115335189</v>
      </c>
      <c r="J26" s="554">
        <f t="shared" si="3"/>
        <v>116474957</v>
      </c>
      <c r="K26" s="554">
        <f>SUM(K22+K25)</f>
        <v>115182367</v>
      </c>
      <c r="L26" s="554">
        <f>SUM(L22+L25)</f>
        <v>115182367</v>
      </c>
    </row>
    <row r="27" spans="1:12" ht="27" customHeight="1" thickBot="1">
      <c r="A27" s="1636" t="s">
        <v>97</v>
      </c>
      <c r="B27" s="1637"/>
      <c r="C27" s="1640" t="s">
        <v>242</v>
      </c>
      <c r="D27" s="1640"/>
      <c r="E27" s="553">
        <f aca="true" t="shared" si="4" ref="E27:J27">SUM(E21+E26)</f>
        <v>117803298</v>
      </c>
      <c r="F27" s="553">
        <f t="shared" si="4"/>
        <v>115839992</v>
      </c>
      <c r="G27" s="553">
        <f t="shared" si="4"/>
        <v>117006769</v>
      </c>
      <c r="H27" s="553">
        <f t="shared" si="4"/>
        <v>117036010</v>
      </c>
      <c r="I27" s="553">
        <f t="shared" si="4"/>
        <v>117070189</v>
      </c>
      <c r="J27" s="553">
        <f t="shared" si="4"/>
        <v>118209957</v>
      </c>
      <c r="K27" s="553">
        <f>SUM(K21+K26)</f>
        <v>117182205</v>
      </c>
      <c r="L27" s="553">
        <f>SUM(L21+L26)</f>
        <v>117182205</v>
      </c>
    </row>
    <row r="28" spans="3:4" ht="12.75" customHeight="1" thickBot="1">
      <c r="C28" s="68"/>
      <c r="D28" s="68"/>
    </row>
    <row r="29" spans="1:12" ht="49.5" customHeight="1" thickBot="1">
      <c r="A29" s="1654" t="s">
        <v>156</v>
      </c>
      <c r="B29" s="1655"/>
      <c r="C29" s="533" t="s">
        <v>119</v>
      </c>
      <c r="D29" s="534" t="s">
        <v>510</v>
      </c>
      <c r="E29" s="522" t="s">
        <v>158</v>
      </c>
      <c r="F29" s="522" t="s">
        <v>1002</v>
      </c>
      <c r="G29" s="522" t="s">
        <v>1070</v>
      </c>
      <c r="H29" s="522" t="s">
        <v>1131</v>
      </c>
      <c r="I29" s="522" t="s">
        <v>1141</v>
      </c>
      <c r="J29" s="522" t="s">
        <v>1148</v>
      </c>
      <c r="K29" s="522" t="s">
        <v>1158</v>
      </c>
      <c r="L29" s="522" t="s">
        <v>1181</v>
      </c>
    </row>
    <row r="30" spans="1:12" ht="12.75" customHeight="1">
      <c r="A30" s="1656"/>
      <c r="B30" s="1657"/>
      <c r="C30" s="227" t="s">
        <v>159</v>
      </c>
      <c r="D30" s="228" t="s">
        <v>160</v>
      </c>
      <c r="E30" s="535" t="s">
        <v>161</v>
      </c>
      <c r="F30" s="535" t="s">
        <v>162</v>
      </c>
      <c r="G30" s="535" t="s">
        <v>479</v>
      </c>
      <c r="H30" s="535" t="s">
        <v>499</v>
      </c>
      <c r="I30" s="535" t="s">
        <v>745</v>
      </c>
      <c r="J30" s="535" t="s">
        <v>826</v>
      </c>
      <c r="K30" s="535" t="s">
        <v>830</v>
      </c>
      <c r="L30" s="535" t="s">
        <v>987</v>
      </c>
    </row>
    <row r="31" spans="1:12" ht="12.75" customHeight="1">
      <c r="A31" s="536" t="s">
        <v>38</v>
      </c>
      <c r="B31" s="229" t="s">
        <v>165</v>
      </c>
      <c r="C31" s="230" t="s">
        <v>327</v>
      </c>
      <c r="D31" s="171">
        <v>1</v>
      </c>
      <c r="E31" s="537">
        <f aca="true" t="shared" si="5" ref="E31:J31">SUM(E32:E34)</f>
        <v>17998583</v>
      </c>
      <c r="F31" s="537">
        <f t="shared" si="5"/>
        <v>16699204</v>
      </c>
      <c r="G31" s="537">
        <f t="shared" si="5"/>
        <v>18699204</v>
      </c>
      <c r="H31" s="537">
        <f t="shared" si="5"/>
        <v>18699204</v>
      </c>
      <c r="I31" s="537">
        <f t="shared" si="5"/>
        <v>18699204</v>
      </c>
      <c r="J31" s="537">
        <f t="shared" si="5"/>
        <v>18699204</v>
      </c>
      <c r="K31" s="537">
        <f>SUM(K32:K34)</f>
        <v>18699204</v>
      </c>
      <c r="L31" s="1462">
        <f>SUM(L32:L34)</f>
        <v>19131446</v>
      </c>
    </row>
    <row r="32" spans="1:12" ht="12.75" customHeight="1">
      <c r="A32" s="538" t="s">
        <v>40</v>
      </c>
      <c r="B32" s="144"/>
      <c r="C32" s="17" t="s">
        <v>253</v>
      </c>
      <c r="D32" s="145"/>
      <c r="E32" s="539">
        <f>SUM(1856000+172722)</f>
        <v>2028722</v>
      </c>
      <c r="F32" s="539">
        <v>2239195</v>
      </c>
      <c r="G32" s="539">
        <v>2239195</v>
      </c>
      <c r="H32" s="539">
        <v>2239195</v>
      </c>
      <c r="I32" s="539">
        <v>2239195</v>
      </c>
      <c r="J32" s="539">
        <v>2239195</v>
      </c>
      <c r="K32" s="539">
        <v>2239195</v>
      </c>
      <c r="L32" s="539">
        <v>2213300</v>
      </c>
    </row>
    <row r="33" spans="1:12" ht="12.75" customHeight="1">
      <c r="A33" s="538" t="s">
        <v>47</v>
      </c>
      <c r="B33" s="144"/>
      <c r="C33" s="17" t="s">
        <v>254</v>
      </c>
      <c r="D33" s="145"/>
      <c r="E33" s="539">
        <v>471320</v>
      </c>
      <c r="F33" s="539">
        <v>460009</v>
      </c>
      <c r="G33" s="539">
        <v>460009</v>
      </c>
      <c r="H33" s="539">
        <v>460009</v>
      </c>
      <c r="I33" s="539">
        <v>460009</v>
      </c>
      <c r="J33" s="539">
        <v>460009</v>
      </c>
      <c r="K33" s="539">
        <v>460009</v>
      </c>
      <c r="L33" s="539">
        <v>468542</v>
      </c>
    </row>
    <row r="34" spans="1:12" ht="12.75" customHeight="1">
      <c r="A34" s="538" t="s">
        <v>49</v>
      </c>
      <c r="B34" s="144"/>
      <c r="C34" s="17" t="s">
        <v>255</v>
      </c>
      <c r="D34" s="145"/>
      <c r="E34" s="540">
        <v>15498541</v>
      </c>
      <c r="F34" s="540">
        <v>14000000</v>
      </c>
      <c r="G34" s="540">
        <v>16000000</v>
      </c>
      <c r="H34" s="540">
        <v>16000000</v>
      </c>
      <c r="I34" s="540">
        <v>16000000</v>
      </c>
      <c r="J34" s="540">
        <v>16000000</v>
      </c>
      <c r="K34" s="540">
        <v>16000000</v>
      </c>
      <c r="L34" s="540">
        <v>16449604</v>
      </c>
    </row>
    <row r="35" spans="1:12" ht="12.75" customHeight="1">
      <c r="A35" s="536" t="s">
        <v>51</v>
      </c>
      <c r="B35" s="141" t="s">
        <v>167</v>
      </c>
      <c r="C35" s="9" t="s">
        <v>511</v>
      </c>
      <c r="D35" s="142"/>
      <c r="E35" s="537">
        <f aca="true" t="shared" si="6" ref="E35:J35">SUM(E36:E38)</f>
        <v>2509214</v>
      </c>
      <c r="F35" s="537">
        <f t="shared" si="6"/>
        <v>2820040</v>
      </c>
      <c r="G35" s="537">
        <f t="shared" si="6"/>
        <v>2820040</v>
      </c>
      <c r="H35" s="537">
        <f t="shared" si="6"/>
        <v>2820040</v>
      </c>
      <c r="I35" s="537">
        <f t="shared" si="6"/>
        <v>2820040</v>
      </c>
      <c r="J35" s="537">
        <f t="shared" si="6"/>
        <v>2820040</v>
      </c>
      <c r="K35" s="537">
        <f>SUM(K36:K38)</f>
        <v>2820040</v>
      </c>
      <c r="L35" s="1462">
        <f>SUM(L36:L38)</f>
        <v>2165282</v>
      </c>
    </row>
    <row r="36" spans="1:12" ht="12.75" customHeight="1">
      <c r="A36" s="538" t="s">
        <v>53</v>
      </c>
      <c r="B36" s="144"/>
      <c r="C36" s="17" t="s">
        <v>253</v>
      </c>
      <c r="D36" s="145"/>
      <c r="E36" s="539">
        <f>SUM(220000+20478)</f>
        <v>240478</v>
      </c>
      <c r="F36" s="539">
        <v>265497</v>
      </c>
      <c r="G36" s="539">
        <v>265497</v>
      </c>
      <c r="H36" s="539">
        <v>265497</v>
      </c>
      <c r="I36" s="539">
        <v>265497</v>
      </c>
      <c r="J36" s="539">
        <v>265497</v>
      </c>
      <c r="K36" s="539">
        <v>265497</v>
      </c>
      <c r="L36" s="539">
        <v>321981</v>
      </c>
    </row>
    <row r="37" spans="1:12" ht="12.75" customHeight="1">
      <c r="A37" s="538" t="s">
        <v>55</v>
      </c>
      <c r="B37" s="144"/>
      <c r="C37" s="161" t="s">
        <v>254</v>
      </c>
      <c r="D37" s="249"/>
      <c r="E37" s="541">
        <v>52184</v>
      </c>
      <c r="F37" s="541">
        <v>54543</v>
      </c>
      <c r="G37" s="541">
        <v>54543</v>
      </c>
      <c r="H37" s="541">
        <v>54543</v>
      </c>
      <c r="I37" s="541">
        <v>54543</v>
      </c>
      <c r="J37" s="541">
        <v>54543</v>
      </c>
      <c r="K37" s="541">
        <v>54543</v>
      </c>
      <c r="L37" s="541">
        <v>68161</v>
      </c>
    </row>
    <row r="38" spans="1:12" ht="12.75" customHeight="1">
      <c r="A38" s="538" t="s">
        <v>57</v>
      </c>
      <c r="B38" s="144"/>
      <c r="C38" s="385" t="s">
        <v>255</v>
      </c>
      <c r="D38" s="529"/>
      <c r="E38" s="542">
        <v>2216552</v>
      </c>
      <c r="F38" s="542">
        <v>2500000</v>
      </c>
      <c r="G38" s="542">
        <v>2500000</v>
      </c>
      <c r="H38" s="542">
        <v>2500000</v>
      </c>
      <c r="I38" s="542">
        <v>2500000</v>
      </c>
      <c r="J38" s="542">
        <v>2500000</v>
      </c>
      <c r="K38" s="542">
        <v>2500000</v>
      </c>
      <c r="L38" s="542">
        <v>1775140</v>
      </c>
    </row>
    <row r="39" spans="1:12" s="10" customFormat="1" ht="12.75" customHeight="1">
      <c r="A39" s="536" t="s">
        <v>86</v>
      </c>
      <c r="B39" s="141" t="s">
        <v>174</v>
      </c>
      <c r="C39" s="500" t="s">
        <v>512</v>
      </c>
      <c r="D39" s="529"/>
      <c r="E39" s="525">
        <f aca="true" t="shared" si="7" ref="E39:J39">SUM(E40:E42)</f>
        <v>20802</v>
      </c>
      <c r="F39" s="525">
        <f t="shared" si="7"/>
        <v>0</v>
      </c>
      <c r="G39" s="525">
        <f t="shared" si="7"/>
        <v>0</v>
      </c>
      <c r="H39" s="525">
        <f t="shared" si="7"/>
        <v>0</v>
      </c>
      <c r="I39" s="525">
        <f t="shared" si="7"/>
        <v>0</v>
      </c>
      <c r="J39" s="525">
        <f t="shared" si="7"/>
        <v>0</v>
      </c>
      <c r="K39" s="525">
        <f>SUM(K40:K42)</f>
        <v>0</v>
      </c>
      <c r="L39" s="1154">
        <f>SUM(L40:L42)</f>
        <v>94067</v>
      </c>
    </row>
    <row r="40" spans="1:12" ht="12.75" customHeight="1">
      <c r="A40" s="538" t="s">
        <v>59</v>
      </c>
      <c r="B40" s="144"/>
      <c r="C40" s="385" t="s">
        <v>253</v>
      </c>
      <c r="D40" s="529"/>
      <c r="E40" s="542"/>
      <c r="F40" s="542">
        <v>0</v>
      </c>
      <c r="G40" s="542">
        <v>0</v>
      </c>
      <c r="H40" s="542">
        <v>0</v>
      </c>
      <c r="I40" s="542">
        <v>0</v>
      </c>
      <c r="J40" s="542">
        <v>0</v>
      </c>
      <c r="K40" s="542">
        <v>0</v>
      </c>
      <c r="L40" s="542">
        <v>0</v>
      </c>
    </row>
    <row r="41" spans="1:12" ht="12.75" customHeight="1">
      <c r="A41" s="538" t="s">
        <v>61</v>
      </c>
      <c r="B41" s="144"/>
      <c r="C41" s="130" t="s">
        <v>254</v>
      </c>
      <c r="D41" s="171"/>
      <c r="E41" s="543"/>
      <c r="F41" s="543">
        <v>0</v>
      </c>
      <c r="G41" s="543">
        <v>0</v>
      </c>
      <c r="H41" s="543">
        <v>0</v>
      </c>
      <c r="I41" s="543">
        <v>0</v>
      </c>
      <c r="J41" s="543">
        <v>0</v>
      </c>
      <c r="K41" s="543">
        <v>0</v>
      </c>
      <c r="L41" s="543">
        <v>0</v>
      </c>
    </row>
    <row r="42" spans="1:12" ht="12.75" customHeight="1">
      <c r="A42" s="538" t="s">
        <v>63</v>
      </c>
      <c r="B42" s="144"/>
      <c r="C42" s="17" t="s">
        <v>255</v>
      </c>
      <c r="D42" s="142"/>
      <c r="E42" s="539">
        <v>20802</v>
      </c>
      <c r="F42" s="539">
        <v>0</v>
      </c>
      <c r="G42" s="539">
        <v>0</v>
      </c>
      <c r="H42" s="539">
        <v>0</v>
      </c>
      <c r="I42" s="539">
        <v>0</v>
      </c>
      <c r="J42" s="539">
        <v>0</v>
      </c>
      <c r="K42" s="539">
        <v>0</v>
      </c>
      <c r="L42" s="539">
        <v>94067</v>
      </c>
    </row>
    <row r="43" spans="1:12" ht="12.75" customHeight="1">
      <c r="A43" s="536" t="s">
        <v>65</v>
      </c>
      <c r="B43" s="141" t="s">
        <v>184</v>
      </c>
      <c r="C43" s="9" t="s">
        <v>337</v>
      </c>
      <c r="D43" s="142">
        <v>18</v>
      </c>
      <c r="E43" s="537">
        <f aca="true" t="shared" si="8" ref="E43:J43">SUM(E44:E47)</f>
        <v>67591398</v>
      </c>
      <c r="F43" s="537">
        <f t="shared" si="8"/>
        <v>70812366</v>
      </c>
      <c r="G43" s="537">
        <f t="shared" si="8"/>
        <v>68812366</v>
      </c>
      <c r="H43" s="537">
        <f t="shared" si="8"/>
        <v>68812366</v>
      </c>
      <c r="I43" s="537">
        <f t="shared" si="8"/>
        <v>68812366</v>
      </c>
      <c r="J43" s="537">
        <f t="shared" si="8"/>
        <v>69520576</v>
      </c>
      <c r="K43" s="537">
        <f>SUM(K44:K47)</f>
        <v>69300411</v>
      </c>
      <c r="L43" s="537">
        <f>SUM(L44:L47)</f>
        <v>68962272</v>
      </c>
    </row>
    <row r="44" spans="1:12" ht="12.75" customHeight="1">
      <c r="A44" s="538" t="s">
        <v>92</v>
      </c>
      <c r="B44" s="144"/>
      <c r="C44" s="17" t="s">
        <v>253</v>
      </c>
      <c r="D44" s="142"/>
      <c r="E44" s="539">
        <v>54357753</v>
      </c>
      <c r="F44" s="539">
        <v>56944464</v>
      </c>
      <c r="G44" s="539">
        <v>56944464</v>
      </c>
      <c r="H44" s="539">
        <v>56944464</v>
      </c>
      <c r="I44" s="539">
        <v>56944464</v>
      </c>
      <c r="J44" s="539">
        <v>57534464</v>
      </c>
      <c r="K44" s="539">
        <v>52019117</v>
      </c>
      <c r="L44" s="539">
        <v>52115092</v>
      </c>
    </row>
    <row r="45" spans="1:12" ht="12.75" customHeight="1">
      <c r="A45" s="538" t="s">
        <v>66</v>
      </c>
      <c r="B45" s="144"/>
      <c r="C45" s="17" t="s">
        <v>254</v>
      </c>
      <c r="D45" s="142"/>
      <c r="E45" s="539">
        <v>12712995</v>
      </c>
      <c r="F45" s="539">
        <v>11367902</v>
      </c>
      <c r="G45" s="539">
        <v>11367902</v>
      </c>
      <c r="H45" s="539">
        <v>11367902</v>
      </c>
      <c r="I45" s="539">
        <v>11367902</v>
      </c>
      <c r="J45" s="539">
        <v>11486112</v>
      </c>
      <c r="K45" s="539">
        <v>16661294</v>
      </c>
      <c r="L45" s="539">
        <v>16585809</v>
      </c>
    </row>
    <row r="46" spans="1:12" ht="12.75" customHeight="1">
      <c r="A46" s="538" t="s">
        <v>67</v>
      </c>
      <c r="B46" s="144"/>
      <c r="C46" s="17" t="s">
        <v>255</v>
      </c>
      <c r="D46" s="142"/>
      <c r="E46" s="539">
        <v>520650</v>
      </c>
      <c r="F46" s="539">
        <v>2500000</v>
      </c>
      <c r="G46" s="539">
        <v>500000</v>
      </c>
      <c r="H46" s="539">
        <v>500000</v>
      </c>
      <c r="I46" s="539">
        <v>500000</v>
      </c>
      <c r="J46" s="539">
        <v>500000</v>
      </c>
      <c r="K46" s="539">
        <v>620000</v>
      </c>
      <c r="L46" s="539">
        <v>261371</v>
      </c>
    </row>
    <row r="47" spans="1:12" ht="12.75" customHeight="1">
      <c r="A47" s="538" t="s">
        <v>68</v>
      </c>
      <c r="B47" s="144"/>
      <c r="C47" s="17" t="s">
        <v>15</v>
      </c>
      <c r="D47" s="142"/>
      <c r="E47" s="539">
        <v>0</v>
      </c>
      <c r="F47" s="539">
        <v>0</v>
      </c>
      <c r="G47" s="539">
        <v>0</v>
      </c>
      <c r="H47" s="539">
        <v>0</v>
      </c>
      <c r="I47" s="539">
        <v>0</v>
      </c>
      <c r="J47" s="539">
        <v>0</v>
      </c>
      <c r="K47" s="539">
        <v>0</v>
      </c>
      <c r="L47" s="539">
        <v>0</v>
      </c>
    </row>
    <row r="48" spans="1:12" s="10" customFormat="1" ht="12.75" customHeight="1">
      <c r="A48" s="536" t="s">
        <v>70</v>
      </c>
      <c r="B48" s="141" t="s">
        <v>185</v>
      </c>
      <c r="C48" s="9" t="s">
        <v>513</v>
      </c>
      <c r="D48" s="142"/>
      <c r="E48" s="537">
        <f aca="true" t="shared" si="9" ref="E48:J48">SUM(E49:E51)</f>
        <v>188058</v>
      </c>
      <c r="F48" s="537">
        <f t="shared" si="9"/>
        <v>394000</v>
      </c>
      <c r="G48" s="537">
        <f t="shared" si="9"/>
        <v>394000</v>
      </c>
      <c r="H48" s="537">
        <f t="shared" si="9"/>
        <v>394000</v>
      </c>
      <c r="I48" s="537">
        <f t="shared" si="9"/>
        <v>394000</v>
      </c>
      <c r="J48" s="537">
        <f t="shared" si="9"/>
        <v>394000</v>
      </c>
      <c r="K48" s="537">
        <f>SUM(K49:K51)</f>
        <v>394000</v>
      </c>
      <c r="L48" s="537">
        <f>SUM(L49:L51)</f>
        <v>0</v>
      </c>
    </row>
    <row r="49" spans="1:12" ht="12.75" customHeight="1">
      <c r="A49" s="538" t="s">
        <v>97</v>
      </c>
      <c r="B49" s="144"/>
      <c r="C49" s="17" t="s">
        <v>253</v>
      </c>
      <c r="D49" s="142"/>
      <c r="E49" s="539">
        <v>156000</v>
      </c>
      <c r="F49" s="539">
        <v>330000</v>
      </c>
      <c r="G49" s="539">
        <v>330000</v>
      </c>
      <c r="H49" s="539">
        <v>330000</v>
      </c>
      <c r="I49" s="539">
        <v>330000</v>
      </c>
      <c r="J49" s="539">
        <v>330000</v>
      </c>
      <c r="K49" s="539">
        <v>330000</v>
      </c>
      <c r="L49" s="539">
        <v>0</v>
      </c>
    </row>
    <row r="50" spans="1:12" ht="12.75" customHeight="1">
      <c r="A50" s="538" t="s">
        <v>99</v>
      </c>
      <c r="B50" s="144"/>
      <c r="C50" s="17" t="s">
        <v>254</v>
      </c>
      <c r="D50" s="142"/>
      <c r="E50" s="539">
        <v>32058</v>
      </c>
      <c r="F50" s="539">
        <v>64000</v>
      </c>
      <c r="G50" s="539">
        <v>64000</v>
      </c>
      <c r="H50" s="539">
        <v>64000</v>
      </c>
      <c r="I50" s="539">
        <v>64000</v>
      </c>
      <c r="J50" s="539">
        <v>64000</v>
      </c>
      <c r="K50" s="539">
        <v>64000</v>
      </c>
      <c r="L50" s="539">
        <v>0</v>
      </c>
    </row>
    <row r="51" spans="1:12" ht="12.75" customHeight="1">
      <c r="A51" s="538" t="s">
        <v>101</v>
      </c>
      <c r="B51" s="144"/>
      <c r="C51" s="17" t="s">
        <v>255</v>
      </c>
      <c r="D51" s="142"/>
      <c r="E51" s="539">
        <v>0</v>
      </c>
      <c r="F51" s="539">
        <v>0</v>
      </c>
      <c r="G51" s="539">
        <v>0</v>
      </c>
      <c r="H51" s="539">
        <v>0</v>
      </c>
      <c r="I51" s="539">
        <v>0</v>
      </c>
      <c r="J51" s="539">
        <v>0</v>
      </c>
      <c r="K51" s="539">
        <v>0</v>
      </c>
      <c r="L51" s="539">
        <v>0</v>
      </c>
    </row>
    <row r="52" spans="1:12" ht="12.75" customHeight="1">
      <c r="A52" s="536" t="s">
        <v>103</v>
      </c>
      <c r="B52" s="141" t="s">
        <v>186</v>
      </c>
      <c r="C52" s="9" t="s">
        <v>343</v>
      </c>
      <c r="D52" s="142"/>
      <c r="E52" s="537">
        <f aca="true" t="shared" si="10" ref="E52:J52">SUM(E53:E55)</f>
        <v>13896380</v>
      </c>
      <c r="F52" s="537">
        <f t="shared" si="10"/>
        <v>10243826</v>
      </c>
      <c r="G52" s="537">
        <f t="shared" si="10"/>
        <v>10293826</v>
      </c>
      <c r="H52" s="537">
        <f t="shared" si="10"/>
        <v>10293826</v>
      </c>
      <c r="I52" s="537">
        <f t="shared" si="10"/>
        <v>10293826</v>
      </c>
      <c r="J52" s="537">
        <f t="shared" si="10"/>
        <v>10689826</v>
      </c>
      <c r="K52" s="537">
        <f>SUM(K53:K55)</f>
        <v>10689826</v>
      </c>
      <c r="L52" s="1462">
        <f>SUM(L53:L56)</f>
        <v>11186504</v>
      </c>
    </row>
    <row r="53" spans="1:12" ht="12.75" customHeight="1">
      <c r="A53" s="538" t="s">
        <v>105</v>
      </c>
      <c r="B53" s="144"/>
      <c r="C53" s="17" t="s">
        <v>253</v>
      </c>
      <c r="D53" s="142">
        <v>2</v>
      </c>
      <c r="E53" s="539">
        <v>11167775</v>
      </c>
      <c r="F53" s="539">
        <v>8402972</v>
      </c>
      <c r="G53" s="539">
        <v>8402972</v>
      </c>
      <c r="H53" s="539">
        <v>8402972</v>
      </c>
      <c r="I53" s="539">
        <v>8402972</v>
      </c>
      <c r="J53" s="539">
        <v>8402972</v>
      </c>
      <c r="K53" s="539">
        <v>8402972</v>
      </c>
      <c r="L53" s="539">
        <v>9193686</v>
      </c>
    </row>
    <row r="54" spans="1:12" ht="12.75" customHeight="1">
      <c r="A54" s="538" t="s">
        <v>107</v>
      </c>
      <c r="B54" s="144"/>
      <c r="C54" s="17" t="s">
        <v>254</v>
      </c>
      <c r="D54" s="142"/>
      <c r="E54" s="539">
        <v>2662777</v>
      </c>
      <c r="F54" s="539">
        <v>1690854</v>
      </c>
      <c r="G54" s="539">
        <v>1690854</v>
      </c>
      <c r="H54" s="539">
        <v>1690854</v>
      </c>
      <c r="I54" s="539">
        <v>1690854</v>
      </c>
      <c r="J54" s="539">
        <v>1690854</v>
      </c>
      <c r="K54" s="539">
        <v>1690854</v>
      </c>
      <c r="L54" s="539">
        <v>1831808</v>
      </c>
    </row>
    <row r="55" spans="1:12" ht="12.75" customHeight="1">
      <c r="A55" s="538" t="s">
        <v>109</v>
      </c>
      <c r="B55" s="144"/>
      <c r="C55" s="17" t="s">
        <v>255</v>
      </c>
      <c r="D55" s="142"/>
      <c r="E55" s="539">
        <v>65828</v>
      </c>
      <c r="F55" s="539">
        <v>150000</v>
      </c>
      <c r="G55" s="539">
        <v>200000</v>
      </c>
      <c r="H55" s="539">
        <v>200000</v>
      </c>
      <c r="I55" s="539">
        <v>200000</v>
      </c>
      <c r="J55" s="539">
        <v>596000</v>
      </c>
      <c r="K55" s="539">
        <v>596000</v>
      </c>
      <c r="L55" s="539">
        <v>125400</v>
      </c>
    </row>
    <row r="56" spans="1:12" ht="12.75" customHeight="1">
      <c r="A56" s="538" t="s">
        <v>111</v>
      </c>
      <c r="B56" s="144"/>
      <c r="C56" s="17" t="s">
        <v>15</v>
      </c>
      <c r="D56" s="142"/>
      <c r="E56" s="539"/>
      <c r="F56" s="539"/>
      <c r="G56" s="539"/>
      <c r="H56" s="539"/>
      <c r="I56" s="539"/>
      <c r="J56" s="539"/>
      <c r="K56" s="539"/>
      <c r="L56" s="539">
        <v>35610</v>
      </c>
    </row>
    <row r="57" spans="1:12" ht="12.75" customHeight="1">
      <c r="A57" s="536" t="s">
        <v>113</v>
      </c>
      <c r="B57" s="141" t="s">
        <v>188</v>
      </c>
      <c r="C57" s="9" t="s">
        <v>348</v>
      </c>
      <c r="D57" s="142">
        <v>3</v>
      </c>
      <c r="E57" s="537">
        <f aca="true" t="shared" si="11" ref="E57:J57">SUM(E58:E61)</f>
        <v>9641130</v>
      </c>
      <c r="F57" s="537">
        <f t="shared" si="11"/>
        <v>9517000</v>
      </c>
      <c r="G57" s="537">
        <f t="shared" si="11"/>
        <v>10348777</v>
      </c>
      <c r="H57" s="537">
        <f t="shared" si="11"/>
        <v>10378018</v>
      </c>
      <c r="I57" s="537">
        <f t="shared" si="11"/>
        <v>10412197</v>
      </c>
      <c r="J57" s="537">
        <f t="shared" si="11"/>
        <v>10447755</v>
      </c>
      <c r="K57" s="537">
        <f>SUM(K58:K61)</f>
        <v>10474523</v>
      </c>
      <c r="L57" s="1462">
        <f>SUM(L58:L61)</f>
        <v>11130237</v>
      </c>
    </row>
    <row r="58" spans="1:12" ht="12.75" customHeight="1">
      <c r="A58" s="538" t="s">
        <v>115</v>
      </c>
      <c r="B58" s="144"/>
      <c r="C58" s="17" t="s">
        <v>253</v>
      </c>
      <c r="D58" s="142"/>
      <c r="E58" s="539">
        <v>7175877</v>
      </c>
      <c r="F58" s="539">
        <v>7513808</v>
      </c>
      <c r="G58" s="539">
        <v>8209856</v>
      </c>
      <c r="H58" s="539">
        <v>8234325</v>
      </c>
      <c r="I58" s="539">
        <v>8262927</v>
      </c>
      <c r="J58" s="539">
        <v>8295327</v>
      </c>
      <c r="K58" s="539">
        <v>8317727</v>
      </c>
      <c r="L58" s="539">
        <v>8026312</v>
      </c>
    </row>
    <row r="59" spans="1:12" ht="12.75" customHeight="1">
      <c r="A59" s="538" t="s">
        <v>117</v>
      </c>
      <c r="B59" s="144"/>
      <c r="C59" s="17" t="s">
        <v>254</v>
      </c>
      <c r="D59" s="145"/>
      <c r="E59" s="539">
        <v>1647249</v>
      </c>
      <c r="F59" s="539">
        <v>1465192</v>
      </c>
      <c r="G59" s="539">
        <v>1600921</v>
      </c>
      <c r="H59" s="539">
        <v>1605693</v>
      </c>
      <c r="I59" s="539">
        <v>1611270</v>
      </c>
      <c r="J59" s="539">
        <v>1614428</v>
      </c>
      <c r="K59" s="539">
        <v>1618796</v>
      </c>
      <c r="L59" s="539">
        <v>1652869</v>
      </c>
    </row>
    <row r="60" spans="1:12" ht="12.75" customHeight="1">
      <c r="A60" s="538" t="s">
        <v>118</v>
      </c>
      <c r="B60" s="144"/>
      <c r="C60" s="17" t="s">
        <v>664</v>
      </c>
      <c r="D60" s="145"/>
      <c r="E60" s="539">
        <v>818004</v>
      </c>
      <c r="F60" s="539">
        <v>538000</v>
      </c>
      <c r="G60" s="539">
        <v>538000</v>
      </c>
      <c r="H60" s="539">
        <v>538000</v>
      </c>
      <c r="I60" s="539">
        <v>538000</v>
      </c>
      <c r="J60" s="539">
        <v>538000</v>
      </c>
      <c r="K60" s="539">
        <v>538000</v>
      </c>
      <c r="L60" s="539">
        <v>1093215</v>
      </c>
    </row>
    <row r="61" spans="1:12" ht="12.75" customHeight="1">
      <c r="A61" s="538" t="s">
        <v>120</v>
      </c>
      <c r="B61" s="144"/>
      <c r="C61" s="17" t="s">
        <v>15</v>
      </c>
      <c r="D61" s="145"/>
      <c r="E61" s="539">
        <v>0</v>
      </c>
      <c r="F61" s="539">
        <v>0</v>
      </c>
      <c r="G61" s="539">
        <v>0</v>
      </c>
      <c r="H61" s="539">
        <v>0</v>
      </c>
      <c r="I61" s="539">
        <v>0</v>
      </c>
      <c r="J61" s="539">
        <v>0</v>
      </c>
      <c r="K61" s="539">
        <v>0</v>
      </c>
      <c r="L61" s="539">
        <v>357841</v>
      </c>
    </row>
    <row r="62" spans="1:12" ht="12.75" customHeight="1">
      <c r="A62" s="536" t="s">
        <v>122</v>
      </c>
      <c r="B62" s="141" t="s">
        <v>191</v>
      </c>
      <c r="C62" s="9" t="s">
        <v>354</v>
      </c>
      <c r="D62" s="142">
        <v>0</v>
      </c>
      <c r="E62" s="537">
        <f>SUM(E65:E66)</f>
        <v>5957733</v>
      </c>
      <c r="F62" s="537">
        <f aca="true" t="shared" si="12" ref="F62:K62">SUM(F63:F66)</f>
        <v>5353556</v>
      </c>
      <c r="G62" s="537">
        <f t="shared" si="12"/>
        <v>5638556</v>
      </c>
      <c r="H62" s="537">
        <f t="shared" si="12"/>
        <v>5638556</v>
      </c>
      <c r="I62" s="537">
        <f t="shared" si="12"/>
        <v>5638556</v>
      </c>
      <c r="J62" s="537">
        <f t="shared" si="12"/>
        <v>5638556</v>
      </c>
      <c r="K62" s="537">
        <f t="shared" si="12"/>
        <v>4804201</v>
      </c>
      <c r="L62" s="1462">
        <f>SUM(L63:L66)</f>
        <v>4512397</v>
      </c>
    </row>
    <row r="63" spans="1:12" ht="12.75" customHeight="1">
      <c r="A63" s="538" t="s">
        <v>124</v>
      </c>
      <c r="B63" s="144"/>
      <c r="C63" s="17" t="s">
        <v>514</v>
      </c>
      <c r="D63" s="145"/>
      <c r="E63" s="539"/>
      <c r="F63" s="539">
        <v>295863</v>
      </c>
      <c r="G63" s="539">
        <v>295863</v>
      </c>
      <c r="H63" s="539">
        <v>295863</v>
      </c>
      <c r="I63" s="539">
        <v>295863</v>
      </c>
      <c r="J63" s="539">
        <v>295863</v>
      </c>
      <c r="K63" s="539">
        <v>295863</v>
      </c>
      <c r="L63" s="539"/>
    </row>
    <row r="64" spans="1:12" ht="12.75" customHeight="1">
      <c r="A64" s="538" t="s">
        <v>126</v>
      </c>
      <c r="B64" s="144"/>
      <c r="C64" s="17" t="s">
        <v>515</v>
      </c>
      <c r="D64" s="145"/>
      <c r="E64" s="539"/>
      <c r="F64" s="539">
        <v>57693</v>
      </c>
      <c r="G64" s="539">
        <v>57693</v>
      </c>
      <c r="H64" s="539">
        <v>57693</v>
      </c>
      <c r="I64" s="539">
        <v>57693</v>
      </c>
      <c r="J64" s="539">
        <v>57693</v>
      </c>
      <c r="K64" s="539">
        <v>57693</v>
      </c>
      <c r="L64" s="539">
        <v>0</v>
      </c>
    </row>
    <row r="65" spans="1:12" ht="12.75" customHeight="1">
      <c r="A65" s="538" t="s">
        <v>128</v>
      </c>
      <c r="B65" s="144"/>
      <c r="C65" s="17" t="s">
        <v>470</v>
      </c>
      <c r="D65" s="145"/>
      <c r="E65" s="539">
        <v>5063145</v>
      </c>
      <c r="F65" s="539">
        <v>4500000</v>
      </c>
      <c r="G65" s="539">
        <v>4785000</v>
      </c>
      <c r="H65" s="539">
        <v>4785000</v>
      </c>
      <c r="I65" s="539">
        <v>4785000</v>
      </c>
      <c r="J65" s="539">
        <v>4785000</v>
      </c>
      <c r="K65" s="539">
        <v>3633384</v>
      </c>
      <c r="L65" s="539">
        <v>4088587</v>
      </c>
    </row>
    <row r="66" spans="1:12" ht="12.75" customHeight="1" thickBot="1">
      <c r="A66" s="538" t="s">
        <v>130</v>
      </c>
      <c r="B66" s="231"/>
      <c r="C66" s="161" t="s">
        <v>15</v>
      </c>
      <c r="D66" s="185"/>
      <c r="E66" s="541">
        <v>894588</v>
      </c>
      <c r="F66" s="541">
        <v>500000</v>
      </c>
      <c r="G66" s="541">
        <v>500000</v>
      </c>
      <c r="H66" s="541">
        <v>500000</v>
      </c>
      <c r="I66" s="541">
        <v>500000</v>
      </c>
      <c r="J66" s="541">
        <v>500000</v>
      </c>
      <c r="K66" s="541">
        <v>817261</v>
      </c>
      <c r="L66" s="541">
        <v>423810</v>
      </c>
    </row>
    <row r="67" spans="1:61" s="532" customFormat="1" ht="24" customHeight="1" thickBot="1">
      <c r="A67" s="544" t="s">
        <v>131</v>
      </c>
      <c r="B67" s="76" t="s">
        <v>193</v>
      </c>
      <c r="C67" s="77" t="s">
        <v>516</v>
      </c>
      <c r="D67" s="530">
        <v>24</v>
      </c>
      <c r="E67" s="545">
        <f aca="true" t="shared" si="13" ref="E67:J67">SUM(E31+E35+E43+E52+E57+E62)+E48+E39</f>
        <v>117803298</v>
      </c>
      <c r="F67" s="545">
        <f t="shared" si="13"/>
        <v>115839992</v>
      </c>
      <c r="G67" s="545">
        <f t="shared" si="13"/>
        <v>117006769</v>
      </c>
      <c r="H67" s="545">
        <f t="shared" si="13"/>
        <v>117036010</v>
      </c>
      <c r="I67" s="545">
        <f t="shared" si="13"/>
        <v>117070189</v>
      </c>
      <c r="J67" s="545">
        <f t="shared" si="13"/>
        <v>118209957</v>
      </c>
      <c r="K67" s="545">
        <f>SUM(K31+K35+K43+K52+K57+K62)+K48+K39</f>
        <v>117182205</v>
      </c>
      <c r="L67" s="545">
        <f>SUM(L31+L35+L43+L52+L57+L62)+L48+L39</f>
        <v>117182205</v>
      </c>
      <c r="M67" s="531"/>
      <c r="N67" s="531"/>
      <c r="O67" s="531"/>
      <c r="P67" s="531"/>
      <c r="Q67" s="531"/>
      <c r="R67" s="531"/>
      <c r="S67" s="531"/>
      <c r="T67" s="531"/>
      <c r="U67" s="531"/>
      <c r="V67" s="531"/>
      <c r="W67" s="531"/>
      <c r="X67" s="531"/>
      <c r="Y67" s="531"/>
      <c r="Z67" s="531"/>
      <c r="AA67" s="531"/>
      <c r="AB67" s="531"/>
      <c r="AC67" s="531"/>
      <c r="AD67" s="531"/>
      <c r="AE67" s="531"/>
      <c r="AF67" s="531"/>
      <c r="AG67" s="531"/>
      <c r="AH67" s="531"/>
      <c r="AI67" s="531"/>
      <c r="AJ67" s="531"/>
      <c r="AK67" s="531"/>
      <c r="AL67" s="531"/>
      <c r="AM67" s="531"/>
      <c r="AN67" s="531"/>
      <c r="AO67" s="531"/>
      <c r="AP67" s="531"/>
      <c r="AQ67" s="531"/>
      <c r="AR67" s="531"/>
      <c r="AS67" s="531"/>
      <c r="AT67" s="531"/>
      <c r="AU67" s="531"/>
      <c r="AV67" s="531"/>
      <c r="AW67" s="531"/>
      <c r="AX67" s="531"/>
      <c r="AY67" s="531"/>
      <c r="AZ67" s="531"/>
      <c r="BA67" s="531"/>
      <c r="BB67" s="531"/>
      <c r="BC67" s="531"/>
      <c r="BD67" s="531"/>
      <c r="BE67" s="531"/>
      <c r="BF67" s="531"/>
      <c r="BG67" s="531"/>
      <c r="BH67" s="531"/>
      <c r="BI67" s="531"/>
    </row>
    <row r="68" spans="1:61" s="6" customFormat="1" ht="12.75" customHeight="1">
      <c r="A68" s="538" t="s">
        <v>133</v>
      </c>
      <c r="B68" s="232"/>
      <c r="C68" s="233" t="s">
        <v>253</v>
      </c>
      <c r="D68" s="234"/>
      <c r="E68" s="235">
        <f>SUM(E32+E36+E44+E53+E58)+E49</f>
        <v>75126605</v>
      </c>
      <c r="F68" s="235">
        <f aca="true" t="shared" si="14" ref="F68:K68">SUM(F32+F36+F44+F53+F58)+F49+F63</f>
        <v>75991799</v>
      </c>
      <c r="G68" s="235">
        <f t="shared" si="14"/>
        <v>76687847</v>
      </c>
      <c r="H68" s="235">
        <f t="shared" si="14"/>
        <v>76712316</v>
      </c>
      <c r="I68" s="235">
        <f t="shared" si="14"/>
        <v>76740918</v>
      </c>
      <c r="J68" s="235">
        <f t="shared" si="14"/>
        <v>77363318</v>
      </c>
      <c r="K68" s="235">
        <f t="shared" si="14"/>
        <v>71870371</v>
      </c>
      <c r="L68" s="235">
        <f>SUM(L32+L36+L44+L53+L58)+L49+L63</f>
        <v>71870371</v>
      </c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</row>
    <row r="69" spans="1:61" s="6" customFormat="1" ht="12.75" customHeight="1">
      <c r="A69" s="538" t="s">
        <v>135</v>
      </c>
      <c r="B69" s="198"/>
      <c r="C69" s="200" t="s">
        <v>254</v>
      </c>
      <c r="D69" s="236"/>
      <c r="E69" s="87">
        <f>SUM(E33+E45+E54+E59)+E37+E50</f>
        <v>17578583</v>
      </c>
      <c r="F69" s="87">
        <f aca="true" t="shared" si="15" ref="F69:K69">SUM(F33+F45+F54+F59)+F37+F50+F64</f>
        <v>15160193</v>
      </c>
      <c r="G69" s="87">
        <f t="shared" si="15"/>
        <v>15295922</v>
      </c>
      <c r="H69" s="87">
        <f t="shared" si="15"/>
        <v>15300694</v>
      </c>
      <c r="I69" s="87">
        <f t="shared" si="15"/>
        <v>15306271</v>
      </c>
      <c r="J69" s="87">
        <f t="shared" si="15"/>
        <v>15427639</v>
      </c>
      <c r="K69" s="87">
        <f t="shared" si="15"/>
        <v>20607189</v>
      </c>
      <c r="L69" s="87">
        <f>SUM(L33+L45+L54+L59)+L37+L50+L64</f>
        <v>20607189</v>
      </c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</row>
    <row r="70" spans="1:61" s="6" customFormat="1" ht="12.75" customHeight="1">
      <c r="A70" s="538" t="s">
        <v>137</v>
      </c>
      <c r="B70" s="198"/>
      <c r="C70" s="200" t="s">
        <v>255</v>
      </c>
      <c r="D70" s="236"/>
      <c r="E70" s="540">
        <f aca="true" t="shared" si="16" ref="E70:J70">SUM(E34+E38+E46+E55+E60+E65)</f>
        <v>24182720</v>
      </c>
      <c r="F70" s="540">
        <f t="shared" si="16"/>
        <v>24188000</v>
      </c>
      <c r="G70" s="540">
        <f t="shared" si="16"/>
        <v>24523000</v>
      </c>
      <c r="H70" s="540">
        <f t="shared" si="16"/>
        <v>24523000</v>
      </c>
      <c r="I70" s="540">
        <f t="shared" si="16"/>
        <v>24523000</v>
      </c>
      <c r="J70" s="540">
        <f t="shared" si="16"/>
        <v>24919000</v>
      </c>
      <c r="K70" s="540">
        <f>SUM(K34+K38+K46+K55+K60+K65)</f>
        <v>23887384</v>
      </c>
      <c r="L70" s="540">
        <f>SUM(L34+L38+L46+L55+L60+L65)+L42</f>
        <v>23887384</v>
      </c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</row>
    <row r="71" spans="1:61" s="6" customFormat="1" ht="18.75" customHeight="1">
      <c r="A71" s="994" t="s">
        <v>139</v>
      </c>
      <c r="B71" s="995"/>
      <c r="C71" s="996" t="s">
        <v>15</v>
      </c>
      <c r="D71" s="997"/>
      <c r="E71" s="998">
        <f aca="true" t="shared" si="17" ref="E71:J71">SUM(E61+E66)+E47</f>
        <v>894588</v>
      </c>
      <c r="F71" s="998">
        <f t="shared" si="17"/>
        <v>500000</v>
      </c>
      <c r="G71" s="998">
        <f t="shared" si="17"/>
        <v>500000</v>
      </c>
      <c r="H71" s="998">
        <f t="shared" si="17"/>
        <v>500000</v>
      </c>
      <c r="I71" s="998">
        <f t="shared" si="17"/>
        <v>500000</v>
      </c>
      <c r="J71" s="998">
        <f t="shared" si="17"/>
        <v>500000</v>
      </c>
      <c r="K71" s="998">
        <f>SUM(K61+K66)+K47</f>
        <v>817261</v>
      </c>
      <c r="L71" s="998">
        <f>SUM(L61+L66)+L47+L56</f>
        <v>817261</v>
      </c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</row>
    <row r="72" spans="1:12" s="1005" customFormat="1" ht="12.75" customHeight="1">
      <c r="A72" s="1001" t="s">
        <v>141</v>
      </c>
      <c r="B72" s="1001"/>
      <c r="C72" s="1002" t="s">
        <v>822</v>
      </c>
      <c r="D72" s="1003"/>
      <c r="E72" s="1004">
        <v>894588</v>
      </c>
      <c r="F72" s="1004">
        <v>500000</v>
      </c>
      <c r="G72" s="1004">
        <v>500000</v>
      </c>
      <c r="H72" s="1004">
        <v>500000</v>
      </c>
      <c r="I72" s="1004">
        <v>500000</v>
      </c>
      <c r="J72" s="1004">
        <v>500000</v>
      </c>
      <c r="K72" s="1004">
        <v>817261</v>
      </c>
      <c r="L72" s="1004">
        <v>817261</v>
      </c>
    </row>
    <row r="73" spans="1:12" s="666" customFormat="1" ht="12.75" customHeight="1">
      <c r="A73" s="960" t="s">
        <v>143</v>
      </c>
      <c r="B73" s="960"/>
      <c r="C73" s="960" t="s">
        <v>823</v>
      </c>
      <c r="D73" s="960"/>
      <c r="E73" s="1006"/>
      <c r="F73" s="1006"/>
      <c r="G73" s="1006"/>
      <c r="H73" s="1006"/>
      <c r="I73" s="1006"/>
      <c r="J73" s="1006"/>
      <c r="K73" s="1006"/>
      <c r="L73" s="1006"/>
    </row>
  </sheetData>
  <sheetProtection selectLockedCells="1" selectUnlockedCells="1"/>
  <mergeCells count="42">
    <mergeCell ref="F3:I3"/>
    <mergeCell ref="C9:D9"/>
    <mergeCell ref="C10:D10"/>
    <mergeCell ref="A7:B8"/>
    <mergeCell ref="A9:B9"/>
    <mergeCell ref="A10:B10"/>
    <mergeCell ref="A12:B12"/>
    <mergeCell ref="C11:D11"/>
    <mergeCell ref="A29:B30"/>
    <mergeCell ref="A23:B23"/>
    <mergeCell ref="A24:B24"/>
    <mergeCell ref="A25:B25"/>
    <mergeCell ref="A26:B26"/>
    <mergeCell ref="A15:B15"/>
    <mergeCell ref="A16:B16"/>
    <mergeCell ref="C19:D19"/>
    <mergeCell ref="C22:D22"/>
    <mergeCell ref="C20:D20"/>
    <mergeCell ref="A18:B18"/>
    <mergeCell ref="A13:B13"/>
    <mergeCell ref="A11:B11"/>
    <mergeCell ref="C13:D13"/>
    <mergeCell ref="C15:D15"/>
    <mergeCell ref="C26:D26"/>
    <mergeCell ref="A27:B27"/>
    <mergeCell ref="C24:D24"/>
    <mergeCell ref="C23:D23"/>
    <mergeCell ref="C27:D27"/>
    <mergeCell ref="C25:D25"/>
    <mergeCell ref="A17:B17"/>
    <mergeCell ref="A20:B20"/>
    <mergeCell ref="A22:B22"/>
    <mergeCell ref="A2:L2"/>
    <mergeCell ref="A1:L1"/>
    <mergeCell ref="A4:L4"/>
    <mergeCell ref="C21:D21"/>
    <mergeCell ref="A19:B19"/>
    <mergeCell ref="A21:B21"/>
    <mergeCell ref="C18:D18"/>
    <mergeCell ref="C12:D12"/>
    <mergeCell ref="C14:D14"/>
    <mergeCell ref="A14:B14"/>
  </mergeCells>
  <printOptions horizontalCentered="1"/>
  <pageMargins left="0.2362204724409449" right="0.11811023622047245" top="0.984251968503937" bottom="0.984251968503937" header="0.5118110236220472" footer="0.5118110236220472"/>
  <pageSetup fitToWidth="0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L49"/>
  <sheetViews>
    <sheetView view="pageBreakPreview" zoomScaleSheetLayoutView="100" zoomScalePageLayoutView="0" workbookViewId="0" topLeftCell="A1">
      <selection activeCell="J3" sqref="J3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5" width="17.7109375" style="52" customWidth="1"/>
    <col min="6" max="12" width="17.421875" style="52" customWidth="1"/>
  </cols>
  <sheetData>
    <row r="1" spans="1:10" s="222" customFormat="1" ht="18" customHeight="1">
      <c r="A1" s="1702" t="s">
        <v>517</v>
      </c>
      <c r="B1" s="1702"/>
      <c r="C1" s="1702"/>
      <c r="D1" s="1702"/>
      <c r="E1" s="1702"/>
      <c r="F1" s="1702"/>
      <c r="G1" s="1702"/>
      <c r="H1" s="1702"/>
      <c r="I1" s="1702"/>
      <c r="J1" s="1702"/>
    </row>
    <row r="2" spans="1:12" ht="15" customHeight="1">
      <c r="A2" s="1674" t="s">
        <v>1226</v>
      </c>
      <c r="B2" s="1674"/>
      <c r="C2" s="1674"/>
      <c r="D2" s="1674"/>
      <c r="E2" s="1674"/>
      <c r="F2" s="1674"/>
      <c r="G2" s="1674"/>
      <c r="H2" s="1674"/>
      <c r="I2" s="1674"/>
      <c r="J2" s="1674"/>
      <c r="K2" s="1674"/>
      <c r="L2" s="1674"/>
    </row>
    <row r="3" spans="3:12" ht="12.75" customHeight="1">
      <c r="C3" s="1"/>
      <c r="D3" s="1"/>
      <c r="E3" s="237"/>
      <c r="F3" s="1934" t="s">
        <v>1227</v>
      </c>
      <c r="G3" s="1934"/>
      <c r="H3" s="1934"/>
      <c r="I3" s="237"/>
      <c r="J3" s="1500" t="s">
        <v>1234</v>
      </c>
      <c r="K3" s="237"/>
      <c r="L3" s="237"/>
    </row>
    <row r="4" spans="1:12" ht="21" customHeight="1">
      <c r="A4" s="1675" t="s">
        <v>829</v>
      </c>
      <c r="B4" s="1675"/>
      <c r="C4" s="1675"/>
      <c r="D4" s="1675"/>
      <c r="E4" s="1675"/>
      <c r="F4" s="1675"/>
      <c r="G4" s="1675"/>
      <c r="H4" s="1675"/>
      <c r="I4" s="1675"/>
      <c r="J4" s="1675"/>
      <c r="K4" s="1675"/>
      <c r="L4" s="1675"/>
    </row>
    <row r="5" spans="3:4" ht="21" customHeight="1">
      <c r="C5" s="238"/>
      <c r="D5" s="238"/>
    </row>
    <row r="6" spans="5:12" ht="12.75" customHeight="1" thickBot="1">
      <c r="E6" s="197"/>
      <c r="F6" s="197"/>
      <c r="G6" s="197"/>
      <c r="H6" s="197"/>
      <c r="I6" s="197"/>
      <c r="J6" s="197"/>
      <c r="K6" s="197"/>
      <c r="L6" s="197" t="s">
        <v>216</v>
      </c>
    </row>
    <row r="7" spans="1:12" ht="38.25" customHeight="1">
      <c r="A7" s="1705" t="s">
        <v>156</v>
      </c>
      <c r="B7" s="1706"/>
      <c r="C7" s="1707" t="s">
        <v>157</v>
      </c>
      <c r="D7" s="1708"/>
      <c r="E7" s="1318" t="s">
        <v>158</v>
      </c>
      <c r="F7" s="1318" t="s">
        <v>1002</v>
      </c>
      <c r="G7" s="1318" t="s">
        <v>1071</v>
      </c>
      <c r="H7" s="1318" t="s">
        <v>1131</v>
      </c>
      <c r="I7" s="721" t="s">
        <v>1141</v>
      </c>
      <c r="J7" s="721" t="s">
        <v>1148</v>
      </c>
      <c r="K7" s="721" t="s">
        <v>1158</v>
      </c>
      <c r="L7" s="721" t="s">
        <v>1181</v>
      </c>
    </row>
    <row r="8" spans="1:12" ht="12.75" customHeight="1" thickBot="1">
      <c r="A8" s="1693" t="s">
        <v>159</v>
      </c>
      <c r="B8" s="1694"/>
      <c r="C8" s="1685" t="s">
        <v>160</v>
      </c>
      <c r="D8" s="1686"/>
      <c r="E8" s="1320" t="s">
        <v>161</v>
      </c>
      <c r="F8" s="1320" t="s">
        <v>162</v>
      </c>
      <c r="G8" s="1320" t="s">
        <v>479</v>
      </c>
      <c r="H8" s="1320" t="s">
        <v>499</v>
      </c>
      <c r="I8" s="722" t="s">
        <v>745</v>
      </c>
      <c r="J8" s="722" t="s">
        <v>826</v>
      </c>
      <c r="K8" s="722" t="s">
        <v>830</v>
      </c>
      <c r="L8" s="722" t="s">
        <v>987</v>
      </c>
    </row>
    <row r="9" spans="1:12" s="10" customFormat="1" ht="12.75" customHeight="1">
      <c r="A9" s="1644" t="s">
        <v>38</v>
      </c>
      <c r="B9" s="1695"/>
      <c r="C9" s="1684" t="s">
        <v>78</v>
      </c>
      <c r="D9" s="1648"/>
      <c r="E9" s="549">
        <f aca="true" t="shared" si="0" ref="E9:J9">SUM(E10:E12)</f>
        <v>508048</v>
      </c>
      <c r="F9" s="549">
        <f t="shared" si="0"/>
        <v>500000</v>
      </c>
      <c r="G9" s="549">
        <f t="shared" si="0"/>
        <v>500000</v>
      </c>
      <c r="H9" s="549">
        <f t="shared" si="0"/>
        <v>500000</v>
      </c>
      <c r="I9" s="550">
        <f t="shared" si="0"/>
        <v>500000</v>
      </c>
      <c r="J9" s="550">
        <f t="shared" si="0"/>
        <v>500010</v>
      </c>
      <c r="K9" s="550">
        <f>SUM(K10:K12)</f>
        <v>617003</v>
      </c>
      <c r="L9" s="550">
        <f>SUM(L10:L12)</f>
        <v>617003</v>
      </c>
    </row>
    <row r="10" spans="1:12" s="366" customFormat="1" ht="12.75" customHeight="1">
      <c r="A10" s="1633" t="s">
        <v>40</v>
      </c>
      <c r="B10" s="1711"/>
      <c r="C10" s="1673" t="s">
        <v>671</v>
      </c>
      <c r="D10" s="1653"/>
      <c r="E10" s="518">
        <v>507000</v>
      </c>
      <c r="F10" s="518">
        <v>500000</v>
      </c>
      <c r="G10" s="518">
        <v>500000</v>
      </c>
      <c r="H10" s="518">
        <v>500000</v>
      </c>
      <c r="I10" s="526">
        <v>500000</v>
      </c>
      <c r="J10" s="526">
        <v>500000</v>
      </c>
      <c r="K10" s="526">
        <v>617000</v>
      </c>
      <c r="L10" s="526">
        <v>617000</v>
      </c>
    </row>
    <row r="11" spans="1:12" s="366" customFormat="1" ht="12.75" customHeight="1">
      <c r="A11" s="1633" t="s">
        <v>47</v>
      </c>
      <c r="B11" s="1711"/>
      <c r="C11" s="1673" t="s">
        <v>827</v>
      </c>
      <c r="D11" s="1653"/>
      <c r="E11" s="518">
        <v>3</v>
      </c>
      <c r="F11" s="518">
        <v>0</v>
      </c>
      <c r="G11" s="518">
        <v>0</v>
      </c>
      <c r="H11" s="518">
        <v>0</v>
      </c>
      <c r="I11" s="526">
        <v>0</v>
      </c>
      <c r="J11" s="526">
        <v>0</v>
      </c>
      <c r="K11" s="526">
        <v>0</v>
      </c>
      <c r="L11" s="526">
        <v>0</v>
      </c>
    </row>
    <row r="12" spans="1:12" s="366" customFormat="1" ht="12.75" customHeight="1">
      <c r="A12" s="1633" t="s">
        <v>49</v>
      </c>
      <c r="B12" s="1711"/>
      <c r="C12" s="1673" t="s">
        <v>828</v>
      </c>
      <c r="D12" s="1653"/>
      <c r="E12" s="518">
        <v>1045</v>
      </c>
      <c r="F12" s="518">
        <v>0</v>
      </c>
      <c r="G12" s="518">
        <v>0</v>
      </c>
      <c r="H12" s="518">
        <v>0</v>
      </c>
      <c r="I12" s="526">
        <v>0</v>
      </c>
      <c r="J12" s="526">
        <v>10</v>
      </c>
      <c r="K12" s="526">
        <v>3</v>
      </c>
      <c r="L12" s="526">
        <v>3</v>
      </c>
    </row>
    <row r="13" spans="1:12" ht="19.5" customHeight="1" thickBot="1">
      <c r="A13" s="1696" t="s">
        <v>51</v>
      </c>
      <c r="B13" s="1697"/>
      <c r="C13" s="1676" t="s">
        <v>505</v>
      </c>
      <c r="D13" s="1677"/>
      <c r="E13" s="1321">
        <f aca="true" t="shared" si="1" ref="E13:J13">SUM(E9)</f>
        <v>508048</v>
      </c>
      <c r="F13" s="1321">
        <f t="shared" si="1"/>
        <v>500000</v>
      </c>
      <c r="G13" s="1321">
        <f t="shared" si="1"/>
        <v>500000</v>
      </c>
      <c r="H13" s="1321">
        <f t="shared" si="1"/>
        <v>500000</v>
      </c>
      <c r="I13" s="1322">
        <f t="shared" si="1"/>
        <v>500000</v>
      </c>
      <c r="J13" s="1322">
        <f t="shared" si="1"/>
        <v>500010</v>
      </c>
      <c r="K13" s="1322">
        <f>SUM(K9)</f>
        <v>617003</v>
      </c>
      <c r="L13" s="1322">
        <f>SUM(L9)</f>
        <v>617003</v>
      </c>
    </row>
    <row r="14" spans="1:12" ht="12.75" customHeight="1">
      <c r="A14" s="1698" t="s">
        <v>53</v>
      </c>
      <c r="B14" s="1699"/>
      <c r="C14" s="1678" t="s">
        <v>518</v>
      </c>
      <c r="D14" s="1679"/>
      <c r="E14" s="1324">
        <f aca="true" t="shared" si="2" ref="E14:J14">SUM(E15:E16)</f>
        <v>14383753</v>
      </c>
      <c r="F14" s="1324">
        <f t="shared" si="2"/>
        <v>16055226</v>
      </c>
      <c r="G14" s="1324">
        <f t="shared" si="2"/>
        <v>16055226</v>
      </c>
      <c r="H14" s="1324">
        <f t="shared" si="2"/>
        <v>16228707</v>
      </c>
      <c r="I14" s="1325">
        <f t="shared" si="2"/>
        <v>16296323</v>
      </c>
      <c r="J14" s="1325">
        <f t="shared" si="2"/>
        <v>16443788</v>
      </c>
      <c r="K14" s="1325">
        <f>SUM(K15:K16)</f>
        <v>13534469</v>
      </c>
      <c r="L14" s="1325">
        <f>SUM(L15:L16)</f>
        <v>13534469</v>
      </c>
    </row>
    <row r="15" spans="1:12" ht="12.75" customHeight="1">
      <c r="A15" s="1700" t="s">
        <v>55</v>
      </c>
      <c r="B15" s="1701"/>
      <c r="C15" s="1680" t="s">
        <v>507</v>
      </c>
      <c r="D15" s="1681"/>
      <c r="E15" s="1323">
        <v>4746312</v>
      </c>
      <c r="F15" s="1323">
        <v>4261620</v>
      </c>
      <c r="G15" s="1323">
        <v>4261620</v>
      </c>
      <c r="H15" s="1323">
        <v>4435101</v>
      </c>
      <c r="I15" s="563">
        <v>4502717</v>
      </c>
      <c r="J15" s="563">
        <v>4650182</v>
      </c>
      <c r="K15" s="563">
        <v>4723912</v>
      </c>
      <c r="L15" s="563">
        <v>4723912</v>
      </c>
    </row>
    <row r="16" spans="1:12" ht="12.75" customHeight="1">
      <c r="A16" s="1709" t="s">
        <v>57</v>
      </c>
      <c r="B16" s="1710"/>
      <c r="C16" s="1680" t="s">
        <v>508</v>
      </c>
      <c r="D16" s="1681"/>
      <c r="E16" s="1323">
        <v>9637441</v>
      </c>
      <c r="F16" s="1323">
        <v>11793606</v>
      </c>
      <c r="G16" s="1323">
        <v>11793606</v>
      </c>
      <c r="H16" s="1323">
        <v>11793606</v>
      </c>
      <c r="I16" s="563">
        <v>11793606</v>
      </c>
      <c r="J16" s="563">
        <v>11793606</v>
      </c>
      <c r="K16" s="563">
        <v>8810557</v>
      </c>
      <c r="L16" s="563">
        <v>8810557</v>
      </c>
    </row>
    <row r="17" spans="1:12" ht="12.75" customHeight="1" thickBot="1">
      <c r="A17" s="1712" t="s">
        <v>86</v>
      </c>
      <c r="B17" s="1713"/>
      <c r="C17" s="1714" t="s">
        <v>237</v>
      </c>
      <c r="D17" s="1715"/>
      <c r="E17" s="1326">
        <v>325007</v>
      </c>
      <c r="F17" s="1326">
        <v>174226</v>
      </c>
      <c r="G17" s="1326">
        <v>174226</v>
      </c>
      <c r="H17" s="1326">
        <v>174226</v>
      </c>
      <c r="I17" s="1327">
        <v>174226</v>
      </c>
      <c r="J17" s="1327">
        <v>174226</v>
      </c>
      <c r="K17" s="1327">
        <v>174226</v>
      </c>
      <c r="L17" s="1327">
        <v>174226</v>
      </c>
    </row>
    <row r="18" spans="1:12" ht="18" customHeight="1" thickBot="1">
      <c r="A18" s="1682" t="s">
        <v>59</v>
      </c>
      <c r="B18" s="1683"/>
      <c r="C18" s="1703" t="s">
        <v>519</v>
      </c>
      <c r="D18" s="1704"/>
      <c r="E18" s="1047">
        <f aca="true" t="shared" si="3" ref="E18:J18">SUM(E14+E17)</f>
        <v>14708760</v>
      </c>
      <c r="F18" s="1047">
        <f t="shared" si="3"/>
        <v>16229452</v>
      </c>
      <c r="G18" s="1047">
        <f t="shared" si="3"/>
        <v>16229452</v>
      </c>
      <c r="H18" s="1047">
        <f t="shared" si="3"/>
        <v>16402933</v>
      </c>
      <c r="I18" s="1047">
        <f t="shared" si="3"/>
        <v>16470549</v>
      </c>
      <c r="J18" s="1047">
        <f t="shared" si="3"/>
        <v>16618014</v>
      </c>
      <c r="K18" s="1047">
        <f>SUM(K14+K17)</f>
        <v>13708695</v>
      </c>
      <c r="L18" s="1047">
        <f>SUM(L14+L17)</f>
        <v>13708695</v>
      </c>
    </row>
    <row r="19" spans="1:12" s="434" customFormat="1" ht="16.5" thickBot="1">
      <c r="A19" s="1687" t="s">
        <v>61</v>
      </c>
      <c r="B19" s="1688"/>
      <c r="C19" s="1350" t="s">
        <v>116</v>
      </c>
      <c r="D19" s="556"/>
      <c r="E19" s="557">
        <f aca="true" t="shared" si="4" ref="E19:J19">SUM(E9+E14+E17)</f>
        <v>15216808</v>
      </c>
      <c r="F19" s="557">
        <f t="shared" si="4"/>
        <v>16729452</v>
      </c>
      <c r="G19" s="557">
        <f t="shared" si="4"/>
        <v>16729452</v>
      </c>
      <c r="H19" s="557">
        <f t="shared" si="4"/>
        <v>16902933</v>
      </c>
      <c r="I19" s="557">
        <f t="shared" si="4"/>
        <v>16970549</v>
      </c>
      <c r="J19" s="557">
        <f t="shared" si="4"/>
        <v>17118024</v>
      </c>
      <c r="K19" s="557">
        <f>SUM(K9+K14+K17)</f>
        <v>14325698</v>
      </c>
      <c r="L19" s="557">
        <f>SUM(L9+L14+L17)</f>
        <v>14325698</v>
      </c>
    </row>
    <row r="20" spans="3:12" ht="12.75" customHeight="1" thickBot="1">
      <c r="C20" s="68"/>
      <c r="D20" s="68"/>
      <c r="E20" s="137"/>
      <c r="F20" s="137"/>
      <c r="G20" s="137"/>
      <c r="H20" s="137"/>
      <c r="I20" s="137"/>
      <c r="J20" s="137"/>
      <c r="K20" s="137"/>
      <c r="L20" s="137"/>
    </row>
    <row r="21" spans="1:12" ht="49.5" customHeight="1" thickBot="1">
      <c r="A21" s="1689" t="s">
        <v>156</v>
      </c>
      <c r="B21" s="1690"/>
      <c r="C21" s="1351" t="s">
        <v>119</v>
      </c>
      <c r="D21" s="1330" t="s">
        <v>520</v>
      </c>
      <c r="E21" s="1332" t="s">
        <v>158</v>
      </c>
      <c r="F21" s="1332" t="s">
        <v>1002</v>
      </c>
      <c r="G21" s="1328" t="s">
        <v>1070</v>
      </c>
      <c r="H21" s="555" t="s">
        <v>1131</v>
      </c>
      <c r="I21" s="555" t="s">
        <v>1141</v>
      </c>
      <c r="J21" s="555" t="s">
        <v>1148</v>
      </c>
      <c r="K21" s="555" t="s">
        <v>1158</v>
      </c>
      <c r="L21" s="555" t="s">
        <v>1181</v>
      </c>
    </row>
    <row r="22" spans="1:12" ht="12.75" customHeight="1" thickBot="1">
      <c r="A22" s="1691"/>
      <c r="B22" s="1692"/>
      <c r="C22" s="1352" t="s">
        <v>159</v>
      </c>
      <c r="D22" s="1331" t="s">
        <v>160</v>
      </c>
      <c r="E22" s="1333" t="s">
        <v>161</v>
      </c>
      <c r="F22" s="1333" t="s">
        <v>162</v>
      </c>
      <c r="G22" s="1329" t="s">
        <v>479</v>
      </c>
      <c r="H22" s="450" t="s">
        <v>499</v>
      </c>
      <c r="I22" s="450" t="s">
        <v>745</v>
      </c>
      <c r="J22" s="450" t="s">
        <v>826</v>
      </c>
      <c r="K22" s="450" t="s">
        <v>830</v>
      </c>
      <c r="L22" s="450" t="s">
        <v>987</v>
      </c>
    </row>
    <row r="23" spans="1:12" ht="12.75" customHeight="1">
      <c r="A23" s="565" t="s">
        <v>38</v>
      </c>
      <c r="B23" s="1362" t="s">
        <v>165</v>
      </c>
      <c r="C23" s="1353" t="s">
        <v>370</v>
      </c>
      <c r="D23" s="1342">
        <v>3</v>
      </c>
      <c r="E23" s="1334">
        <f aca="true" t="shared" si="5" ref="E23:J23">SUM(E24+E25+E26+E28)</f>
        <v>14580612</v>
      </c>
      <c r="F23" s="550">
        <f t="shared" si="5"/>
        <v>15729452</v>
      </c>
      <c r="G23" s="550">
        <f t="shared" si="5"/>
        <v>15729452</v>
      </c>
      <c r="H23" s="550">
        <f t="shared" si="5"/>
        <v>15902933</v>
      </c>
      <c r="I23" s="550">
        <f t="shared" si="5"/>
        <v>15970549</v>
      </c>
      <c r="J23" s="550">
        <f t="shared" si="5"/>
        <v>16118024</v>
      </c>
      <c r="K23" s="550">
        <f>SUM(K24+K25+K26+K28)</f>
        <v>14325698</v>
      </c>
      <c r="L23" s="550">
        <f>SUM(L24+L25+L26+L28)</f>
        <v>14084643</v>
      </c>
    </row>
    <row r="24" spans="1:12" ht="12.75" customHeight="1">
      <c r="A24" s="560" t="s">
        <v>40</v>
      </c>
      <c r="B24" s="1363"/>
      <c r="C24" s="1354" t="s">
        <v>253</v>
      </c>
      <c r="D24" s="1343"/>
      <c r="E24" s="1335">
        <v>7581155</v>
      </c>
      <c r="F24" s="561">
        <v>8674148</v>
      </c>
      <c r="G24" s="561">
        <v>8674148</v>
      </c>
      <c r="H24" s="561">
        <v>8819320</v>
      </c>
      <c r="I24" s="561">
        <v>8875902</v>
      </c>
      <c r="J24" s="561">
        <v>8999304</v>
      </c>
      <c r="K24" s="561">
        <v>7693140</v>
      </c>
      <c r="L24" s="561">
        <v>7693140</v>
      </c>
    </row>
    <row r="25" spans="1:12" ht="12.75" customHeight="1">
      <c r="A25" s="560" t="s">
        <v>47</v>
      </c>
      <c r="B25" s="1363"/>
      <c r="C25" s="1354" t="s">
        <v>254</v>
      </c>
      <c r="D25" s="1343"/>
      <c r="E25" s="1335">
        <v>1706240</v>
      </c>
      <c r="F25" s="561">
        <v>1714304</v>
      </c>
      <c r="G25" s="561">
        <v>1714304</v>
      </c>
      <c r="H25" s="561">
        <v>1742613</v>
      </c>
      <c r="I25" s="561">
        <v>1753647</v>
      </c>
      <c r="J25" s="561">
        <v>1777710</v>
      </c>
      <c r="K25" s="561">
        <v>1553272</v>
      </c>
      <c r="L25" s="561">
        <v>1553272</v>
      </c>
    </row>
    <row r="26" spans="1:12" ht="12.75" customHeight="1">
      <c r="A26" s="560" t="s">
        <v>49</v>
      </c>
      <c r="B26" s="1363"/>
      <c r="C26" s="1354" t="s">
        <v>255</v>
      </c>
      <c r="D26" s="1343"/>
      <c r="E26" s="1335">
        <v>4589440</v>
      </c>
      <c r="F26" s="561">
        <v>4841000</v>
      </c>
      <c r="G26" s="561">
        <v>4841000</v>
      </c>
      <c r="H26" s="561">
        <v>4841000</v>
      </c>
      <c r="I26" s="561">
        <v>4841000</v>
      </c>
      <c r="J26" s="561">
        <v>4841010</v>
      </c>
      <c r="K26" s="561">
        <v>5015296</v>
      </c>
      <c r="L26" s="561">
        <v>4774241</v>
      </c>
    </row>
    <row r="27" spans="1:12" s="253" customFormat="1" ht="12.75" customHeight="1">
      <c r="A27" s="562" t="s">
        <v>51</v>
      </c>
      <c r="B27" s="1364"/>
      <c r="C27" s="1355" t="s">
        <v>673</v>
      </c>
      <c r="D27" s="1344"/>
      <c r="E27" s="1336">
        <v>1308800</v>
      </c>
      <c r="F27" s="563">
        <v>1800000</v>
      </c>
      <c r="G27" s="563">
        <v>1800000</v>
      </c>
      <c r="H27" s="563">
        <v>1800000</v>
      </c>
      <c r="I27" s="563">
        <v>1800000</v>
      </c>
      <c r="J27" s="563">
        <v>1800000</v>
      </c>
      <c r="K27" s="1431">
        <v>1424000</v>
      </c>
      <c r="L27" s="1431">
        <v>1424000</v>
      </c>
    </row>
    <row r="28" spans="1:12" ht="12.75" customHeight="1">
      <c r="A28" s="560" t="s">
        <v>53</v>
      </c>
      <c r="B28" s="1363"/>
      <c r="C28" s="1354" t="s">
        <v>252</v>
      </c>
      <c r="D28" s="1343"/>
      <c r="E28" s="1335">
        <v>703777</v>
      </c>
      <c r="F28" s="561">
        <v>500000</v>
      </c>
      <c r="G28" s="561">
        <v>500000</v>
      </c>
      <c r="H28" s="561">
        <v>500000</v>
      </c>
      <c r="I28" s="561">
        <v>500000</v>
      </c>
      <c r="J28" s="561">
        <v>500000</v>
      </c>
      <c r="K28" s="561">
        <v>63990</v>
      </c>
      <c r="L28" s="561">
        <v>63990</v>
      </c>
    </row>
    <row r="29" spans="1:12" ht="12.75" customHeight="1">
      <c r="A29" s="559" t="s">
        <v>55</v>
      </c>
      <c r="B29" s="1365" t="s">
        <v>167</v>
      </c>
      <c r="C29" s="1356" t="s">
        <v>672</v>
      </c>
      <c r="D29" s="1345">
        <v>0</v>
      </c>
      <c r="E29" s="1337">
        <f aca="true" t="shared" si="6" ref="E29:J29">SUM(E30:E32)</f>
        <v>462745</v>
      </c>
      <c r="F29" s="1154">
        <f t="shared" si="6"/>
        <v>0</v>
      </c>
      <c r="G29" s="1154">
        <f t="shared" si="6"/>
        <v>0</v>
      </c>
      <c r="H29" s="1154">
        <f t="shared" si="6"/>
        <v>0</v>
      </c>
      <c r="I29" s="1154">
        <f t="shared" si="6"/>
        <v>0</v>
      </c>
      <c r="J29" s="1154">
        <f t="shared" si="6"/>
        <v>0</v>
      </c>
      <c r="K29" s="1154">
        <f>SUM(K30:K32)</f>
        <v>0</v>
      </c>
      <c r="L29" s="1154">
        <f>SUM(L30:L32)</f>
        <v>0</v>
      </c>
    </row>
    <row r="30" spans="1:12" ht="12.75" customHeight="1">
      <c r="A30" s="560" t="s">
        <v>57</v>
      </c>
      <c r="B30" s="1366"/>
      <c r="C30" s="1357" t="s">
        <v>253</v>
      </c>
      <c r="D30" s="1346"/>
      <c r="E30" s="1338">
        <v>107724</v>
      </c>
      <c r="F30" s="1156"/>
      <c r="G30" s="1156"/>
      <c r="H30" s="1156"/>
      <c r="I30" s="1156"/>
      <c r="J30" s="1156"/>
      <c r="K30" s="1156"/>
      <c r="L30" s="1156"/>
    </row>
    <row r="31" spans="1:12" ht="12.75" customHeight="1">
      <c r="A31" s="560" t="s">
        <v>86</v>
      </c>
      <c r="B31" s="1366"/>
      <c r="C31" s="1357" t="s">
        <v>254</v>
      </c>
      <c r="D31" s="1346"/>
      <c r="E31" s="1338">
        <v>23648</v>
      </c>
      <c r="F31" s="1156"/>
      <c r="G31" s="1156"/>
      <c r="H31" s="1156"/>
      <c r="I31" s="1156"/>
      <c r="J31" s="1156"/>
      <c r="K31" s="1156"/>
      <c r="L31" s="1156"/>
    </row>
    <row r="32" spans="1:12" ht="12.75" customHeight="1">
      <c r="A32" s="560" t="s">
        <v>59</v>
      </c>
      <c r="B32" s="1366"/>
      <c r="C32" s="1357" t="s">
        <v>255</v>
      </c>
      <c r="D32" s="1346"/>
      <c r="E32" s="1338">
        <v>331373</v>
      </c>
      <c r="F32" s="1156"/>
      <c r="G32" s="1156"/>
      <c r="H32" s="1156"/>
      <c r="I32" s="1156"/>
      <c r="J32" s="1156"/>
      <c r="K32" s="1156"/>
      <c r="L32" s="1156"/>
    </row>
    <row r="33" spans="1:12" s="10" customFormat="1" ht="12.75" customHeight="1">
      <c r="A33" s="559" t="s">
        <v>61</v>
      </c>
      <c r="B33" s="1365"/>
      <c r="C33" s="1356" t="s">
        <v>1072</v>
      </c>
      <c r="D33" s="1345"/>
      <c r="E33" s="1337">
        <v>68854</v>
      </c>
      <c r="F33" s="1154"/>
      <c r="G33" s="1154"/>
      <c r="H33" s="1154"/>
      <c r="I33" s="1154"/>
      <c r="J33" s="1154"/>
      <c r="K33" s="1154"/>
      <c r="L33" s="1154"/>
    </row>
    <row r="34" spans="1:12" ht="12.75" customHeight="1">
      <c r="A34" s="560" t="s">
        <v>63</v>
      </c>
      <c r="B34" s="1366"/>
      <c r="C34" s="1357" t="s">
        <v>1073</v>
      </c>
      <c r="D34" s="1346"/>
      <c r="E34" s="1338">
        <v>68854</v>
      </c>
      <c r="F34" s="1156"/>
      <c r="G34" s="1156"/>
      <c r="H34" s="1156"/>
      <c r="I34" s="1156"/>
      <c r="J34" s="1156"/>
      <c r="K34" s="1156"/>
      <c r="L34" s="1156"/>
    </row>
    <row r="35" spans="1:12" s="10" customFormat="1" ht="12.75" customHeight="1">
      <c r="A35" s="564" t="s">
        <v>65</v>
      </c>
      <c r="B35" s="1367" t="s">
        <v>174</v>
      </c>
      <c r="C35" s="1358" t="s">
        <v>521</v>
      </c>
      <c r="D35" s="1347"/>
      <c r="E35" s="1339">
        <f aca="true" t="shared" si="7" ref="E35:J35">SUM(E36:E38)</f>
        <v>0</v>
      </c>
      <c r="F35" s="525">
        <f t="shared" si="7"/>
        <v>700000</v>
      </c>
      <c r="G35" s="525">
        <f t="shared" si="7"/>
        <v>700000</v>
      </c>
      <c r="H35" s="525">
        <f t="shared" si="7"/>
        <v>700000</v>
      </c>
      <c r="I35" s="525">
        <f t="shared" si="7"/>
        <v>700000</v>
      </c>
      <c r="J35" s="525">
        <f t="shared" si="7"/>
        <v>700000</v>
      </c>
      <c r="K35" s="525">
        <f>SUM(K36:K38)</f>
        <v>0</v>
      </c>
      <c r="L35" s="525">
        <f>SUM(L36:L38)</f>
        <v>190991</v>
      </c>
    </row>
    <row r="36" spans="1:12" ht="12.75" customHeight="1">
      <c r="A36" s="560" t="s">
        <v>92</v>
      </c>
      <c r="B36" s="1363"/>
      <c r="C36" s="1354" t="s">
        <v>253</v>
      </c>
      <c r="D36" s="1343"/>
      <c r="E36" s="1335">
        <v>0</v>
      </c>
      <c r="F36" s="561">
        <v>0</v>
      </c>
      <c r="G36" s="561">
        <v>0</v>
      </c>
      <c r="H36" s="561">
        <v>0</v>
      </c>
      <c r="I36" s="561">
        <v>0</v>
      </c>
      <c r="J36" s="561">
        <v>0</v>
      </c>
      <c r="K36" s="561">
        <v>0</v>
      </c>
      <c r="L36" s="561">
        <v>0</v>
      </c>
    </row>
    <row r="37" spans="1:12" ht="12.75" customHeight="1">
      <c r="A37" s="560" t="s">
        <v>66</v>
      </c>
      <c r="B37" s="1363"/>
      <c r="C37" s="1354" t="s">
        <v>254</v>
      </c>
      <c r="D37" s="1343"/>
      <c r="E37" s="1335">
        <v>0</v>
      </c>
      <c r="F37" s="561">
        <v>0</v>
      </c>
      <c r="G37" s="561">
        <v>0</v>
      </c>
      <c r="H37" s="561">
        <v>0</v>
      </c>
      <c r="I37" s="561">
        <v>0</v>
      </c>
      <c r="J37" s="561">
        <v>0</v>
      </c>
      <c r="K37" s="561">
        <v>0</v>
      </c>
      <c r="L37" s="561">
        <v>0</v>
      </c>
    </row>
    <row r="38" spans="1:12" ht="12.75" customHeight="1">
      <c r="A38" s="560" t="s">
        <v>67</v>
      </c>
      <c r="B38" s="1363"/>
      <c r="C38" s="1354" t="s">
        <v>255</v>
      </c>
      <c r="D38" s="1343"/>
      <c r="E38" s="1335">
        <v>0</v>
      </c>
      <c r="F38" s="561">
        <v>700000</v>
      </c>
      <c r="G38" s="561">
        <v>700000</v>
      </c>
      <c r="H38" s="561">
        <v>700000</v>
      </c>
      <c r="I38" s="561">
        <v>700000</v>
      </c>
      <c r="J38" s="561">
        <v>700000</v>
      </c>
      <c r="K38" s="561">
        <v>0</v>
      </c>
      <c r="L38" s="561">
        <v>190991</v>
      </c>
    </row>
    <row r="39" spans="1:12" ht="33" customHeight="1">
      <c r="A39" s="559" t="s">
        <v>68</v>
      </c>
      <c r="B39" s="1367" t="s">
        <v>184</v>
      </c>
      <c r="C39" s="1359" t="s">
        <v>522</v>
      </c>
      <c r="D39" s="1347"/>
      <c r="E39" s="1339">
        <v>104597</v>
      </c>
      <c r="F39" s="525">
        <f aca="true" t="shared" si="8" ref="F39:K39">SUM(F40:F42)</f>
        <v>300000</v>
      </c>
      <c r="G39" s="525">
        <f t="shared" si="8"/>
        <v>300000</v>
      </c>
      <c r="H39" s="525">
        <f t="shared" si="8"/>
        <v>300000</v>
      </c>
      <c r="I39" s="525">
        <f t="shared" si="8"/>
        <v>300000</v>
      </c>
      <c r="J39" s="525">
        <f t="shared" si="8"/>
        <v>300000</v>
      </c>
      <c r="K39" s="525">
        <f t="shared" si="8"/>
        <v>0</v>
      </c>
      <c r="L39" s="525">
        <f>SUM(L40:L42)</f>
        <v>50064</v>
      </c>
    </row>
    <row r="40" spans="1:12" ht="12.75" customHeight="1">
      <c r="A40" s="560" t="s">
        <v>70</v>
      </c>
      <c r="B40" s="1363"/>
      <c r="C40" s="1354" t="s">
        <v>253</v>
      </c>
      <c r="D40" s="1343"/>
      <c r="E40" s="1335">
        <v>0</v>
      </c>
      <c r="F40" s="561">
        <v>0</v>
      </c>
      <c r="G40" s="561">
        <v>0</v>
      </c>
      <c r="H40" s="561">
        <v>0</v>
      </c>
      <c r="I40" s="561">
        <v>0</v>
      </c>
      <c r="J40" s="561">
        <v>0</v>
      </c>
      <c r="K40" s="561">
        <v>0</v>
      </c>
      <c r="L40" s="561">
        <v>0</v>
      </c>
    </row>
    <row r="41" spans="1:12" ht="12.75" customHeight="1">
      <c r="A41" s="560" t="s">
        <v>97</v>
      </c>
      <c r="B41" s="1363"/>
      <c r="C41" s="1354" t="s">
        <v>254</v>
      </c>
      <c r="D41" s="1343"/>
      <c r="E41" s="1335">
        <v>0</v>
      </c>
      <c r="F41" s="561">
        <v>0</v>
      </c>
      <c r="G41" s="561">
        <v>0</v>
      </c>
      <c r="H41" s="561">
        <v>0</v>
      </c>
      <c r="I41" s="561">
        <v>0</v>
      </c>
      <c r="J41" s="561">
        <v>0</v>
      </c>
      <c r="K41" s="561">
        <v>0</v>
      </c>
      <c r="L41" s="561">
        <v>0</v>
      </c>
    </row>
    <row r="42" spans="1:12" ht="12.75" customHeight="1" thickBot="1">
      <c r="A42" s="566" t="s">
        <v>99</v>
      </c>
      <c r="B42" s="1368"/>
      <c r="C42" s="1360" t="s">
        <v>255</v>
      </c>
      <c r="D42" s="1348"/>
      <c r="E42" s="1340">
        <v>104597</v>
      </c>
      <c r="F42" s="568">
        <v>300000</v>
      </c>
      <c r="G42" s="568">
        <v>300000</v>
      </c>
      <c r="H42" s="568">
        <v>300000</v>
      </c>
      <c r="I42" s="568">
        <v>300000</v>
      </c>
      <c r="J42" s="568">
        <v>300000</v>
      </c>
      <c r="K42" s="568">
        <v>0</v>
      </c>
      <c r="L42" s="568">
        <v>50064</v>
      </c>
    </row>
    <row r="43" spans="1:12" s="434" customFormat="1" ht="32.25" thickBot="1">
      <c r="A43" s="1369" t="s">
        <v>101</v>
      </c>
      <c r="B43" s="1370" t="s">
        <v>185</v>
      </c>
      <c r="C43" s="1361" t="s">
        <v>1034</v>
      </c>
      <c r="D43" s="1349">
        <f>SUM(D22:D32)</f>
        <v>3</v>
      </c>
      <c r="E43" s="1341">
        <f aca="true" t="shared" si="9" ref="E43:J43">SUM(E44:E47)</f>
        <v>15216808</v>
      </c>
      <c r="F43" s="1007">
        <f t="shared" si="9"/>
        <v>16729452</v>
      </c>
      <c r="G43" s="1007">
        <f t="shared" si="9"/>
        <v>16729452</v>
      </c>
      <c r="H43" s="1007">
        <f t="shared" si="9"/>
        <v>16902933</v>
      </c>
      <c r="I43" s="1007">
        <f t="shared" si="9"/>
        <v>16970549</v>
      </c>
      <c r="J43" s="1007">
        <f t="shared" si="9"/>
        <v>17118024</v>
      </c>
      <c r="K43" s="1007">
        <f>SUM(K44:K47)</f>
        <v>14325698</v>
      </c>
      <c r="L43" s="1007">
        <f>SUM(L44:L47)</f>
        <v>14325698</v>
      </c>
    </row>
    <row r="44" spans="1:12" ht="12.75" customHeight="1">
      <c r="A44" s="1008" t="s">
        <v>103</v>
      </c>
      <c r="B44" s="1009"/>
      <c r="C44" s="1010" t="s">
        <v>253</v>
      </c>
      <c r="D44" s="1011"/>
      <c r="E44" s="1012">
        <f aca="true" t="shared" si="10" ref="E44:G45">E24+E30+E36+E40</f>
        <v>7688879</v>
      </c>
      <c r="F44" s="1012">
        <f t="shared" si="10"/>
        <v>8674148</v>
      </c>
      <c r="G44" s="1012">
        <f t="shared" si="10"/>
        <v>8674148</v>
      </c>
      <c r="H44" s="1012">
        <f aca="true" t="shared" si="11" ref="H44:I46">H24+H30+H36+H40</f>
        <v>8819320</v>
      </c>
      <c r="I44" s="1012">
        <f t="shared" si="11"/>
        <v>8875902</v>
      </c>
      <c r="J44" s="1012">
        <f aca="true" t="shared" si="12" ref="J44:K46">J24+J30+J36+J40</f>
        <v>8999304</v>
      </c>
      <c r="K44" s="1012">
        <f t="shared" si="12"/>
        <v>7693140</v>
      </c>
      <c r="L44" s="1012">
        <f>L24+L30+L36+L40</f>
        <v>7693140</v>
      </c>
    </row>
    <row r="45" spans="1:12" ht="12.75" customHeight="1">
      <c r="A45" s="560" t="s">
        <v>105</v>
      </c>
      <c r="B45" s="999"/>
      <c r="C45" s="505" t="s">
        <v>254</v>
      </c>
      <c r="D45" s="1000"/>
      <c r="E45" s="1013">
        <f t="shared" si="10"/>
        <v>1729888</v>
      </c>
      <c r="F45" s="1013">
        <f t="shared" si="10"/>
        <v>1714304</v>
      </c>
      <c r="G45" s="1013">
        <f t="shared" si="10"/>
        <v>1714304</v>
      </c>
      <c r="H45" s="1013">
        <f t="shared" si="11"/>
        <v>1742613</v>
      </c>
      <c r="I45" s="1013">
        <f t="shared" si="11"/>
        <v>1753647</v>
      </c>
      <c r="J45" s="1013">
        <f t="shared" si="12"/>
        <v>1777710</v>
      </c>
      <c r="K45" s="1013">
        <f t="shared" si="12"/>
        <v>1553272</v>
      </c>
      <c r="L45" s="1013">
        <f>L25+L31+L37+L41</f>
        <v>1553272</v>
      </c>
    </row>
    <row r="46" spans="1:12" ht="12.75" customHeight="1">
      <c r="A46" s="560" t="s">
        <v>107</v>
      </c>
      <c r="B46" s="999"/>
      <c r="C46" s="505" t="s">
        <v>255</v>
      </c>
      <c r="D46" s="1000"/>
      <c r="E46" s="1013">
        <f>E26+E32+E38+E42+E34</f>
        <v>5094264</v>
      </c>
      <c r="F46" s="1013">
        <f>F26+F32+F38+F42</f>
        <v>5841000</v>
      </c>
      <c r="G46" s="1013">
        <f>G26+G32+G38+G42</f>
        <v>5841000</v>
      </c>
      <c r="H46" s="1013">
        <f t="shared" si="11"/>
        <v>5841000</v>
      </c>
      <c r="I46" s="1013">
        <f t="shared" si="11"/>
        <v>5841000</v>
      </c>
      <c r="J46" s="1013">
        <f t="shared" si="12"/>
        <v>5841010</v>
      </c>
      <c r="K46" s="1013">
        <f t="shared" si="12"/>
        <v>5015296</v>
      </c>
      <c r="L46" s="1013">
        <f>L26+L32+L38+L42</f>
        <v>5015296</v>
      </c>
    </row>
    <row r="47" spans="1:12" ht="12.75" customHeight="1">
      <c r="A47" s="560" t="s">
        <v>109</v>
      </c>
      <c r="B47" s="999"/>
      <c r="C47" s="505" t="s">
        <v>252</v>
      </c>
      <c r="D47" s="1000"/>
      <c r="E47" s="1014">
        <f aca="true" t="shared" si="13" ref="E47:J47">SUM(E28)</f>
        <v>703777</v>
      </c>
      <c r="F47" s="1014">
        <f t="shared" si="13"/>
        <v>500000</v>
      </c>
      <c r="G47" s="1014">
        <f t="shared" si="13"/>
        <v>500000</v>
      </c>
      <c r="H47" s="1014">
        <f t="shared" si="13"/>
        <v>500000</v>
      </c>
      <c r="I47" s="1014">
        <f t="shared" si="13"/>
        <v>500000</v>
      </c>
      <c r="J47" s="1014">
        <f t="shared" si="13"/>
        <v>500000</v>
      </c>
      <c r="K47" s="1014">
        <f>SUM(K28)</f>
        <v>63990</v>
      </c>
      <c r="L47" s="1014">
        <f>SUM(L28)</f>
        <v>63990</v>
      </c>
    </row>
    <row r="48" spans="1:12" s="1005" customFormat="1" ht="12.75" customHeight="1">
      <c r="A48" s="1015" t="s">
        <v>111</v>
      </c>
      <c r="B48" s="1002"/>
      <c r="C48" s="1002" t="s">
        <v>822</v>
      </c>
      <c r="D48" s="1002"/>
      <c r="E48" s="1016">
        <v>703777</v>
      </c>
      <c r="F48" s="1016">
        <v>500000</v>
      </c>
      <c r="G48" s="1016">
        <v>500000</v>
      </c>
      <c r="H48" s="1016">
        <v>500000</v>
      </c>
      <c r="I48" s="1016">
        <v>500000</v>
      </c>
      <c r="J48" s="1016">
        <v>500000</v>
      </c>
      <c r="K48" s="1016">
        <v>63990</v>
      </c>
      <c r="L48" s="1016">
        <v>63990</v>
      </c>
    </row>
    <row r="49" spans="1:12" s="666" customFormat="1" ht="12.75" customHeight="1" thickBot="1">
      <c r="A49" s="1017" t="s">
        <v>113</v>
      </c>
      <c r="B49" s="1018"/>
      <c r="C49" s="1018" t="s">
        <v>823</v>
      </c>
      <c r="D49" s="1018"/>
      <c r="E49" s="1019">
        <v>0</v>
      </c>
      <c r="F49" s="1019"/>
      <c r="G49" s="1019"/>
      <c r="H49" s="1019"/>
      <c r="I49" s="1019"/>
      <c r="J49" s="1019"/>
      <c r="K49" s="1019"/>
      <c r="L49" s="1019"/>
    </row>
  </sheetData>
  <sheetProtection selectLockedCells="1" selectUnlockedCells="1"/>
  <mergeCells count="30">
    <mergeCell ref="A1:J1"/>
    <mergeCell ref="C18:D18"/>
    <mergeCell ref="A7:B7"/>
    <mergeCell ref="C7:D7"/>
    <mergeCell ref="A16:B16"/>
    <mergeCell ref="A10:B10"/>
    <mergeCell ref="A11:B11"/>
    <mergeCell ref="A12:B12"/>
    <mergeCell ref="A17:B17"/>
    <mergeCell ref="C17:D17"/>
    <mergeCell ref="A19:B19"/>
    <mergeCell ref="A21:B22"/>
    <mergeCell ref="A8:B8"/>
    <mergeCell ref="A9:B9"/>
    <mergeCell ref="A13:B13"/>
    <mergeCell ref="A14:B14"/>
    <mergeCell ref="A15:B15"/>
    <mergeCell ref="C15:D15"/>
    <mergeCell ref="A18:B18"/>
    <mergeCell ref="C16:D16"/>
    <mergeCell ref="C9:D9"/>
    <mergeCell ref="C8:D8"/>
    <mergeCell ref="C10:D10"/>
    <mergeCell ref="C11:D11"/>
    <mergeCell ref="C12:D12"/>
    <mergeCell ref="A2:L2"/>
    <mergeCell ref="A4:L4"/>
    <mergeCell ref="C13:D13"/>
    <mergeCell ref="C14:D14"/>
    <mergeCell ref="F3:H3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L48"/>
  <sheetViews>
    <sheetView view="pageBreakPreview" zoomScaleSheetLayoutView="100" zoomScalePageLayoutView="0" workbookViewId="0" topLeftCell="A1">
      <selection activeCell="J3" sqref="J3"/>
    </sheetView>
  </sheetViews>
  <sheetFormatPr defaultColWidth="11.57421875" defaultRowHeight="12.75" customHeight="1"/>
  <cols>
    <col min="1" max="1" width="5.140625" style="0" customWidth="1"/>
    <col min="2" max="2" width="0.9921875" style="0" customWidth="1"/>
    <col min="3" max="3" width="32.421875" style="0" customWidth="1"/>
    <col min="4" max="4" width="7.00390625" style="0" customWidth="1"/>
    <col min="5" max="12" width="20.00390625" style="207" customWidth="1"/>
  </cols>
  <sheetData>
    <row r="1" spans="1:10" s="222" customFormat="1" ht="18" customHeight="1">
      <c r="A1" s="1609" t="s">
        <v>523</v>
      </c>
      <c r="B1" s="1609"/>
      <c r="C1" s="1609"/>
      <c r="D1" s="1609"/>
      <c r="E1" s="1609"/>
      <c r="F1" s="1609"/>
      <c r="G1" s="1609"/>
      <c r="H1" s="1609"/>
      <c r="I1" s="1609"/>
      <c r="J1" s="1609"/>
    </row>
    <row r="2" spans="1:12" ht="12.75" customHeight="1">
      <c r="A2" s="1674" t="s">
        <v>1226</v>
      </c>
      <c r="B2" s="1674"/>
      <c r="C2" s="1674"/>
      <c r="D2" s="1674"/>
      <c r="E2" s="1674"/>
      <c r="F2" s="1674"/>
      <c r="G2" s="1674"/>
      <c r="H2" s="1674"/>
      <c r="I2" s="1674"/>
      <c r="J2" s="1674"/>
      <c r="K2" s="1674"/>
      <c r="L2" s="1674"/>
    </row>
    <row r="3" spans="1:12" ht="12.75" customHeight="1">
      <c r="A3" s="78"/>
      <c r="B3" s="78"/>
      <c r="C3" s="78"/>
      <c r="D3" s="78"/>
      <c r="E3"/>
      <c r="F3" s="1931" t="s">
        <v>1227</v>
      </c>
      <c r="G3" s="1931"/>
      <c r="H3" s="1931"/>
      <c r="I3" s="1931"/>
      <c r="J3" t="s">
        <v>1235</v>
      </c>
      <c r="K3"/>
      <c r="L3"/>
    </row>
    <row r="4" spans="1:12" ht="12.75" customHeight="1">
      <c r="A4" s="78"/>
      <c r="B4" s="78"/>
      <c r="C4" s="78"/>
      <c r="D4" s="78"/>
      <c r="E4"/>
      <c r="F4"/>
      <c r="G4"/>
      <c r="H4"/>
      <c r="I4"/>
      <c r="J4"/>
      <c r="K4"/>
      <c r="L4"/>
    </row>
    <row r="5" spans="1:12" ht="42.75" customHeight="1">
      <c r="A5" s="1623" t="s">
        <v>1035</v>
      </c>
      <c r="B5" s="1623"/>
      <c r="C5" s="1623"/>
      <c r="D5" s="1623"/>
      <c r="E5" s="1623"/>
      <c r="F5" s="1623"/>
      <c r="G5" s="1623"/>
      <c r="H5" s="1623"/>
      <c r="I5" s="1623"/>
      <c r="J5" s="1623"/>
      <c r="K5" s="1623"/>
      <c r="L5" s="1623"/>
    </row>
    <row r="6" spans="3:4" ht="18.75" customHeight="1">
      <c r="C6" s="238"/>
      <c r="D6" s="238"/>
    </row>
    <row r="7" spans="5:12" ht="12.75" customHeight="1" thickBot="1">
      <c r="E7" s="1106"/>
      <c r="F7" s="1106"/>
      <c r="G7" s="1106"/>
      <c r="H7" s="1106"/>
      <c r="I7" s="1106"/>
      <c r="J7" s="1106"/>
      <c r="K7" s="1106"/>
      <c r="L7" s="1106" t="s">
        <v>216</v>
      </c>
    </row>
    <row r="8" spans="1:12" ht="56.25" customHeight="1" thickBot="1">
      <c r="A8" s="1717" t="s">
        <v>156</v>
      </c>
      <c r="B8" s="1717"/>
      <c r="C8" s="1718" t="s">
        <v>157</v>
      </c>
      <c r="D8" s="1718"/>
      <c r="E8" s="239" t="s">
        <v>158</v>
      </c>
      <c r="F8" s="239" t="s">
        <v>1002</v>
      </c>
      <c r="G8" s="239" t="s">
        <v>1070</v>
      </c>
      <c r="H8" s="239" t="s">
        <v>1131</v>
      </c>
      <c r="I8" s="239" t="s">
        <v>1141</v>
      </c>
      <c r="J8" s="239" t="s">
        <v>1148</v>
      </c>
      <c r="K8" s="239" t="s">
        <v>1158</v>
      </c>
      <c r="L8" s="239" t="s">
        <v>1181</v>
      </c>
    </row>
    <row r="9" spans="1:12" ht="12.75" customHeight="1">
      <c r="A9" s="1719" t="s">
        <v>159</v>
      </c>
      <c r="B9" s="1719"/>
      <c r="C9" s="1720" t="s">
        <v>160</v>
      </c>
      <c r="D9" s="1720"/>
      <c r="E9" s="240" t="s">
        <v>161</v>
      </c>
      <c r="F9" s="240" t="s">
        <v>162</v>
      </c>
      <c r="G9" s="240" t="s">
        <v>479</v>
      </c>
      <c r="H9" s="240" t="s">
        <v>499</v>
      </c>
      <c r="I9" s="240" t="s">
        <v>745</v>
      </c>
      <c r="J9" s="240" t="s">
        <v>826</v>
      </c>
      <c r="K9" s="240" t="s">
        <v>830</v>
      </c>
      <c r="L9" s="240" t="s">
        <v>987</v>
      </c>
    </row>
    <row r="10" spans="1:12" ht="12.75" customHeight="1">
      <c r="A10" s="1723" t="s">
        <v>38</v>
      </c>
      <c r="B10" s="1723"/>
      <c r="C10" s="241" t="s">
        <v>236</v>
      </c>
      <c r="D10" s="242"/>
      <c r="E10" s="243">
        <f>SUM(E11:E17)</f>
        <v>1057836</v>
      </c>
      <c r="F10" s="243">
        <f>SUM(F11:F14)</f>
        <v>460000</v>
      </c>
      <c r="G10" s="243">
        <f aca="true" t="shared" si="0" ref="G10:L10">SUM(G11:G16)</f>
        <v>993000</v>
      </c>
      <c r="H10" s="243">
        <f t="shared" si="0"/>
        <v>993000</v>
      </c>
      <c r="I10" s="243">
        <f t="shared" si="0"/>
        <v>1313000</v>
      </c>
      <c r="J10" s="243">
        <f t="shared" si="0"/>
        <v>1563000</v>
      </c>
      <c r="K10" s="243">
        <f t="shared" si="0"/>
        <v>1738790</v>
      </c>
      <c r="L10" s="243">
        <f t="shared" si="0"/>
        <v>1738790</v>
      </c>
    </row>
    <row r="11" spans="1:12" s="122" customFormat="1" ht="12.75" customHeight="1">
      <c r="A11" s="1727" t="s">
        <v>40</v>
      </c>
      <c r="B11" s="1728"/>
      <c r="C11" s="573" t="s">
        <v>606</v>
      </c>
      <c r="D11" s="574"/>
      <c r="E11" s="575">
        <v>16000</v>
      </c>
      <c r="F11" s="575">
        <v>20000</v>
      </c>
      <c r="G11" s="575">
        <v>20000</v>
      </c>
      <c r="H11" s="575">
        <v>20000</v>
      </c>
      <c r="I11" s="575">
        <v>170000</v>
      </c>
      <c r="J11" s="575">
        <v>240000</v>
      </c>
      <c r="K11" s="575">
        <v>211001</v>
      </c>
      <c r="L11" s="575">
        <v>211001</v>
      </c>
    </row>
    <row r="12" spans="1:12" s="122" customFormat="1" ht="12.75" customHeight="1">
      <c r="A12" s="1727" t="s">
        <v>47</v>
      </c>
      <c r="B12" s="1728"/>
      <c r="C12" s="573" t="s">
        <v>177</v>
      </c>
      <c r="D12" s="574"/>
      <c r="E12" s="575">
        <v>353990</v>
      </c>
      <c r="F12" s="575">
        <v>340000</v>
      </c>
      <c r="G12" s="575">
        <v>340000</v>
      </c>
      <c r="H12" s="575">
        <v>340000</v>
      </c>
      <c r="I12" s="575">
        <v>470000</v>
      </c>
      <c r="J12" s="575">
        <v>610000</v>
      </c>
      <c r="K12" s="575">
        <v>776710</v>
      </c>
      <c r="L12" s="575">
        <v>776710</v>
      </c>
    </row>
    <row r="13" spans="1:12" s="122" customFormat="1" ht="12.75" customHeight="1">
      <c r="A13" s="1727" t="s">
        <v>49</v>
      </c>
      <c r="B13" s="1728"/>
      <c r="C13" s="573" t="s">
        <v>180</v>
      </c>
      <c r="D13" s="574"/>
      <c r="E13" s="575">
        <v>93841</v>
      </c>
      <c r="F13" s="575">
        <v>100000</v>
      </c>
      <c r="G13" s="575">
        <v>100000</v>
      </c>
      <c r="H13" s="575">
        <v>100000</v>
      </c>
      <c r="I13" s="575">
        <v>140000</v>
      </c>
      <c r="J13" s="575">
        <v>180000</v>
      </c>
      <c r="K13" s="575">
        <v>218077</v>
      </c>
      <c r="L13" s="575">
        <v>218077</v>
      </c>
    </row>
    <row r="14" spans="1:12" s="122" customFormat="1" ht="12.75" customHeight="1">
      <c r="A14" s="1729" t="s">
        <v>51</v>
      </c>
      <c r="B14" s="1730"/>
      <c r="C14" s="880" t="s">
        <v>181</v>
      </c>
      <c r="D14" s="881"/>
      <c r="E14" s="882">
        <v>5</v>
      </c>
      <c r="F14" s="882"/>
      <c r="G14" s="882"/>
      <c r="H14" s="882"/>
      <c r="I14" s="882"/>
      <c r="J14" s="882"/>
      <c r="K14" s="882"/>
      <c r="L14" s="882"/>
    </row>
    <row r="15" spans="1:12" s="122" customFormat="1" ht="12.75" customHeight="1">
      <c r="A15" s="1731" t="s">
        <v>53</v>
      </c>
      <c r="B15" s="1731"/>
      <c r="C15" s="1721" t="s">
        <v>183</v>
      </c>
      <c r="D15" s="1722"/>
      <c r="E15" s="941">
        <v>594000</v>
      </c>
      <c r="F15" s="941">
        <v>0</v>
      </c>
      <c r="G15" s="941">
        <v>0</v>
      </c>
      <c r="H15" s="941">
        <v>0</v>
      </c>
      <c r="I15" s="941">
        <v>0</v>
      </c>
      <c r="J15" s="941">
        <v>0</v>
      </c>
      <c r="K15" s="941">
        <v>2</v>
      </c>
      <c r="L15" s="941">
        <v>2</v>
      </c>
    </row>
    <row r="16" spans="1:12" s="122" customFormat="1" ht="12.75" customHeight="1">
      <c r="A16" s="1731" t="s">
        <v>55</v>
      </c>
      <c r="B16" s="1731"/>
      <c r="C16" s="1732" t="s">
        <v>1074</v>
      </c>
      <c r="D16" s="1732"/>
      <c r="E16" s="941"/>
      <c r="F16" s="941"/>
      <c r="G16" s="941">
        <v>533000</v>
      </c>
      <c r="H16" s="941">
        <v>533000</v>
      </c>
      <c r="I16" s="941">
        <v>533000</v>
      </c>
      <c r="J16" s="941">
        <v>533000</v>
      </c>
      <c r="K16" s="941">
        <v>533000</v>
      </c>
      <c r="L16" s="941">
        <v>533000</v>
      </c>
    </row>
    <row r="17" spans="1:12" ht="25.5" customHeight="1" thickBot="1">
      <c r="A17" s="1716" t="s">
        <v>57</v>
      </c>
      <c r="B17" s="1716"/>
      <c r="C17" s="1733" t="s">
        <v>1076</v>
      </c>
      <c r="D17" s="1734"/>
      <c r="E17" s="1211">
        <v>0</v>
      </c>
      <c r="F17" s="1211">
        <v>0</v>
      </c>
      <c r="G17" s="1211">
        <v>1153259</v>
      </c>
      <c r="H17" s="1211">
        <v>1153259</v>
      </c>
      <c r="I17" s="1211">
        <v>1348461</v>
      </c>
      <c r="J17" s="1211">
        <v>1348461</v>
      </c>
      <c r="K17" s="1211">
        <v>1348461</v>
      </c>
      <c r="L17" s="1211">
        <v>1348461</v>
      </c>
    </row>
    <row r="18" spans="1:12" s="99" customFormat="1" ht="17.25" customHeight="1" thickBot="1">
      <c r="A18" s="1724" t="s">
        <v>86</v>
      </c>
      <c r="B18" s="1725"/>
      <c r="C18" s="1726" t="s">
        <v>505</v>
      </c>
      <c r="D18" s="1726"/>
      <c r="E18" s="527">
        <f aca="true" t="shared" si="1" ref="E18:J18">SUM(E10+E17)</f>
        <v>1057836</v>
      </c>
      <c r="F18" s="527">
        <f t="shared" si="1"/>
        <v>460000</v>
      </c>
      <c r="G18" s="527">
        <f t="shared" si="1"/>
        <v>2146259</v>
      </c>
      <c r="H18" s="527">
        <f t="shared" si="1"/>
        <v>2146259</v>
      </c>
      <c r="I18" s="527">
        <f t="shared" si="1"/>
        <v>2661461</v>
      </c>
      <c r="J18" s="527">
        <f t="shared" si="1"/>
        <v>2911461</v>
      </c>
      <c r="K18" s="527">
        <f>SUM(K10+K17)</f>
        <v>3087251</v>
      </c>
      <c r="L18" s="527">
        <f>SUM(L10+L17)</f>
        <v>3087251</v>
      </c>
    </row>
    <row r="19" spans="1:12" ht="12.75" customHeight="1">
      <c r="A19" s="1735" t="s">
        <v>59</v>
      </c>
      <c r="B19" s="1735"/>
      <c r="C19" s="225" t="s">
        <v>237</v>
      </c>
      <c r="D19" s="569"/>
      <c r="E19" s="755">
        <v>1959631</v>
      </c>
      <c r="F19" s="755">
        <v>790211</v>
      </c>
      <c r="G19" s="755">
        <v>790211</v>
      </c>
      <c r="H19" s="755">
        <v>790211</v>
      </c>
      <c r="I19" s="755">
        <v>790211</v>
      </c>
      <c r="J19" s="755">
        <v>790211</v>
      </c>
      <c r="K19" s="755">
        <v>790211</v>
      </c>
      <c r="L19" s="755">
        <v>790211</v>
      </c>
    </row>
    <row r="20" spans="1:12" ht="12.75" customHeight="1">
      <c r="A20" s="1736" t="s">
        <v>61</v>
      </c>
      <c r="B20" s="1736"/>
      <c r="C20" s="224" t="s">
        <v>518</v>
      </c>
      <c r="D20" s="223"/>
      <c r="E20" s="244">
        <f aca="true" t="shared" si="2" ref="E20:J20">SUM(E21:E22)</f>
        <v>77422982</v>
      </c>
      <c r="F20" s="244">
        <f t="shared" si="2"/>
        <v>79034645</v>
      </c>
      <c r="G20" s="244">
        <f t="shared" si="2"/>
        <v>79034645</v>
      </c>
      <c r="H20" s="244">
        <f t="shared" si="2"/>
        <v>79034645</v>
      </c>
      <c r="I20" s="244">
        <f t="shared" si="2"/>
        <v>79034645</v>
      </c>
      <c r="J20" s="244">
        <f t="shared" si="2"/>
        <v>79034645</v>
      </c>
      <c r="K20" s="244">
        <f>SUM(K21:K22)</f>
        <v>79073705</v>
      </c>
      <c r="L20" s="244">
        <f>SUM(L21:L22)</f>
        <v>79073705</v>
      </c>
    </row>
    <row r="21" spans="1:12" s="122" customFormat="1" ht="12.75" customHeight="1">
      <c r="A21" s="1737" t="s">
        <v>63</v>
      </c>
      <c r="B21" s="1737"/>
      <c r="C21" s="1738" t="s">
        <v>507</v>
      </c>
      <c r="D21" s="1738"/>
      <c r="E21" s="244">
        <v>60171959</v>
      </c>
      <c r="F21" s="244">
        <v>58148665</v>
      </c>
      <c r="G21" s="244">
        <v>58148665</v>
      </c>
      <c r="H21" s="244">
        <v>58148665</v>
      </c>
      <c r="I21" s="244">
        <v>58148665</v>
      </c>
      <c r="J21" s="244">
        <v>58148665</v>
      </c>
      <c r="K21" s="244">
        <v>59519465</v>
      </c>
      <c r="L21" s="244">
        <v>59519465</v>
      </c>
    </row>
    <row r="22" spans="1:12" s="122" customFormat="1" ht="12.75" customHeight="1" thickBot="1">
      <c r="A22" s="1739" t="s">
        <v>65</v>
      </c>
      <c r="B22" s="1739"/>
      <c r="C22" s="1740" t="s">
        <v>525</v>
      </c>
      <c r="D22" s="1740"/>
      <c r="E22" s="251">
        <v>17251023</v>
      </c>
      <c r="F22" s="251">
        <v>20885980</v>
      </c>
      <c r="G22" s="251">
        <v>20885980</v>
      </c>
      <c r="H22" s="251">
        <v>20885980</v>
      </c>
      <c r="I22" s="251">
        <v>20885980</v>
      </c>
      <c r="J22" s="251">
        <v>20885980</v>
      </c>
      <c r="K22" s="251">
        <v>19554240</v>
      </c>
      <c r="L22" s="251">
        <v>19554240</v>
      </c>
    </row>
    <row r="23" spans="1:12" s="10" customFormat="1" ht="19.5" customHeight="1" thickBot="1">
      <c r="A23" s="1741" t="s">
        <v>92</v>
      </c>
      <c r="B23" s="1742"/>
      <c r="C23" s="1726" t="s">
        <v>519</v>
      </c>
      <c r="D23" s="1726"/>
      <c r="E23" s="527">
        <f aca="true" t="shared" si="3" ref="E23:J23">SUM(E19+E20)</f>
        <v>79382613</v>
      </c>
      <c r="F23" s="527">
        <f t="shared" si="3"/>
        <v>79824856</v>
      </c>
      <c r="G23" s="527">
        <f t="shared" si="3"/>
        <v>79824856</v>
      </c>
      <c r="H23" s="527">
        <f t="shared" si="3"/>
        <v>79824856</v>
      </c>
      <c r="I23" s="527">
        <f t="shared" si="3"/>
        <v>79824856</v>
      </c>
      <c r="J23" s="527">
        <f t="shared" si="3"/>
        <v>79824856</v>
      </c>
      <c r="K23" s="527">
        <f>SUM(K19+K20)</f>
        <v>79863916</v>
      </c>
      <c r="L23" s="527">
        <f>SUM(L19+L20)</f>
        <v>79863916</v>
      </c>
    </row>
    <row r="24" spans="1:12" ht="21" customHeight="1" thickBot="1">
      <c r="A24" s="1743" t="s">
        <v>66</v>
      </c>
      <c r="B24" s="1743"/>
      <c r="C24" s="570" t="s">
        <v>116</v>
      </c>
      <c r="D24" s="571"/>
      <c r="E24" s="572">
        <f aca="true" t="shared" si="4" ref="E24:J24">SUM(E18+E23)</f>
        <v>80440449</v>
      </c>
      <c r="F24" s="572">
        <f t="shared" si="4"/>
        <v>80284856</v>
      </c>
      <c r="G24" s="572">
        <f t="shared" si="4"/>
        <v>81971115</v>
      </c>
      <c r="H24" s="572">
        <f t="shared" si="4"/>
        <v>81971115</v>
      </c>
      <c r="I24" s="572">
        <f t="shared" si="4"/>
        <v>82486317</v>
      </c>
      <c r="J24" s="572">
        <f t="shared" si="4"/>
        <v>82736317</v>
      </c>
      <c r="K24" s="572">
        <f>SUM(K18+K23)</f>
        <v>82951167</v>
      </c>
      <c r="L24" s="572">
        <f>SUM(L18+L23)</f>
        <v>82951167</v>
      </c>
    </row>
    <row r="25" spans="1:12" ht="21" customHeight="1">
      <c r="A25" s="246"/>
      <c r="B25" s="246"/>
      <c r="C25" s="247"/>
      <c r="D25" s="247"/>
      <c r="E25" s="248"/>
      <c r="F25" s="248"/>
      <c r="G25" s="248"/>
      <c r="H25" s="248"/>
      <c r="I25" s="248"/>
      <c r="J25" s="248"/>
      <c r="K25" s="248"/>
      <c r="L25" s="248"/>
    </row>
    <row r="26" ht="12.75" customHeight="1" thickBot="1"/>
    <row r="27" spans="1:12" ht="63.75" customHeight="1">
      <c r="A27" s="1516" t="s">
        <v>156</v>
      </c>
      <c r="B27" s="1744"/>
      <c r="C27" s="1150" t="s">
        <v>248</v>
      </c>
      <c r="D27" s="1150" t="s">
        <v>520</v>
      </c>
      <c r="E27" s="1151" t="s">
        <v>158</v>
      </c>
      <c r="F27" s="1151" t="s">
        <v>1002</v>
      </c>
      <c r="G27" s="1151" t="s">
        <v>1070</v>
      </c>
      <c r="H27" s="1151" t="s">
        <v>1131</v>
      </c>
      <c r="I27" s="1151" t="s">
        <v>1141</v>
      </c>
      <c r="J27" s="1151" t="s">
        <v>1148</v>
      </c>
      <c r="K27" s="1151" t="s">
        <v>1158</v>
      </c>
      <c r="L27" s="1151" t="s">
        <v>1181</v>
      </c>
    </row>
    <row r="28" spans="1:12" ht="12.75" customHeight="1">
      <c r="A28" s="1745" t="s">
        <v>159</v>
      </c>
      <c r="B28" s="1746"/>
      <c r="C28" s="1150" t="s">
        <v>526</v>
      </c>
      <c r="D28" s="1150" t="s">
        <v>161</v>
      </c>
      <c r="E28" s="1152" t="s">
        <v>162</v>
      </c>
      <c r="F28" s="1152" t="s">
        <v>479</v>
      </c>
      <c r="G28" s="1152" t="s">
        <v>499</v>
      </c>
      <c r="H28" s="1152" t="s">
        <v>745</v>
      </c>
      <c r="I28" s="1152" t="s">
        <v>826</v>
      </c>
      <c r="J28" s="1152" t="s">
        <v>830</v>
      </c>
      <c r="K28" s="1152" t="s">
        <v>987</v>
      </c>
      <c r="L28" s="1152" t="s">
        <v>988</v>
      </c>
    </row>
    <row r="29" spans="1:12" ht="12.75" customHeight="1">
      <c r="A29" s="1747" t="s">
        <v>38</v>
      </c>
      <c r="B29" s="1747"/>
      <c r="C29" s="230" t="s">
        <v>267</v>
      </c>
      <c r="D29" s="171">
        <v>13</v>
      </c>
      <c r="E29" s="243">
        <f aca="true" t="shared" si="5" ref="E29:J29">SUM(E30:E33)</f>
        <v>75628449</v>
      </c>
      <c r="F29" s="243">
        <f t="shared" si="5"/>
        <v>75223596</v>
      </c>
      <c r="G29" s="243">
        <f t="shared" si="5"/>
        <v>75756596</v>
      </c>
      <c r="H29" s="243">
        <f t="shared" si="5"/>
        <v>75756596</v>
      </c>
      <c r="I29" s="243">
        <f t="shared" si="5"/>
        <v>76076596</v>
      </c>
      <c r="J29" s="243">
        <f t="shared" si="5"/>
        <v>76326596</v>
      </c>
      <c r="K29" s="243">
        <f>SUM(K30:K33)</f>
        <v>76541446</v>
      </c>
      <c r="L29" s="243">
        <f>SUM(L30:L33)</f>
        <v>76736582</v>
      </c>
    </row>
    <row r="30" spans="1:12" ht="12.75" customHeight="1">
      <c r="A30" s="1749" t="s">
        <v>40</v>
      </c>
      <c r="B30" s="1749"/>
      <c r="C30" s="17" t="s">
        <v>253</v>
      </c>
      <c r="D30" s="145"/>
      <c r="E30" s="244">
        <v>52502973</v>
      </c>
      <c r="F30" s="244">
        <v>54136420</v>
      </c>
      <c r="G30" s="244">
        <v>54136420</v>
      </c>
      <c r="H30" s="244">
        <v>54136420</v>
      </c>
      <c r="I30" s="244">
        <v>54136420</v>
      </c>
      <c r="J30" s="244">
        <v>54136420</v>
      </c>
      <c r="K30" s="244">
        <v>54865577</v>
      </c>
      <c r="L30" s="244">
        <v>55030575</v>
      </c>
    </row>
    <row r="31" spans="1:12" ht="12.75" customHeight="1">
      <c r="A31" s="1749" t="s">
        <v>47</v>
      </c>
      <c r="B31" s="1749"/>
      <c r="C31" s="17" t="s">
        <v>254</v>
      </c>
      <c r="D31" s="145"/>
      <c r="E31" s="244">
        <v>11712977</v>
      </c>
      <c r="F31" s="244">
        <v>10587176</v>
      </c>
      <c r="G31" s="244">
        <v>10587176</v>
      </c>
      <c r="H31" s="244">
        <v>10587176</v>
      </c>
      <c r="I31" s="244">
        <v>10587176</v>
      </c>
      <c r="J31" s="244">
        <v>10587176</v>
      </c>
      <c r="K31" s="244">
        <v>10755547</v>
      </c>
      <c r="L31" s="244">
        <v>10805685</v>
      </c>
    </row>
    <row r="32" spans="1:12" ht="12.75" customHeight="1">
      <c r="A32" s="1749" t="s">
        <v>49</v>
      </c>
      <c r="B32" s="1749"/>
      <c r="C32" s="17" t="s">
        <v>255</v>
      </c>
      <c r="D32" s="145"/>
      <c r="E32" s="244">
        <v>10127032</v>
      </c>
      <c r="F32" s="244">
        <v>10000000</v>
      </c>
      <c r="G32" s="244">
        <v>10533000</v>
      </c>
      <c r="H32" s="244">
        <v>10533000</v>
      </c>
      <c r="I32" s="244">
        <v>10853000</v>
      </c>
      <c r="J32" s="244">
        <v>11103000</v>
      </c>
      <c r="K32" s="244">
        <v>10708844</v>
      </c>
      <c r="L32" s="244">
        <v>10688844</v>
      </c>
    </row>
    <row r="33" spans="1:12" ht="12.75" customHeight="1">
      <c r="A33" s="1749" t="s">
        <v>51</v>
      </c>
      <c r="B33" s="1749"/>
      <c r="C33" s="17" t="s">
        <v>252</v>
      </c>
      <c r="D33" s="145"/>
      <c r="E33" s="244">
        <v>1285467</v>
      </c>
      <c r="F33" s="244">
        <v>500000</v>
      </c>
      <c r="G33" s="244">
        <v>500000</v>
      </c>
      <c r="H33" s="244">
        <v>500000</v>
      </c>
      <c r="I33" s="244">
        <v>500000</v>
      </c>
      <c r="J33" s="244">
        <v>500000</v>
      </c>
      <c r="K33" s="244">
        <v>211478</v>
      </c>
      <c r="L33" s="244">
        <v>211478</v>
      </c>
    </row>
    <row r="34" spans="1:12" ht="12.75" customHeight="1">
      <c r="A34" s="1748" t="s">
        <v>53</v>
      </c>
      <c r="B34" s="1748"/>
      <c r="C34" s="9" t="s">
        <v>527</v>
      </c>
      <c r="D34" s="142">
        <v>1</v>
      </c>
      <c r="E34" s="245">
        <f aca="true" t="shared" si="6" ref="E34:J34">SUM(E35:E37)</f>
        <v>4812000</v>
      </c>
      <c r="F34" s="245">
        <f t="shared" si="6"/>
        <v>5061260</v>
      </c>
      <c r="G34" s="245">
        <f t="shared" si="6"/>
        <v>5061260</v>
      </c>
      <c r="H34" s="245">
        <f t="shared" si="6"/>
        <v>5061260</v>
      </c>
      <c r="I34" s="245">
        <f t="shared" si="6"/>
        <v>5061260</v>
      </c>
      <c r="J34" s="245">
        <f t="shared" si="6"/>
        <v>5061260</v>
      </c>
      <c r="K34" s="245">
        <f>SUM(K35:K37)</f>
        <v>5061260</v>
      </c>
      <c r="L34" s="245">
        <f>SUM(L35:L37)</f>
        <v>4866124</v>
      </c>
    </row>
    <row r="35" spans="1:12" ht="12.75" customHeight="1">
      <c r="A35" s="1749" t="s">
        <v>55</v>
      </c>
      <c r="B35" s="1749"/>
      <c r="C35" s="17" t="s">
        <v>253</v>
      </c>
      <c r="D35" s="145"/>
      <c r="E35" s="244">
        <v>3924000</v>
      </c>
      <c r="F35" s="244">
        <v>4213492</v>
      </c>
      <c r="G35" s="244">
        <v>4213492</v>
      </c>
      <c r="H35" s="244">
        <v>4213492</v>
      </c>
      <c r="I35" s="244">
        <v>4213492</v>
      </c>
      <c r="J35" s="244">
        <v>4213492</v>
      </c>
      <c r="K35" s="244">
        <v>4213492</v>
      </c>
      <c r="L35" s="244">
        <v>4048494</v>
      </c>
    </row>
    <row r="36" spans="1:12" ht="12.75" customHeight="1">
      <c r="A36" s="1749" t="s">
        <v>57</v>
      </c>
      <c r="B36" s="1749"/>
      <c r="C36" s="17" t="s">
        <v>254</v>
      </c>
      <c r="D36" s="145"/>
      <c r="E36" s="244">
        <v>888000</v>
      </c>
      <c r="F36" s="244">
        <v>847768</v>
      </c>
      <c r="G36" s="244">
        <v>847768</v>
      </c>
      <c r="H36" s="244">
        <v>847768</v>
      </c>
      <c r="I36" s="244">
        <v>847768</v>
      </c>
      <c r="J36" s="244">
        <v>847768</v>
      </c>
      <c r="K36" s="244">
        <v>847768</v>
      </c>
      <c r="L36" s="244">
        <v>797630</v>
      </c>
    </row>
    <row r="37" spans="1:12" ht="12.75" customHeight="1">
      <c r="A37" s="1749" t="s">
        <v>86</v>
      </c>
      <c r="B37" s="1749"/>
      <c r="C37" s="17" t="s">
        <v>255</v>
      </c>
      <c r="D37" s="145"/>
      <c r="E37" s="244">
        <v>0</v>
      </c>
      <c r="F37" s="244">
        <v>0</v>
      </c>
      <c r="G37" s="244">
        <v>0</v>
      </c>
      <c r="H37" s="244">
        <v>0</v>
      </c>
      <c r="I37" s="244">
        <v>0</v>
      </c>
      <c r="J37" s="244">
        <v>0</v>
      </c>
      <c r="K37" s="244">
        <v>0</v>
      </c>
      <c r="L37" s="244">
        <v>20000</v>
      </c>
    </row>
    <row r="38" spans="1:12" s="10" customFormat="1" ht="12.75" customHeight="1">
      <c r="A38" s="1748" t="s">
        <v>59</v>
      </c>
      <c r="B38" s="1748"/>
      <c r="C38" s="75" t="s">
        <v>1077</v>
      </c>
      <c r="D38" s="249"/>
      <c r="E38" s="250">
        <f aca="true" t="shared" si="7" ref="E38:J38">SUM(E39:E41)</f>
        <v>0</v>
      </c>
      <c r="F38" s="250">
        <f t="shared" si="7"/>
        <v>0</v>
      </c>
      <c r="G38" s="250">
        <f t="shared" si="7"/>
        <v>1153259</v>
      </c>
      <c r="H38" s="250">
        <f t="shared" si="7"/>
        <v>1153259</v>
      </c>
      <c r="I38" s="250">
        <f t="shared" si="7"/>
        <v>1348461</v>
      </c>
      <c r="J38" s="250">
        <f t="shared" si="7"/>
        <v>1348461</v>
      </c>
      <c r="K38" s="250">
        <f>SUM(K39:K41)</f>
        <v>1348461</v>
      </c>
      <c r="L38" s="250">
        <f>SUM(L39:L41)</f>
        <v>1348461</v>
      </c>
    </row>
    <row r="39" spans="1:12" ht="12.75" customHeight="1">
      <c r="A39" s="1749" t="s">
        <v>61</v>
      </c>
      <c r="B39" s="1749"/>
      <c r="C39" s="17" t="s">
        <v>253</v>
      </c>
      <c r="D39" s="185"/>
      <c r="E39" s="251"/>
      <c r="F39" s="251"/>
      <c r="G39" s="251">
        <v>835200</v>
      </c>
      <c r="H39" s="251">
        <v>937237</v>
      </c>
      <c r="I39" s="251">
        <v>1007237</v>
      </c>
      <c r="J39" s="251">
        <v>1007237</v>
      </c>
      <c r="K39" s="251">
        <v>1007237</v>
      </c>
      <c r="L39" s="251">
        <v>1007237</v>
      </c>
    </row>
    <row r="40" spans="1:12" ht="12.75" customHeight="1">
      <c r="A40" s="1749" t="s">
        <v>63</v>
      </c>
      <c r="B40" s="1749"/>
      <c r="C40" s="17" t="s">
        <v>254</v>
      </c>
      <c r="D40" s="185"/>
      <c r="E40" s="251"/>
      <c r="F40" s="251"/>
      <c r="G40" s="251">
        <v>170978</v>
      </c>
      <c r="H40" s="251">
        <v>190605</v>
      </c>
      <c r="I40" s="251">
        <v>204255</v>
      </c>
      <c r="J40" s="251">
        <v>204255</v>
      </c>
      <c r="K40" s="251">
        <v>204255</v>
      </c>
      <c r="L40" s="251">
        <v>204255</v>
      </c>
    </row>
    <row r="41" spans="1:12" ht="12.75" customHeight="1" thickBot="1">
      <c r="A41" s="1749" t="s">
        <v>65</v>
      </c>
      <c r="B41" s="1749"/>
      <c r="C41" s="17" t="s">
        <v>255</v>
      </c>
      <c r="D41" s="185"/>
      <c r="E41" s="251"/>
      <c r="F41" s="251"/>
      <c r="G41" s="251">
        <v>147081</v>
      </c>
      <c r="H41" s="251">
        <v>25417</v>
      </c>
      <c r="I41" s="251">
        <v>136969</v>
      </c>
      <c r="J41" s="251">
        <v>136969</v>
      </c>
      <c r="K41" s="251">
        <v>136969</v>
      </c>
      <c r="L41" s="251">
        <v>136969</v>
      </c>
    </row>
    <row r="42" spans="1:12" ht="36.75" customHeight="1" thickBot="1">
      <c r="A42" s="1754" t="s">
        <v>92</v>
      </c>
      <c r="B42" s="1754"/>
      <c r="C42" s="1021" t="s">
        <v>240</v>
      </c>
      <c r="D42" s="1022">
        <f>SUM(D29:D34)</f>
        <v>14</v>
      </c>
      <c r="E42" s="1023">
        <f aca="true" t="shared" si="8" ref="E42:J42">SUM(E43:E46)</f>
        <v>80440449</v>
      </c>
      <c r="F42" s="1023">
        <f t="shared" si="8"/>
        <v>80284856</v>
      </c>
      <c r="G42" s="1023">
        <f t="shared" si="8"/>
        <v>81971115</v>
      </c>
      <c r="H42" s="1023">
        <f t="shared" si="8"/>
        <v>81971115</v>
      </c>
      <c r="I42" s="1023">
        <f t="shared" si="8"/>
        <v>82486317</v>
      </c>
      <c r="J42" s="1023">
        <f t="shared" si="8"/>
        <v>82736317</v>
      </c>
      <c r="K42" s="1023">
        <f>SUM(K43:K46)</f>
        <v>82951167</v>
      </c>
      <c r="L42" s="1023">
        <f>SUM(L43:L46)</f>
        <v>82951167</v>
      </c>
    </row>
    <row r="43" spans="1:12" ht="12.75" customHeight="1">
      <c r="A43" s="1755" t="s">
        <v>66</v>
      </c>
      <c r="B43" s="1756"/>
      <c r="C43" s="1024" t="s">
        <v>253</v>
      </c>
      <c r="D43" s="1025"/>
      <c r="E43" s="1026">
        <f aca="true" t="shared" si="9" ref="E43:F45">SUM(E30+E35)+E39</f>
        <v>56426973</v>
      </c>
      <c r="F43" s="1026">
        <f t="shared" si="9"/>
        <v>58349912</v>
      </c>
      <c r="G43" s="1026">
        <f aca="true" t="shared" si="10" ref="G43:H45">SUM(G30+G35)+G39</f>
        <v>59185112</v>
      </c>
      <c r="H43" s="1026">
        <f t="shared" si="10"/>
        <v>59287149</v>
      </c>
      <c r="I43" s="1026">
        <f aca="true" t="shared" si="11" ref="I43:J45">SUM(I30+I35)+I39</f>
        <v>59357149</v>
      </c>
      <c r="J43" s="1026">
        <f t="shared" si="11"/>
        <v>59357149</v>
      </c>
      <c r="K43" s="1026">
        <f aca="true" t="shared" si="12" ref="K43:L45">SUM(K30+K35)+K39</f>
        <v>60086306</v>
      </c>
      <c r="L43" s="1026">
        <f t="shared" si="12"/>
        <v>60086306</v>
      </c>
    </row>
    <row r="44" spans="1:12" ht="12.75" customHeight="1">
      <c r="A44" s="1757" t="s">
        <v>67</v>
      </c>
      <c r="B44" s="1758"/>
      <c r="C44" s="996" t="s">
        <v>254</v>
      </c>
      <c r="D44" s="997"/>
      <c r="E44" s="1027">
        <f t="shared" si="9"/>
        <v>12600977</v>
      </c>
      <c r="F44" s="1027">
        <f t="shared" si="9"/>
        <v>11434944</v>
      </c>
      <c r="G44" s="1027">
        <f t="shared" si="10"/>
        <v>11605922</v>
      </c>
      <c r="H44" s="1027">
        <f t="shared" si="10"/>
        <v>11625549</v>
      </c>
      <c r="I44" s="1027">
        <f t="shared" si="11"/>
        <v>11639199</v>
      </c>
      <c r="J44" s="1027">
        <f t="shared" si="11"/>
        <v>11639199</v>
      </c>
      <c r="K44" s="1027">
        <f t="shared" si="12"/>
        <v>11807570</v>
      </c>
      <c r="L44" s="1027">
        <f t="shared" si="12"/>
        <v>11807570</v>
      </c>
    </row>
    <row r="45" spans="1:12" ht="12.75" customHeight="1">
      <c r="A45" s="1759" t="s">
        <v>68</v>
      </c>
      <c r="B45" s="1760"/>
      <c r="C45" s="505" t="s">
        <v>255</v>
      </c>
      <c r="D45" s="1000"/>
      <c r="E45" s="1020">
        <f t="shared" si="9"/>
        <v>10127032</v>
      </c>
      <c r="F45" s="1020">
        <f t="shared" si="9"/>
        <v>10000000</v>
      </c>
      <c r="G45" s="1020">
        <f t="shared" si="10"/>
        <v>10680081</v>
      </c>
      <c r="H45" s="1020">
        <f>SUM(H32+H37)+H41</f>
        <v>10558417</v>
      </c>
      <c r="I45" s="1020">
        <f t="shared" si="11"/>
        <v>10989969</v>
      </c>
      <c r="J45" s="1020">
        <f t="shared" si="11"/>
        <v>11239969</v>
      </c>
      <c r="K45" s="1020">
        <f t="shared" si="12"/>
        <v>10845813</v>
      </c>
      <c r="L45" s="1020">
        <f t="shared" si="12"/>
        <v>10845813</v>
      </c>
    </row>
    <row r="46" spans="1:12" ht="12.75" customHeight="1">
      <c r="A46" s="1759" t="s">
        <v>70</v>
      </c>
      <c r="B46" s="1760"/>
      <c r="C46" s="505" t="s">
        <v>262</v>
      </c>
      <c r="D46" s="1000"/>
      <c r="E46" s="1020">
        <f aca="true" t="shared" si="13" ref="E46:J46">SUM(E33)</f>
        <v>1285467</v>
      </c>
      <c r="F46" s="1020">
        <f t="shared" si="13"/>
        <v>500000</v>
      </c>
      <c r="G46" s="1020">
        <f t="shared" si="13"/>
        <v>500000</v>
      </c>
      <c r="H46" s="1020">
        <f t="shared" si="13"/>
        <v>500000</v>
      </c>
      <c r="I46" s="1020">
        <f t="shared" si="13"/>
        <v>500000</v>
      </c>
      <c r="J46" s="1020">
        <f t="shared" si="13"/>
        <v>500000</v>
      </c>
      <c r="K46" s="1020">
        <f>SUM(K33)</f>
        <v>211478</v>
      </c>
      <c r="L46" s="1020">
        <f>SUM(L33)</f>
        <v>211478</v>
      </c>
    </row>
    <row r="47" spans="1:12" s="1005" customFormat="1" ht="12.75" customHeight="1">
      <c r="A47" s="1750" t="s">
        <v>97</v>
      </c>
      <c r="B47" s="1751"/>
      <c r="C47" s="1002" t="s">
        <v>822</v>
      </c>
      <c r="D47" s="1002"/>
      <c r="E47" s="1028">
        <v>1275000</v>
      </c>
      <c r="F47" s="1028">
        <v>500000</v>
      </c>
      <c r="G47" s="1028">
        <v>500000</v>
      </c>
      <c r="H47" s="1028">
        <v>500000</v>
      </c>
      <c r="I47" s="1028">
        <v>500000</v>
      </c>
      <c r="J47" s="1028">
        <v>500000</v>
      </c>
      <c r="K47" s="1028">
        <v>211478</v>
      </c>
      <c r="L47" s="1028">
        <v>211478</v>
      </c>
    </row>
    <row r="48" spans="1:12" s="666" customFormat="1" ht="12.75" customHeight="1" thickBot="1">
      <c r="A48" s="1752" t="s">
        <v>99</v>
      </c>
      <c r="B48" s="1753"/>
      <c r="C48" s="1018" t="s">
        <v>823</v>
      </c>
      <c r="D48" s="1018"/>
      <c r="E48" s="1029"/>
      <c r="F48" s="1029"/>
      <c r="G48" s="1029"/>
      <c r="H48" s="1029"/>
      <c r="I48" s="1029"/>
      <c r="J48" s="1029"/>
      <c r="K48" s="1029"/>
      <c r="L48" s="1029"/>
    </row>
  </sheetData>
  <sheetProtection selectLockedCells="1" selectUnlockedCells="1"/>
  <mergeCells count="52">
    <mergeCell ref="A1:J1"/>
    <mergeCell ref="A47:B47"/>
    <mergeCell ref="A48:B48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3:B23"/>
    <mergeCell ref="C23:D23"/>
    <mergeCell ref="A24:B24"/>
    <mergeCell ref="A27:B27"/>
    <mergeCell ref="A28:B28"/>
    <mergeCell ref="A29:B29"/>
    <mergeCell ref="A19:B19"/>
    <mergeCell ref="A20:B20"/>
    <mergeCell ref="A21:B21"/>
    <mergeCell ref="C21:D21"/>
    <mergeCell ref="A22:B22"/>
    <mergeCell ref="C22:D22"/>
    <mergeCell ref="A18:B18"/>
    <mergeCell ref="C18:D18"/>
    <mergeCell ref="A11:B11"/>
    <mergeCell ref="A12:B12"/>
    <mergeCell ref="A13:B13"/>
    <mergeCell ref="A14:B14"/>
    <mergeCell ref="A15:B15"/>
    <mergeCell ref="C16:D16"/>
    <mergeCell ref="A16:B16"/>
    <mergeCell ref="C17:D17"/>
    <mergeCell ref="A2:L2"/>
    <mergeCell ref="A5:L5"/>
    <mergeCell ref="A17:B17"/>
    <mergeCell ref="A8:B8"/>
    <mergeCell ref="C8:D8"/>
    <mergeCell ref="A9:B9"/>
    <mergeCell ref="C9:D9"/>
    <mergeCell ref="C15:D15"/>
    <mergeCell ref="A10:B10"/>
    <mergeCell ref="F3:I3"/>
  </mergeCells>
  <printOptions horizontalCentered="1"/>
  <pageMargins left="0.7086614173228347" right="0.1968503937007874" top="0.5511811023622047" bottom="0.984251968503937" header="0.5118110236220472" footer="0.5118110236220472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18" customWidth="1"/>
    <col min="2" max="2" width="14.7109375" style="18" customWidth="1"/>
    <col min="3" max="16384" width="9.140625" style="18" customWidth="1"/>
  </cols>
  <sheetData>
    <row r="1" ht="12.75" customHeight="1">
      <c r="B1" s="19" t="s">
        <v>21</v>
      </c>
    </row>
    <row r="2" spans="1:2" ht="12.75" customHeight="1">
      <c r="A2" s="1501" t="s">
        <v>22</v>
      </c>
      <c r="B2" s="1501"/>
    </row>
    <row r="3" ht="12.75" customHeight="1">
      <c r="B3" s="19"/>
    </row>
    <row r="4" ht="12.75" customHeight="1">
      <c r="A4" s="20" t="s">
        <v>23</v>
      </c>
    </row>
    <row r="6" ht="12.75" customHeight="1">
      <c r="B6" s="21" t="s">
        <v>4</v>
      </c>
    </row>
    <row r="7" spans="1:2" ht="15" customHeight="1">
      <c r="A7" s="22" t="s">
        <v>24</v>
      </c>
      <c r="B7" s="22" t="s">
        <v>25</v>
      </c>
    </row>
    <row r="8" spans="1:2" ht="12.75" customHeight="1">
      <c r="A8" s="23" t="s">
        <v>26</v>
      </c>
      <c r="B8" s="23">
        <v>350</v>
      </c>
    </row>
    <row r="9" spans="1:2" ht="12.75" customHeight="1">
      <c r="A9" s="24" t="s">
        <v>27</v>
      </c>
      <c r="B9" s="24">
        <v>500</v>
      </c>
    </row>
    <row r="10" spans="1:2" ht="12.75" customHeight="1">
      <c r="A10" s="24" t="s">
        <v>28</v>
      </c>
      <c r="B10" s="24">
        <v>100</v>
      </c>
    </row>
    <row r="11" spans="1:2" ht="12.75" customHeight="1">
      <c r="A11" s="22" t="s">
        <v>29</v>
      </c>
      <c r="B11" s="22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L90"/>
  <sheetViews>
    <sheetView view="pageBreakPreview" zoomScaleSheetLayoutView="100" zoomScalePageLayoutView="0" workbookViewId="0" topLeftCell="F1">
      <selection activeCell="G20" sqref="G20"/>
    </sheetView>
  </sheetViews>
  <sheetFormatPr defaultColWidth="11.57421875" defaultRowHeight="12.75" customHeight="1"/>
  <cols>
    <col min="1" max="1" width="5.421875" style="0" customWidth="1"/>
    <col min="2" max="2" width="4.28125" style="0" customWidth="1"/>
    <col min="3" max="3" width="30.28125" style="0" customWidth="1"/>
    <col min="4" max="4" width="5.421875" style="0" customWidth="1"/>
    <col min="5" max="12" width="19.28125" style="207" customWidth="1"/>
  </cols>
  <sheetData>
    <row r="1" spans="1:12" ht="18" customHeight="1">
      <c r="A1" s="1622" t="s">
        <v>528</v>
      </c>
      <c r="B1" s="1622"/>
      <c r="C1" s="1622"/>
      <c r="D1" s="1622"/>
      <c r="E1" s="1622"/>
      <c r="F1" s="1622"/>
      <c r="G1" s="1622"/>
      <c r="H1" s="1622"/>
      <c r="I1" s="1622"/>
      <c r="J1" s="1622"/>
      <c r="K1" s="1622"/>
      <c r="L1" s="1622"/>
    </row>
    <row r="2" spans="1:12" ht="18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2.75" customHeight="1">
      <c r="A3" s="1674" t="s">
        <v>1226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</row>
    <row r="4" spans="1:12" ht="12.75" customHeight="1">
      <c r="A4" s="78"/>
      <c r="B4" s="78"/>
      <c r="C4" s="78"/>
      <c r="D4" s="78"/>
      <c r="E4"/>
      <c r="F4" s="1931" t="s">
        <v>1227</v>
      </c>
      <c r="G4" s="1931"/>
      <c r="H4" s="1931"/>
      <c r="I4" s="1931"/>
      <c r="J4"/>
      <c r="K4"/>
      <c r="L4" t="s">
        <v>1236</v>
      </c>
    </row>
    <row r="5" spans="1:12" ht="18.75" customHeight="1">
      <c r="A5" s="1675" t="s">
        <v>244</v>
      </c>
      <c r="B5" s="1675"/>
      <c r="C5" s="1675"/>
      <c r="D5" s="1675"/>
      <c r="E5" s="1675"/>
      <c r="F5" s="1675"/>
      <c r="G5" s="1675"/>
      <c r="H5" s="1675"/>
      <c r="I5" s="1675"/>
      <c r="J5" s="1675"/>
      <c r="K5" s="1675"/>
      <c r="L5" s="1675"/>
    </row>
    <row r="6" spans="3:4" ht="18.75" customHeight="1">
      <c r="C6" s="238"/>
      <c r="D6" s="238"/>
    </row>
    <row r="7" spans="5:12" ht="12.75" customHeight="1" thickBot="1">
      <c r="E7" s="1102"/>
      <c r="F7" s="1102"/>
      <c r="G7" s="1102"/>
      <c r="H7" s="1102"/>
      <c r="I7" s="1102"/>
      <c r="J7" s="1102"/>
      <c r="K7" s="1102"/>
      <c r="L7" s="1102" t="s">
        <v>216</v>
      </c>
    </row>
    <row r="8" spans="1:12" ht="54" customHeight="1" thickBot="1">
      <c r="A8" s="1512" t="s">
        <v>156</v>
      </c>
      <c r="B8" s="1513"/>
      <c r="C8" s="1781" t="s">
        <v>157</v>
      </c>
      <c r="D8" s="1781"/>
      <c r="E8" s="448" t="s">
        <v>158</v>
      </c>
      <c r="F8" s="448" t="s">
        <v>1002</v>
      </c>
      <c r="G8" s="448" t="s">
        <v>1070</v>
      </c>
      <c r="H8" s="448" t="s">
        <v>1131</v>
      </c>
      <c r="I8" s="448" t="s">
        <v>1141</v>
      </c>
      <c r="J8" s="448" t="s">
        <v>1148</v>
      </c>
      <c r="K8" s="448" t="s">
        <v>1158</v>
      </c>
      <c r="L8" s="448" t="s">
        <v>1181</v>
      </c>
    </row>
    <row r="9" spans="1:12" ht="12.75" customHeight="1">
      <c r="A9" s="1767" t="s">
        <v>159</v>
      </c>
      <c r="B9" s="1768"/>
      <c r="C9" s="1774" t="s">
        <v>160</v>
      </c>
      <c r="D9" s="1774"/>
      <c r="E9" s="694" t="s">
        <v>161</v>
      </c>
      <c r="F9" s="694" t="s">
        <v>162</v>
      </c>
      <c r="G9" s="694" t="s">
        <v>479</v>
      </c>
      <c r="H9" s="694" t="s">
        <v>499</v>
      </c>
      <c r="I9" s="694" t="s">
        <v>745</v>
      </c>
      <c r="J9" s="694" t="s">
        <v>826</v>
      </c>
      <c r="K9" s="694" t="s">
        <v>830</v>
      </c>
      <c r="L9" s="694" t="s">
        <v>987</v>
      </c>
    </row>
    <row r="10" spans="1:12" s="10" customFormat="1" ht="12.75" customHeight="1">
      <c r="A10" s="1054" t="s">
        <v>38</v>
      </c>
      <c r="B10" s="1054" t="s">
        <v>165</v>
      </c>
      <c r="C10" s="1779" t="s">
        <v>831</v>
      </c>
      <c r="D10" s="1780"/>
      <c r="E10" s="1051">
        <v>907459</v>
      </c>
      <c r="F10" s="1051">
        <f aca="true" t="shared" si="0" ref="F10:L10">SUM(F11)</f>
        <v>0</v>
      </c>
      <c r="G10" s="1051">
        <f t="shared" si="0"/>
        <v>0</v>
      </c>
      <c r="H10" s="1051">
        <f t="shared" si="0"/>
        <v>0</v>
      </c>
      <c r="I10" s="1051">
        <f t="shared" si="0"/>
        <v>0</v>
      </c>
      <c r="J10" s="1051">
        <f t="shared" si="0"/>
        <v>984913</v>
      </c>
      <c r="K10" s="1051">
        <f t="shared" si="0"/>
        <v>984913</v>
      </c>
      <c r="L10" s="1051">
        <f t="shared" si="0"/>
        <v>984913</v>
      </c>
    </row>
    <row r="11" spans="1:12" s="122" customFormat="1" ht="12.75" customHeight="1">
      <c r="A11" s="1053" t="s">
        <v>40</v>
      </c>
      <c r="B11" s="1053"/>
      <c r="C11" s="1770" t="s">
        <v>832</v>
      </c>
      <c r="D11" s="1771"/>
      <c r="E11" s="1052">
        <v>907459</v>
      </c>
      <c r="F11" s="1052">
        <v>0</v>
      </c>
      <c r="G11" s="1052">
        <v>0</v>
      </c>
      <c r="H11" s="1052">
        <v>0</v>
      </c>
      <c r="I11" s="1052">
        <v>0</v>
      </c>
      <c r="J11" s="1052">
        <v>984913</v>
      </c>
      <c r="K11" s="1052">
        <v>984913</v>
      </c>
      <c r="L11" s="1052">
        <v>984913</v>
      </c>
    </row>
    <row r="12" spans="1:12" ht="12.75" customHeight="1">
      <c r="A12" s="1048" t="s">
        <v>47</v>
      </c>
      <c r="B12" s="1049" t="s">
        <v>167</v>
      </c>
      <c r="C12" s="241" t="s">
        <v>236</v>
      </c>
      <c r="D12" s="242"/>
      <c r="E12" s="1050">
        <f aca="true" t="shared" si="1" ref="E12:J12">SUM(E13:E18)</f>
        <v>20650698</v>
      </c>
      <c r="F12" s="1050">
        <f t="shared" si="1"/>
        <v>20174000</v>
      </c>
      <c r="G12" s="1050">
        <f t="shared" si="1"/>
        <v>20174000</v>
      </c>
      <c r="H12" s="1050">
        <f t="shared" si="1"/>
        <v>20174000</v>
      </c>
      <c r="I12" s="1050">
        <f t="shared" si="1"/>
        <v>20174000</v>
      </c>
      <c r="J12" s="1050">
        <f t="shared" si="1"/>
        <v>20211010</v>
      </c>
      <c r="K12" s="1050">
        <f>SUM(K13:K18)</f>
        <v>23409857</v>
      </c>
      <c r="L12" s="1050">
        <f>SUM(L13:L18)</f>
        <v>23409857</v>
      </c>
    </row>
    <row r="13" spans="1:12" s="122" customFormat="1" ht="12.75" customHeight="1">
      <c r="A13" s="588" t="s">
        <v>49</v>
      </c>
      <c r="B13" s="252"/>
      <c r="C13" s="1783" t="s">
        <v>675</v>
      </c>
      <c r="D13" s="1784"/>
      <c r="E13" s="589">
        <v>89708</v>
      </c>
      <c r="F13" s="589">
        <v>90000</v>
      </c>
      <c r="G13" s="589">
        <v>90000</v>
      </c>
      <c r="H13" s="589">
        <v>90000</v>
      </c>
      <c r="I13" s="589">
        <v>91000</v>
      </c>
      <c r="J13" s="589">
        <v>121000</v>
      </c>
      <c r="K13" s="589">
        <v>146522</v>
      </c>
      <c r="L13" s="589">
        <v>146522</v>
      </c>
    </row>
    <row r="14" spans="1:12" s="122" customFormat="1" ht="12.75" customHeight="1">
      <c r="A14" s="588" t="s">
        <v>51</v>
      </c>
      <c r="B14" s="252"/>
      <c r="C14" s="1783" t="s">
        <v>676</v>
      </c>
      <c r="D14" s="1784"/>
      <c r="E14" s="589">
        <v>83600</v>
      </c>
      <c r="F14" s="589">
        <v>84000</v>
      </c>
      <c r="G14" s="589">
        <v>84000</v>
      </c>
      <c r="H14" s="589">
        <v>84000</v>
      </c>
      <c r="I14" s="589">
        <v>82990</v>
      </c>
      <c r="J14" s="589">
        <v>90000</v>
      </c>
      <c r="K14" s="589">
        <v>113990</v>
      </c>
      <c r="L14" s="589">
        <v>113990</v>
      </c>
    </row>
    <row r="15" spans="1:12" s="122" customFormat="1" ht="12.75" customHeight="1">
      <c r="A15" s="588" t="s">
        <v>53</v>
      </c>
      <c r="B15" s="252"/>
      <c r="C15" s="1783" t="s">
        <v>677</v>
      </c>
      <c r="D15" s="1784"/>
      <c r="E15" s="589">
        <v>15670701</v>
      </c>
      <c r="F15" s="589">
        <v>16000000</v>
      </c>
      <c r="G15" s="589">
        <v>16000000</v>
      </c>
      <c r="H15" s="589">
        <v>16000000</v>
      </c>
      <c r="I15" s="589">
        <v>16000000</v>
      </c>
      <c r="J15" s="589">
        <v>16000000</v>
      </c>
      <c r="K15" s="589">
        <v>18172607</v>
      </c>
      <c r="L15" s="589">
        <v>18172607</v>
      </c>
    </row>
    <row r="16" spans="1:12" s="122" customFormat="1" ht="12.75" customHeight="1">
      <c r="A16" s="588" t="s">
        <v>55</v>
      </c>
      <c r="B16" s="252"/>
      <c r="C16" s="1783" t="s">
        <v>678</v>
      </c>
      <c r="D16" s="1784"/>
      <c r="E16" s="589">
        <v>4277524</v>
      </c>
      <c r="F16" s="589">
        <v>4000000</v>
      </c>
      <c r="G16" s="589">
        <v>4000000</v>
      </c>
      <c r="H16" s="589">
        <v>4000000</v>
      </c>
      <c r="I16" s="589">
        <v>4000000</v>
      </c>
      <c r="J16" s="589">
        <v>4000000</v>
      </c>
      <c r="K16" s="589">
        <v>4976718</v>
      </c>
      <c r="L16" s="589">
        <v>4976718</v>
      </c>
    </row>
    <row r="17" spans="1:12" s="122" customFormat="1" ht="12.75" customHeight="1">
      <c r="A17" s="590" t="s">
        <v>57</v>
      </c>
      <c r="B17" s="592"/>
      <c r="C17" s="883" t="s">
        <v>746</v>
      </c>
      <c r="D17" s="884"/>
      <c r="E17" s="591">
        <v>529164</v>
      </c>
      <c r="F17" s="591">
        <v>0</v>
      </c>
      <c r="G17" s="591">
        <v>0</v>
      </c>
      <c r="H17" s="591">
        <v>0</v>
      </c>
      <c r="I17" s="591">
        <v>0</v>
      </c>
      <c r="J17" s="591">
        <v>6</v>
      </c>
      <c r="K17" s="591">
        <v>1</v>
      </c>
      <c r="L17" s="591">
        <v>1</v>
      </c>
    </row>
    <row r="18" spans="1:12" s="122" customFormat="1" ht="12.75" customHeight="1" thickBot="1">
      <c r="A18" s="590" t="s">
        <v>86</v>
      </c>
      <c r="B18" s="592"/>
      <c r="C18" s="1765" t="s">
        <v>679</v>
      </c>
      <c r="D18" s="1766"/>
      <c r="E18" s="591">
        <v>1</v>
      </c>
      <c r="F18" s="591">
        <v>0</v>
      </c>
      <c r="G18" s="591">
        <v>0</v>
      </c>
      <c r="H18" s="591">
        <v>0</v>
      </c>
      <c r="I18" s="591">
        <v>10</v>
      </c>
      <c r="J18" s="591">
        <v>4</v>
      </c>
      <c r="K18" s="591">
        <v>19</v>
      </c>
      <c r="L18" s="591">
        <v>19</v>
      </c>
    </row>
    <row r="19" spans="1:12" s="585" customFormat="1" ht="20.25" customHeight="1" thickBot="1">
      <c r="A19" s="583" t="s">
        <v>59</v>
      </c>
      <c r="B19" s="584"/>
      <c r="C19" s="1763" t="s">
        <v>505</v>
      </c>
      <c r="D19" s="1764"/>
      <c r="E19" s="576">
        <f aca="true" t="shared" si="2" ref="E19:J19">SUM(E12)+E10</f>
        <v>21558157</v>
      </c>
      <c r="F19" s="576">
        <f t="shared" si="2"/>
        <v>20174000</v>
      </c>
      <c r="G19" s="576">
        <f t="shared" si="2"/>
        <v>20174000</v>
      </c>
      <c r="H19" s="576">
        <f t="shared" si="2"/>
        <v>20174000</v>
      </c>
      <c r="I19" s="576">
        <f t="shared" si="2"/>
        <v>20174000</v>
      </c>
      <c r="J19" s="576">
        <f t="shared" si="2"/>
        <v>21195923</v>
      </c>
      <c r="K19" s="576">
        <f>SUM(K12)+K10</f>
        <v>24394770</v>
      </c>
      <c r="L19" s="576">
        <f>SUM(L12)+L10</f>
        <v>24394770</v>
      </c>
    </row>
    <row r="20" spans="1:12" s="253" customFormat="1" ht="12.75" customHeight="1">
      <c r="A20" s="707" t="s">
        <v>61</v>
      </c>
      <c r="B20" s="708" t="s">
        <v>167</v>
      </c>
      <c r="C20" s="1775" t="s">
        <v>524</v>
      </c>
      <c r="D20" s="1776"/>
      <c r="E20" s="762">
        <v>3099073</v>
      </c>
      <c r="F20" s="1202">
        <v>1030008</v>
      </c>
      <c r="G20" s="1202">
        <v>1030008</v>
      </c>
      <c r="H20" s="1202">
        <v>1030008</v>
      </c>
      <c r="I20" s="1202">
        <v>1030008</v>
      </c>
      <c r="J20" s="1202">
        <v>1030008</v>
      </c>
      <c r="K20" s="1202">
        <v>1030008</v>
      </c>
      <c r="L20" s="1202">
        <v>1030008</v>
      </c>
    </row>
    <row r="21" spans="1:12" ht="12.75" customHeight="1">
      <c r="A21" s="593" t="s">
        <v>63</v>
      </c>
      <c r="B21" s="252" t="s">
        <v>174</v>
      </c>
      <c r="C21" s="1777" t="s">
        <v>518</v>
      </c>
      <c r="D21" s="1778"/>
      <c r="E21" s="704">
        <f aca="true" t="shared" si="3" ref="E21:J21">SUM(E22:E23)</f>
        <v>63523333</v>
      </c>
      <c r="F21" s="704">
        <f t="shared" si="3"/>
        <v>67562557</v>
      </c>
      <c r="G21" s="704">
        <f t="shared" si="3"/>
        <v>67562557</v>
      </c>
      <c r="H21" s="704">
        <f t="shared" si="3"/>
        <v>67562557</v>
      </c>
      <c r="I21" s="704">
        <f t="shared" si="3"/>
        <v>67576658</v>
      </c>
      <c r="J21" s="704">
        <f t="shared" si="3"/>
        <v>67668491</v>
      </c>
      <c r="K21" s="704">
        <f>SUM(K22:K23)</f>
        <v>67540538</v>
      </c>
      <c r="L21" s="704">
        <f>SUM(L22:L23)</f>
        <v>67540538</v>
      </c>
    </row>
    <row r="22" spans="1:12" ht="12.75" customHeight="1">
      <c r="A22" s="590" t="s">
        <v>65</v>
      </c>
      <c r="B22" s="254"/>
      <c r="C22" s="226" t="s">
        <v>507</v>
      </c>
      <c r="D22" s="255"/>
      <c r="E22" s="705">
        <v>28993914</v>
      </c>
      <c r="F22" s="705">
        <f>SUM(13156821+9495197)+9168000</f>
        <v>31820018</v>
      </c>
      <c r="G22" s="705">
        <f>SUM(13156821+9495197)+9168000</f>
        <v>31820018</v>
      </c>
      <c r="H22" s="705">
        <f>SUM(13156821+9495197)+9168000</f>
        <v>31820018</v>
      </c>
      <c r="I22" s="705">
        <v>31834119</v>
      </c>
      <c r="J22" s="705">
        <v>31925952</v>
      </c>
      <c r="K22" s="705">
        <v>31925952</v>
      </c>
      <c r="L22" s="705">
        <v>31925952</v>
      </c>
    </row>
    <row r="23" spans="1:12" ht="12.75" customHeight="1" thickBot="1">
      <c r="A23" s="709" t="s">
        <v>92</v>
      </c>
      <c r="B23" s="710"/>
      <c r="C23" s="1773" t="s">
        <v>508</v>
      </c>
      <c r="D23" s="1773"/>
      <c r="E23" s="706">
        <v>34529419</v>
      </c>
      <c r="F23" s="706">
        <v>35742539</v>
      </c>
      <c r="G23" s="706">
        <v>35742539</v>
      </c>
      <c r="H23" s="706">
        <v>35742539</v>
      </c>
      <c r="I23" s="706">
        <v>35742539</v>
      </c>
      <c r="J23" s="706">
        <v>35742539</v>
      </c>
      <c r="K23" s="706">
        <v>35614586</v>
      </c>
      <c r="L23" s="706">
        <v>35614586</v>
      </c>
    </row>
    <row r="24" spans="1:12" s="528" customFormat="1" ht="18.75" customHeight="1" thickBot="1">
      <c r="A24" s="586" t="s">
        <v>66</v>
      </c>
      <c r="B24" s="587"/>
      <c r="C24" s="1772" t="s">
        <v>519</v>
      </c>
      <c r="D24" s="1772"/>
      <c r="E24" s="577">
        <f aca="true" t="shared" si="4" ref="E24:J24">SUM(E20+E21)</f>
        <v>66622406</v>
      </c>
      <c r="F24" s="577">
        <f t="shared" si="4"/>
        <v>68592565</v>
      </c>
      <c r="G24" s="577">
        <f t="shared" si="4"/>
        <v>68592565</v>
      </c>
      <c r="H24" s="577">
        <f t="shared" si="4"/>
        <v>68592565</v>
      </c>
      <c r="I24" s="577">
        <f t="shared" si="4"/>
        <v>68606666</v>
      </c>
      <c r="J24" s="577">
        <f t="shared" si="4"/>
        <v>68698499</v>
      </c>
      <c r="K24" s="577">
        <f>SUM(K20+K21)</f>
        <v>68570546</v>
      </c>
      <c r="L24" s="577">
        <f>SUM(L20+L21)</f>
        <v>68570546</v>
      </c>
    </row>
    <row r="25" spans="1:12" s="528" customFormat="1" ht="21" customHeight="1" thickBot="1">
      <c r="A25" s="579" t="s">
        <v>67</v>
      </c>
      <c r="B25" s="580"/>
      <c r="C25" s="581" t="s">
        <v>116</v>
      </c>
      <c r="D25" s="582"/>
      <c r="E25" s="578">
        <f aca="true" t="shared" si="5" ref="E25:J25">SUM(E19+E24)</f>
        <v>88180563</v>
      </c>
      <c r="F25" s="578">
        <f t="shared" si="5"/>
        <v>88766565</v>
      </c>
      <c r="G25" s="578">
        <f t="shared" si="5"/>
        <v>88766565</v>
      </c>
      <c r="H25" s="578">
        <f t="shared" si="5"/>
        <v>88766565</v>
      </c>
      <c r="I25" s="578">
        <f t="shared" si="5"/>
        <v>88780666</v>
      </c>
      <c r="J25" s="578">
        <f t="shared" si="5"/>
        <v>89894422</v>
      </c>
      <c r="K25" s="578">
        <f>SUM(K19+K24)</f>
        <v>92965316</v>
      </c>
      <c r="L25" s="578">
        <f>SUM(L19+L24)</f>
        <v>92965316</v>
      </c>
    </row>
    <row r="26" ht="12.75" customHeight="1" thickBot="1"/>
    <row r="27" spans="1:12" ht="36.75" customHeight="1">
      <c r="A27" s="1556" t="s">
        <v>156</v>
      </c>
      <c r="B27" s="1769"/>
      <c r="C27" s="485" t="s">
        <v>529</v>
      </c>
      <c r="D27" s="485" t="s">
        <v>520</v>
      </c>
      <c r="E27" s="448" t="s">
        <v>158</v>
      </c>
      <c r="F27" s="448" t="s">
        <v>1002</v>
      </c>
      <c r="G27" s="448" t="s">
        <v>1070</v>
      </c>
      <c r="H27" s="448" t="s">
        <v>1131</v>
      </c>
      <c r="I27" s="448" t="s">
        <v>1141</v>
      </c>
      <c r="J27" s="448" t="s">
        <v>1148</v>
      </c>
      <c r="K27" s="448" t="s">
        <v>1158</v>
      </c>
      <c r="L27" s="448" t="s">
        <v>1181</v>
      </c>
    </row>
    <row r="28" spans="1:12" ht="12.75" customHeight="1" thickBot="1">
      <c r="A28" s="1761" t="s">
        <v>159</v>
      </c>
      <c r="B28" s="1762"/>
      <c r="C28" s="256" t="s">
        <v>160</v>
      </c>
      <c r="D28" s="256" t="s">
        <v>161</v>
      </c>
      <c r="E28" s="694" t="s">
        <v>162</v>
      </c>
      <c r="F28" s="694" t="s">
        <v>479</v>
      </c>
      <c r="G28" s="694" t="s">
        <v>499</v>
      </c>
      <c r="H28" s="694" t="s">
        <v>745</v>
      </c>
      <c r="I28" s="694" t="s">
        <v>826</v>
      </c>
      <c r="J28" s="694" t="s">
        <v>830</v>
      </c>
      <c r="K28" s="694" t="s">
        <v>987</v>
      </c>
      <c r="L28" s="694" t="s">
        <v>988</v>
      </c>
    </row>
    <row r="29" spans="1:12" ht="34.5" customHeight="1">
      <c r="A29" s="595" t="s">
        <v>38</v>
      </c>
      <c r="B29" s="257" t="s">
        <v>165</v>
      </c>
      <c r="C29" s="258" t="s">
        <v>385</v>
      </c>
      <c r="D29" s="259">
        <v>5</v>
      </c>
      <c r="E29" s="695">
        <f>SUM(E30:E33)</f>
        <v>29560656</v>
      </c>
      <c r="F29" s="695">
        <f aca="true" t="shared" si="6" ref="F29:K29">SUM(F30:F32)</f>
        <v>30726050</v>
      </c>
      <c r="G29" s="695">
        <f t="shared" si="6"/>
        <v>30726050</v>
      </c>
      <c r="H29" s="695">
        <f t="shared" si="6"/>
        <v>30726050</v>
      </c>
      <c r="I29" s="695">
        <f t="shared" si="6"/>
        <v>30726050</v>
      </c>
      <c r="J29" s="695">
        <f t="shared" si="6"/>
        <v>30726050</v>
      </c>
      <c r="K29" s="695">
        <f t="shared" si="6"/>
        <v>33025069</v>
      </c>
      <c r="L29" s="1465">
        <f>SUM(L30:L32)</f>
        <v>32997154</v>
      </c>
    </row>
    <row r="30" spans="1:12" ht="12.75" customHeight="1">
      <c r="A30" s="596" t="s">
        <v>40</v>
      </c>
      <c r="B30" s="85"/>
      <c r="C30" s="17" t="s">
        <v>253</v>
      </c>
      <c r="D30" s="183"/>
      <c r="E30" s="696">
        <v>8142920</v>
      </c>
      <c r="F30" s="696">
        <v>9500792</v>
      </c>
      <c r="G30" s="696">
        <v>9500792</v>
      </c>
      <c r="H30" s="696">
        <v>9500792</v>
      </c>
      <c r="I30" s="696">
        <v>9500792</v>
      </c>
      <c r="J30" s="696">
        <v>9500792</v>
      </c>
      <c r="K30" s="696">
        <v>9500792</v>
      </c>
      <c r="L30" s="696">
        <v>9320500</v>
      </c>
    </row>
    <row r="31" spans="1:12" ht="12.75" customHeight="1">
      <c r="A31" s="596" t="s">
        <v>47</v>
      </c>
      <c r="B31" s="85"/>
      <c r="C31" s="17" t="s">
        <v>254</v>
      </c>
      <c r="D31" s="183"/>
      <c r="E31" s="696">
        <v>2066053</v>
      </c>
      <c r="F31" s="696">
        <v>1725258</v>
      </c>
      <c r="G31" s="696">
        <v>1725258</v>
      </c>
      <c r="H31" s="696">
        <v>1725258</v>
      </c>
      <c r="I31" s="696">
        <v>1725258</v>
      </c>
      <c r="J31" s="696">
        <v>1725258</v>
      </c>
      <c r="K31" s="696">
        <v>1725258</v>
      </c>
      <c r="L31" s="696">
        <v>1785843</v>
      </c>
    </row>
    <row r="32" spans="1:12" ht="12.75" customHeight="1">
      <c r="A32" s="596" t="s">
        <v>49</v>
      </c>
      <c r="B32" s="85"/>
      <c r="C32" s="17" t="s">
        <v>255</v>
      </c>
      <c r="D32" s="183"/>
      <c r="E32" s="696">
        <v>19084123</v>
      </c>
      <c r="F32" s="696">
        <v>19500000</v>
      </c>
      <c r="G32" s="696">
        <v>19500000</v>
      </c>
      <c r="H32" s="696">
        <v>19500000</v>
      </c>
      <c r="I32" s="696">
        <v>19500000</v>
      </c>
      <c r="J32" s="696">
        <v>19500000</v>
      </c>
      <c r="K32" s="696">
        <v>21799019</v>
      </c>
      <c r="L32" s="696">
        <v>21890811</v>
      </c>
    </row>
    <row r="33" spans="1:12" ht="12.75" customHeight="1">
      <c r="A33" s="596" t="s">
        <v>51</v>
      </c>
      <c r="B33" s="85"/>
      <c r="C33" s="17" t="s">
        <v>654</v>
      </c>
      <c r="D33" s="183"/>
      <c r="E33" s="696">
        <v>267560</v>
      </c>
      <c r="F33" s="696">
        <v>0</v>
      </c>
      <c r="G33" s="696">
        <v>0</v>
      </c>
      <c r="H33" s="696">
        <v>0</v>
      </c>
      <c r="I33" s="696">
        <v>0</v>
      </c>
      <c r="J33" s="696">
        <v>0</v>
      </c>
      <c r="K33" s="696">
        <v>0</v>
      </c>
      <c r="L33" s="696">
        <v>0</v>
      </c>
    </row>
    <row r="34" spans="1:12" s="10" customFormat="1" ht="27.75" customHeight="1">
      <c r="A34" s="596" t="s">
        <v>53</v>
      </c>
      <c r="B34" s="65" t="s">
        <v>167</v>
      </c>
      <c r="C34" s="181" t="s">
        <v>530</v>
      </c>
      <c r="D34" s="182">
        <v>1</v>
      </c>
      <c r="E34" s="697">
        <f aca="true" t="shared" si="7" ref="E34:J34">SUM(E35:E38)</f>
        <v>8509447</v>
      </c>
      <c r="F34" s="697">
        <f t="shared" si="7"/>
        <v>7410260</v>
      </c>
      <c r="G34" s="697">
        <f t="shared" si="7"/>
        <v>9410260</v>
      </c>
      <c r="H34" s="697">
        <f t="shared" si="7"/>
        <v>9410260</v>
      </c>
      <c r="I34" s="697">
        <f t="shared" si="7"/>
        <v>9410260</v>
      </c>
      <c r="J34" s="697">
        <f t="shared" si="7"/>
        <v>9410260</v>
      </c>
      <c r="K34" s="697">
        <f>SUM(K35:K38)</f>
        <v>9410260</v>
      </c>
      <c r="L34" s="1464">
        <f>SUM(L35:L38)</f>
        <v>9525540</v>
      </c>
    </row>
    <row r="35" spans="1:12" ht="12.75" customHeight="1">
      <c r="A35" s="596" t="s">
        <v>55</v>
      </c>
      <c r="B35" s="85"/>
      <c r="C35" s="17" t="s">
        <v>253</v>
      </c>
      <c r="D35" s="183"/>
      <c r="E35" s="696">
        <v>2473665</v>
      </c>
      <c r="F35" s="696">
        <v>2886160</v>
      </c>
      <c r="G35" s="696">
        <v>2886160</v>
      </c>
      <c r="H35" s="696">
        <v>2886160</v>
      </c>
      <c r="I35" s="696">
        <v>2886160</v>
      </c>
      <c r="J35" s="696">
        <v>2886160</v>
      </c>
      <c r="K35" s="696">
        <v>2886160</v>
      </c>
      <c r="L35" s="696">
        <v>2824526</v>
      </c>
    </row>
    <row r="36" spans="1:12" ht="12.75" customHeight="1">
      <c r="A36" s="596" t="s">
        <v>57</v>
      </c>
      <c r="B36" s="85"/>
      <c r="C36" s="17" t="s">
        <v>254</v>
      </c>
      <c r="D36" s="183"/>
      <c r="E36" s="696">
        <v>627628</v>
      </c>
      <c r="F36" s="696">
        <v>524100</v>
      </c>
      <c r="G36" s="696">
        <v>524100</v>
      </c>
      <c r="H36" s="696">
        <v>524100</v>
      </c>
      <c r="I36" s="696">
        <v>524100</v>
      </c>
      <c r="J36" s="696">
        <v>524100</v>
      </c>
      <c r="K36" s="696">
        <v>524100</v>
      </c>
      <c r="L36" s="696">
        <v>545545</v>
      </c>
    </row>
    <row r="37" spans="1:12" ht="12.75" customHeight="1">
      <c r="A37" s="596" t="s">
        <v>86</v>
      </c>
      <c r="B37" s="85"/>
      <c r="C37" s="17" t="s">
        <v>255</v>
      </c>
      <c r="D37" s="183"/>
      <c r="E37" s="696">
        <v>5408154</v>
      </c>
      <c r="F37" s="696">
        <v>4000000</v>
      </c>
      <c r="G37" s="696">
        <v>6000000</v>
      </c>
      <c r="H37" s="696">
        <v>6000000</v>
      </c>
      <c r="I37" s="696">
        <v>6000000</v>
      </c>
      <c r="J37" s="696">
        <v>6000000</v>
      </c>
      <c r="K37" s="696">
        <v>6000000</v>
      </c>
      <c r="L37" s="696">
        <v>6155469</v>
      </c>
    </row>
    <row r="38" spans="1:12" ht="12.75" customHeight="1">
      <c r="A38" s="596" t="s">
        <v>59</v>
      </c>
      <c r="B38" s="85"/>
      <c r="C38" s="17" t="s">
        <v>654</v>
      </c>
      <c r="D38" s="183"/>
      <c r="E38" s="696"/>
      <c r="F38" s="696"/>
      <c r="G38" s="696"/>
      <c r="H38" s="696"/>
      <c r="I38" s="696"/>
      <c r="J38" s="696"/>
      <c r="K38" s="696"/>
      <c r="L38" s="696"/>
    </row>
    <row r="39" spans="1:12" s="10" customFormat="1" ht="28.5" customHeight="1">
      <c r="A39" s="596" t="s">
        <v>61</v>
      </c>
      <c r="B39" s="65" t="s">
        <v>174</v>
      </c>
      <c r="C39" s="181" t="s">
        <v>395</v>
      </c>
      <c r="D39" s="182">
        <v>0</v>
      </c>
      <c r="E39" s="697">
        <f aca="true" t="shared" si="8" ref="E39:J39">SUM(E40:E43)</f>
        <v>0</v>
      </c>
      <c r="F39" s="697">
        <f t="shared" si="8"/>
        <v>0</v>
      </c>
      <c r="G39" s="697">
        <f t="shared" si="8"/>
        <v>0</v>
      </c>
      <c r="H39" s="697">
        <f t="shared" si="8"/>
        <v>0</v>
      </c>
      <c r="I39" s="697">
        <f t="shared" si="8"/>
        <v>0</v>
      </c>
      <c r="J39" s="697">
        <f t="shared" si="8"/>
        <v>0</v>
      </c>
      <c r="K39" s="697">
        <f>SUM(K40:K43)</f>
        <v>0</v>
      </c>
      <c r="L39" s="697">
        <f>SUM(L40:L43)</f>
        <v>0</v>
      </c>
    </row>
    <row r="40" spans="1:12" ht="12.75" customHeight="1">
      <c r="A40" s="596" t="s">
        <v>63</v>
      </c>
      <c r="B40" s="85"/>
      <c r="C40" s="17" t="s">
        <v>253</v>
      </c>
      <c r="D40" s="183"/>
      <c r="E40" s="696">
        <v>0</v>
      </c>
      <c r="F40" s="696">
        <v>0</v>
      </c>
      <c r="G40" s="696">
        <v>0</v>
      </c>
      <c r="H40" s="696">
        <v>0</v>
      </c>
      <c r="I40" s="696">
        <v>0</v>
      </c>
      <c r="J40" s="696">
        <v>0</v>
      </c>
      <c r="K40" s="696">
        <v>0</v>
      </c>
      <c r="L40" s="696">
        <v>0</v>
      </c>
    </row>
    <row r="41" spans="1:12" ht="12.75" customHeight="1">
      <c r="A41" s="596" t="s">
        <v>65</v>
      </c>
      <c r="B41" s="85"/>
      <c r="C41" s="17" t="s">
        <v>254</v>
      </c>
      <c r="D41" s="183"/>
      <c r="E41" s="696">
        <v>0</v>
      </c>
      <c r="F41" s="696">
        <v>0</v>
      </c>
      <c r="G41" s="696">
        <v>0</v>
      </c>
      <c r="H41" s="696">
        <v>0</v>
      </c>
      <c r="I41" s="696">
        <v>0</v>
      </c>
      <c r="J41" s="696">
        <v>0</v>
      </c>
      <c r="K41" s="696">
        <v>0</v>
      </c>
      <c r="L41" s="696">
        <v>0</v>
      </c>
    </row>
    <row r="42" spans="1:12" ht="12.75" customHeight="1">
      <c r="A42" s="596" t="s">
        <v>92</v>
      </c>
      <c r="B42" s="85"/>
      <c r="C42" s="17" t="s">
        <v>255</v>
      </c>
      <c r="D42" s="183"/>
      <c r="E42" s="696">
        <v>0</v>
      </c>
      <c r="F42" s="696">
        <v>0</v>
      </c>
      <c r="G42" s="696">
        <v>0</v>
      </c>
      <c r="H42" s="696">
        <v>0</v>
      </c>
      <c r="I42" s="696">
        <v>0</v>
      </c>
      <c r="J42" s="696">
        <v>0</v>
      </c>
      <c r="K42" s="696">
        <v>0</v>
      </c>
      <c r="L42" s="696">
        <v>0</v>
      </c>
    </row>
    <row r="43" spans="1:12" ht="12.75" customHeight="1">
      <c r="A43" s="596" t="s">
        <v>66</v>
      </c>
      <c r="B43" s="85"/>
      <c r="C43" s="17" t="s">
        <v>654</v>
      </c>
      <c r="D43" s="183"/>
      <c r="E43" s="696">
        <v>0</v>
      </c>
      <c r="F43" s="696">
        <v>0</v>
      </c>
      <c r="G43" s="696">
        <v>0</v>
      </c>
      <c r="H43" s="696">
        <v>0</v>
      </c>
      <c r="I43" s="696">
        <v>0</v>
      </c>
      <c r="J43" s="696">
        <v>0</v>
      </c>
      <c r="K43" s="696">
        <v>0</v>
      </c>
      <c r="L43" s="696">
        <v>0</v>
      </c>
    </row>
    <row r="44" spans="1:12" ht="12.75" customHeight="1">
      <c r="A44" s="596" t="s">
        <v>67</v>
      </c>
      <c r="B44" s="65" t="s">
        <v>184</v>
      </c>
      <c r="C44" s="181" t="s">
        <v>531</v>
      </c>
      <c r="D44" s="182">
        <v>0</v>
      </c>
      <c r="E44" s="697">
        <f aca="true" t="shared" si="9" ref="E44:J44">SUM(E47:E48)</f>
        <v>549694</v>
      </c>
      <c r="F44" s="697">
        <f t="shared" si="9"/>
        <v>500000</v>
      </c>
      <c r="G44" s="697">
        <f t="shared" si="9"/>
        <v>500000</v>
      </c>
      <c r="H44" s="697">
        <f t="shared" si="9"/>
        <v>500000</v>
      </c>
      <c r="I44" s="697">
        <f t="shared" si="9"/>
        <v>500000</v>
      </c>
      <c r="J44" s="697">
        <f t="shared" si="9"/>
        <v>500000</v>
      </c>
      <c r="K44" s="697">
        <f>SUM(K47:K48)</f>
        <v>500000</v>
      </c>
      <c r="L44" s="1464">
        <f>SUM(L47:L48)</f>
        <v>1688432</v>
      </c>
    </row>
    <row r="45" spans="1:12" ht="12.75" customHeight="1">
      <c r="A45" s="596" t="s">
        <v>68</v>
      </c>
      <c r="B45" s="65"/>
      <c r="C45" s="17" t="s">
        <v>468</v>
      </c>
      <c r="D45" s="182"/>
      <c r="E45" s="696">
        <v>0</v>
      </c>
      <c r="F45" s="696">
        <v>0</v>
      </c>
      <c r="G45" s="696">
        <v>0</v>
      </c>
      <c r="H45" s="696">
        <v>0</v>
      </c>
      <c r="I45" s="696">
        <v>0</v>
      </c>
      <c r="J45" s="696">
        <v>0</v>
      </c>
      <c r="K45" s="696">
        <v>0</v>
      </c>
      <c r="L45" s="696">
        <v>0</v>
      </c>
    </row>
    <row r="46" spans="1:12" ht="12.75" customHeight="1">
      <c r="A46" s="596" t="s">
        <v>70</v>
      </c>
      <c r="B46" s="85"/>
      <c r="C46" s="17" t="s">
        <v>254</v>
      </c>
      <c r="D46" s="183"/>
      <c r="E46" s="696">
        <v>0</v>
      </c>
      <c r="F46" s="696">
        <v>0</v>
      </c>
      <c r="G46" s="696">
        <v>0</v>
      </c>
      <c r="H46" s="696">
        <v>0</v>
      </c>
      <c r="I46" s="696">
        <v>0</v>
      </c>
      <c r="J46" s="696">
        <v>0</v>
      </c>
      <c r="K46" s="696">
        <v>0</v>
      </c>
      <c r="L46" s="696">
        <v>0</v>
      </c>
    </row>
    <row r="47" spans="1:12" ht="12.75" customHeight="1">
      <c r="A47" s="596" t="s">
        <v>97</v>
      </c>
      <c r="B47" s="85"/>
      <c r="C47" s="17" t="s">
        <v>255</v>
      </c>
      <c r="D47" s="183"/>
      <c r="E47" s="696">
        <v>549694</v>
      </c>
      <c r="F47" s="696">
        <v>500000</v>
      </c>
      <c r="G47" s="696">
        <v>500000</v>
      </c>
      <c r="H47" s="696">
        <v>500000</v>
      </c>
      <c r="I47" s="696">
        <v>500000</v>
      </c>
      <c r="J47" s="696">
        <v>500000</v>
      </c>
      <c r="K47" s="696">
        <v>500000</v>
      </c>
      <c r="L47" s="696">
        <v>1688432</v>
      </c>
    </row>
    <row r="48" spans="1:12" ht="12.75" customHeight="1">
      <c r="A48" s="596" t="s">
        <v>99</v>
      </c>
      <c r="B48" s="85"/>
      <c r="C48" s="17" t="s">
        <v>654</v>
      </c>
      <c r="D48" s="183"/>
      <c r="E48" s="696">
        <v>0</v>
      </c>
      <c r="F48" s="696">
        <v>0</v>
      </c>
      <c r="G48" s="696">
        <v>0</v>
      </c>
      <c r="H48" s="696">
        <v>0</v>
      </c>
      <c r="I48" s="696">
        <v>0</v>
      </c>
      <c r="J48" s="696">
        <v>0</v>
      </c>
      <c r="K48" s="696">
        <v>0</v>
      </c>
      <c r="L48" s="696">
        <v>0</v>
      </c>
    </row>
    <row r="49" spans="1:12" ht="12.75" customHeight="1">
      <c r="A49" s="596" t="s">
        <v>101</v>
      </c>
      <c r="B49" s="65" t="s">
        <v>185</v>
      </c>
      <c r="C49" s="181" t="s">
        <v>532</v>
      </c>
      <c r="D49" s="182">
        <v>0</v>
      </c>
      <c r="E49" s="697">
        <f aca="true" t="shared" si="10" ref="E49:J49">SUM(E50:E53)</f>
        <v>27182</v>
      </c>
      <c r="F49" s="697">
        <f t="shared" si="10"/>
        <v>430000</v>
      </c>
      <c r="G49" s="697">
        <f t="shared" si="10"/>
        <v>430000</v>
      </c>
      <c r="H49" s="697">
        <f t="shared" si="10"/>
        <v>430000</v>
      </c>
      <c r="I49" s="697">
        <f t="shared" si="10"/>
        <v>430000</v>
      </c>
      <c r="J49" s="697">
        <f t="shared" si="10"/>
        <v>430000</v>
      </c>
      <c r="K49" s="697">
        <f>SUM(K50:K53)</f>
        <v>430000</v>
      </c>
      <c r="L49" s="1464">
        <f>SUM(L50:L53)</f>
        <v>145568</v>
      </c>
    </row>
    <row r="50" spans="1:12" ht="12.75" customHeight="1">
      <c r="A50" s="596" t="s">
        <v>103</v>
      </c>
      <c r="B50" s="65"/>
      <c r="C50" s="17" t="s">
        <v>253</v>
      </c>
      <c r="D50" s="182"/>
      <c r="E50" s="696">
        <v>0</v>
      </c>
      <c r="F50" s="696">
        <v>0</v>
      </c>
      <c r="G50" s="696">
        <v>0</v>
      </c>
      <c r="H50" s="696">
        <v>0</v>
      </c>
      <c r="I50" s="696">
        <v>0</v>
      </c>
      <c r="J50" s="696">
        <v>0</v>
      </c>
      <c r="K50" s="696">
        <v>0</v>
      </c>
      <c r="L50" s="696">
        <v>0</v>
      </c>
    </row>
    <row r="51" spans="1:12" ht="12.75" customHeight="1">
      <c r="A51" s="596" t="s">
        <v>105</v>
      </c>
      <c r="B51" s="85"/>
      <c r="C51" s="17" t="s">
        <v>254</v>
      </c>
      <c r="D51" s="260"/>
      <c r="E51" s="696">
        <v>0</v>
      </c>
      <c r="F51" s="696">
        <v>0</v>
      </c>
      <c r="G51" s="696">
        <v>0</v>
      </c>
      <c r="H51" s="696">
        <v>0</v>
      </c>
      <c r="I51" s="696">
        <v>0</v>
      </c>
      <c r="J51" s="696">
        <v>0</v>
      </c>
      <c r="K51" s="696">
        <v>0</v>
      </c>
      <c r="L51" s="696">
        <v>0</v>
      </c>
    </row>
    <row r="52" spans="1:12" ht="12.75" customHeight="1">
      <c r="A52" s="596" t="s">
        <v>107</v>
      </c>
      <c r="B52" s="85"/>
      <c r="C52" s="17" t="s">
        <v>255</v>
      </c>
      <c r="D52" s="260"/>
      <c r="E52" s="696">
        <v>27182</v>
      </c>
      <c r="F52" s="696">
        <v>430000</v>
      </c>
      <c r="G52" s="696">
        <v>430000</v>
      </c>
      <c r="H52" s="696">
        <v>430000</v>
      </c>
      <c r="I52" s="696">
        <v>430000</v>
      </c>
      <c r="J52" s="696">
        <v>430000</v>
      </c>
      <c r="K52" s="696">
        <v>430000</v>
      </c>
      <c r="L52" s="696">
        <v>145568</v>
      </c>
    </row>
    <row r="53" spans="1:12" ht="12.75" customHeight="1">
      <c r="A53" s="596" t="s">
        <v>109</v>
      </c>
      <c r="B53" s="85"/>
      <c r="C53" s="17" t="s">
        <v>654</v>
      </c>
      <c r="D53" s="260"/>
      <c r="E53" s="696">
        <v>0</v>
      </c>
      <c r="F53" s="696">
        <v>0</v>
      </c>
      <c r="G53" s="696">
        <v>0</v>
      </c>
      <c r="H53" s="696">
        <v>0</v>
      </c>
      <c r="I53" s="696">
        <v>0</v>
      </c>
      <c r="J53" s="696">
        <v>0</v>
      </c>
      <c r="K53" s="696">
        <v>0</v>
      </c>
      <c r="L53" s="696">
        <v>0</v>
      </c>
    </row>
    <row r="54" spans="1:12" ht="12.75" customHeight="1">
      <c r="A54" s="596" t="s">
        <v>111</v>
      </c>
      <c r="B54" s="65" t="s">
        <v>186</v>
      </c>
      <c r="C54" s="181" t="s">
        <v>533</v>
      </c>
      <c r="D54" s="261">
        <v>13</v>
      </c>
      <c r="E54" s="697">
        <f aca="true" t="shared" si="11" ref="E54:J54">SUM(E55:E58)</f>
        <v>35159804</v>
      </c>
      <c r="F54" s="697">
        <f t="shared" si="11"/>
        <v>34172255</v>
      </c>
      <c r="G54" s="697">
        <f t="shared" si="11"/>
        <v>37172255</v>
      </c>
      <c r="H54" s="697">
        <f t="shared" si="11"/>
        <v>37172255</v>
      </c>
      <c r="I54" s="697">
        <f t="shared" si="11"/>
        <v>37186356</v>
      </c>
      <c r="J54" s="697">
        <f t="shared" si="11"/>
        <v>38300112</v>
      </c>
      <c r="K54" s="697">
        <f>SUM(K55:K58)</f>
        <v>41391137</v>
      </c>
      <c r="L54" s="697">
        <f>SUM(L55:L58)</f>
        <v>39968759</v>
      </c>
    </row>
    <row r="55" spans="1:12" ht="12.75" customHeight="1">
      <c r="A55" s="596" t="s">
        <v>113</v>
      </c>
      <c r="B55" s="85"/>
      <c r="C55" s="17" t="s">
        <v>253</v>
      </c>
      <c r="D55" s="260"/>
      <c r="E55" s="696">
        <v>21773045</v>
      </c>
      <c r="F55" s="696">
        <v>23791603</v>
      </c>
      <c r="G55" s="696">
        <v>23791603</v>
      </c>
      <c r="H55" s="696">
        <v>23791603</v>
      </c>
      <c r="I55" s="696">
        <v>23803403</v>
      </c>
      <c r="J55" s="696">
        <v>24704446</v>
      </c>
      <c r="K55" s="696">
        <v>20532985</v>
      </c>
      <c r="L55" s="696">
        <v>20335771</v>
      </c>
    </row>
    <row r="56" spans="1:12" ht="12.75" customHeight="1">
      <c r="A56" s="596" t="s">
        <v>115</v>
      </c>
      <c r="B56" s="85"/>
      <c r="C56" s="17" t="s">
        <v>254</v>
      </c>
      <c r="D56" s="260"/>
      <c r="E56" s="696">
        <v>4962889</v>
      </c>
      <c r="F56" s="696">
        <v>4880652</v>
      </c>
      <c r="G56" s="696">
        <v>4880652</v>
      </c>
      <c r="H56" s="696">
        <v>4880652</v>
      </c>
      <c r="I56" s="696">
        <v>4882953</v>
      </c>
      <c r="J56" s="696">
        <v>5058656</v>
      </c>
      <c r="K56" s="696">
        <v>7259790</v>
      </c>
      <c r="L56" s="696">
        <v>7659400</v>
      </c>
    </row>
    <row r="57" spans="1:12" ht="12.75" customHeight="1">
      <c r="A57" s="596" t="s">
        <v>117</v>
      </c>
      <c r="B57" s="85"/>
      <c r="C57" s="17" t="s">
        <v>255</v>
      </c>
      <c r="D57" s="260"/>
      <c r="E57" s="696">
        <v>7920887</v>
      </c>
      <c r="F57" s="696">
        <v>5000000</v>
      </c>
      <c r="G57" s="696">
        <v>8000000</v>
      </c>
      <c r="H57" s="696">
        <v>8000000</v>
      </c>
      <c r="I57" s="696">
        <v>8000000</v>
      </c>
      <c r="J57" s="696">
        <v>8037010</v>
      </c>
      <c r="K57" s="696">
        <v>12117345</v>
      </c>
      <c r="L57" s="696">
        <v>10492571</v>
      </c>
    </row>
    <row r="58" spans="1:12" ht="12.75" customHeight="1">
      <c r="A58" s="596" t="s">
        <v>118</v>
      </c>
      <c r="B58" s="85"/>
      <c r="C58" s="17" t="s">
        <v>252</v>
      </c>
      <c r="D58" s="260"/>
      <c r="E58" s="696">
        <v>502983</v>
      </c>
      <c r="F58" s="696">
        <v>500000</v>
      </c>
      <c r="G58" s="696">
        <v>500000</v>
      </c>
      <c r="H58" s="696">
        <v>500000</v>
      </c>
      <c r="I58" s="696">
        <v>500000</v>
      </c>
      <c r="J58" s="696">
        <v>500000</v>
      </c>
      <c r="K58" s="696">
        <v>1481017</v>
      </c>
      <c r="L58" s="696">
        <v>1481017</v>
      </c>
    </row>
    <row r="59" spans="1:12" ht="12.75" customHeight="1">
      <c r="A59" s="596" t="s">
        <v>120</v>
      </c>
      <c r="B59" s="263" t="s">
        <v>188</v>
      </c>
      <c r="C59" s="264" t="s">
        <v>413</v>
      </c>
      <c r="D59" s="265">
        <v>0</v>
      </c>
      <c r="E59" s="697">
        <f aca="true" t="shared" si="12" ref="E59:J59">SUM(E60:E62)</f>
        <v>957322</v>
      </c>
      <c r="F59" s="697">
        <f t="shared" si="12"/>
        <v>640000</v>
      </c>
      <c r="G59" s="697">
        <f t="shared" si="12"/>
        <v>640000</v>
      </c>
      <c r="H59" s="697">
        <f t="shared" si="12"/>
        <v>640000</v>
      </c>
      <c r="I59" s="697">
        <f t="shared" si="12"/>
        <v>640000</v>
      </c>
      <c r="J59" s="697">
        <f t="shared" si="12"/>
        <v>640000</v>
      </c>
      <c r="K59" s="697">
        <f>SUM(K60:K62)</f>
        <v>640000</v>
      </c>
      <c r="L59" s="1464">
        <f>SUM(L60:L62)</f>
        <v>1833513</v>
      </c>
    </row>
    <row r="60" spans="1:12" ht="12.75" customHeight="1">
      <c r="A60" s="596" t="s">
        <v>122</v>
      </c>
      <c r="B60" s="198"/>
      <c r="C60" s="200" t="s">
        <v>253</v>
      </c>
      <c r="D60" s="266"/>
      <c r="E60" s="696">
        <v>0</v>
      </c>
      <c r="F60" s="696">
        <v>0</v>
      </c>
      <c r="G60" s="696">
        <v>0</v>
      </c>
      <c r="H60" s="696">
        <v>0</v>
      </c>
      <c r="I60" s="696">
        <v>0</v>
      </c>
      <c r="J60" s="696">
        <v>0</v>
      </c>
      <c r="K60" s="696">
        <v>0</v>
      </c>
      <c r="L60" s="696">
        <v>0</v>
      </c>
    </row>
    <row r="61" spans="1:12" ht="12.75" customHeight="1">
      <c r="A61" s="596" t="s">
        <v>124</v>
      </c>
      <c r="B61" s="198"/>
      <c r="C61" s="200" t="s">
        <v>254</v>
      </c>
      <c r="D61" s="266"/>
      <c r="E61" s="696">
        <v>0</v>
      </c>
      <c r="F61" s="696">
        <v>0</v>
      </c>
      <c r="G61" s="696">
        <v>0</v>
      </c>
      <c r="H61" s="696">
        <v>0</v>
      </c>
      <c r="I61" s="696">
        <v>0</v>
      </c>
      <c r="J61" s="696">
        <v>0</v>
      </c>
      <c r="K61" s="696">
        <v>0</v>
      </c>
      <c r="L61" s="696">
        <v>0</v>
      </c>
    </row>
    <row r="62" spans="1:12" ht="12.75" customHeight="1">
      <c r="A62" s="596" t="s">
        <v>126</v>
      </c>
      <c r="B62" s="198"/>
      <c r="C62" s="200" t="s">
        <v>255</v>
      </c>
      <c r="D62" s="266"/>
      <c r="E62" s="696">
        <v>957322</v>
      </c>
      <c r="F62" s="696">
        <v>640000</v>
      </c>
      <c r="G62" s="696">
        <v>640000</v>
      </c>
      <c r="H62" s="696">
        <v>640000</v>
      </c>
      <c r="I62" s="696">
        <v>640000</v>
      </c>
      <c r="J62" s="696">
        <v>640000</v>
      </c>
      <c r="K62" s="696">
        <v>640000</v>
      </c>
      <c r="L62" s="696">
        <v>1833513</v>
      </c>
    </row>
    <row r="63" spans="1:12" ht="12.75" customHeight="1">
      <c r="A63" s="596" t="s">
        <v>128</v>
      </c>
      <c r="B63" s="267" t="s">
        <v>191</v>
      </c>
      <c r="C63" s="9" t="s">
        <v>674</v>
      </c>
      <c r="D63" s="182">
        <v>1</v>
      </c>
      <c r="E63" s="697">
        <f aca="true" t="shared" si="13" ref="E63:J63">SUM(E64:E67)</f>
        <v>0</v>
      </c>
      <c r="F63" s="697">
        <f t="shared" si="13"/>
        <v>5000000</v>
      </c>
      <c r="G63" s="697">
        <f t="shared" si="13"/>
        <v>0</v>
      </c>
      <c r="H63" s="697">
        <f t="shared" si="13"/>
        <v>0</v>
      </c>
      <c r="I63" s="697">
        <f t="shared" si="13"/>
        <v>0</v>
      </c>
      <c r="J63" s="697">
        <f t="shared" si="13"/>
        <v>0</v>
      </c>
      <c r="K63" s="697">
        <f>SUM(K64:K67)</f>
        <v>0</v>
      </c>
      <c r="L63" s="697">
        <f>SUM(L64:L67)</f>
        <v>0</v>
      </c>
    </row>
    <row r="64" spans="1:12" ht="12.75" customHeight="1">
      <c r="A64" s="596" t="s">
        <v>130</v>
      </c>
      <c r="B64" s="85"/>
      <c r="C64" s="17" t="s">
        <v>253</v>
      </c>
      <c r="D64" s="183"/>
      <c r="E64" s="696"/>
      <c r="F64" s="696"/>
      <c r="G64" s="696"/>
      <c r="H64" s="696"/>
      <c r="I64" s="696"/>
      <c r="J64" s="696"/>
      <c r="K64" s="696"/>
      <c r="L64" s="696"/>
    </row>
    <row r="65" spans="1:12" ht="12.75" customHeight="1">
      <c r="A65" s="596" t="s">
        <v>131</v>
      </c>
      <c r="B65" s="85"/>
      <c r="C65" s="17" t="s">
        <v>254</v>
      </c>
      <c r="D65" s="183"/>
      <c r="E65" s="696"/>
      <c r="F65" s="696"/>
      <c r="G65" s="696"/>
      <c r="H65" s="696"/>
      <c r="I65" s="696"/>
      <c r="J65" s="696"/>
      <c r="K65" s="696"/>
      <c r="L65" s="696"/>
    </row>
    <row r="66" spans="1:12" ht="12.75" customHeight="1">
      <c r="A66" s="596" t="s">
        <v>133</v>
      </c>
      <c r="B66" s="85"/>
      <c r="C66" s="17" t="s">
        <v>255</v>
      </c>
      <c r="D66" s="183"/>
      <c r="E66" s="696"/>
      <c r="F66" s="696">
        <v>5000000</v>
      </c>
      <c r="G66" s="696"/>
      <c r="H66" s="696"/>
      <c r="I66" s="696"/>
      <c r="J66" s="696"/>
      <c r="K66" s="696"/>
      <c r="L66" s="696"/>
    </row>
    <row r="67" spans="1:12" ht="12.75" customHeight="1">
      <c r="A67" s="596" t="s">
        <v>135</v>
      </c>
      <c r="B67" s="85"/>
      <c r="C67" s="17" t="s">
        <v>654</v>
      </c>
      <c r="D67" s="183"/>
      <c r="E67" s="698"/>
      <c r="F67" s="698"/>
      <c r="G67" s="698"/>
      <c r="H67" s="698"/>
      <c r="I67" s="698"/>
      <c r="J67" s="698"/>
      <c r="K67" s="698"/>
      <c r="L67" s="698"/>
    </row>
    <row r="68" spans="1:12" ht="12.75" customHeight="1">
      <c r="A68" s="596" t="s">
        <v>137</v>
      </c>
      <c r="B68" s="65" t="s">
        <v>193</v>
      </c>
      <c r="C68" s="9" t="s">
        <v>421</v>
      </c>
      <c r="D68" s="262">
        <v>0</v>
      </c>
      <c r="E68" s="699">
        <f aca="true" t="shared" si="14" ref="E68:L68">SUM(E69:E69)</f>
        <v>720000</v>
      </c>
      <c r="F68" s="699">
        <f t="shared" si="14"/>
        <v>720000</v>
      </c>
      <c r="G68" s="699">
        <f t="shared" si="14"/>
        <v>720000</v>
      </c>
      <c r="H68" s="699">
        <f t="shared" si="14"/>
        <v>720000</v>
      </c>
      <c r="I68" s="699">
        <f t="shared" si="14"/>
        <v>720000</v>
      </c>
      <c r="J68" s="699">
        <f t="shared" si="14"/>
        <v>720000</v>
      </c>
      <c r="K68" s="699">
        <f t="shared" si="14"/>
        <v>720000</v>
      </c>
      <c r="L68" s="699">
        <f t="shared" si="14"/>
        <v>0</v>
      </c>
    </row>
    <row r="69" spans="1:12" ht="12.75" customHeight="1">
      <c r="A69" s="596" t="s">
        <v>139</v>
      </c>
      <c r="B69" s="85"/>
      <c r="C69" s="17" t="s">
        <v>534</v>
      </c>
      <c r="D69" s="183"/>
      <c r="E69" s="698">
        <v>720000</v>
      </c>
      <c r="F69" s="698">
        <v>720000</v>
      </c>
      <c r="G69" s="698">
        <v>720000</v>
      </c>
      <c r="H69" s="698">
        <v>720000</v>
      </c>
      <c r="I69" s="698">
        <v>720000</v>
      </c>
      <c r="J69" s="698">
        <v>720000</v>
      </c>
      <c r="K69" s="698">
        <v>720000</v>
      </c>
      <c r="L69" s="698"/>
    </row>
    <row r="70" spans="1:12" ht="25.5" customHeight="1">
      <c r="A70" s="596" t="s">
        <v>141</v>
      </c>
      <c r="B70" s="65" t="s">
        <v>197</v>
      </c>
      <c r="C70" s="92" t="s">
        <v>281</v>
      </c>
      <c r="D70" s="182">
        <v>6</v>
      </c>
      <c r="E70" s="699">
        <f aca="true" t="shared" si="15" ref="E70:J70">SUM(E71:E73)</f>
        <v>10445980</v>
      </c>
      <c r="F70" s="699">
        <f t="shared" si="15"/>
        <v>9168000</v>
      </c>
      <c r="G70" s="699">
        <f t="shared" si="15"/>
        <v>9168000</v>
      </c>
      <c r="H70" s="699">
        <f t="shared" si="15"/>
        <v>9168000</v>
      </c>
      <c r="I70" s="699">
        <f t="shared" si="15"/>
        <v>9168000</v>
      </c>
      <c r="J70" s="699">
        <f t="shared" si="15"/>
        <v>9168000</v>
      </c>
      <c r="K70" s="699">
        <f>SUM(K71:K73)</f>
        <v>6848850</v>
      </c>
      <c r="L70" s="1463">
        <f>SUM(L71:L73)</f>
        <v>6806350</v>
      </c>
    </row>
    <row r="71" spans="1:12" ht="12.75" customHeight="1">
      <c r="A71" s="596" t="s">
        <v>143</v>
      </c>
      <c r="B71" s="85"/>
      <c r="C71" s="17" t="s">
        <v>253</v>
      </c>
      <c r="D71" s="183"/>
      <c r="E71" s="698">
        <v>9377268</v>
      </c>
      <c r="F71" s="698">
        <v>7672000</v>
      </c>
      <c r="G71" s="698">
        <v>7672000</v>
      </c>
      <c r="H71" s="698">
        <v>7672000</v>
      </c>
      <c r="I71" s="698">
        <v>7672000</v>
      </c>
      <c r="J71" s="698">
        <v>7672000</v>
      </c>
      <c r="K71" s="698">
        <v>5731255</v>
      </c>
      <c r="L71" s="698">
        <v>6170395</v>
      </c>
    </row>
    <row r="72" spans="1:12" ht="12.75" customHeight="1">
      <c r="A72" s="597" t="s">
        <v>145</v>
      </c>
      <c r="B72" s="184"/>
      <c r="C72" s="161" t="s">
        <v>254</v>
      </c>
      <c r="D72" s="594"/>
      <c r="E72" s="700">
        <v>1064812</v>
      </c>
      <c r="F72" s="700">
        <v>1496000</v>
      </c>
      <c r="G72" s="700">
        <v>1496000</v>
      </c>
      <c r="H72" s="700">
        <v>1496000</v>
      </c>
      <c r="I72" s="700">
        <v>1496000</v>
      </c>
      <c r="J72" s="700">
        <v>1496000</v>
      </c>
      <c r="K72" s="700">
        <v>1117595</v>
      </c>
      <c r="L72" s="700">
        <v>635955</v>
      </c>
    </row>
    <row r="73" spans="1:12" ht="12.75" customHeight="1">
      <c r="A73" s="384" t="s">
        <v>147</v>
      </c>
      <c r="B73" s="384"/>
      <c r="C73" s="385" t="s">
        <v>255</v>
      </c>
      <c r="D73" s="690"/>
      <c r="E73" s="701">
        <v>3900</v>
      </c>
      <c r="F73" s="701">
        <v>0</v>
      </c>
      <c r="G73" s="701">
        <v>0</v>
      </c>
      <c r="H73" s="701">
        <v>0</v>
      </c>
      <c r="I73" s="701">
        <v>0</v>
      </c>
      <c r="J73" s="701">
        <v>0</v>
      </c>
      <c r="K73" s="701">
        <v>0</v>
      </c>
      <c r="L73" s="701">
        <v>0</v>
      </c>
    </row>
    <row r="74" spans="1:12" ht="12.75" customHeight="1">
      <c r="A74" s="567" t="s">
        <v>149</v>
      </c>
      <c r="B74" s="567"/>
      <c r="C74" s="161" t="s">
        <v>654</v>
      </c>
      <c r="D74" s="691"/>
      <c r="E74" s="702">
        <v>0</v>
      </c>
      <c r="F74" s="702">
        <v>0</v>
      </c>
      <c r="G74" s="702">
        <v>0</v>
      </c>
      <c r="H74" s="702">
        <v>0</v>
      </c>
      <c r="I74" s="702">
        <v>0</v>
      </c>
      <c r="J74" s="702">
        <v>0</v>
      </c>
      <c r="K74" s="702">
        <v>0</v>
      </c>
      <c r="L74" s="702">
        <v>0</v>
      </c>
    </row>
    <row r="75" spans="1:12" s="10" customFormat="1" ht="12.75" customHeight="1">
      <c r="A75" s="499" t="s">
        <v>151</v>
      </c>
      <c r="B75" s="499"/>
      <c r="C75" s="692" t="s">
        <v>717</v>
      </c>
      <c r="D75" s="693"/>
      <c r="E75" s="703">
        <f aca="true" t="shared" si="16" ref="E75:J75">SUM(E76:E78)</f>
        <v>515996</v>
      </c>
      <c r="F75" s="703">
        <f t="shared" si="16"/>
        <v>0</v>
      </c>
      <c r="G75" s="703">
        <f t="shared" si="16"/>
        <v>0</v>
      </c>
      <c r="H75" s="703">
        <f t="shared" si="16"/>
        <v>0</v>
      </c>
      <c r="I75" s="703">
        <f t="shared" si="16"/>
        <v>0</v>
      </c>
      <c r="J75" s="703">
        <f t="shared" si="16"/>
        <v>0</v>
      </c>
      <c r="K75" s="703">
        <f>SUM(K76:K78)</f>
        <v>0</v>
      </c>
      <c r="L75" s="703">
        <f>SUM(L76:L78)</f>
        <v>0</v>
      </c>
    </row>
    <row r="76" spans="1:12" ht="12.75" customHeight="1">
      <c r="A76" s="384" t="s">
        <v>207</v>
      </c>
      <c r="B76" s="384"/>
      <c r="C76" s="505" t="s">
        <v>253</v>
      </c>
      <c r="D76" s="690"/>
      <c r="E76" s="701">
        <v>347700</v>
      </c>
      <c r="F76" s="701">
        <v>0</v>
      </c>
      <c r="G76" s="701">
        <v>0</v>
      </c>
      <c r="H76" s="701">
        <v>0</v>
      </c>
      <c r="I76" s="701">
        <v>0</v>
      </c>
      <c r="J76" s="701">
        <v>0</v>
      </c>
      <c r="K76" s="701">
        <v>0</v>
      </c>
      <c r="L76" s="701">
        <v>0</v>
      </c>
    </row>
    <row r="77" spans="1:12" ht="12.75" customHeight="1">
      <c r="A77" s="384" t="s">
        <v>209</v>
      </c>
      <c r="B77" s="384"/>
      <c r="C77" s="505" t="s">
        <v>254</v>
      </c>
      <c r="D77" s="690"/>
      <c r="E77" s="701">
        <v>113395</v>
      </c>
      <c r="F77" s="701">
        <v>0</v>
      </c>
      <c r="G77" s="701">
        <v>0</v>
      </c>
      <c r="H77" s="701">
        <v>0</v>
      </c>
      <c r="I77" s="701">
        <v>0</v>
      </c>
      <c r="J77" s="701">
        <v>0</v>
      </c>
      <c r="K77" s="701">
        <v>0</v>
      </c>
      <c r="L77" s="701">
        <v>0</v>
      </c>
    </row>
    <row r="78" spans="1:12" ht="12.75" customHeight="1">
      <c r="A78" s="384" t="s">
        <v>266</v>
      </c>
      <c r="B78" s="384"/>
      <c r="C78" s="505" t="s">
        <v>255</v>
      </c>
      <c r="D78" s="690"/>
      <c r="E78" s="701">
        <v>54901</v>
      </c>
      <c r="F78" s="701">
        <v>0</v>
      </c>
      <c r="G78" s="701">
        <v>0</v>
      </c>
      <c r="H78" s="701">
        <v>0</v>
      </c>
      <c r="I78" s="701">
        <v>0</v>
      </c>
      <c r="J78" s="701">
        <v>0</v>
      </c>
      <c r="K78" s="701">
        <v>0</v>
      </c>
      <c r="L78" s="701">
        <v>0</v>
      </c>
    </row>
    <row r="79" spans="1:12" s="10" customFormat="1" ht="12.75" customHeight="1">
      <c r="A79" s="499" t="s">
        <v>210</v>
      </c>
      <c r="B79" s="499"/>
      <c r="C79" s="692" t="s">
        <v>718</v>
      </c>
      <c r="D79" s="693"/>
      <c r="E79" s="703">
        <f aca="true" t="shared" si="17" ref="E79:J79">SUM(E80:E83)</f>
        <v>1734482</v>
      </c>
      <c r="F79" s="703">
        <f t="shared" si="17"/>
        <v>0</v>
      </c>
      <c r="G79" s="703">
        <f t="shared" si="17"/>
        <v>0</v>
      </c>
      <c r="H79" s="703">
        <f t="shared" si="17"/>
        <v>0</v>
      </c>
      <c r="I79" s="703">
        <f t="shared" si="17"/>
        <v>0</v>
      </c>
      <c r="J79" s="703">
        <f t="shared" si="17"/>
        <v>0</v>
      </c>
      <c r="K79" s="703">
        <f>SUM(K80:K83)</f>
        <v>0</v>
      </c>
      <c r="L79" s="703">
        <f>SUM(L80:L83)</f>
        <v>0</v>
      </c>
    </row>
    <row r="80" spans="1:12" ht="12.75" customHeight="1">
      <c r="A80" s="384" t="s">
        <v>212</v>
      </c>
      <c r="B80" s="384"/>
      <c r="C80" s="505" t="s">
        <v>253</v>
      </c>
      <c r="D80" s="690"/>
      <c r="E80" s="701">
        <v>670978</v>
      </c>
      <c r="F80" s="701">
        <v>0</v>
      </c>
      <c r="G80" s="701">
        <v>0</v>
      </c>
      <c r="H80" s="701">
        <v>0</v>
      </c>
      <c r="I80" s="701">
        <v>0</v>
      </c>
      <c r="J80" s="701">
        <v>0</v>
      </c>
      <c r="K80" s="701">
        <v>0</v>
      </c>
      <c r="L80" s="701">
        <v>0</v>
      </c>
    </row>
    <row r="81" spans="1:12" ht="12.75" customHeight="1">
      <c r="A81" s="384" t="s">
        <v>268</v>
      </c>
      <c r="B81" s="384"/>
      <c r="C81" s="505" t="s">
        <v>254</v>
      </c>
      <c r="D81" s="690"/>
      <c r="E81" s="701">
        <v>208573</v>
      </c>
      <c r="F81" s="701">
        <v>0</v>
      </c>
      <c r="G81" s="701">
        <v>0</v>
      </c>
      <c r="H81" s="701">
        <v>0</v>
      </c>
      <c r="I81" s="701">
        <v>0</v>
      </c>
      <c r="J81" s="701">
        <v>0</v>
      </c>
      <c r="K81" s="701">
        <v>0</v>
      </c>
      <c r="L81" s="701">
        <v>0</v>
      </c>
    </row>
    <row r="82" spans="1:12" ht="12.75" customHeight="1">
      <c r="A82" s="384" t="s">
        <v>269</v>
      </c>
      <c r="B82" s="384"/>
      <c r="C82" s="505" t="s">
        <v>255</v>
      </c>
      <c r="D82" s="690"/>
      <c r="E82" s="701">
        <v>854931</v>
      </c>
      <c r="F82" s="701">
        <v>0</v>
      </c>
      <c r="G82" s="701">
        <v>0</v>
      </c>
      <c r="H82" s="701">
        <v>0</v>
      </c>
      <c r="I82" s="701">
        <v>0</v>
      </c>
      <c r="J82" s="701">
        <v>0</v>
      </c>
      <c r="K82" s="701">
        <v>0</v>
      </c>
      <c r="L82" s="701">
        <v>0</v>
      </c>
    </row>
    <row r="83" spans="1:12" ht="12.75" customHeight="1" thickBot="1">
      <c r="A83" s="567" t="s">
        <v>270</v>
      </c>
      <c r="B83" s="567"/>
      <c r="C83" s="410" t="s">
        <v>654</v>
      </c>
      <c r="D83" s="691"/>
      <c r="E83" s="702">
        <v>0</v>
      </c>
      <c r="F83" s="702">
        <v>0</v>
      </c>
      <c r="G83" s="702">
        <v>0</v>
      </c>
      <c r="H83" s="702">
        <v>0</v>
      </c>
      <c r="I83" s="702">
        <v>0</v>
      </c>
      <c r="J83" s="702">
        <v>0</v>
      </c>
      <c r="K83" s="702">
        <v>0</v>
      </c>
      <c r="L83" s="702">
        <v>0</v>
      </c>
    </row>
    <row r="84" spans="1:12" s="599" customFormat="1" ht="48" customHeight="1" thickBot="1">
      <c r="A84" s="712" t="s">
        <v>271</v>
      </c>
      <c r="B84" s="598"/>
      <c r="C84" s="1782" t="s">
        <v>535</v>
      </c>
      <c r="D84" s="1782"/>
      <c r="E84" s="711">
        <f>SUM(E29+E34+E39+E44+E49+E54+E59+E63+E68+E70)+E75+E79</f>
        <v>88180563</v>
      </c>
      <c r="F84" s="711">
        <f aca="true" t="shared" si="18" ref="F84:K84">SUM(F29+F34+F39+F44+F49+F54+F59+F63+F68+F70)</f>
        <v>88766565</v>
      </c>
      <c r="G84" s="711">
        <f t="shared" si="18"/>
        <v>88766565</v>
      </c>
      <c r="H84" s="711">
        <f t="shared" si="18"/>
        <v>88766565</v>
      </c>
      <c r="I84" s="711">
        <f t="shared" si="18"/>
        <v>88780666</v>
      </c>
      <c r="J84" s="711">
        <f t="shared" si="18"/>
        <v>89894422</v>
      </c>
      <c r="K84" s="711">
        <f t="shared" si="18"/>
        <v>92965316</v>
      </c>
      <c r="L84" s="711">
        <f>SUM(L29+L34+L39+L44+L49+L54+L59+L63+L68+L70)</f>
        <v>92965316</v>
      </c>
    </row>
    <row r="85" spans="1:12" ht="12.75" customHeight="1">
      <c r="A85" s="1033" t="s">
        <v>273</v>
      </c>
      <c r="B85" s="1034"/>
      <c r="C85" s="1024" t="s">
        <v>514</v>
      </c>
      <c r="D85" s="1035">
        <v>25</v>
      </c>
      <c r="E85" s="1036">
        <f aca="true" t="shared" si="19" ref="E85:G86">SUM(E30+E35+E40+E45+E50+E55+E60+E64+E71)</f>
        <v>41766898</v>
      </c>
      <c r="F85" s="1036">
        <f t="shared" si="19"/>
        <v>43850555</v>
      </c>
      <c r="G85" s="1036">
        <f t="shared" si="19"/>
        <v>43850555</v>
      </c>
      <c r="H85" s="1036">
        <f aca="true" t="shared" si="20" ref="H85:J86">SUM(H30+H35+H40+H45+H50+H55+H60+H64+H71)</f>
        <v>43850555</v>
      </c>
      <c r="I85" s="1036">
        <f t="shared" si="20"/>
        <v>43862355</v>
      </c>
      <c r="J85" s="1036">
        <f t="shared" si="20"/>
        <v>44763398</v>
      </c>
      <c r="K85" s="1036">
        <f>SUM(K30+K35+K40+K45+K50+K55+K60+K64+K71)</f>
        <v>38651192</v>
      </c>
      <c r="L85" s="1036">
        <f>SUM(L30+L35+L40+L45+L50+L55+L60+L64+L71)</f>
        <v>38651192</v>
      </c>
    </row>
    <row r="86" spans="1:12" ht="12.75" customHeight="1">
      <c r="A86" s="597" t="s">
        <v>275</v>
      </c>
      <c r="B86" s="995"/>
      <c r="C86" s="1030" t="s">
        <v>254</v>
      </c>
      <c r="D86" s="997"/>
      <c r="E86" s="1031">
        <f t="shared" si="19"/>
        <v>8721382</v>
      </c>
      <c r="F86" s="1031">
        <f t="shared" si="19"/>
        <v>8626010</v>
      </c>
      <c r="G86" s="1031">
        <f t="shared" si="19"/>
        <v>8626010</v>
      </c>
      <c r="H86" s="1031">
        <f t="shared" si="20"/>
        <v>8626010</v>
      </c>
      <c r="I86" s="1031">
        <f t="shared" si="20"/>
        <v>8628311</v>
      </c>
      <c r="J86" s="1031">
        <f t="shared" si="20"/>
        <v>8804014</v>
      </c>
      <c r="K86" s="1031">
        <f>SUM(K31+K36+K41+K46+K51+K56+K61+K65+K72)</f>
        <v>10626743</v>
      </c>
      <c r="L86" s="1031">
        <f>SUM(L31+L36+L41+L46+L51+L56+L61+L65+L72)</f>
        <v>10626743</v>
      </c>
    </row>
    <row r="87" spans="1:12" ht="12.75" customHeight="1">
      <c r="A87" s="560" t="s">
        <v>277</v>
      </c>
      <c r="B87" s="999"/>
      <c r="C87" s="1032" t="s">
        <v>664</v>
      </c>
      <c r="D87" s="1000"/>
      <c r="E87" s="1037">
        <f aca="true" t="shared" si="21" ref="E87:J87">SUM(E32+E37+E42+E47+E52+E57+E62+E66+E73)+E69</f>
        <v>34671262</v>
      </c>
      <c r="F87" s="1037">
        <f t="shared" si="21"/>
        <v>35790000</v>
      </c>
      <c r="G87" s="1037">
        <f t="shared" si="21"/>
        <v>35790000</v>
      </c>
      <c r="H87" s="1037">
        <f t="shared" si="21"/>
        <v>35790000</v>
      </c>
      <c r="I87" s="1037">
        <f t="shared" si="21"/>
        <v>35790000</v>
      </c>
      <c r="J87" s="1037">
        <f t="shared" si="21"/>
        <v>35827010</v>
      </c>
      <c r="K87" s="1037">
        <f>SUM(K32+K37+K42+K47+K52+K57+K62+K66+K73)+K69</f>
        <v>42206364</v>
      </c>
      <c r="L87" s="1037">
        <f>SUM(L32+L37+L42+L47+L52+L57+L62+L66+L73)+L69</f>
        <v>42206364</v>
      </c>
    </row>
    <row r="88" spans="1:12" ht="12.75" customHeight="1">
      <c r="A88" s="560" t="s">
        <v>278</v>
      </c>
      <c r="B88" s="999"/>
      <c r="C88" s="505" t="s">
        <v>252</v>
      </c>
      <c r="D88" s="1000"/>
      <c r="E88" s="1037">
        <f aca="true" t="shared" si="22" ref="E88:J88">SUM(E33+E38+E43+E48+E53+E58+E67)</f>
        <v>770543</v>
      </c>
      <c r="F88" s="1037">
        <f t="shared" si="22"/>
        <v>500000</v>
      </c>
      <c r="G88" s="1037">
        <f t="shared" si="22"/>
        <v>500000</v>
      </c>
      <c r="H88" s="1037">
        <f t="shared" si="22"/>
        <v>500000</v>
      </c>
      <c r="I88" s="1037">
        <f t="shared" si="22"/>
        <v>500000</v>
      </c>
      <c r="J88" s="1037">
        <f t="shared" si="22"/>
        <v>500000</v>
      </c>
      <c r="K88" s="1037">
        <f>SUM(K33+K38+K43+K48+K53+K58+K67)</f>
        <v>1481017</v>
      </c>
      <c r="L88" s="1037">
        <f>SUM(L33+L38+L43+L48+L53+L58+L67)</f>
        <v>1481017</v>
      </c>
    </row>
    <row r="89" spans="1:12" s="666" customFormat="1" ht="12.75" customHeight="1">
      <c r="A89" s="1038" t="s">
        <v>280</v>
      </c>
      <c r="B89" s="960"/>
      <c r="C89" s="960" t="s">
        <v>822</v>
      </c>
      <c r="D89" s="960"/>
      <c r="E89" s="1039">
        <v>770543</v>
      </c>
      <c r="F89" s="1039">
        <v>500000</v>
      </c>
      <c r="G89" s="1039">
        <v>500000</v>
      </c>
      <c r="H89" s="1039">
        <v>500000</v>
      </c>
      <c r="I89" s="1039">
        <v>500000</v>
      </c>
      <c r="J89" s="1039">
        <v>500000</v>
      </c>
      <c r="K89" s="1039">
        <v>1481017</v>
      </c>
      <c r="L89" s="1039">
        <v>1481017</v>
      </c>
    </row>
    <row r="90" spans="1:12" s="666" customFormat="1" ht="12.75" customHeight="1" thickBot="1">
      <c r="A90" s="1017" t="s">
        <v>282</v>
      </c>
      <c r="B90" s="1018"/>
      <c r="C90" s="1018" t="s">
        <v>823</v>
      </c>
      <c r="D90" s="1018"/>
      <c r="E90" s="1029"/>
      <c r="F90" s="1029"/>
      <c r="G90" s="1029"/>
      <c r="H90" s="1029"/>
      <c r="I90" s="1029"/>
      <c r="J90" s="1029"/>
      <c r="K90" s="1029"/>
      <c r="L90" s="1029"/>
    </row>
  </sheetData>
  <sheetProtection selectLockedCells="1" selectUnlockedCells="1"/>
  <mergeCells count="23">
    <mergeCell ref="C84:D84"/>
    <mergeCell ref="C13:D13"/>
    <mergeCell ref="C14:D14"/>
    <mergeCell ref="C15:D15"/>
    <mergeCell ref="C16:D16"/>
    <mergeCell ref="F4:I4"/>
    <mergeCell ref="A5:L5"/>
    <mergeCell ref="A3:L3"/>
    <mergeCell ref="A1:L1"/>
    <mergeCell ref="C20:D20"/>
    <mergeCell ref="C21:D21"/>
    <mergeCell ref="C10:D10"/>
    <mergeCell ref="A8:B8"/>
    <mergeCell ref="C8:D8"/>
    <mergeCell ref="A28:B28"/>
    <mergeCell ref="C19:D19"/>
    <mergeCell ref="C18:D18"/>
    <mergeCell ref="A9:B9"/>
    <mergeCell ref="A27:B27"/>
    <mergeCell ref="C11:D11"/>
    <mergeCell ref="C24:D24"/>
    <mergeCell ref="C23:D23"/>
    <mergeCell ref="C9:D9"/>
  </mergeCells>
  <printOptions horizontalCentered="1"/>
  <pageMargins left="0.1968503937007874" right="0.1968503937007874" top="0.2755905511811024" bottom="0.2755905511811024" header="0.5118110236220472" footer="0.7874015748031497"/>
  <pageSetup horizontalDpi="600" verticalDpi="600" orientation="portrait" paperSize="9" scale="51" r:id="rId1"/>
  <headerFooter alignWithMargins="0"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9"/>
  <sheetViews>
    <sheetView view="pageBreakPreview" zoomScale="120" zoomScaleSheetLayoutView="120" zoomScalePageLayoutView="0" workbookViewId="0" topLeftCell="E1">
      <selection activeCell="L3" sqref="L3"/>
    </sheetView>
  </sheetViews>
  <sheetFormatPr defaultColWidth="11.57421875" defaultRowHeight="12.75" customHeight="1"/>
  <cols>
    <col min="1" max="1" width="4.00390625" style="268" customWidth="1"/>
    <col min="2" max="2" width="4.28125" style="268" customWidth="1"/>
    <col min="3" max="3" width="40.421875" style="268" customWidth="1"/>
    <col min="4" max="4" width="4.28125" style="268" customWidth="1"/>
    <col min="5" max="5" width="14.28125" style="268" customWidth="1"/>
    <col min="6" max="12" width="17.00390625" style="268" customWidth="1"/>
    <col min="13" max="16384" width="11.57421875" style="268" customWidth="1"/>
  </cols>
  <sheetData>
    <row r="1" spans="1:12" s="269" customFormat="1" ht="18" customHeight="1">
      <c r="A1" s="1791" t="s">
        <v>536</v>
      </c>
      <c r="B1" s="1791"/>
      <c r="C1" s="1791"/>
      <c r="D1" s="1791"/>
      <c r="E1" s="1791"/>
      <c r="F1" s="1791"/>
      <c r="G1" s="1791"/>
      <c r="H1" s="1791"/>
      <c r="I1" s="1791"/>
      <c r="J1" s="1791"/>
      <c r="K1" s="1791"/>
      <c r="L1" s="1791"/>
    </row>
    <row r="2" spans="1:12" ht="12.75" customHeight="1">
      <c r="A2" s="1790" t="s">
        <v>1226</v>
      </c>
      <c r="B2" s="1790"/>
      <c r="C2" s="1790"/>
      <c r="D2" s="1790"/>
      <c r="E2" s="1790"/>
      <c r="F2" s="1790"/>
      <c r="G2" s="1790"/>
      <c r="H2" s="1790"/>
      <c r="I2" s="1790"/>
      <c r="J2" s="1790"/>
      <c r="K2" s="1790"/>
      <c r="L2" s="1790"/>
    </row>
    <row r="3" spans="3:12" ht="12" customHeight="1">
      <c r="C3" s="270"/>
      <c r="D3" s="270"/>
      <c r="E3" s="1935" t="s">
        <v>1227</v>
      </c>
      <c r="F3" s="1935"/>
      <c r="G3" s="1935"/>
      <c r="H3" s="1935"/>
      <c r="I3" s="270"/>
      <c r="J3" s="270"/>
      <c r="K3" s="270"/>
      <c r="L3" s="270" t="s">
        <v>517</v>
      </c>
    </row>
    <row r="4" spans="1:12" ht="18" customHeight="1">
      <c r="A4" s="1789" t="s">
        <v>1036</v>
      </c>
      <c r="B4" s="1789"/>
      <c r="C4" s="1789"/>
      <c r="D4" s="1789"/>
      <c r="E4" s="1789"/>
      <c r="F4" s="1789"/>
      <c r="G4" s="1789"/>
      <c r="H4" s="1789"/>
      <c r="I4" s="1789"/>
      <c r="J4" s="1789"/>
      <c r="K4" s="1789"/>
      <c r="L4" s="1789"/>
    </row>
    <row r="5" spans="5:12" ht="24.75" customHeight="1">
      <c r="E5" s="270"/>
      <c r="F5" s="270"/>
      <c r="G5" s="270"/>
      <c r="H5" s="270"/>
      <c r="I5" s="270"/>
      <c r="J5" s="270"/>
      <c r="K5" s="270"/>
      <c r="L5" s="270"/>
    </row>
    <row r="6" spans="1:12" ht="12.75" customHeight="1" thickBot="1">
      <c r="A6" s="1785"/>
      <c r="B6" s="1785"/>
      <c r="C6" s="1785"/>
      <c r="D6" s="271"/>
      <c r="E6" s="1107"/>
      <c r="F6" s="1107"/>
      <c r="G6" s="1218"/>
      <c r="H6" s="1218"/>
      <c r="I6" s="1218"/>
      <c r="J6" s="1218"/>
      <c r="K6" s="1218"/>
      <c r="L6" s="1218" t="s">
        <v>216</v>
      </c>
    </row>
    <row r="7" spans="1:12" ht="42.75" customHeight="1">
      <c r="A7" s="1786" t="s">
        <v>156</v>
      </c>
      <c r="B7" s="1787"/>
      <c r="C7" s="1788" t="s">
        <v>157</v>
      </c>
      <c r="D7" s="1788"/>
      <c r="E7" s="619" t="s">
        <v>158</v>
      </c>
      <c r="F7" s="619" t="s">
        <v>1002</v>
      </c>
      <c r="G7" s="619" t="s">
        <v>1070</v>
      </c>
      <c r="H7" s="619" t="s">
        <v>1131</v>
      </c>
      <c r="I7" s="619" t="s">
        <v>1141</v>
      </c>
      <c r="J7" s="619" t="s">
        <v>1148</v>
      </c>
      <c r="K7" s="619" t="s">
        <v>1158</v>
      </c>
      <c r="L7" s="619" t="s">
        <v>1181</v>
      </c>
    </row>
    <row r="8" spans="1:12" ht="12.75" customHeight="1" thickBot="1">
      <c r="A8" s="1792" t="s">
        <v>159</v>
      </c>
      <c r="B8" s="1793"/>
      <c r="C8" s="1794" t="s">
        <v>160</v>
      </c>
      <c r="D8" s="1794"/>
      <c r="E8" s="641" t="s">
        <v>161</v>
      </c>
      <c r="F8" s="641" t="s">
        <v>162</v>
      </c>
      <c r="G8" s="641" t="s">
        <v>479</v>
      </c>
      <c r="H8" s="641" t="s">
        <v>499</v>
      </c>
      <c r="I8" s="641" t="s">
        <v>745</v>
      </c>
      <c r="J8" s="641" t="s">
        <v>826</v>
      </c>
      <c r="K8" s="641" t="s">
        <v>830</v>
      </c>
      <c r="L8" s="641" t="s">
        <v>987</v>
      </c>
    </row>
    <row r="9" spans="1:12" s="607" customFormat="1" ht="29.25" customHeight="1">
      <c r="A9" s="639" t="s">
        <v>38</v>
      </c>
      <c r="B9" s="640"/>
      <c r="C9" s="1799" t="s">
        <v>601</v>
      </c>
      <c r="D9" s="1799"/>
      <c r="E9" s="621">
        <v>61362783</v>
      </c>
      <c r="F9" s="621">
        <v>58148665</v>
      </c>
      <c r="G9" s="621">
        <v>58203565</v>
      </c>
      <c r="H9" s="621">
        <v>58148665</v>
      </c>
      <c r="I9" s="621">
        <v>58148665</v>
      </c>
      <c r="J9" s="621">
        <v>58148665</v>
      </c>
      <c r="K9" s="621">
        <v>58211337</v>
      </c>
      <c r="L9" s="621">
        <v>58211337</v>
      </c>
    </row>
    <row r="10" spans="1:12" s="607" customFormat="1" ht="27.75" customHeight="1">
      <c r="A10" s="620" t="s">
        <v>40</v>
      </c>
      <c r="B10" s="608"/>
      <c r="C10" s="1795" t="s">
        <v>602</v>
      </c>
      <c r="D10" s="1796"/>
      <c r="E10" s="622">
        <v>71201042</v>
      </c>
      <c r="F10" s="622">
        <v>69694818</v>
      </c>
      <c r="G10" s="622">
        <v>69694818</v>
      </c>
      <c r="H10" s="622">
        <v>69694818</v>
      </c>
      <c r="I10" s="622">
        <v>69694818</v>
      </c>
      <c r="J10" s="622">
        <v>69694818</v>
      </c>
      <c r="K10" s="622">
        <v>71893151</v>
      </c>
      <c r="L10" s="622">
        <v>71893151</v>
      </c>
    </row>
    <row r="11" spans="1:12" s="607" customFormat="1" ht="25.5" customHeight="1">
      <c r="A11" s="623" t="s">
        <v>47</v>
      </c>
      <c r="B11" s="609"/>
      <c r="C11" s="1797" t="s">
        <v>623</v>
      </c>
      <c r="D11" s="1798"/>
      <c r="E11" s="622">
        <v>58979458</v>
      </c>
      <c r="F11" s="622">
        <v>60996421</v>
      </c>
      <c r="G11" s="622">
        <v>62478972</v>
      </c>
      <c r="H11" s="622">
        <v>62478972</v>
      </c>
      <c r="I11" s="622">
        <v>62478972</v>
      </c>
      <c r="J11" s="622">
        <v>62478972</v>
      </c>
      <c r="K11" s="622">
        <v>66041405</v>
      </c>
      <c r="L11" s="622">
        <v>66041405</v>
      </c>
    </row>
    <row r="12" spans="1:12" s="607" customFormat="1" ht="29.25" customHeight="1">
      <c r="A12" s="624" t="s">
        <v>49</v>
      </c>
      <c r="B12" s="606"/>
      <c r="C12" s="1797" t="s">
        <v>603</v>
      </c>
      <c r="D12" s="1798"/>
      <c r="E12" s="622">
        <v>4769156</v>
      </c>
      <c r="F12" s="622">
        <v>4261620</v>
      </c>
      <c r="G12" s="622">
        <v>4261620</v>
      </c>
      <c r="H12" s="622">
        <v>4261620</v>
      </c>
      <c r="I12" s="622">
        <v>4261620</v>
      </c>
      <c r="J12" s="622">
        <v>4261620</v>
      </c>
      <c r="K12" s="622">
        <v>4760778</v>
      </c>
      <c r="L12" s="622">
        <v>4760778</v>
      </c>
    </row>
    <row r="13" spans="1:12" s="607" customFormat="1" ht="29.25" customHeight="1">
      <c r="A13" s="624" t="s">
        <v>51</v>
      </c>
      <c r="B13" s="606"/>
      <c r="C13" s="1797" t="s">
        <v>604</v>
      </c>
      <c r="D13" s="1798"/>
      <c r="E13" s="625">
        <v>6598590</v>
      </c>
      <c r="F13" s="625">
        <v>0</v>
      </c>
      <c r="G13" s="625">
        <v>620800</v>
      </c>
      <c r="H13" s="625">
        <v>1226416</v>
      </c>
      <c r="I13" s="625">
        <v>1286490</v>
      </c>
      <c r="J13" s="625">
        <v>2126602</v>
      </c>
      <c r="K13" s="625">
        <v>2961270</v>
      </c>
      <c r="L13" s="625">
        <v>2961270</v>
      </c>
    </row>
    <row r="14" spans="1:12" s="607" customFormat="1" ht="12">
      <c r="A14" s="624" t="s">
        <v>53</v>
      </c>
      <c r="B14" s="606"/>
      <c r="C14" s="1797" t="s">
        <v>605</v>
      </c>
      <c r="D14" s="1798"/>
      <c r="E14" s="622">
        <v>5065640</v>
      </c>
      <c r="F14" s="622">
        <v>0</v>
      </c>
      <c r="G14" s="622">
        <v>0</v>
      </c>
      <c r="H14" s="622">
        <v>54900</v>
      </c>
      <c r="I14" s="622">
        <v>54900</v>
      </c>
      <c r="J14" s="622">
        <v>270530</v>
      </c>
      <c r="K14" s="622">
        <v>270530</v>
      </c>
      <c r="L14" s="622">
        <v>270530</v>
      </c>
    </row>
    <row r="15" spans="1:12" ht="12.75">
      <c r="A15" s="626" t="s">
        <v>55</v>
      </c>
      <c r="B15" s="272"/>
      <c r="C15" s="1800" t="s">
        <v>834</v>
      </c>
      <c r="D15" s="1801"/>
      <c r="E15" s="627">
        <f aca="true" t="shared" si="0" ref="E15:J15">SUM(E9:E14)</f>
        <v>207976669</v>
      </c>
      <c r="F15" s="627">
        <f t="shared" si="0"/>
        <v>193101524</v>
      </c>
      <c r="G15" s="627">
        <f t="shared" si="0"/>
        <v>195259775</v>
      </c>
      <c r="H15" s="627">
        <f t="shared" si="0"/>
        <v>195865391</v>
      </c>
      <c r="I15" s="627">
        <f t="shared" si="0"/>
        <v>195925465</v>
      </c>
      <c r="J15" s="627">
        <f t="shared" si="0"/>
        <v>196981207</v>
      </c>
      <c r="K15" s="627">
        <f>SUM(K9:K14)</f>
        <v>204138471</v>
      </c>
      <c r="L15" s="627">
        <f>SUM(L9:L14)</f>
        <v>204138471</v>
      </c>
    </row>
    <row r="16" spans="1:12" ht="25.5" customHeight="1">
      <c r="A16" s="626" t="s">
        <v>57</v>
      </c>
      <c r="B16" s="272"/>
      <c r="C16" s="1816" t="s">
        <v>835</v>
      </c>
      <c r="D16" s="1817"/>
      <c r="E16" s="627">
        <v>122585055</v>
      </c>
      <c r="F16" s="627">
        <f aca="true" t="shared" si="1" ref="F16:K16">SUM(F17:F20)</f>
        <v>9168000</v>
      </c>
      <c r="G16" s="627">
        <f t="shared" si="1"/>
        <v>9168000</v>
      </c>
      <c r="H16" s="627">
        <f t="shared" si="1"/>
        <v>9168000</v>
      </c>
      <c r="I16" s="627">
        <f t="shared" si="1"/>
        <v>9168000</v>
      </c>
      <c r="J16" s="627">
        <f t="shared" si="1"/>
        <v>9168000</v>
      </c>
      <c r="K16" s="627">
        <f t="shared" si="1"/>
        <v>6848850</v>
      </c>
      <c r="L16" s="627">
        <f>SUM(L17:L20)</f>
        <v>6848850</v>
      </c>
    </row>
    <row r="17" spans="1:12" s="605" customFormat="1" ht="12">
      <c r="A17" s="628" t="s">
        <v>86</v>
      </c>
      <c r="B17" s="604"/>
      <c r="C17" s="1818" t="s">
        <v>624</v>
      </c>
      <c r="D17" s="1819"/>
      <c r="E17" s="629"/>
      <c r="F17" s="629"/>
      <c r="G17" s="629"/>
      <c r="H17" s="629"/>
      <c r="I17" s="629"/>
      <c r="J17" s="629"/>
      <c r="K17" s="629"/>
      <c r="L17" s="629"/>
    </row>
    <row r="18" spans="1:12" s="605" customFormat="1" ht="12">
      <c r="A18" s="628" t="s">
        <v>59</v>
      </c>
      <c r="B18" s="604"/>
      <c r="C18" s="1818" t="s">
        <v>836</v>
      </c>
      <c r="D18" s="1819"/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</row>
    <row r="19" spans="1:12" s="605" customFormat="1" ht="12">
      <c r="A19" s="628" t="s">
        <v>61</v>
      </c>
      <c r="B19" s="604"/>
      <c r="C19" s="1820" t="s">
        <v>837</v>
      </c>
      <c r="D19" s="1821"/>
      <c r="E19" s="648">
        <v>9857005</v>
      </c>
      <c r="F19" s="648">
        <v>9168000</v>
      </c>
      <c r="G19" s="648">
        <v>9168000</v>
      </c>
      <c r="H19" s="648">
        <v>9168000</v>
      </c>
      <c r="I19" s="648">
        <v>9168000</v>
      </c>
      <c r="J19" s="648">
        <v>9168000</v>
      </c>
      <c r="K19" s="648">
        <v>6848850</v>
      </c>
      <c r="L19" s="648">
        <v>6848850</v>
      </c>
    </row>
    <row r="20" spans="1:12" s="605" customFormat="1" ht="12">
      <c r="A20" s="628" t="s">
        <v>63</v>
      </c>
      <c r="B20" s="604"/>
      <c r="C20" s="1824" t="s">
        <v>838</v>
      </c>
      <c r="D20" s="1825"/>
      <c r="E20" s="648">
        <v>112728050</v>
      </c>
      <c r="F20" s="648"/>
      <c r="G20" s="648"/>
      <c r="H20" s="648"/>
      <c r="I20" s="648"/>
      <c r="J20" s="648"/>
      <c r="K20" s="648"/>
      <c r="L20" s="648"/>
    </row>
    <row r="21" spans="1:12" s="611" customFormat="1" ht="33" customHeight="1">
      <c r="A21" s="630" t="s">
        <v>65</v>
      </c>
      <c r="B21" s="610" t="s">
        <v>165</v>
      </c>
      <c r="C21" s="1806" t="s">
        <v>839</v>
      </c>
      <c r="D21" s="1807"/>
      <c r="E21" s="632">
        <f aca="true" t="shared" si="2" ref="E21:J21">SUM(E15+E16)</f>
        <v>330561724</v>
      </c>
      <c r="F21" s="632">
        <f t="shared" si="2"/>
        <v>202269524</v>
      </c>
      <c r="G21" s="632">
        <f t="shared" si="2"/>
        <v>204427775</v>
      </c>
      <c r="H21" s="632">
        <f t="shared" si="2"/>
        <v>205033391</v>
      </c>
      <c r="I21" s="632">
        <f t="shared" si="2"/>
        <v>205093465</v>
      </c>
      <c r="J21" s="632">
        <f t="shared" si="2"/>
        <v>206149207</v>
      </c>
      <c r="K21" s="632">
        <f>SUM(K15+K16)</f>
        <v>210987321</v>
      </c>
      <c r="L21" s="632">
        <f>SUM(L15+L16)</f>
        <v>210987321</v>
      </c>
    </row>
    <row r="22" spans="1:12" s="1058" customFormat="1" ht="33" customHeight="1">
      <c r="A22" s="1055" t="s">
        <v>92</v>
      </c>
      <c r="B22" s="1056"/>
      <c r="C22" s="1826" t="s">
        <v>841</v>
      </c>
      <c r="D22" s="1827"/>
      <c r="E22" s="1057">
        <v>579188024</v>
      </c>
      <c r="F22" s="1057">
        <f>SUM(F23)</f>
        <v>0</v>
      </c>
      <c r="G22" s="1057">
        <f>SUM(G23)</f>
        <v>0</v>
      </c>
      <c r="H22" s="1057">
        <f>SUM(H23)</f>
        <v>0</v>
      </c>
      <c r="I22" s="1057">
        <f>SUM(I23)</f>
        <v>0</v>
      </c>
      <c r="J22" s="1057">
        <f>SUM(J23)</f>
        <v>0</v>
      </c>
      <c r="K22" s="1057">
        <v>14182798</v>
      </c>
      <c r="L22" s="1057">
        <v>14182798</v>
      </c>
    </row>
    <row r="23" spans="1:12" s="1061" customFormat="1" ht="12">
      <c r="A23" s="1059" t="s">
        <v>66</v>
      </c>
      <c r="B23" s="1060"/>
      <c r="C23" s="1828" t="s">
        <v>842</v>
      </c>
      <c r="D23" s="1829"/>
      <c r="E23" s="1062">
        <v>579001024</v>
      </c>
      <c r="F23" s="1062"/>
      <c r="G23" s="1062"/>
      <c r="H23" s="1062"/>
      <c r="I23" s="1062"/>
      <c r="J23" s="1062"/>
      <c r="K23" s="1062">
        <v>4182798</v>
      </c>
      <c r="L23" s="1062">
        <v>4182798</v>
      </c>
    </row>
    <row r="24" spans="1:12" s="1061" customFormat="1" ht="24">
      <c r="A24" s="1059" t="s">
        <v>67</v>
      </c>
      <c r="B24" s="1060"/>
      <c r="C24" s="1196" t="s">
        <v>1064</v>
      </c>
      <c r="D24" s="1197"/>
      <c r="E24" s="1062">
        <v>187000</v>
      </c>
      <c r="F24" s="1062"/>
      <c r="G24" s="1062"/>
      <c r="H24" s="1062"/>
      <c r="I24" s="1062"/>
      <c r="J24" s="1062"/>
      <c r="K24" s="1062">
        <v>9000000</v>
      </c>
      <c r="L24" s="1062">
        <v>9000000</v>
      </c>
    </row>
    <row r="25" spans="1:12" s="1061" customFormat="1" ht="12">
      <c r="A25" s="1059" t="s">
        <v>68</v>
      </c>
      <c r="B25" s="1060"/>
      <c r="C25" s="1466" t="s">
        <v>1182</v>
      </c>
      <c r="D25" s="1197"/>
      <c r="E25" s="1062"/>
      <c r="F25" s="1062"/>
      <c r="G25" s="1062"/>
      <c r="H25" s="1062"/>
      <c r="I25" s="1062"/>
      <c r="J25" s="1062"/>
      <c r="K25" s="1062"/>
      <c r="L25" s="1062">
        <v>1000000</v>
      </c>
    </row>
    <row r="26" spans="1:12" s="289" customFormat="1" ht="27" customHeight="1">
      <c r="A26" s="631" t="s">
        <v>70</v>
      </c>
      <c r="B26" s="613" t="s">
        <v>167</v>
      </c>
      <c r="C26" s="1808" t="s">
        <v>840</v>
      </c>
      <c r="D26" s="1808"/>
      <c r="E26" s="632">
        <f aca="true" t="shared" si="3" ref="E26:J26">SUM(E22)</f>
        <v>579188024</v>
      </c>
      <c r="F26" s="632">
        <f t="shared" si="3"/>
        <v>0</v>
      </c>
      <c r="G26" s="632">
        <f t="shared" si="3"/>
        <v>0</v>
      </c>
      <c r="H26" s="632">
        <f t="shared" si="3"/>
        <v>0</v>
      </c>
      <c r="I26" s="632">
        <f t="shared" si="3"/>
        <v>0</v>
      </c>
      <c r="J26" s="632">
        <f t="shared" si="3"/>
        <v>0</v>
      </c>
      <c r="K26" s="632">
        <f>SUM(K22)</f>
        <v>14182798</v>
      </c>
      <c r="L26" s="632">
        <f>SUM(L22)</f>
        <v>14182798</v>
      </c>
    </row>
    <row r="27" spans="1:12" s="615" customFormat="1" ht="12">
      <c r="A27" s="624" t="s">
        <v>97</v>
      </c>
      <c r="B27" s="614"/>
      <c r="C27" s="1802" t="s">
        <v>618</v>
      </c>
      <c r="D27" s="1803"/>
      <c r="E27" s="622">
        <v>6985609</v>
      </c>
      <c r="F27" s="622">
        <v>6755000</v>
      </c>
      <c r="G27" s="622">
        <v>6755000</v>
      </c>
      <c r="H27" s="622">
        <v>6755000</v>
      </c>
      <c r="I27" s="622">
        <v>6755000</v>
      </c>
      <c r="J27" s="622">
        <v>6755000</v>
      </c>
      <c r="K27" s="622">
        <v>8127945</v>
      </c>
      <c r="L27" s="622">
        <v>8127945</v>
      </c>
    </row>
    <row r="28" spans="1:12" s="615" customFormat="1" ht="12">
      <c r="A28" s="624" t="s">
        <v>99</v>
      </c>
      <c r="B28" s="614"/>
      <c r="C28" s="1814" t="s">
        <v>619</v>
      </c>
      <c r="D28" s="1815"/>
      <c r="E28" s="622">
        <v>153700078</v>
      </c>
      <c r="F28" s="622">
        <v>134000000</v>
      </c>
      <c r="G28" s="622">
        <v>134000000</v>
      </c>
      <c r="H28" s="622">
        <v>134000000</v>
      </c>
      <c r="I28" s="622">
        <v>134000000</v>
      </c>
      <c r="J28" s="622">
        <v>136000000</v>
      </c>
      <c r="K28" s="622">
        <v>164505470</v>
      </c>
      <c r="L28" s="622">
        <v>164505470</v>
      </c>
    </row>
    <row r="29" spans="1:12" s="615" customFormat="1" ht="12">
      <c r="A29" s="624" t="s">
        <v>101</v>
      </c>
      <c r="B29" s="614"/>
      <c r="C29" s="1814" t="s">
        <v>620</v>
      </c>
      <c r="D29" s="1815"/>
      <c r="E29" s="622">
        <v>10051757</v>
      </c>
      <c r="F29" s="622">
        <v>9235000</v>
      </c>
      <c r="G29" s="622">
        <v>9235000</v>
      </c>
      <c r="H29" s="622">
        <v>9235000</v>
      </c>
      <c r="I29" s="622">
        <v>11376598</v>
      </c>
      <c r="J29" s="622">
        <v>11376598</v>
      </c>
      <c r="K29" s="622">
        <v>12680105</v>
      </c>
      <c r="L29" s="622">
        <v>12680105</v>
      </c>
    </row>
    <row r="30" spans="1:12" s="615" customFormat="1" ht="26.25" customHeight="1">
      <c r="A30" s="624" t="s">
        <v>103</v>
      </c>
      <c r="B30" s="614"/>
      <c r="C30" s="1822" t="s">
        <v>621</v>
      </c>
      <c r="D30" s="1823"/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/>
      <c r="L30" s="622"/>
    </row>
    <row r="31" spans="1:12" s="615" customFormat="1" ht="17.25" customHeight="1">
      <c r="A31" s="624" t="s">
        <v>105</v>
      </c>
      <c r="B31" s="614"/>
      <c r="C31" s="1830" t="s">
        <v>622</v>
      </c>
      <c r="D31" s="1831"/>
      <c r="E31" s="622">
        <v>608170</v>
      </c>
      <c r="F31" s="622">
        <v>465000</v>
      </c>
      <c r="G31" s="622">
        <v>465000</v>
      </c>
      <c r="H31" s="622">
        <v>465000</v>
      </c>
      <c r="I31" s="622">
        <v>465000</v>
      </c>
      <c r="J31" s="622">
        <v>465000</v>
      </c>
      <c r="K31" s="622">
        <v>1362640</v>
      </c>
      <c r="L31" s="622">
        <v>1362640</v>
      </c>
    </row>
    <row r="32" spans="1:12" s="289" customFormat="1" ht="12.75">
      <c r="A32" s="631" t="s">
        <v>107</v>
      </c>
      <c r="B32" s="613" t="s">
        <v>174</v>
      </c>
      <c r="C32" s="1832" t="s">
        <v>844</v>
      </c>
      <c r="D32" s="1833"/>
      <c r="E32" s="632">
        <f aca="true" t="shared" si="4" ref="E32:J32">SUM(E27:E31)</f>
        <v>171345614</v>
      </c>
      <c r="F32" s="632">
        <f t="shared" si="4"/>
        <v>150455000</v>
      </c>
      <c r="G32" s="632">
        <f t="shared" si="4"/>
        <v>150455000</v>
      </c>
      <c r="H32" s="632">
        <f t="shared" si="4"/>
        <v>150455000</v>
      </c>
      <c r="I32" s="632">
        <f t="shared" si="4"/>
        <v>152596598</v>
      </c>
      <c r="J32" s="632">
        <f t="shared" si="4"/>
        <v>154596598</v>
      </c>
      <c r="K32" s="632">
        <f>SUM(K27:K31)</f>
        <v>186676160</v>
      </c>
      <c r="L32" s="632">
        <f>SUM(L27:L31)</f>
        <v>186676160</v>
      </c>
    </row>
    <row r="33" spans="1:12" s="289" customFormat="1" ht="12.75">
      <c r="A33" s="626" t="s">
        <v>109</v>
      </c>
      <c r="B33" s="613"/>
      <c r="C33" s="1834" t="s">
        <v>606</v>
      </c>
      <c r="D33" s="1835"/>
      <c r="E33" s="627">
        <v>5382544</v>
      </c>
      <c r="F33" s="627">
        <v>5400000</v>
      </c>
      <c r="G33" s="627">
        <v>5400000</v>
      </c>
      <c r="H33" s="627">
        <v>5400000</v>
      </c>
      <c r="I33" s="627">
        <v>5400000</v>
      </c>
      <c r="J33" s="627">
        <v>5400000</v>
      </c>
      <c r="K33" s="627">
        <v>3345228</v>
      </c>
      <c r="L33" s="627">
        <v>3345228</v>
      </c>
    </row>
    <row r="34" spans="1:12" s="289" customFormat="1" ht="12.75">
      <c r="A34" s="626" t="s">
        <v>111</v>
      </c>
      <c r="B34" s="613"/>
      <c r="C34" s="1836" t="s">
        <v>177</v>
      </c>
      <c r="D34" s="1837"/>
      <c r="E34" s="627">
        <v>3652459</v>
      </c>
      <c r="F34" s="627">
        <v>3655000</v>
      </c>
      <c r="G34" s="627">
        <v>3655000</v>
      </c>
      <c r="H34" s="627">
        <v>3655000</v>
      </c>
      <c r="I34" s="627">
        <v>3655000</v>
      </c>
      <c r="J34" s="627">
        <v>3655000</v>
      </c>
      <c r="K34" s="627">
        <v>4026406</v>
      </c>
      <c r="L34" s="627">
        <v>4026406</v>
      </c>
    </row>
    <row r="35" spans="1:12" s="289" customFormat="1" ht="12.75">
      <c r="A35" s="626" t="s">
        <v>113</v>
      </c>
      <c r="B35" s="613"/>
      <c r="C35" s="1836" t="s">
        <v>178</v>
      </c>
      <c r="D35" s="1837"/>
      <c r="E35" s="627">
        <v>846660</v>
      </c>
      <c r="F35" s="627">
        <v>850000</v>
      </c>
      <c r="G35" s="627">
        <v>850000</v>
      </c>
      <c r="H35" s="627">
        <v>850000</v>
      </c>
      <c r="I35" s="627">
        <v>850000</v>
      </c>
      <c r="J35" s="627">
        <v>850000</v>
      </c>
      <c r="K35" s="627">
        <v>2389529</v>
      </c>
      <c r="L35" s="627">
        <v>2389529</v>
      </c>
    </row>
    <row r="36" spans="1:12" s="289" customFormat="1" ht="12.75">
      <c r="A36" s="626" t="s">
        <v>115</v>
      </c>
      <c r="B36" s="613"/>
      <c r="C36" s="1836" t="s">
        <v>180</v>
      </c>
      <c r="D36" s="1837"/>
      <c r="E36" s="627">
        <v>4226887</v>
      </c>
      <c r="F36" s="627">
        <v>4250000</v>
      </c>
      <c r="G36" s="627">
        <v>4250000</v>
      </c>
      <c r="H36" s="627">
        <v>4250000</v>
      </c>
      <c r="I36" s="627">
        <v>4250000</v>
      </c>
      <c r="J36" s="627">
        <v>13324750</v>
      </c>
      <c r="K36" s="627">
        <v>6025093</v>
      </c>
      <c r="L36" s="627">
        <v>6025093</v>
      </c>
    </row>
    <row r="37" spans="1:12" s="289" customFormat="1" ht="12.75">
      <c r="A37" s="626" t="s">
        <v>117</v>
      </c>
      <c r="B37" s="613"/>
      <c r="C37" s="826" t="s">
        <v>739</v>
      </c>
      <c r="D37" s="827"/>
      <c r="E37" s="627">
        <v>5708000</v>
      </c>
      <c r="F37" s="627">
        <v>5700000</v>
      </c>
      <c r="G37" s="627">
        <v>5700000</v>
      </c>
      <c r="H37" s="627">
        <v>5700000</v>
      </c>
      <c r="I37" s="627">
        <v>5700000</v>
      </c>
      <c r="J37" s="627">
        <v>0</v>
      </c>
      <c r="K37" s="627">
        <v>0</v>
      </c>
      <c r="L37" s="627">
        <v>0</v>
      </c>
    </row>
    <row r="38" spans="1:12" ht="12.75">
      <c r="A38" s="626" t="s">
        <v>118</v>
      </c>
      <c r="B38" s="272"/>
      <c r="C38" s="1846" t="s">
        <v>617</v>
      </c>
      <c r="D38" s="1847"/>
      <c r="E38" s="627">
        <v>2867</v>
      </c>
      <c r="F38" s="627">
        <v>3000</v>
      </c>
      <c r="G38" s="627">
        <v>3000</v>
      </c>
      <c r="H38" s="627">
        <v>3000</v>
      </c>
      <c r="I38" s="627">
        <v>3000</v>
      </c>
      <c r="J38" s="627">
        <v>3000</v>
      </c>
      <c r="K38" s="627">
        <v>535</v>
      </c>
      <c r="L38" s="627">
        <v>535</v>
      </c>
    </row>
    <row r="39" spans="1:12" ht="12.75">
      <c r="A39" s="626" t="s">
        <v>120</v>
      </c>
      <c r="B39" s="272"/>
      <c r="C39" s="1063" t="s">
        <v>843</v>
      </c>
      <c r="D39" s="1064"/>
      <c r="E39" s="627">
        <v>61230</v>
      </c>
      <c r="F39" s="627">
        <v>0</v>
      </c>
      <c r="G39" s="627">
        <v>0</v>
      </c>
      <c r="H39" s="627">
        <v>0</v>
      </c>
      <c r="I39" s="627">
        <v>44417</v>
      </c>
      <c r="J39" s="627">
        <v>172669</v>
      </c>
      <c r="K39" s="627">
        <v>660167</v>
      </c>
      <c r="L39" s="627">
        <v>660167</v>
      </c>
    </row>
    <row r="40" spans="1:12" ht="12.75" customHeight="1">
      <c r="A40" s="626" t="s">
        <v>122</v>
      </c>
      <c r="B40" s="272"/>
      <c r="C40" s="1848" t="s">
        <v>183</v>
      </c>
      <c r="D40" s="1849"/>
      <c r="E40" s="627">
        <v>9</v>
      </c>
      <c r="F40" s="627">
        <v>0</v>
      </c>
      <c r="G40" s="627">
        <v>0</v>
      </c>
      <c r="H40" s="627">
        <v>0</v>
      </c>
      <c r="I40" s="627">
        <v>18</v>
      </c>
      <c r="J40" s="627">
        <v>18</v>
      </c>
      <c r="K40" s="627">
        <v>310271</v>
      </c>
      <c r="L40" s="627">
        <v>310271</v>
      </c>
    </row>
    <row r="41" spans="1:12" s="289" customFormat="1" ht="12.75">
      <c r="A41" s="631" t="s">
        <v>124</v>
      </c>
      <c r="B41" s="273" t="s">
        <v>184</v>
      </c>
      <c r="C41" s="1809" t="s">
        <v>845</v>
      </c>
      <c r="D41" s="1810"/>
      <c r="E41" s="633">
        <f aca="true" t="shared" si="5" ref="E41:J41">SUM(E33:E40)</f>
        <v>19880656</v>
      </c>
      <c r="F41" s="633">
        <f t="shared" si="5"/>
        <v>19858000</v>
      </c>
      <c r="G41" s="633">
        <f t="shared" si="5"/>
        <v>19858000</v>
      </c>
      <c r="H41" s="633">
        <f t="shared" si="5"/>
        <v>19858000</v>
      </c>
      <c r="I41" s="633">
        <f t="shared" si="5"/>
        <v>19902435</v>
      </c>
      <c r="J41" s="633">
        <f t="shared" si="5"/>
        <v>23405437</v>
      </c>
      <c r="K41" s="633">
        <f>SUM(K33:K40)</f>
        <v>16757229</v>
      </c>
      <c r="L41" s="633">
        <f>SUM(L33:L40)</f>
        <v>16757229</v>
      </c>
    </row>
    <row r="42" spans="1:12" s="289" customFormat="1" ht="12.75" customHeight="1">
      <c r="A42" s="631" t="s">
        <v>126</v>
      </c>
      <c r="B42" s="273" t="s">
        <v>185</v>
      </c>
      <c r="C42" s="1811" t="s">
        <v>846</v>
      </c>
      <c r="D42" s="1811"/>
      <c r="E42" s="537">
        <v>9136370</v>
      </c>
      <c r="F42" s="537">
        <f>SUM(F43:F44)</f>
        <v>24433530</v>
      </c>
      <c r="G42" s="537">
        <f aca="true" t="shared" si="6" ref="G42:L42">SUM(G43:G45)</f>
        <v>32364738</v>
      </c>
      <c r="H42" s="537">
        <f t="shared" si="6"/>
        <v>32364738</v>
      </c>
      <c r="I42" s="537">
        <f t="shared" si="6"/>
        <v>32127362</v>
      </c>
      <c r="J42" s="537">
        <f t="shared" si="6"/>
        <v>30832408</v>
      </c>
      <c r="K42" s="537">
        <f t="shared" si="6"/>
        <v>15566246</v>
      </c>
      <c r="L42" s="537">
        <f t="shared" si="6"/>
        <v>15566246</v>
      </c>
    </row>
    <row r="43" spans="1:12" s="607" customFormat="1" ht="12.75" customHeight="1">
      <c r="A43" s="624" t="s">
        <v>128</v>
      </c>
      <c r="B43" s="606"/>
      <c r="C43" s="1065" t="s">
        <v>1090</v>
      </c>
      <c r="D43" s="1066"/>
      <c r="E43" s="1067">
        <v>9130870</v>
      </c>
      <c r="F43" s="1067">
        <v>24433530</v>
      </c>
      <c r="G43" s="1067">
        <v>24433530</v>
      </c>
      <c r="H43" s="1067">
        <v>24433530</v>
      </c>
      <c r="I43" s="1067">
        <v>24196154</v>
      </c>
      <c r="J43" s="1067">
        <v>22901200</v>
      </c>
      <c r="K43" s="1067">
        <v>6135038</v>
      </c>
      <c r="L43" s="1067">
        <v>6135038</v>
      </c>
    </row>
    <row r="44" spans="1:12" s="607" customFormat="1" ht="12.75" customHeight="1">
      <c r="A44" s="624" t="s">
        <v>130</v>
      </c>
      <c r="B44" s="606"/>
      <c r="C44" s="1065" t="s">
        <v>847</v>
      </c>
      <c r="D44" s="1066"/>
      <c r="E44" s="1067">
        <v>5500</v>
      </c>
      <c r="F44" s="1067">
        <v>0</v>
      </c>
      <c r="G44" s="1067">
        <v>0</v>
      </c>
      <c r="H44" s="1067">
        <v>0</v>
      </c>
      <c r="I44" s="1067">
        <v>0</v>
      </c>
      <c r="J44" s="1067">
        <v>0</v>
      </c>
      <c r="K44" s="1067">
        <v>1500000</v>
      </c>
      <c r="L44" s="1067">
        <v>1500000</v>
      </c>
    </row>
    <row r="45" spans="1:12" s="607" customFormat="1" ht="12.75" customHeight="1">
      <c r="A45" s="624" t="s">
        <v>131</v>
      </c>
      <c r="B45" s="606"/>
      <c r="C45" s="1065" t="s">
        <v>1091</v>
      </c>
      <c r="D45" s="1066"/>
      <c r="E45" s="1067"/>
      <c r="F45" s="1067"/>
      <c r="G45" s="1067">
        <v>7931208</v>
      </c>
      <c r="H45" s="1067">
        <v>7931208</v>
      </c>
      <c r="I45" s="1067">
        <v>7931208</v>
      </c>
      <c r="J45" s="1067">
        <v>7931208</v>
      </c>
      <c r="K45" s="1067">
        <v>7931208</v>
      </c>
      <c r="L45" s="1067">
        <v>7931208</v>
      </c>
    </row>
    <row r="46" spans="1:12" s="289" customFormat="1" ht="12.75" customHeight="1">
      <c r="A46" s="631" t="s">
        <v>133</v>
      </c>
      <c r="B46" s="612" t="s">
        <v>680</v>
      </c>
      <c r="C46" s="1809" t="s">
        <v>810</v>
      </c>
      <c r="D46" s="1810"/>
      <c r="E46" s="632">
        <f aca="true" t="shared" si="7" ref="E46:J46">SUM(E47:E48)</f>
        <v>1320741</v>
      </c>
      <c r="F46" s="632">
        <f t="shared" si="7"/>
        <v>200000</v>
      </c>
      <c r="G46" s="632">
        <f t="shared" si="7"/>
        <v>200000</v>
      </c>
      <c r="H46" s="632">
        <f t="shared" si="7"/>
        <v>200000</v>
      </c>
      <c r="I46" s="632">
        <f t="shared" si="7"/>
        <v>478800</v>
      </c>
      <c r="J46" s="632">
        <f t="shared" si="7"/>
        <v>937800</v>
      </c>
      <c r="K46" s="632">
        <f>SUM(K47:K48)</f>
        <v>815220</v>
      </c>
      <c r="L46" s="632">
        <f>SUM(L47:L48)</f>
        <v>815220</v>
      </c>
    </row>
    <row r="47" spans="1:12" s="607" customFormat="1" ht="24" customHeight="1">
      <c r="A47" s="1068" t="s">
        <v>135</v>
      </c>
      <c r="B47" s="1069"/>
      <c r="C47" s="1073" t="s">
        <v>848</v>
      </c>
      <c r="D47" s="1071"/>
      <c r="E47" s="1072">
        <v>215603</v>
      </c>
      <c r="F47" s="1072">
        <v>200000</v>
      </c>
      <c r="G47" s="1072">
        <v>200000</v>
      </c>
      <c r="H47" s="1072">
        <v>200000</v>
      </c>
      <c r="I47" s="1072">
        <v>200000</v>
      </c>
      <c r="J47" s="1072">
        <v>200000</v>
      </c>
      <c r="K47" s="1072">
        <v>77420</v>
      </c>
      <c r="L47" s="1072">
        <v>77420</v>
      </c>
    </row>
    <row r="48" spans="1:12" s="607" customFormat="1" ht="12.75" customHeight="1">
      <c r="A48" s="1068" t="s">
        <v>137</v>
      </c>
      <c r="B48" s="1069"/>
      <c r="C48" s="1070" t="s">
        <v>849</v>
      </c>
      <c r="D48" s="1071"/>
      <c r="E48" s="1072">
        <v>1105138</v>
      </c>
      <c r="F48" s="1072"/>
      <c r="G48" s="1072"/>
      <c r="H48" s="1072"/>
      <c r="I48" s="1072">
        <v>278800</v>
      </c>
      <c r="J48" s="1072">
        <v>737800</v>
      </c>
      <c r="K48" s="1072">
        <v>737800</v>
      </c>
      <c r="L48" s="1072">
        <v>737800</v>
      </c>
    </row>
    <row r="49" spans="1:12" s="289" customFormat="1" ht="12.75" customHeight="1" thickBot="1">
      <c r="A49" s="642" t="s">
        <v>139</v>
      </c>
      <c r="B49" s="643" t="s">
        <v>188</v>
      </c>
      <c r="C49" s="1842" t="s">
        <v>850</v>
      </c>
      <c r="D49" s="1843"/>
      <c r="E49" s="644">
        <v>0</v>
      </c>
      <c r="F49" s="644">
        <v>0</v>
      </c>
      <c r="G49" s="644">
        <v>0</v>
      </c>
      <c r="H49" s="644">
        <v>0</v>
      </c>
      <c r="I49" s="644">
        <v>0</v>
      </c>
      <c r="J49" s="644">
        <v>0</v>
      </c>
      <c r="K49" s="644">
        <v>3200000</v>
      </c>
      <c r="L49" s="644">
        <v>3200000</v>
      </c>
    </row>
    <row r="50" spans="1:12" s="616" customFormat="1" ht="15.75" thickBot="1">
      <c r="A50" s="645" t="s">
        <v>141</v>
      </c>
      <c r="B50" s="646"/>
      <c r="C50" s="1838" t="s">
        <v>505</v>
      </c>
      <c r="D50" s="1839"/>
      <c r="E50" s="647">
        <f aca="true" t="shared" si="8" ref="E50:J50">SUM(E21+E26+E32+E41+E42+E46+E49)</f>
        <v>1111433129</v>
      </c>
      <c r="F50" s="647">
        <f t="shared" si="8"/>
        <v>397216054</v>
      </c>
      <c r="G50" s="647">
        <f t="shared" si="8"/>
        <v>407305513</v>
      </c>
      <c r="H50" s="647">
        <f t="shared" si="8"/>
        <v>407911129</v>
      </c>
      <c r="I50" s="647">
        <f t="shared" si="8"/>
        <v>410198660</v>
      </c>
      <c r="J50" s="647">
        <f t="shared" si="8"/>
        <v>415921450</v>
      </c>
      <c r="K50" s="647">
        <f>SUM(K21+K26+K32+K41+K42+K46+K49)</f>
        <v>448184974</v>
      </c>
      <c r="L50" s="647">
        <f>SUM(L21+L26+L32+L41+L42+L46+L49)</f>
        <v>448184974</v>
      </c>
    </row>
    <row r="51" spans="1:12" ht="12.75" customHeight="1">
      <c r="A51" s="787" t="s">
        <v>143</v>
      </c>
      <c r="B51" s="788"/>
      <c r="C51" s="1812" t="s">
        <v>681</v>
      </c>
      <c r="D51" s="1813"/>
      <c r="E51" s="789">
        <v>0</v>
      </c>
      <c r="F51" s="789">
        <v>0</v>
      </c>
      <c r="G51" s="789">
        <v>0</v>
      </c>
      <c r="H51" s="789">
        <v>0</v>
      </c>
      <c r="I51" s="789">
        <v>0</v>
      </c>
      <c r="J51" s="789">
        <v>0</v>
      </c>
      <c r="K51" s="789">
        <v>0</v>
      </c>
      <c r="L51" s="789">
        <v>0</v>
      </c>
    </row>
    <row r="52" spans="1:12" s="274" customFormat="1" ht="12.75" customHeight="1">
      <c r="A52" s="634" t="s">
        <v>145</v>
      </c>
      <c r="B52" s="617"/>
      <c r="C52" s="1850" t="s">
        <v>222</v>
      </c>
      <c r="D52" s="1851"/>
      <c r="E52" s="793">
        <v>46294271</v>
      </c>
      <c r="F52" s="793">
        <v>727099046</v>
      </c>
      <c r="G52" s="793">
        <v>727099046</v>
      </c>
      <c r="H52" s="793">
        <v>727099046</v>
      </c>
      <c r="I52" s="793">
        <v>727099046</v>
      </c>
      <c r="J52" s="793">
        <v>727099046</v>
      </c>
      <c r="K52" s="793">
        <v>727099046</v>
      </c>
      <c r="L52" s="793">
        <v>727099046</v>
      </c>
    </row>
    <row r="53" spans="1:12" s="274" customFormat="1" ht="12.75" customHeight="1">
      <c r="A53" s="790" t="s">
        <v>147</v>
      </c>
      <c r="B53" s="782"/>
      <c r="C53" s="1841" t="s">
        <v>735</v>
      </c>
      <c r="D53" s="1841"/>
      <c r="E53" s="791">
        <v>16745809</v>
      </c>
      <c r="F53" s="791">
        <v>132214879</v>
      </c>
      <c r="G53" s="791">
        <v>132214879</v>
      </c>
      <c r="H53" s="791">
        <v>34216475</v>
      </c>
      <c r="I53" s="791">
        <v>34216475</v>
      </c>
      <c r="J53" s="791">
        <v>121801942</v>
      </c>
      <c r="K53" s="791">
        <v>121801942</v>
      </c>
      <c r="L53" s="791">
        <v>121801942</v>
      </c>
    </row>
    <row r="54" spans="1:12" s="274" customFormat="1" ht="12.75" customHeight="1">
      <c r="A54" s="790" t="s">
        <v>149</v>
      </c>
      <c r="B54" s="782"/>
      <c r="C54" s="1841" t="s">
        <v>736</v>
      </c>
      <c r="D54" s="1841"/>
      <c r="E54" s="791">
        <v>29548462</v>
      </c>
      <c r="F54" s="791">
        <v>594884167</v>
      </c>
      <c r="G54" s="791">
        <v>594884167</v>
      </c>
      <c r="H54" s="791">
        <v>692882571</v>
      </c>
      <c r="I54" s="791">
        <v>692882571</v>
      </c>
      <c r="J54" s="791">
        <v>605297104</v>
      </c>
      <c r="K54" s="791">
        <v>605297104</v>
      </c>
      <c r="L54" s="791">
        <v>605297104</v>
      </c>
    </row>
    <row r="55" spans="1:12" ht="12.75" customHeight="1">
      <c r="A55" s="792" t="s">
        <v>151</v>
      </c>
      <c r="B55" s="786"/>
      <c r="C55" s="1840" t="s">
        <v>225</v>
      </c>
      <c r="D55" s="1840"/>
      <c r="E55" s="828">
        <v>10623632</v>
      </c>
      <c r="F55" s="828">
        <v>6703536</v>
      </c>
      <c r="G55" s="828">
        <v>6703536</v>
      </c>
      <c r="H55" s="828">
        <v>7419080</v>
      </c>
      <c r="I55" s="828">
        <v>8095569</v>
      </c>
      <c r="J55" s="828">
        <v>8679084</v>
      </c>
      <c r="K55" s="828">
        <v>9417924</v>
      </c>
      <c r="L55" s="828">
        <v>9423918</v>
      </c>
    </row>
    <row r="56" spans="1:12" s="616" customFormat="1" ht="17.25" customHeight="1" thickBot="1">
      <c r="A56" s="783" t="s">
        <v>207</v>
      </c>
      <c r="B56" s="784"/>
      <c r="C56" s="1844" t="s">
        <v>851</v>
      </c>
      <c r="D56" s="1845"/>
      <c r="E56" s="785">
        <f aca="true" t="shared" si="9" ref="E56:J56">SUM(E52+E55)</f>
        <v>56917903</v>
      </c>
      <c r="F56" s="785">
        <f t="shared" si="9"/>
        <v>733802582</v>
      </c>
      <c r="G56" s="785">
        <f t="shared" si="9"/>
        <v>733802582</v>
      </c>
      <c r="H56" s="785">
        <f t="shared" si="9"/>
        <v>734518126</v>
      </c>
      <c r="I56" s="785">
        <f t="shared" si="9"/>
        <v>735194615</v>
      </c>
      <c r="J56" s="785">
        <f t="shared" si="9"/>
        <v>735778130</v>
      </c>
      <c r="K56" s="785">
        <f>SUM(K52+K55)</f>
        <v>736516970</v>
      </c>
      <c r="L56" s="785">
        <f>SUM(L52+L55)</f>
        <v>736522964</v>
      </c>
    </row>
    <row r="57" spans="1:12" s="618" customFormat="1" ht="16.5" customHeight="1" thickBot="1">
      <c r="A57" s="649" t="s">
        <v>209</v>
      </c>
      <c r="B57" s="635"/>
      <c r="C57" s="636" t="s">
        <v>116</v>
      </c>
      <c r="D57" s="637"/>
      <c r="E57" s="638">
        <f aca="true" t="shared" si="10" ref="E57:J57">SUM(E50+E56)</f>
        <v>1168351032</v>
      </c>
      <c r="F57" s="638">
        <f t="shared" si="10"/>
        <v>1131018636</v>
      </c>
      <c r="G57" s="638">
        <f t="shared" si="10"/>
        <v>1141108095</v>
      </c>
      <c r="H57" s="638">
        <f t="shared" si="10"/>
        <v>1142429255</v>
      </c>
      <c r="I57" s="638">
        <f t="shared" si="10"/>
        <v>1145393275</v>
      </c>
      <c r="J57" s="638">
        <f t="shared" si="10"/>
        <v>1151699580</v>
      </c>
      <c r="K57" s="638">
        <f>SUM(K50+K56)</f>
        <v>1184701944</v>
      </c>
      <c r="L57" s="638">
        <f>SUM(L50+L56)</f>
        <v>1184707938</v>
      </c>
    </row>
    <row r="58" spans="1:12" ht="12.75" customHeight="1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</row>
    <row r="59" spans="1:12" ht="33.75" customHeight="1">
      <c r="A59" s="1804" t="s">
        <v>156</v>
      </c>
      <c r="B59" s="1804"/>
      <c r="C59" s="886" t="s">
        <v>248</v>
      </c>
      <c r="D59" s="887" t="s">
        <v>520</v>
      </c>
      <c r="E59" s="887" t="s">
        <v>158</v>
      </c>
      <c r="F59" s="887" t="s">
        <v>1002</v>
      </c>
      <c r="G59" s="887" t="s">
        <v>1070</v>
      </c>
      <c r="H59" s="887" t="s">
        <v>1131</v>
      </c>
      <c r="I59" s="887" t="s">
        <v>1141</v>
      </c>
      <c r="J59" s="887" t="s">
        <v>1148</v>
      </c>
      <c r="K59" s="887" t="s">
        <v>1158</v>
      </c>
      <c r="L59" s="887" t="s">
        <v>1181</v>
      </c>
    </row>
    <row r="60" spans="1:12" ht="19.5" customHeight="1">
      <c r="A60" s="1805" t="s">
        <v>159</v>
      </c>
      <c r="B60" s="1805"/>
      <c r="C60" s="885" t="s">
        <v>160</v>
      </c>
      <c r="D60" s="885" t="s">
        <v>161</v>
      </c>
      <c r="E60" s="885" t="s">
        <v>162</v>
      </c>
      <c r="F60" s="885" t="s">
        <v>479</v>
      </c>
      <c r="G60" s="885" t="s">
        <v>499</v>
      </c>
      <c r="H60" s="885" t="s">
        <v>745</v>
      </c>
      <c r="I60" s="885" t="s">
        <v>826</v>
      </c>
      <c r="J60" s="885" t="s">
        <v>830</v>
      </c>
      <c r="K60" s="885" t="s">
        <v>987</v>
      </c>
      <c r="L60" s="885" t="s">
        <v>988</v>
      </c>
    </row>
    <row r="61" spans="1:12" ht="12.75" customHeight="1">
      <c r="A61" s="275" t="s">
        <v>38</v>
      </c>
      <c r="B61" s="276" t="s">
        <v>165</v>
      </c>
      <c r="C61" s="277" t="s">
        <v>537</v>
      </c>
      <c r="D61" s="277"/>
      <c r="E61" s="277">
        <f aca="true" t="shared" si="11" ref="E61:L61">SUM(E62)</f>
        <v>600000</v>
      </c>
      <c r="F61" s="277">
        <f t="shared" si="11"/>
        <v>673000</v>
      </c>
      <c r="G61" s="277">
        <f t="shared" si="11"/>
        <v>673000</v>
      </c>
      <c r="H61" s="277">
        <f t="shared" si="11"/>
        <v>673000</v>
      </c>
      <c r="I61" s="277">
        <f t="shared" si="11"/>
        <v>673000</v>
      </c>
      <c r="J61" s="277">
        <f t="shared" si="11"/>
        <v>673000</v>
      </c>
      <c r="K61" s="277">
        <f t="shared" si="11"/>
        <v>673000</v>
      </c>
      <c r="L61" s="1484">
        <f t="shared" si="11"/>
        <v>450000</v>
      </c>
    </row>
    <row r="62" spans="1:12" ht="12.75" customHeight="1">
      <c r="A62" s="278" t="s">
        <v>40</v>
      </c>
      <c r="B62" s="279"/>
      <c r="C62" s="280" t="s">
        <v>250</v>
      </c>
      <c r="D62" s="280"/>
      <c r="E62" s="280">
        <v>600000</v>
      </c>
      <c r="F62" s="280">
        <v>673000</v>
      </c>
      <c r="G62" s="280">
        <v>673000</v>
      </c>
      <c r="H62" s="280">
        <v>673000</v>
      </c>
      <c r="I62" s="280">
        <v>673000</v>
      </c>
      <c r="J62" s="280">
        <v>673000</v>
      </c>
      <c r="K62" s="280">
        <v>673000</v>
      </c>
      <c r="L62" s="280">
        <v>450000</v>
      </c>
    </row>
    <row r="63" spans="1:12" ht="12.75" customHeight="1">
      <c r="A63" s="281" t="s">
        <v>47</v>
      </c>
      <c r="B63" s="282" t="s">
        <v>167</v>
      </c>
      <c r="C63" s="283" t="s">
        <v>251</v>
      </c>
      <c r="D63" s="283"/>
      <c r="E63" s="283">
        <v>0</v>
      </c>
      <c r="F63" s="283">
        <f aca="true" t="shared" si="12" ref="F63:L63">SUM(F64)</f>
        <v>551000</v>
      </c>
      <c r="G63" s="283">
        <f t="shared" si="12"/>
        <v>551000</v>
      </c>
      <c r="H63" s="283">
        <f t="shared" si="12"/>
        <v>551000</v>
      </c>
      <c r="I63" s="283">
        <f t="shared" si="12"/>
        <v>551000</v>
      </c>
      <c r="J63" s="283">
        <f t="shared" si="12"/>
        <v>551000</v>
      </c>
      <c r="K63" s="283">
        <f t="shared" si="12"/>
        <v>551000</v>
      </c>
      <c r="L63" s="1227">
        <f t="shared" si="12"/>
        <v>0</v>
      </c>
    </row>
    <row r="64" spans="1:12" ht="12.75" customHeight="1">
      <c r="A64" s="278" t="s">
        <v>49</v>
      </c>
      <c r="B64" s="279"/>
      <c r="C64" s="280" t="s">
        <v>250</v>
      </c>
      <c r="D64" s="280"/>
      <c r="E64" s="280"/>
      <c r="F64" s="280">
        <v>551000</v>
      </c>
      <c r="G64" s="280">
        <v>551000</v>
      </c>
      <c r="H64" s="280">
        <v>551000</v>
      </c>
      <c r="I64" s="280">
        <v>551000</v>
      </c>
      <c r="J64" s="280">
        <v>551000</v>
      </c>
      <c r="K64" s="280">
        <v>551000</v>
      </c>
      <c r="L64" s="661"/>
    </row>
    <row r="65" spans="1:12" ht="12.75" customHeight="1">
      <c r="A65" s="278" t="s">
        <v>51</v>
      </c>
      <c r="B65" s="279"/>
      <c r="C65" s="280" t="s">
        <v>252</v>
      </c>
      <c r="D65" s="280"/>
      <c r="E65" s="280">
        <v>0</v>
      </c>
      <c r="F65" s="280">
        <v>0</v>
      </c>
      <c r="G65" s="280">
        <v>0</v>
      </c>
      <c r="H65" s="280">
        <v>0</v>
      </c>
      <c r="I65" s="280">
        <v>0</v>
      </c>
      <c r="J65" s="280">
        <v>0</v>
      </c>
      <c r="K65" s="280">
        <v>0</v>
      </c>
      <c r="L65" s="661">
        <v>0</v>
      </c>
    </row>
    <row r="66" spans="1:12" ht="12.75" customHeight="1">
      <c r="A66" s="281" t="s">
        <v>53</v>
      </c>
      <c r="B66" s="282" t="s">
        <v>174</v>
      </c>
      <c r="C66" s="283" t="s">
        <v>538</v>
      </c>
      <c r="D66" s="283"/>
      <c r="E66" s="283">
        <v>6165275</v>
      </c>
      <c r="F66" s="283">
        <f aca="true" t="shared" si="13" ref="F66:L66">SUM(F67)</f>
        <v>7000000</v>
      </c>
      <c r="G66" s="283">
        <f t="shared" si="13"/>
        <v>7000000</v>
      </c>
      <c r="H66" s="283">
        <f t="shared" si="13"/>
        <v>7000000</v>
      </c>
      <c r="I66" s="283">
        <f t="shared" si="13"/>
        <v>7000000</v>
      </c>
      <c r="J66" s="283">
        <f t="shared" si="13"/>
        <v>7000000</v>
      </c>
      <c r="K66" s="283">
        <f t="shared" si="13"/>
        <v>7000000</v>
      </c>
      <c r="L66" s="1227">
        <f t="shared" si="13"/>
        <v>5859540</v>
      </c>
    </row>
    <row r="67" spans="1:12" ht="12.75" customHeight="1">
      <c r="A67" s="278" t="s">
        <v>55</v>
      </c>
      <c r="B67" s="279"/>
      <c r="C67" s="280" t="s">
        <v>250</v>
      </c>
      <c r="D67" s="280"/>
      <c r="E67" s="280">
        <v>6165275</v>
      </c>
      <c r="F67" s="280">
        <v>7000000</v>
      </c>
      <c r="G67" s="280">
        <v>7000000</v>
      </c>
      <c r="H67" s="280">
        <v>7000000</v>
      </c>
      <c r="I67" s="280">
        <v>7000000</v>
      </c>
      <c r="J67" s="280">
        <v>7000000</v>
      </c>
      <c r="K67" s="280">
        <v>7000000</v>
      </c>
      <c r="L67" s="661">
        <v>5859540</v>
      </c>
    </row>
    <row r="68" spans="1:12" ht="12.75" customHeight="1">
      <c r="A68" s="281" t="s">
        <v>57</v>
      </c>
      <c r="B68" s="282" t="s">
        <v>184</v>
      </c>
      <c r="C68" s="283" t="s">
        <v>257</v>
      </c>
      <c r="D68" s="283"/>
      <c r="E68" s="283">
        <v>0</v>
      </c>
      <c r="F68" s="283">
        <f aca="true" t="shared" si="14" ref="F68:L68">SUM(F69)</f>
        <v>100000</v>
      </c>
      <c r="G68" s="283">
        <f t="shared" si="14"/>
        <v>100000</v>
      </c>
      <c r="H68" s="283">
        <f t="shared" si="14"/>
        <v>100000</v>
      </c>
      <c r="I68" s="283">
        <f t="shared" si="14"/>
        <v>100000</v>
      </c>
      <c r="J68" s="283">
        <f t="shared" si="14"/>
        <v>100000</v>
      </c>
      <c r="K68" s="283">
        <f t="shared" si="14"/>
        <v>100000</v>
      </c>
      <c r="L68" s="1227">
        <f t="shared" si="14"/>
        <v>0</v>
      </c>
    </row>
    <row r="69" spans="1:12" ht="12.75" customHeight="1">
      <c r="A69" s="278" t="s">
        <v>86</v>
      </c>
      <c r="B69" s="279"/>
      <c r="C69" s="280" t="s">
        <v>250</v>
      </c>
      <c r="D69" s="280"/>
      <c r="E69" s="280">
        <v>0</v>
      </c>
      <c r="F69" s="280">
        <v>100000</v>
      </c>
      <c r="G69" s="280">
        <v>100000</v>
      </c>
      <c r="H69" s="280">
        <v>100000</v>
      </c>
      <c r="I69" s="280">
        <v>100000</v>
      </c>
      <c r="J69" s="280">
        <v>100000</v>
      </c>
      <c r="K69" s="280">
        <v>100000</v>
      </c>
      <c r="L69" s="661"/>
    </row>
    <row r="70" spans="1:12" s="289" customFormat="1" ht="12.75" customHeight="1">
      <c r="A70" s="281" t="s">
        <v>59</v>
      </c>
      <c r="B70" s="282" t="s">
        <v>185</v>
      </c>
      <c r="C70" s="283" t="s">
        <v>1084</v>
      </c>
      <c r="D70" s="283"/>
      <c r="E70" s="283">
        <v>335165</v>
      </c>
      <c r="F70" s="283">
        <v>0</v>
      </c>
      <c r="G70" s="283">
        <v>0</v>
      </c>
      <c r="H70" s="283">
        <v>0</v>
      </c>
      <c r="I70" s="283">
        <v>0</v>
      </c>
      <c r="J70" s="283">
        <v>0</v>
      </c>
      <c r="K70" s="283">
        <v>0</v>
      </c>
      <c r="L70" s="1227">
        <f>SUM(L71)</f>
        <v>323173</v>
      </c>
    </row>
    <row r="71" spans="1:12" ht="12.75" customHeight="1">
      <c r="A71" s="278" t="s">
        <v>61</v>
      </c>
      <c r="B71" s="279"/>
      <c r="C71" s="280" t="s">
        <v>125</v>
      </c>
      <c r="D71" s="280"/>
      <c r="E71" s="280">
        <v>335165</v>
      </c>
      <c r="F71" s="280"/>
      <c r="G71" s="280"/>
      <c r="H71" s="280"/>
      <c r="I71" s="280"/>
      <c r="J71" s="280"/>
      <c r="K71" s="280"/>
      <c r="L71" s="661">
        <v>323173</v>
      </c>
    </row>
    <row r="72" spans="1:12" ht="12.75" customHeight="1">
      <c r="A72" s="281" t="s">
        <v>63</v>
      </c>
      <c r="B72" s="282" t="s">
        <v>186</v>
      </c>
      <c r="C72" s="283" t="s">
        <v>258</v>
      </c>
      <c r="D72" s="283">
        <v>1</v>
      </c>
      <c r="E72" s="283">
        <v>9102169</v>
      </c>
      <c r="F72" s="283">
        <f aca="true" t="shared" si="15" ref="F72:K72">SUM(F73:F77)</f>
        <v>4274204</v>
      </c>
      <c r="G72" s="283">
        <f t="shared" si="15"/>
        <v>1634204</v>
      </c>
      <c r="H72" s="283">
        <f t="shared" si="15"/>
        <v>1634204</v>
      </c>
      <c r="I72" s="283">
        <f t="shared" si="15"/>
        <v>1634204</v>
      </c>
      <c r="J72" s="283">
        <f t="shared" si="15"/>
        <v>1634204</v>
      </c>
      <c r="K72" s="283">
        <f t="shared" si="15"/>
        <v>1634204</v>
      </c>
      <c r="L72" s="1227">
        <f>SUM(L73:L77)</f>
        <v>1592137</v>
      </c>
    </row>
    <row r="73" spans="1:12" ht="12.75" customHeight="1">
      <c r="A73" s="278" t="s">
        <v>65</v>
      </c>
      <c r="B73" s="279"/>
      <c r="C73" s="280" t="s">
        <v>253</v>
      </c>
      <c r="D73" s="280"/>
      <c r="E73" s="715">
        <v>6643906</v>
      </c>
      <c r="F73" s="715">
        <v>1353537</v>
      </c>
      <c r="G73" s="715">
        <v>1353537</v>
      </c>
      <c r="H73" s="715">
        <v>1353537</v>
      </c>
      <c r="I73" s="715">
        <v>1353537</v>
      </c>
      <c r="J73" s="715">
        <v>1353537</v>
      </c>
      <c r="K73" s="715">
        <v>1353537</v>
      </c>
      <c r="L73" s="715">
        <v>721850</v>
      </c>
    </row>
    <row r="74" spans="1:12" ht="12.75" customHeight="1">
      <c r="A74" s="278" t="s">
        <v>92</v>
      </c>
      <c r="B74" s="279"/>
      <c r="C74" s="280" t="s">
        <v>254</v>
      </c>
      <c r="D74" s="280"/>
      <c r="E74" s="285">
        <v>1264796</v>
      </c>
      <c r="F74" s="285">
        <v>280667</v>
      </c>
      <c r="G74" s="285">
        <v>280667</v>
      </c>
      <c r="H74" s="285">
        <v>280667</v>
      </c>
      <c r="I74" s="285">
        <v>280667</v>
      </c>
      <c r="J74" s="285">
        <v>280667</v>
      </c>
      <c r="K74" s="285">
        <v>280667</v>
      </c>
      <c r="L74" s="285">
        <v>10330</v>
      </c>
    </row>
    <row r="75" spans="1:12" ht="12.75" customHeight="1">
      <c r="A75" s="278" t="s">
        <v>66</v>
      </c>
      <c r="B75" s="286"/>
      <c r="C75" s="284" t="s">
        <v>255</v>
      </c>
      <c r="D75" s="284"/>
      <c r="E75" s="280">
        <v>1160467</v>
      </c>
      <c r="F75" s="280"/>
      <c r="G75" s="280"/>
      <c r="H75" s="280"/>
      <c r="I75" s="280"/>
      <c r="J75" s="280"/>
      <c r="K75" s="280"/>
      <c r="L75" s="280">
        <v>859957</v>
      </c>
    </row>
    <row r="76" spans="1:12" ht="12.75" customHeight="1">
      <c r="A76" s="278" t="s">
        <v>67</v>
      </c>
      <c r="B76" s="286"/>
      <c r="C76" s="284" t="s">
        <v>682</v>
      </c>
      <c r="D76" s="284"/>
      <c r="E76" s="280">
        <v>0</v>
      </c>
      <c r="F76" s="280">
        <v>2640000</v>
      </c>
      <c r="G76" s="280"/>
      <c r="H76" s="280"/>
      <c r="I76" s="280"/>
      <c r="J76" s="280"/>
      <c r="K76" s="280"/>
      <c r="L76" s="280"/>
    </row>
    <row r="77" spans="1:12" ht="12.75" customHeight="1">
      <c r="A77" s="278" t="s">
        <v>68</v>
      </c>
      <c r="B77" s="286"/>
      <c r="C77" s="284" t="s">
        <v>654</v>
      </c>
      <c r="D77" s="284"/>
      <c r="E77" s="280">
        <v>33000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661">
        <v>0</v>
      </c>
    </row>
    <row r="78" spans="1:12" ht="12.75" customHeight="1">
      <c r="A78" s="281" t="s">
        <v>70</v>
      </c>
      <c r="B78" s="287" t="s">
        <v>188</v>
      </c>
      <c r="C78" s="283" t="s">
        <v>260</v>
      </c>
      <c r="D78" s="283"/>
      <c r="E78" s="283">
        <v>0</v>
      </c>
      <c r="F78" s="283">
        <f aca="true" t="shared" si="16" ref="F78:K78">SUM(F80:F81)</f>
        <v>200000</v>
      </c>
      <c r="G78" s="283">
        <f t="shared" si="16"/>
        <v>200000</v>
      </c>
      <c r="H78" s="283">
        <f t="shared" si="16"/>
        <v>200000</v>
      </c>
      <c r="I78" s="283">
        <f t="shared" si="16"/>
        <v>200000</v>
      </c>
      <c r="J78" s="283">
        <f t="shared" si="16"/>
        <v>200000</v>
      </c>
      <c r="K78" s="283">
        <f t="shared" si="16"/>
        <v>200000</v>
      </c>
      <c r="L78" s="1227">
        <f>SUM(L80:L81)</f>
        <v>0</v>
      </c>
    </row>
    <row r="79" spans="1:12" ht="12.75" customHeight="1">
      <c r="A79" s="278" t="s">
        <v>97</v>
      </c>
      <c r="B79" s="286"/>
      <c r="C79" s="280" t="s">
        <v>261</v>
      </c>
      <c r="D79" s="280"/>
      <c r="E79" s="280"/>
      <c r="F79" s="280"/>
      <c r="G79" s="280"/>
      <c r="H79" s="280"/>
      <c r="I79" s="280"/>
      <c r="J79" s="280"/>
      <c r="K79" s="280"/>
      <c r="L79" s="661"/>
    </row>
    <row r="80" spans="1:12" ht="12.75" customHeight="1">
      <c r="A80" s="278" t="s">
        <v>99</v>
      </c>
      <c r="B80" s="286"/>
      <c r="C80" s="280" t="s">
        <v>252</v>
      </c>
      <c r="D80" s="280"/>
      <c r="E80" s="280">
        <v>0</v>
      </c>
      <c r="F80" s="280">
        <v>0</v>
      </c>
      <c r="G80" s="280">
        <v>0</v>
      </c>
      <c r="H80" s="280">
        <v>0</v>
      </c>
      <c r="I80" s="280">
        <v>0</v>
      </c>
      <c r="J80" s="280">
        <v>0</v>
      </c>
      <c r="K80" s="280">
        <v>0</v>
      </c>
      <c r="L80" s="661">
        <v>0</v>
      </c>
    </row>
    <row r="81" spans="1:12" ht="12.75" customHeight="1">
      <c r="A81" s="278" t="s">
        <v>101</v>
      </c>
      <c r="B81" s="286"/>
      <c r="C81" s="280" t="s">
        <v>255</v>
      </c>
      <c r="D81" s="280"/>
      <c r="E81" s="280">
        <v>0</v>
      </c>
      <c r="F81" s="280">
        <v>200000</v>
      </c>
      <c r="G81" s="280">
        <v>200000</v>
      </c>
      <c r="H81" s="280">
        <v>200000</v>
      </c>
      <c r="I81" s="280">
        <v>200000</v>
      </c>
      <c r="J81" s="280">
        <v>200000</v>
      </c>
      <c r="K81" s="280">
        <v>200000</v>
      </c>
      <c r="L81" s="661"/>
    </row>
    <row r="82" spans="1:12" ht="12.75" customHeight="1">
      <c r="A82" s="281" t="s">
        <v>103</v>
      </c>
      <c r="B82" s="287" t="s">
        <v>191</v>
      </c>
      <c r="C82" s="283" t="s">
        <v>539</v>
      </c>
      <c r="D82" s="283"/>
      <c r="E82" s="283">
        <v>0</v>
      </c>
      <c r="F82" s="283">
        <v>0</v>
      </c>
      <c r="G82" s="283">
        <v>0</v>
      </c>
      <c r="H82" s="283">
        <v>0</v>
      </c>
      <c r="I82" s="283">
        <v>0</v>
      </c>
      <c r="J82" s="283">
        <v>0</v>
      </c>
      <c r="K82" s="283">
        <v>0</v>
      </c>
      <c r="L82" s="1227">
        <v>0</v>
      </c>
    </row>
    <row r="83" spans="1:12" ht="12.75" customHeight="1">
      <c r="A83" s="278" t="s">
        <v>105</v>
      </c>
      <c r="B83" s="286"/>
      <c r="C83" s="280" t="s">
        <v>253</v>
      </c>
      <c r="D83" s="280"/>
      <c r="E83" s="280"/>
      <c r="F83" s="280"/>
      <c r="G83" s="280"/>
      <c r="H83" s="280"/>
      <c r="I83" s="280"/>
      <c r="J83" s="280"/>
      <c r="K83" s="280"/>
      <c r="L83" s="661"/>
    </row>
    <row r="84" spans="1:12" ht="12.75" customHeight="1">
      <c r="A84" s="278" t="s">
        <v>107</v>
      </c>
      <c r="B84" s="286"/>
      <c r="C84" s="280" t="s">
        <v>254</v>
      </c>
      <c r="D84" s="280"/>
      <c r="E84" s="280"/>
      <c r="F84" s="280"/>
      <c r="G84" s="280"/>
      <c r="H84" s="280"/>
      <c r="I84" s="280"/>
      <c r="J84" s="280"/>
      <c r="K84" s="280"/>
      <c r="L84" s="661"/>
    </row>
    <row r="85" spans="1:12" ht="12.75" customHeight="1">
      <c r="A85" s="278" t="s">
        <v>109</v>
      </c>
      <c r="B85" s="286"/>
      <c r="C85" s="280" t="s">
        <v>259</v>
      </c>
      <c r="D85" s="280"/>
      <c r="E85" s="280"/>
      <c r="F85" s="280"/>
      <c r="G85" s="280"/>
      <c r="H85" s="280"/>
      <c r="I85" s="280"/>
      <c r="J85" s="280"/>
      <c r="K85" s="280"/>
      <c r="L85" s="661"/>
    </row>
    <row r="86" spans="1:12" ht="12.75" customHeight="1">
      <c r="A86" s="281" t="s">
        <v>111</v>
      </c>
      <c r="B86" s="287" t="s">
        <v>193</v>
      </c>
      <c r="C86" s="283" t="s">
        <v>1078</v>
      </c>
      <c r="D86" s="283"/>
      <c r="E86" s="283">
        <v>33983308</v>
      </c>
      <c r="F86" s="283">
        <f aca="true" t="shared" si="17" ref="F86:K86">SUM(F87)</f>
        <v>32122413</v>
      </c>
      <c r="G86" s="283">
        <f t="shared" si="17"/>
        <v>36221964</v>
      </c>
      <c r="H86" s="283">
        <f t="shared" si="17"/>
        <v>36221964</v>
      </c>
      <c r="I86" s="283">
        <f t="shared" si="17"/>
        <v>36221964</v>
      </c>
      <c r="J86" s="283">
        <f t="shared" si="17"/>
        <v>36221964</v>
      </c>
      <c r="K86" s="283">
        <f t="shared" si="17"/>
        <v>36353822</v>
      </c>
      <c r="L86" s="1227">
        <f>SUM(L87)</f>
        <v>40766879</v>
      </c>
    </row>
    <row r="87" spans="1:12" ht="30.75" customHeight="1">
      <c r="A87" s="278" t="s">
        <v>113</v>
      </c>
      <c r="B87" s="286"/>
      <c r="C87" s="650" t="s">
        <v>686</v>
      </c>
      <c r="D87" s="280"/>
      <c r="E87" s="280">
        <v>33983308</v>
      </c>
      <c r="F87" s="280">
        <f>SUM(F88:F91)</f>
        <v>32122413</v>
      </c>
      <c r="G87" s="280">
        <f>SUM(G88:G92)</f>
        <v>36221964</v>
      </c>
      <c r="H87" s="280">
        <f>SUM(H88:H92)</f>
        <v>36221964</v>
      </c>
      <c r="I87" s="280">
        <f>SUM(I88:I92)</f>
        <v>36221964</v>
      </c>
      <c r="J87" s="280">
        <f>SUM(J88:J92)</f>
        <v>36221964</v>
      </c>
      <c r="K87" s="280">
        <f>SUM(K88+K89+K90+K91+K92)</f>
        <v>36353822</v>
      </c>
      <c r="L87" s="661">
        <f>SUM(L88+L89+L90+L91+L92)</f>
        <v>40766879</v>
      </c>
    </row>
    <row r="88" spans="1:12" s="607" customFormat="1" ht="30.75" customHeight="1">
      <c r="A88" s="656" t="s">
        <v>115</v>
      </c>
      <c r="B88" s="657"/>
      <c r="C88" s="659" t="s">
        <v>685</v>
      </c>
      <c r="D88" s="658"/>
      <c r="E88" s="658">
        <v>6283632</v>
      </c>
      <c r="F88" s="658">
        <f>SUM('6,7,8 Melléklet'!E57)</f>
        <v>9512000</v>
      </c>
      <c r="G88" s="713">
        <f>SUM('6,7,8 Melléklet'!F57)</f>
        <v>9489000</v>
      </c>
      <c r="H88" s="713">
        <f>SUM('6,7,8 Melléklet'!G57)</f>
        <v>9489000</v>
      </c>
      <c r="I88" s="713">
        <f>SUM('6,7,8 Melléklet'!H57)</f>
        <v>9489000</v>
      </c>
      <c r="J88" s="713">
        <f>SUM('6,7,8 Melléklet'!I57)</f>
        <v>9489000</v>
      </c>
      <c r="K88" s="713">
        <f>SUM('6,7,8 Melléklet'!J57)</f>
        <v>9489000</v>
      </c>
      <c r="L88" s="713">
        <v>9489000</v>
      </c>
    </row>
    <row r="89" spans="1:12" s="607" customFormat="1" ht="32.25" customHeight="1">
      <c r="A89" s="656" t="s">
        <v>117</v>
      </c>
      <c r="B89" s="657"/>
      <c r="C89" s="659" t="s">
        <v>687</v>
      </c>
      <c r="D89" s="658"/>
      <c r="E89" s="713">
        <v>22651608</v>
      </c>
      <c r="F89" s="713">
        <v>18560413</v>
      </c>
      <c r="G89" s="713">
        <v>20042964</v>
      </c>
      <c r="H89" s="713">
        <v>20042964</v>
      </c>
      <c r="I89" s="713">
        <v>20042964</v>
      </c>
      <c r="J89" s="713">
        <v>20042964</v>
      </c>
      <c r="K89" s="713">
        <f>SUM('6,7,8 Melléklet'!J59)</f>
        <v>20042964</v>
      </c>
      <c r="L89" s="713">
        <v>24456021</v>
      </c>
    </row>
    <row r="90" spans="1:12" s="607" customFormat="1" ht="12.75" customHeight="1">
      <c r="A90" s="656" t="s">
        <v>118</v>
      </c>
      <c r="B90" s="657"/>
      <c r="C90" s="660" t="s">
        <v>688</v>
      </c>
      <c r="D90" s="658"/>
      <c r="E90" s="658">
        <v>2360424</v>
      </c>
      <c r="F90" s="658">
        <v>4000000</v>
      </c>
      <c r="G90" s="658">
        <v>4000000</v>
      </c>
      <c r="H90" s="658">
        <v>4000000</v>
      </c>
      <c r="I90" s="658">
        <v>4000000</v>
      </c>
      <c r="J90" s="658">
        <v>4000000</v>
      </c>
      <c r="K90" s="713">
        <v>4450000</v>
      </c>
      <c r="L90" s="713">
        <v>4450000</v>
      </c>
    </row>
    <row r="91" spans="1:12" s="607" customFormat="1" ht="12.75" customHeight="1">
      <c r="A91" s="656" t="s">
        <v>120</v>
      </c>
      <c r="B91" s="657"/>
      <c r="C91" s="660" t="s">
        <v>265</v>
      </c>
      <c r="D91" s="658"/>
      <c r="E91" s="658">
        <v>47644</v>
      </c>
      <c r="F91" s="658">
        <v>50000</v>
      </c>
      <c r="G91" s="658">
        <v>50000</v>
      </c>
      <c r="H91" s="658">
        <v>50000</v>
      </c>
      <c r="I91" s="658">
        <v>50000</v>
      </c>
      <c r="J91" s="658">
        <v>50000</v>
      </c>
      <c r="K91" s="713">
        <v>23008</v>
      </c>
      <c r="L91" s="713">
        <v>23008</v>
      </c>
    </row>
    <row r="92" spans="1:12" s="1225" customFormat="1" ht="12.75" customHeight="1">
      <c r="A92" s="1223" t="s">
        <v>122</v>
      </c>
      <c r="B92" s="1224"/>
      <c r="C92" s="660" t="s">
        <v>1079</v>
      </c>
      <c r="D92" s="660"/>
      <c r="E92" s="660">
        <v>2640000</v>
      </c>
      <c r="F92" s="660">
        <v>0</v>
      </c>
      <c r="G92" s="660">
        <v>2640000</v>
      </c>
      <c r="H92" s="660">
        <v>2640000</v>
      </c>
      <c r="I92" s="660">
        <v>2640000</v>
      </c>
      <c r="J92" s="660">
        <v>2640000</v>
      </c>
      <c r="K92" s="1458">
        <v>2348850</v>
      </c>
      <c r="L92" s="1458">
        <v>2348850</v>
      </c>
    </row>
    <row r="93" spans="1:12" ht="22.5" customHeight="1">
      <c r="A93" s="281" t="s">
        <v>124</v>
      </c>
      <c r="B93" s="287" t="s">
        <v>197</v>
      </c>
      <c r="C93" s="1226" t="s">
        <v>1080</v>
      </c>
      <c r="D93" s="283"/>
      <c r="E93" s="283">
        <f>SUM(E94)</f>
        <v>126000</v>
      </c>
      <c r="F93" s="283">
        <v>0</v>
      </c>
      <c r="G93" s="283">
        <v>0</v>
      </c>
      <c r="H93" s="283">
        <v>0</v>
      </c>
      <c r="I93" s="283">
        <v>0</v>
      </c>
      <c r="J93" s="283">
        <v>0</v>
      </c>
      <c r="K93" s="283">
        <v>0</v>
      </c>
      <c r="L93" s="1227">
        <f>SUM(L94:L95)</f>
        <v>49115</v>
      </c>
    </row>
    <row r="94" spans="1:12" ht="12.75" customHeight="1">
      <c r="A94" s="278" t="s">
        <v>126</v>
      </c>
      <c r="B94" s="286"/>
      <c r="C94" s="280" t="s">
        <v>852</v>
      </c>
      <c r="D94" s="280"/>
      <c r="E94" s="280">
        <v>126000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661">
        <v>42500</v>
      </c>
    </row>
    <row r="95" spans="1:12" ht="12.75" customHeight="1">
      <c r="A95" s="278" t="s">
        <v>128</v>
      </c>
      <c r="B95" s="286"/>
      <c r="C95" s="280" t="s">
        <v>1183</v>
      </c>
      <c r="D95" s="280"/>
      <c r="E95" s="280"/>
      <c r="F95" s="280"/>
      <c r="G95" s="280"/>
      <c r="H95" s="280"/>
      <c r="I95" s="280"/>
      <c r="J95" s="280"/>
      <c r="K95" s="280"/>
      <c r="L95" s="661">
        <v>6615</v>
      </c>
    </row>
    <row r="96" spans="1:12" s="289" customFormat="1" ht="12.75" customHeight="1">
      <c r="A96" s="281" t="s">
        <v>130</v>
      </c>
      <c r="B96" s="287" t="s">
        <v>232</v>
      </c>
      <c r="C96" s="181" t="s">
        <v>1081</v>
      </c>
      <c r="D96" s="283"/>
      <c r="E96" s="283">
        <v>4671</v>
      </c>
      <c r="F96" s="283">
        <v>0</v>
      </c>
      <c r="G96" s="283">
        <v>0</v>
      </c>
      <c r="H96" s="283">
        <v>0</v>
      </c>
      <c r="I96" s="283">
        <v>0</v>
      </c>
      <c r="J96" s="283">
        <v>0</v>
      </c>
      <c r="K96" s="283">
        <v>0</v>
      </c>
      <c r="L96" s="1227">
        <v>0</v>
      </c>
    </row>
    <row r="97" spans="1:12" ht="12.75" customHeight="1">
      <c r="A97" s="278" t="s">
        <v>131</v>
      </c>
      <c r="B97" s="286"/>
      <c r="C97" s="123" t="s">
        <v>125</v>
      </c>
      <c r="D97" s="280"/>
      <c r="E97" s="661">
        <v>4671</v>
      </c>
      <c r="F97" s="661">
        <v>0</v>
      </c>
      <c r="G97" s="661">
        <v>0</v>
      </c>
      <c r="H97" s="661">
        <v>0</v>
      </c>
      <c r="I97" s="661">
        <v>0</v>
      </c>
      <c r="J97" s="661">
        <v>0</v>
      </c>
      <c r="K97" s="661">
        <v>0</v>
      </c>
      <c r="L97" s="661">
        <v>0</v>
      </c>
    </row>
    <row r="98" spans="1:12" s="289" customFormat="1" ht="24.75" customHeight="1">
      <c r="A98" s="281" t="s">
        <v>133</v>
      </c>
      <c r="B98" s="287" t="s">
        <v>540</v>
      </c>
      <c r="C98" s="181" t="s">
        <v>1082</v>
      </c>
      <c r="D98" s="283"/>
      <c r="E98" s="1227">
        <f aca="true" t="shared" si="18" ref="E98:J98">SUM(E99:E100)</f>
        <v>6805475</v>
      </c>
      <c r="F98" s="1227">
        <f t="shared" si="18"/>
        <v>5194000</v>
      </c>
      <c r="G98" s="1227">
        <f t="shared" si="18"/>
        <v>5194000</v>
      </c>
      <c r="H98" s="1227">
        <f t="shared" si="18"/>
        <v>5194000</v>
      </c>
      <c r="I98" s="1227">
        <f t="shared" si="18"/>
        <v>5194000</v>
      </c>
      <c r="J98" s="1227">
        <f t="shared" si="18"/>
        <v>5194000</v>
      </c>
      <c r="K98" s="1227">
        <f>SUM(K99:K100)</f>
        <v>5194000</v>
      </c>
      <c r="L98" s="1227">
        <f>SUM(L99+L100+L106)</f>
        <v>4137550</v>
      </c>
    </row>
    <row r="99" spans="1:12" ht="12.75" customHeight="1">
      <c r="A99" s="278" t="s">
        <v>135</v>
      </c>
      <c r="B99" s="286"/>
      <c r="C99" s="123" t="s">
        <v>125</v>
      </c>
      <c r="D99" s="280"/>
      <c r="E99" s="661">
        <v>2271975</v>
      </c>
      <c r="F99" s="661"/>
      <c r="G99" s="661"/>
      <c r="H99" s="661"/>
      <c r="I99" s="661"/>
      <c r="J99" s="661"/>
      <c r="K99" s="661">
        <v>1566950</v>
      </c>
      <c r="L99" s="661">
        <v>553000</v>
      </c>
    </row>
    <row r="100" spans="1:12" ht="12.75" customHeight="1">
      <c r="A100" s="278" t="s">
        <v>137</v>
      </c>
      <c r="B100" s="286"/>
      <c r="C100" s="123" t="s">
        <v>1186</v>
      </c>
      <c r="D100" s="280"/>
      <c r="E100" s="661">
        <v>4533500</v>
      </c>
      <c r="F100" s="661">
        <f>SUM(F101:F105)</f>
        <v>5194000</v>
      </c>
      <c r="G100" s="661">
        <f>SUM(G101:G105)</f>
        <v>5194000</v>
      </c>
      <c r="H100" s="661">
        <f>SUM(H101:H105)</f>
        <v>5194000</v>
      </c>
      <c r="I100" s="661">
        <f>SUM(I101:I105)</f>
        <v>5194000</v>
      </c>
      <c r="J100" s="661">
        <f>SUM(J101:J105)</f>
        <v>5194000</v>
      </c>
      <c r="K100" s="661">
        <v>3627050</v>
      </c>
      <c r="L100" s="661">
        <v>3259550</v>
      </c>
    </row>
    <row r="101" spans="1:12" s="1222" customFormat="1" ht="27" customHeight="1">
      <c r="A101" s="1219" t="s">
        <v>139</v>
      </c>
      <c r="B101" s="1220"/>
      <c r="C101" s="651" t="s">
        <v>642</v>
      </c>
      <c r="D101" s="1221"/>
      <c r="E101" s="1228">
        <v>386500</v>
      </c>
      <c r="F101" s="1228">
        <v>600000</v>
      </c>
      <c r="G101" s="1228">
        <v>600000</v>
      </c>
      <c r="H101" s="1228">
        <v>600000</v>
      </c>
      <c r="I101" s="1228">
        <v>600000</v>
      </c>
      <c r="J101" s="1228">
        <v>600000</v>
      </c>
      <c r="K101" s="1228">
        <v>600000</v>
      </c>
      <c r="L101" s="1228">
        <v>600000</v>
      </c>
    </row>
    <row r="102" spans="1:12" s="1222" customFormat="1" ht="12.75">
      <c r="A102" s="1219" t="s">
        <v>141</v>
      </c>
      <c r="B102" s="1220"/>
      <c r="C102" s="651" t="s">
        <v>704</v>
      </c>
      <c r="D102" s="1221"/>
      <c r="E102" s="1228"/>
      <c r="F102" s="1228">
        <v>75000</v>
      </c>
      <c r="G102" s="1228">
        <v>75000</v>
      </c>
      <c r="H102" s="1228">
        <v>75000</v>
      </c>
      <c r="I102" s="1228">
        <v>75000</v>
      </c>
      <c r="J102" s="1228">
        <v>75000</v>
      </c>
      <c r="K102" s="1228">
        <v>75000</v>
      </c>
      <c r="L102" s="1228">
        <v>75000</v>
      </c>
    </row>
    <row r="103" spans="1:12" s="1222" customFormat="1" ht="12.75" customHeight="1">
      <c r="A103" s="1219" t="s">
        <v>143</v>
      </c>
      <c r="B103" s="1220"/>
      <c r="C103" s="651" t="s">
        <v>643</v>
      </c>
      <c r="D103" s="1221"/>
      <c r="E103" s="1228">
        <v>40000</v>
      </c>
      <c r="F103" s="1228">
        <v>0</v>
      </c>
      <c r="G103" s="1228">
        <v>0</v>
      </c>
      <c r="H103" s="1228">
        <v>0</v>
      </c>
      <c r="I103" s="1228">
        <v>0</v>
      </c>
      <c r="J103" s="1228">
        <v>0</v>
      </c>
      <c r="K103" s="1228">
        <v>0</v>
      </c>
      <c r="L103" s="1228">
        <v>0</v>
      </c>
    </row>
    <row r="104" spans="1:12" s="1222" customFormat="1" ht="12.75" customHeight="1">
      <c r="A104" s="1219" t="s">
        <v>145</v>
      </c>
      <c r="B104" s="1220"/>
      <c r="C104" s="651" t="s">
        <v>644</v>
      </c>
      <c r="D104" s="1221"/>
      <c r="E104" s="1228">
        <v>1390500</v>
      </c>
      <c r="F104" s="1228">
        <v>4419000</v>
      </c>
      <c r="G104" s="1228">
        <v>4419000</v>
      </c>
      <c r="H104" s="1228">
        <v>4419000</v>
      </c>
      <c r="I104" s="1228">
        <v>4419000</v>
      </c>
      <c r="J104" s="1228">
        <v>4419000</v>
      </c>
      <c r="K104" s="1228">
        <v>2952050</v>
      </c>
      <c r="L104" s="1228">
        <v>2484550</v>
      </c>
    </row>
    <row r="105" spans="1:12" s="1222" customFormat="1" ht="23.25" customHeight="1">
      <c r="A105" s="1219" t="s">
        <v>147</v>
      </c>
      <c r="B105" s="1472"/>
      <c r="C105" s="1473" t="s">
        <v>645</v>
      </c>
      <c r="D105" s="1474"/>
      <c r="E105" s="1474">
        <v>20000</v>
      </c>
      <c r="F105" s="1474">
        <v>100000</v>
      </c>
      <c r="G105" s="1474">
        <v>100000</v>
      </c>
      <c r="H105" s="1474">
        <v>100000</v>
      </c>
      <c r="I105" s="1474">
        <v>100000</v>
      </c>
      <c r="J105" s="1474">
        <v>100000</v>
      </c>
      <c r="K105" s="1474">
        <v>100000</v>
      </c>
      <c r="L105" s="1474">
        <v>100000</v>
      </c>
    </row>
    <row r="106" spans="1:12" s="1222" customFormat="1" ht="23.25" customHeight="1">
      <c r="A106" s="1471" t="s">
        <v>149</v>
      </c>
      <c r="B106" s="1477"/>
      <c r="C106" s="1169" t="s">
        <v>1185</v>
      </c>
      <c r="D106" s="1478"/>
      <c r="E106" s="1478"/>
      <c r="F106" s="1478"/>
      <c r="G106" s="1478"/>
      <c r="H106" s="1478"/>
      <c r="I106" s="1478"/>
      <c r="J106" s="1478"/>
      <c r="K106" s="1478"/>
      <c r="L106" s="1478">
        <v>325000</v>
      </c>
    </row>
    <row r="107" spans="1:12" ht="12.75" customHeight="1">
      <c r="A107" s="281" t="s">
        <v>151</v>
      </c>
      <c r="B107" s="1475" t="s">
        <v>543</v>
      </c>
      <c r="C107" s="1476" t="s">
        <v>267</v>
      </c>
      <c r="D107" s="288">
        <v>1</v>
      </c>
      <c r="E107" s="277">
        <f aca="true" t="shared" si="19" ref="E107:J107">SUM(E108+E109+E110+E113+E114+E115)+E117</f>
        <v>829366834</v>
      </c>
      <c r="F107" s="277">
        <f t="shared" si="19"/>
        <v>797248207</v>
      </c>
      <c r="G107" s="277">
        <f t="shared" si="19"/>
        <v>805046338</v>
      </c>
      <c r="H107" s="277">
        <f t="shared" si="19"/>
        <v>805449232</v>
      </c>
      <c r="I107" s="277">
        <f t="shared" si="19"/>
        <v>807190867</v>
      </c>
      <c r="J107" s="277">
        <f t="shared" si="19"/>
        <v>811534591</v>
      </c>
      <c r="K107" s="277">
        <f>SUM(K108+K109+K110+K113+K114+K115)+K117+K116</f>
        <v>843875529</v>
      </c>
      <c r="L107" s="277">
        <f>SUM(L108+L109+L110+L113+L114+L115)+L117+L116</f>
        <v>845544549</v>
      </c>
    </row>
    <row r="108" spans="1:12" ht="12.75" customHeight="1">
      <c r="A108" s="278" t="s">
        <v>207</v>
      </c>
      <c r="B108" s="286"/>
      <c r="C108" s="280" t="s">
        <v>253</v>
      </c>
      <c r="D108" s="280"/>
      <c r="E108" s="280">
        <v>20274221</v>
      </c>
      <c r="F108" s="280">
        <v>15054800</v>
      </c>
      <c r="G108" s="280">
        <v>20530200</v>
      </c>
      <c r="H108" s="280">
        <v>20530200</v>
      </c>
      <c r="I108" s="280">
        <v>21548486</v>
      </c>
      <c r="J108" s="280">
        <v>23270361</v>
      </c>
      <c r="K108" s="280">
        <v>22978374</v>
      </c>
      <c r="L108" s="280">
        <v>23935261</v>
      </c>
    </row>
    <row r="109" spans="1:12" ht="12.75" customHeight="1">
      <c r="A109" s="278" t="s">
        <v>209</v>
      </c>
      <c r="B109" s="286"/>
      <c r="C109" s="280" t="s">
        <v>254</v>
      </c>
      <c r="D109" s="280"/>
      <c r="E109" s="280">
        <v>4250635</v>
      </c>
      <c r="F109" s="280">
        <v>2823000</v>
      </c>
      <c r="G109" s="280">
        <v>3827270</v>
      </c>
      <c r="H109" s="280">
        <v>3827270</v>
      </c>
      <c r="I109" s="280">
        <v>4009001</v>
      </c>
      <c r="J109" s="280">
        <v>4386087</v>
      </c>
      <c r="K109" s="280">
        <v>3784536</v>
      </c>
      <c r="L109" s="280">
        <v>4111873</v>
      </c>
    </row>
    <row r="110" spans="1:12" ht="12.75" customHeight="1">
      <c r="A110" s="278" t="s">
        <v>266</v>
      </c>
      <c r="B110" s="286"/>
      <c r="C110" s="685" t="s">
        <v>255</v>
      </c>
      <c r="D110" s="280"/>
      <c r="E110" s="280">
        <v>52434523</v>
      </c>
      <c r="F110" s="280">
        <v>51709320</v>
      </c>
      <c r="G110" s="280">
        <v>60912267</v>
      </c>
      <c r="H110" s="280">
        <v>45304790</v>
      </c>
      <c r="I110" s="280">
        <v>69853977</v>
      </c>
      <c r="J110" s="280">
        <v>72376382</v>
      </c>
      <c r="K110" s="280">
        <v>86949029</v>
      </c>
      <c r="L110" s="280">
        <v>87908801</v>
      </c>
    </row>
    <row r="111" spans="1:12" s="607" customFormat="1" ht="12.75" customHeight="1">
      <c r="A111" s="656" t="s">
        <v>210</v>
      </c>
      <c r="B111" s="1479"/>
      <c r="C111" s="1482" t="s">
        <v>693</v>
      </c>
      <c r="D111" s="1480"/>
      <c r="E111" s="658">
        <v>2000000</v>
      </c>
      <c r="F111" s="658">
        <v>2500000</v>
      </c>
      <c r="G111" s="658">
        <v>2500000</v>
      </c>
      <c r="H111" s="658">
        <v>2500000</v>
      </c>
      <c r="I111" s="658">
        <v>2500000</v>
      </c>
      <c r="J111" s="658">
        <v>2500000</v>
      </c>
      <c r="K111" s="658">
        <v>2500000</v>
      </c>
      <c r="L111" s="658">
        <v>2500000</v>
      </c>
    </row>
    <row r="112" spans="1:12" s="607" customFormat="1" ht="12.75" customHeight="1">
      <c r="A112" s="656" t="s">
        <v>212</v>
      </c>
      <c r="B112" s="657"/>
      <c r="C112" s="1481"/>
      <c r="D112" s="658"/>
      <c r="E112" s="658"/>
      <c r="F112" s="658"/>
      <c r="G112" s="658"/>
      <c r="H112" s="658"/>
      <c r="I112" s="658"/>
      <c r="J112" s="658"/>
      <c r="K112" s="658"/>
      <c r="L112" s="658"/>
    </row>
    <row r="113" spans="1:12" ht="12.75" customHeight="1">
      <c r="A113" s="278" t="s">
        <v>268</v>
      </c>
      <c r="B113" s="286"/>
      <c r="C113" s="280" t="s">
        <v>15</v>
      </c>
      <c r="D113" s="280"/>
      <c r="E113" s="280">
        <v>37146368</v>
      </c>
      <c r="F113" s="280">
        <v>12400000</v>
      </c>
      <c r="G113" s="280">
        <v>20080313</v>
      </c>
      <c r="H113" s="280">
        <v>33440313</v>
      </c>
      <c r="I113" s="280">
        <v>33440313</v>
      </c>
      <c r="J113" s="280">
        <v>36863771</v>
      </c>
      <c r="K113" s="280">
        <v>54806758</v>
      </c>
      <c r="L113" s="1483">
        <v>54231782</v>
      </c>
    </row>
    <row r="114" spans="1:12" ht="12.75" customHeight="1">
      <c r="A114" s="278" t="s">
        <v>269</v>
      </c>
      <c r="B114" s="286"/>
      <c r="C114" s="280" t="s">
        <v>541</v>
      </c>
      <c r="D114" s="685"/>
      <c r="E114" s="280">
        <v>715261087</v>
      </c>
      <c r="F114" s="280">
        <v>715261087</v>
      </c>
      <c r="G114" s="280">
        <f>SUM('21. céltartalék (2)'!D59)</f>
        <v>699696288</v>
      </c>
      <c r="H114" s="280">
        <f>SUM('21. céltartalék (2)'!E59)</f>
        <v>702346659</v>
      </c>
      <c r="I114" s="280">
        <f>SUM('21. céltartalék (2)'!F59)</f>
        <v>678339090</v>
      </c>
      <c r="J114" s="280">
        <f>SUM('21. céltartalék (2)'!G59)</f>
        <v>674637990</v>
      </c>
      <c r="K114" s="280">
        <f>SUM('21. céltartalék (2)'!H59)</f>
        <v>664627351</v>
      </c>
      <c r="L114" s="280">
        <v>664627351</v>
      </c>
    </row>
    <row r="115" spans="1:12" ht="12.75" customHeight="1">
      <c r="A115" s="278" t="s">
        <v>270</v>
      </c>
      <c r="B115" s="286"/>
      <c r="C115" s="652" t="s">
        <v>683</v>
      </c>
      <c r="D115" s="655"/>
      <c r="E115" s="280">
        <v>0</v>
      </c>
      <c r="F115" s="280">
        <v>0</v>
      </c>
      <c r="G115" s="280">
        <v>0</v>
      </c>
      <c r="H115" s="280">
        <v>0</v>
      </c>
      <c r="I115" s="280">
        <v>0</v>
      </c>
      <c r="J115" s="280">
        <v>0</v>
      </c>
      <c r="K115" s="280">
        <v>0</v>
      </c>
      <c r="L115" s="280">
        <v>0</v>
      </c>
    </row>
    <row r="116" spans="1:12" ht="12.75" customHeight="1">
      <c r="A116" s="278" t="s">
        <v>271</v>
      </c>
      <c r="B116" s="279"/>
      <c r="C116" s="652" t="s">
        <v>205</v>
      </c>
      <c r="D116" s="655"/>
      <c r="E116" s="280"/>
      <c r="F116" s="280"/>
      <c r="G116" s="280"/>
      <c r="H116" s="280"/>
      <c r="I116" s="280"/>
      <c r="J116" s="280"/>
      <c r="K116" s="280">
        <v>10729481</v>
      </c>
      <c r="L116" s="280">
        <v>10729481</v>
      </c>
    </row>
    <row r="117" spans="1:12" ht="12.75" customHeight="1">
      <c r="A117" s="1231" t="s">
        <v>273</v>
      </c>
      <c r="B117" s="1232"/>
      <c r="C117" s="1233" t="s">
        <v>495</v>
      </c>
      <c r="D117" s="1234"/>
      <c r="E117" s="685">
        <v>0</v>
      </c>
      <c r="F117" s="280"/>
      <c r="G117" s="280"/>
      <c r="H117" s="280"/>
      <c r="I117" s="280"/>
      <c r="J117" s="280"/>
      <c r="K117" s="280"/>
      <c r="L117" s="280"/>
    </row>
    <row r="118" spans="1:12" s="289" customFormat="1" ht="12.75" customHeight="1">
      <c r="A118" s="717" t="s">
        <v>275</v>
      </c>
      <c r="B118" s="717" t="s">
        <v>1037</v>
      </c>
      <c r="C118" s="654" t="s">
        <v>1083</v>
      </c>
      <c r="D118" s="654"/>
      <c r="E118" s="654">
        <f aca="true" t="shared" si="20" ref="E118:J118">SUM(E119:E120)</f>
        <v>1271319</v>
      </c>
      <c r="F118" s="654">
        <f t="shared" si="20"/>
        <v>0</v>
      </c>
      <c r="G118" s="654">
        <f t="shared" si="20"/>
        <v>0</v>
      </c>
      <c r="H118" s="654">
        <f t="shared" si="20"/>
        <v>0</v>
      </c>
      <c r="I118" s="654">
        <f t="shared" si="20"/>
        <v>0</v>
      </c>
      <c r="J118" s="654">
        <f t="shared" si="20"/>
        <v>0</v>
      </c>
      <c r="K118" s="654">
        <f>SUM(K119:K120)</f>
        <v>0</v>
      </c>
      <c r="L118" s="1485">
        <f>SUM(L119:L120)</f>
        <v>1663859</v>
      </c>
    </row>
    <row r="119" spans="1:12" ht="12.75" customHeight="1">
      <c r="A119" s="786" t="s">
        <v>277</v>
      </c>
      <c r="B119" s="786"/>
      <c r="C119" s="655" t="s">
        <v>125</v>
      </c>
      <c r="D119" s="655"/>
      <c r="E119" s="655">
        <v>1192419</v>
      </c>
      <c r="F119" s="1230"/>
      <c r="G119" s="280"/>
      <c r="H119" s="280"/>
      <c r="I119" s="280"/>
      <c r="J119" s="280"/>
      <c r="K119" s="280"/>
      <c r="L119" s="661">
        <v>1663859</v>
      </c>
    </row>
    <row r="120" spans="1:12" ht="12.75" customHeight="1">
      <c r="A120" s="786" t="s">
        <v>278</v>
      </c>
      <c r="B120" s="786"/>
      <c r="C120" s="655" t="s">
        <v>15</v>
      </c>
      <c r="D120" s="655"/>
      <c r="E120" s="655">
        <v>78900</v>
      </c>
      <c r="F120" s="1230"/>
      <c r="G120" s="280"/>
      <c r="H120" s="280"/>
      <c r="I120" s="280"/>
      <c r="J120" s="280"/>
      <c r="K120" s="280"/>
      <c r="L120" s="661"/>
    </row>
    <row r="121" spans="1:12" ht="12.75" customHeight="1">
      <c r="A121" s="1235" t="s">
        <v>280</v>
      </c>
      <c r="B121" s="276" t="s">
        <v>544</v>
      </c>
      <c r="C121" s="765" t="s">
        <v>672</v>
      </c>
      <c r="D121" s="1236"/>
      <c r="E121" s="277">
        <f>SUM(E122:E123)</f>
        <v>0</v>
      </c>
      <c r="F121" s="283">
        <f>SUM(F122:F123)</f>
        <v>382200</v>
      </c>
      <c r="G121" s="283">
        <f>SUM(G122:G123)</f>
        <v>382200</v>
      </c>
      <c r="H121" s="283">
        <f>SUM(H122:H123)</f>
        <v>382200</v>
      </c>
      <c r="I121" s="283">
        <f>SUM(I122:I124)</f>
        <v>812200</v>
      </c>
      <c r="J121" s="283">
        <f>SUM(J122:J124)</f>
        <v>812200</v>
      </c>
      <c r="K121" s="283">
        <f>SUM(K122:K124)</f>
        <v>812200</v>
      </c>
      <c r="L121" s="1227">
        <f>SUM(L122:L124)</f>
        <v>0</v>
      </c>
    </row>
    <row r="122" spans="1:12" ht="12.75" customHeight="1">
      <c r="A122" s="278" t="s">
        <v>282</v>
      </c>
      <c r="B122" s="279"/>
      <c r="C122" s="1153" t="s">
        <v>253</v>
      </c>
      <c r="D122" s="655"/>
      <c r="E122" s="280"/>
      <c r="F122" s="280">
        <v>325200</v>
      </c>
      <c r="G122" s="280">
        <v>325200</v>
      </c>
      <c r="H122" s="280">
        <v>325200</v>
      </c>
      <c r="I122" s="280">
        <v>325200</v>
      </c>
      <c r="J122" s="280">
        <v>325200</v>
      </c>
      <c r="K122" s="280">
        <v>325200</v>
      </c>
      <c r="L122" s="661"/>
    </row>
    <row r="123" spans="1:12" ht="12.75" customHeight="1">
      <c r="A123" s="278" t="s">
        <v>283</v>
      </c>
      <c r="B123" s="1232"/>
      <c r="C123" s="1469" t="s">
        <v>254</v>
      </c>
      <c r="D123" s="655"/>
      <c r="E123" s="280"/>
      <c r="F123" s="280">
        <v>57000</v>
      </c>
      <c r="G123" s="280">
        <v>57000</v>
      </c>
      <c r="H123" s="280">
        <v>57000</v>
      </c>
      <c r="I123" s="280">
        <v>57000</v>
      </c>
      <c r="J123" s="280">
        <v>57000</v>
      </c>
      <c r="K123" s="280">
        <v>57000</v>
      </c>
      <c r="L123" s="661"/>
    </row>
    <row r="124" spans="1:12" ht="12.75" customHeight="1">
      <c r="A124" s="1467" t="s">
        <v>284</v>
      </c>
      <c r="B124" s="786"/>
      <c r="C124" s="1210" t="s">
        <v>255</v>
      </c>
      <c r="D124" s="655"/>
      <c r="E124" s="280"/>
      <c r="F124" s="280"/>
      <c r="G124" s="280"/>
      <c r="H124" s="280"/>
      <c r="I124" s="280">
        <v>430000</v>
      </c>
      <c r="J124" s="280">
        <v>430000</v>
      </c>
      <c r="K124" s="280">
        <v>430000</v>
      </c>
      <c r="L124" s="661"/>
    </row>
    <row r="125" spans="1:12" s="289" customFormat="1" ht="12.75" customHeight="1">
      <c r="A125" s="1468" t="s">
        <v>285</v>
      </c>
      <c r="B125" s="717" t="s">
        <v>1086</v>
      </c>
      <c r="C125" s="432" t="s">
        <v>1072</v>
      </c>
      <c r="D125" s="654"/>
      <c r="E125" s="283"/>
      <c r="F125" s="283"/>
      <c r="G125" s="283"/>
      <c r="H125" s="283"/>
      <c r="I125" s="283"/>
      <c r="J125" s="283"/>
      <c r="K125" s="283"/>
      <c r="L125" s="1227">
        <f>SUM(L126)</f>
        <v>420010</v>
      </c>
    </row>
    <row r="126" spans="1:12" ht="12.75" customHeight="1">
      <c r="A126" s="278" t="s">
        <v>287</v>
      </c>
      <c r="B126" s="1470"/>
      <c r="C126" s="1172" t="s">
        <v>1183</v>
      </c>
      <c r="D126" s="655"/>
      <c r="E126" s="280"/>
      <c r="F126" s="280"/>
      <c r="G126" s="280"/>
      <c r="H126" s="280"/>
      <c r="I126" s="280"/>
      <c r="J126" s="280"/>
      <c r="K126" s="280"/>
      <c r="L126" s="661">
        <v>420010</v>
      </c>
    </row>
    <row r="127" spans="1:12" s="289" customFormat="1" ht="12.75" customHeight="1">
      <c r="A127" s="278" t="s">
        <v>288</v>
      </c>
      <c r="B127" s="282" t="s">
        <v>1087</v>
      </c>
      <c r="C127" s="348" t="s">
        <v>684</v>
      </c>
      <c r="D127" s="654"/>
      <c r="E127" s="283">
        <f aca="true" t="shared" si="21" ref="E127:J127">SUM(E128:E129)</f>
        <v>10374861</v>
      </c>
      <c r="F127" s="283">
        <f t="shared" si="21"/>
        <v>6703536</v>
      </c>
      <c r="G127" s="283">
        <f t="shared" si="21"/>
        <v>6703536</v>
      </c>
      <c r="H127" s="283">
        <f t="shared" si="21"/>
        <v>7419080</v>
      </c>
      <c r="I127" s="283">
        <f t="shared" si="21"/>
        <v>8095569</v>
      </c>
      <c r="J127" s="283">
        <f t="shared" si="21"/>
        <v>8679084</v>
      </c>
      <c r="K127" s="283">
        <f>SUM(K128:K129)</f>
        <v>9086397</v>
      </c>
      <c r="L127" s="1227">
        <f>SUM(L128:L129)</f>
        <v>9092391</v>
      </c>
    </row>
    <row r="128" spans="1:12" ht="12.75" customHeight="1">
      <c r="A128" s="278" t="s">
        <v>289</v>
      </c>
      <c r="B128" s="286"/>
      <c r="C128" s="280" t="s">
        <v>542</v>
      </c>
      <c r="D128" s="280"/>
      <c r="E128" s="280">
        <v>10321373</v>
      </c>
      <c r="F128" s="280">
        <v>6703536</v>
      </c>
      <c r="G128" s="280">
        <v>6703536</v>
      </c>
      <c r="H128" s="280">
        <v>7419080</v>
      </c>
      <c r="I128" s="280">
        <v>8095569</v>
      </c>
      <c r="J128" s="280">
        <v>8679084</v>
      </c>
      <c r="K128" s="280">
        <v>9086397</v>
      </c>
      <c r="L128" s="661">
        <v>9092391</v>
      </c>
    </row>
    <row r="129" spans="1:12" ht="12.75" customHeight="1">
      <c r="A129" s="278" t="s">
        <v>290</v>
      </c>
      <c r="B129" s="279"/>
      <c r="C129" s="652" t="s">
        <v>495</v>
      </c>
      <c r="D129" s="1229"/>
      <c r="E129" s="280">
        <v>53488</v>
      </c>
      <c r="F129" s="280"/>
      <c r="G129" s="280"/>
      <c r="H129" s="280"/>
      <c r="I129" s="280"/>
      <c r="J129" s="280"/>
      <c r="K129" s="280"/>
      <c r="L129" s="661"/>
    </row>
    <row r="130" spans="1:12" ht="26.25" customHeight="1">
      <c r="A130" s="278" t="s">
        <v>291</v>
      </c>
      <c r="B130" s="290" t="s">
        <v>1184</v>
      </c>
      <c r="C130" s="653" t="s">
        <v>648</v>
      </c>
      <c r="D130" s="654"/>
      <c r="E130" s="283">
        <f aca="true" t="shared" si="22" ref="E130:L130">SUM(E131)</f>
        <v>270216255</v>
      </c>
      <c r="F130" s="283">
        <f t="shared" si="22"/>
        <v>276570076</v>
      </c>
      <c r="G130" s="283">
        <f t="shared" si="22"/>
        <v>277401853</v>
      </c>
      <c r="H130" s="283">
        <f t="shared" si="22"/>
        <v>277604575</v>
      </c>
      <c r="I130" s="283">
        <f t="shared" si="22"/>
        <v>277720471</v>
      </c>
      <c r="J130" s="283">
        <f t="shared" si="22"/>
        <v>279099537</v>
      </c>
      <c r="K130" s="283">
        <f t="shared" si="22"/>
        <v>274808735</v>
      </c>
      <c r="L130" s="1227">
        <f t="shared" si="22"/>
        <v>274808735</v>
      </c>
    </row>
    <row r="131" spans="1:12" ht="12.75" customHeight="1" thickBot="1">
      <c r="A131" s="278" t="s">
        <v>292</v>
      </c>
      <c r="B131" s="291"/>
      <c r="C131" s="292" t="s">
        <v>296</v>
      </c>
      <c r="D131" s="292"/>
      <c r="E131" s="685">
        <v>270216255</v>
      </c>
      <c r="F131" s="685">
        <f>SUM('ÖNK ÖSSZESITŐ'!F45)*-1</f>
        <v>276570076</v>
      </c>
      <c r="G131" s="685">
        <f>SUM('ÖNK ÖSSZESITŐ'!G45)*-1</f>
        <v>277401853</v>
      </c>
      <c r="H131" s="685">
        <f>SUM('ÖNK ÖSSZESITŐ'!H45)*-1</f>
        <v>277604575</v>
      </c>
      <c r="I131" s="685">
        <f>SUM('ÖNK ÖSSZESITŐ'!I45)*-1</f>
        <v>277720471</v>
      </c>
      <c r="J131" s="685">
        <f>SUM('ÖNK ÖSSZESITŐ'!J45)*-1</f>
        <v>279099537</v>
      </c>
      <c r="K131" s="685">
        <f>SUM('ÖNK ÖSSZESITŐ'!K45)*-1</f>
        <v>274808735</v>
      </c>
      <c r="L131" s="685">
        <f>SUM('ÖNK ÖSSZESITŐ'!L45)*-1</f>
        <v>274808735</v>
      </c>
    </row>
    <row r="132" spans="1:12" ht="12.75" customHeight="1" thickBot="1">
      <c r="A132" s="278" t="s">
        <v>293</v>
      </c>
      <c r="B132" s="293"/>
      <c r="C132" s="294" t="s">
        <v>238</v>
      </c>
      <c r="D132" s="294">
        <v>2</v>
      </c>
      <c r="E132" s="295">
        <f>SUM(E61+E63+E66+E68+E72+E78+E82+E86+E93+E107+E127+E130)+E118+E98+E96+E70</f>
        <v>1168351332</v>
      </c>
      <c r="F132" s="295">
        <f aca="true" t="shared" si="23" ref="F132:K132">SUM(F61+F63+F66+F68+F72+F78+F82+F86+F93+F107+F127+F130)+F121+F98</f>
        <v>1131018636</v>
      </c>
      <c r="G132" s="295">
        <f t="shared" si="23"/>
        <v>1141108095</v>
      </c>
      <c r="H132" s="295">
        <f t="shared" si="23"/>
        <v>1142429255</v>
      </c>
      <c r="I132" s="295">
        <f t="shared" si="23"/>
        <v>1145393275</v>
      </c>
      <c r="J132" s="295">
        <f t="shared" si="23"/>
        <v>1151699580</v>
      </c>
      <c r="K132" s="295">
        <f t="shared" si="23"/>
        <v>1180288887</v>
      </c>
      <c r="L132" s="295">
        <f>SUM(L61+L63+L66+L68+L72+L78+L82+L86+L93+L107+L127+L130)+L121+L98+L70+L118+L125</f>
        <v>1184707938</v>
      </c>
    </row>
    <row r="133" spans="1:12" ht="12.75" customHeight="1">
      <c r="A133" s="278" t="s">
        <v>295</v>
      </c>
      <c r="B133" s="296"/>
      <c r="C133" s="297" t="s">
        <v>253</v>
      </c>
      <c r="D133" s="297"/>
      <c r="E133" s="297">
        <f>SUM(E73+E79+E83+E108)</f>
        <v>26918127</v>
      </c>
      <c r="F133" s="297">
        <f aca="true" t="shared" si="24" ref="F133:L133">SUM(F73+F79+F83+F108)+F122</f>
        <v>16733537</v>
      </c>
      <c r="G133" s="297">
        <f t="shared" si="24"/>
        <v>22208937</v>
      </c>
      <c r="H133" s="297">
        <f t="shared" si="24"/>
        <v>22208937</v>
      </c>
      <c r="I133" s="297">
        <f t="shared" si="24"/>
        <v>23227223</v>
      </c>
      <c r="J133" s="297">
        <f t="shared" si="24"/>
        <v>24949098</v>
      </c>
      <c r="K133" s="297">
        <f t="shared" si="24"/>
        <v>24657111</v>
      </c>
      <c r="L133" s="1486">
        <f t="shared" si="24"/>
        <v>24657111</v>
      </c>
    </row>
    <row r="134" spans="1:12" ht="12.75" customHeight="1">
      <c r="A134" s="278" t="s">
        <v>297</v>
      </c>
      <c r="B134" s="298"/>
      <c r="C134" s="299" t="s">
        <v>254</v>
      </c>
      <c r="D134" s="299"/>
      <c r="E134" s="299">
        <f>SUM(E74+E84+E109)</f>
        <v>5515431</v>
      </c>
      <c r="F134" s="299">
        <f aca="true" t="shared" si="25" ref="F134:L134">SUM(F74+F84+F109)+F123</f>
        <v>3160667</v>
      </c>
      <c r="G134" s="299">
        <f t="shared" si="25"/>
        <v>4164937</v>
      </c>
      <c r="H134" s="299">
        <f t="shared" si="25"/>
        <v>4164937</v>
      </c>
      <c r="I134" s="299">
        <f t="shared" si="25"/>
        <v>4346668</v>
      </c>
      <c r="J134" s="299">
        <f t="shared" si="25"/>
        <v>4723754</v>
      </c>
      <c r="K134" s="299">
        <f t="shared" si="25"/>
        <v>4122203</v>
      </c>
      <c r="L134" s="1487">
        <f t="shared" si="25"/>
        <v>4122203</v>
      </c>
    </row>
    <row r="135" spans="1:12" ht="12.75" customHeight="1">
      <c r="A135" s="278" t="s">
        <v>298</v>
      </c>
      <c r="B135" s="298"/>
      <c r="C135" s="299" t="s">
        <v>255</v>
      </c>
      <c r="D135" s="299"/>
      <c r="E135" s="299">
        <v>64164495</v>
      </c>
      <c r="F135" s="299">
        <f>SUM(F62+F64+F67+F69+F75+F81+F92+F110)</f>
        <v>60233320</v>
      </c>
      <c r="G135" s="299">
        <f>SUM(G62+G64+G67+G69+G75+G81+G110)</f>
        <v>69436267</v>
      </c>
      <c r="H135" s="299">
        <f>SUM(H62+H64+H67+H69+H75+H81+H110)</f>
        <v>53828790</v>
      </c>
      <c r="I135" s="299">
        <f>SUM(I62+I64+I67+I69+I75+I81+I110)+I124</f>
        <v>78807977</v>
      </c>
      <c r="J135" s="299">
        <f>SUM(J62+J64+J67+J69+J75+J81+J110)+J124</f>
        <v>81330382</v>
      </c>
      <c r="K135" s="299">
        <f>SUM(K62+K64+K67+K69+K75+K81+K110)+K124+K99</f>
        <v>97469979</v>
      </c>
      <c r="L135" s="1487">
        <v>97469979</v>
      </c>
    </row>
    <row r="136" spans="1:12" ht="12.75" customHeight="1">
      <c r="A136" s="278" t="s">
        <v>299</v>
      </c>
      <c r="B136" s="298"/>
      <c r="C136" s="299" t="s">
        <v>689</v>
      </c>
      <c r="D136" s="299"/>
      <c r="E136" s="299">
        <f>SUM(E93)+E100</f>
        <v>4659500</v>
      </c>
      <c r="F136" s="299">
        <v>5194000</v>
      </c>
      <c r="G136" s="299">
        <v>5194000</v>
      </c>
      <c r="H136" s="299">
        <v>5194000</v>
      </c>
      <c r="I136" s="299">
        <v>5194000</v>
      </c>
      <c r="J136" s="299">
        <v>5194000</v>
      </c>
      <c r="K136" s="299">
        <v>3627050</v>
      </c>
      <c r="L136" s="1487">
        <v>3627050</v>
      </c>
    </row>
    <row r="137" spans="1:12" ht="12.75" customHeight="1">
      <c r="A137" s="278" t="s">
        <v>300</v>
      </c>
      <c r="B137" s="298"/>
      <c r="C137" s="299" t="s">
        <v>690</v>
      </c>
      <c r="D137" s="299"/>
      <c r="E137" s="299">
        <f aca="true" t="shared" si="26" ref="E137:L137">SUM(E114)</f>
        <v>715261087</v>
      </c>
      <c r="F137" s="299">
        <f t="shared" si="26"/>
        <v>715261087</v>
      </c>
      <c r="G137" s="299">
        <f t="shared" si="26"/>
        <v>699696288</v>
      </c>
      <c r="H137" s="299">
        <f t="shared" si="26"/>
        <v>702346659</v>
      </c>
      <c r="I137" s="299">
        <f t="shared" si="26"/>
        <v>678339090</v>
      </c>
      <c r="J137" s="299">
        <f t="shared" si="26"/>
        <v>674637990</v>
      </c>
      <c r="K137" s="299">
        <f t="shared" si="26"/>
        <v>664627351</v>
      </c>
      <c r="L137" s="1487">
        <f t="shared" si="26"/>
        <v>664627351</v>
      </c>
    </row>
    <row r="138" spans="1:12" ht="12.75" customHeight="1">
      <c r="A138" s="278" t="s">
        <v>301</v>
      </c>
      <c r="B138" s="298"/>
      <c r="C138" s="299" t="s">
        <v>691</v>
      </c>
      <c r="D138" s="299"/>
      <c r="E138" s="299">
        <f>SUM(E87)+E76</f>
        <v>33983308</v>
      </c>
      <c r="F138" s="299">
        <f>SUM(F87)+F76</f>
        <v>34762413</v>
      </c>
      <c r="G138" s="299">
        <f aca="true" t="shared" si="27" ref="G138:L138">SUM(G87)</f>
        <v>36221964</v>
      </c>
      <c r="H138" s="299">
        <f t="shared" si="27"/>
        <v>36221964</v>
      </c>
      <c r="I138" s="299">
        <f t="shared" si="27"/>
        <v>36221964</v>
      </c>
      <c r="J138" s="299">
        <f t="shared" si="27"/>
        <v>36221964</v>
      </c>
      <c r="K138" s="299">
        <f t="shared" si="27"/>
        <v>36353822</v>
      </c>
      <c r="L138" s="1487">
        <f t="shared" si="27"/>
        <v>40766879</v>
      </c>
    </row>
    <row r="139" spans="1:12" ht="12.75" customHeight="1">
      <c r="A139" s="278" t="s">
        <v>302</v>
      </c>
      <c r="B139" s="298"/>
      <c r="C139" s="299" t="s">
        <v>654</v>
      </c>
      <c r="D139" s="299"/>
      <c r="E139" s="299">
        <f>SUM(E65+E77+E80+E113)+E120</f>
        <v>37258268</v>
      </c>
      <c r="F139" s="299">
        <f>SUM(F65+F77+F80+F113)</f>
        <v>12400000</v>
      </c>
      <c r="G139" s="299">
        <f>SUM(G65+G77+G80+G113)</f>
        <v>20080313</v>
      </c>
      <c r="H139" s="299">
        <f>SUM(H65+H77+H80+H113)</f>
        <v>33440313</v>
      </c>
      <c r="I139" s="299">
        <f>SUM(I65+I77+I80+I113)</f>
        <v>33440313</v>
      </c>
      <c r="J139" s="299">
        <f>SUM(J65+J77+J80+J113)</f>
        <v>36863771</v>
      </c>
      <c r="K139" s="299">
        <f>SUM(K140:K141)</f>
        <v>54806758</v>
      </c>
      <c r="L139" s="1487">
        <f>SUM(L140:L141)</f>
        <v>54806758</v>
      </c>
    </row>
    <row r="140" spans="1:12" s="1043" customFormat="1" ht="12.75" customHeight="1">
      <c r="A140" s="1040" t="s">
        <v>304</v>
      </c>
      <c r="B140" s="1041"/>
      <c r="C140" s="1042" t="s">
        <v>822</v>
      </c>
      <c r="D140" s="1042"/>
      <c r="E140" s="1042">
        <v>19639956</v>
      </c>
      <c r="F140" s="1042">
        <v>11000000</v>
      </c>
      <c r="G140" s="1042">
        <v>12355333</v>
      </c>
      <c r="H140" s="1042">
        <v>26115333</v>
      </c>
      <c r="I140" s="1042">
        <v>26115333</v>
      </c>
      <c r="J140" s="1042">
        <v>27436617</v>
      </c>
      <c r="K140" s="1042">
        <v>46062104</v>
      </c>
      <c r="L140" s="1488">
        <v>46062104</v>
      </c>
    </row>
    <row r="141" spans="1:12" s="1043" customFormat="1" ht="12.75" customHeight="1">
      <c r="A141" s="1040" t="s">
        <v>306</v>
      </c>
      <c r="B141" s="1041"/>
      <c r="C141" s="1042" t="s">
        <v>823</v>
      </c>
      <c r="D141" s="1042"/>
      <c r="E141" s="1042">
        <v>17618312</v>
      </c>
      <c r="F141" s="1042">
        <v>1400000</v>
      </c>
      <c r="G141" s="1042">
        <v>7724980</v>
      </c>
      <c r="H141" s="1042">
        <f>SUM('6,7,8 Melléklet'!F15+'6,7,8 Melléklet'!F16+'6,7,8 Melléklet'!F17)</f>
        <v>7324980</v>
      </c>
      <c r="I141" s="1042">
        <f>SUM('6,7,8 Melléklet'!G15+'6,7,8 Melléklet'!G16+'6,7,8 Melléklet'!G17)</f>
        <v>7324980</v>
      </c>
      <c r="J141" s="1407">
        <f>SUM('6,7,8 Melléklet'!H15+'6,7,8 Melléklet'!H16+'6,7,8 Melléklet'!H17)</f>
        <v>9427154</v>
      </c>
      <c r="K141" s="1407">
        <v>8744654</v>
      </c>
      <c r="L141" s="1489">
        <v>8744654</v>
      </c>
    </row>
    <row r="142" spans="1:12" ht="12.75">
      <c r="A142" s="278" t="s">
        <v>308</v>
      </c>
      <c r="B142" s="298"/>
      <c r="C142" s="300" t="s">
        <v>692</v>
      </c>
      <c r="D142" s="299"/>
      <c r="E142" s="299"/>
      <c r="F142" s="299"/>
      <c r="G142" s="299"/>
      <c r="H142" s="299"/>
      <c r="I142" s="299"/>
      <c r="J142" s="299" t="s">
        <v>1168</v>
      </c>
      <c r="K142" s="299">
        <v>10729481</v>
      </c>
      <c r="L142" s="1487">
        <v>10729481</v>
      </c>
    </row>
    <row r="143" spans="1:12" ht="25.5">
      <c r="A143" s="278" t="s">
        <v>309</v>
      </c>
      <c r="B143" s="301"/>
      <c r="C143" s="686" t="s">
        <v>737</v>
      </c>
      <c r="D143" s="302"/>
      <c r="E143" s="302">
        <f>SUM(E115)</f>
        <v>0</v>
      </c>
      <c r="F143" s="302">
        <f>SUM(F115)</f>
        <v>0</v>
      </c>
      <c r="G143" s="302">
        <f>SUM(G115)</f>
        <v>0</v>
      </c>
      <c r="H143" s="302">
        <f>SUM(H115)</f>
        <v>0</v>
      </c>
      <c r="I143" s="302" t="s">
        <v>1169</v>
      </c>
      <c r="J143" s="302">
        <f>SUM(J115)</f>
        <v>0</v>
      </c>
      <c r="K143" s="302">
        <f>SUM(K115)</f>
        <v>0</v>
      </c>
      <c r="L143" s="302">
        <f>SUM(L115)</f>
        <v>0</v>
      </c>
    </row>
    <row r="144" spans="1:12" ht="25.5">
      <c r="A144" s="278" t="s">
        <v>310</v>
      </c>
      <c r="B144" s="687"/>
      <c r="C144" s="688" t="s">
        <v>738</v>
      </c>
      <c r="D144" s="689"/>
      <c r="E144" s="689">
        <f aca="true" t="shared" si="28" ref="E144:J144">SUM(E128)</f>
        <v>10321373</v>
      </c>
      <c r="F144" s="689">
        <f t="shared" si="28"/>
        <v>6703536</v>
      </c>
      <c r="G144" s="689">
        <f t="shared" si="28"/>
        <v>6703536</v>
      </c>
      <c r="H144" s="689">
        <f t="shared" si="28"/>
        <v>7419080</v>
      </c>
      <c r="I144" s="689">
        <f t="shared" si="28"/>
        <v>8095569</v>
      </c>
      <c r="J144" s="689">
        <f t="shared" si="28"/>
        <v>8679084</v>
      </c>
      <c r="K144" s="689">
        <v>9086397</v>
      </c>
      <c r="L144" s="689">
        <v>9092391</v>
      </c>
    </row>
    <row r="145" spans="1:12" ht="12.75" customHeight="1">
      <c r="A145" s="278" t="s">
        <v>311</v>
      </c>
      <c r="B145" s="687"/>
      <c r="C145" s="688" t="s">
        <v>719</v>
      </c>
      <c r="D145" s="689"/>
      <c r="E145" s="689">
        <v>53488</v>
      </c>
      <c r="F145" s="689"/>
      <c r="G145" s="689"/>
      <c r="H145" s="689"/>
      <c r="I145" s="689"/>
      <c r="J145" s="689"/>
      <c r="K145" s="689"/>
      <c r="L145" s="689"/>
    </row>
    <row r="146" spans="1:12" ht="12.75" customHeight="1">
      <c r="A146" s="278" t="s">
        <v>312</v>
      </c>
      <c r="B146" s="687"/>
      <c r="C146" s="688" t="s">
        <v>720</v>
      </c>
      <c r="D146" s="689"/>
      <c r="E146" s="689"/>
      <c r="F146" s="689"/>
      <c r="G146" s="689"/>
      <c r="H146" s="689"/>
      <c r="I146" s="689"/>
      <c r="J146" s="689"/>
      <c r="K146" s="689"/>
      <c r="L146" s="689"/>
    </row>
    <row r="147" spans="1:12" ht="12.75" customHeight="1">
      <c r="A147" s="278" t="s">
        <v>651</v>
      </c>
      <c r="B147" s="687"/>
      <c r="C147" s="688" t="s">
        <v>721</v>
      </c>
      <c r="D147" s="689"/>
      <c r="E147" s="689"/>
      <c r="F147" s="689"/>
      <c r="G147" s="689"/>
      <c r="H147" s="689"/>
      <c r="I147" s="689"/>
      <c r="J147" s="689"/>
      <c r="K147" s="689"/>
      <c r="L147" s="689"/>
    </row>
    <row r="148" spans="1:12" ht="12.75" customHeight="1">
      <c r="A148" s="278" t="s">
        <v>652</v>
      </c>
      <c r="B148" s="687"/>
      <c r="C148" s="688" t="s">
        <v>715</v>
      </c>
      <c r="D148" s="689"/>
      <c r="E148" s="689">
        <f aca="true" t="shared" si="29" ref="E148:J148">SUM(E131)</f>
        <v>270216255</v>
      </c>
      <c r="F148" s="689">
        <f t="shared" si="29"/>
        <v>276570076</v>
      </c>
      <c r="G148" s="689">
        <f t="shared" si="29"/>
        <v>277401853</v>
      </c>
      <c r="H148" s="689">
        <f t="shared" si="29"/>
        <v>277604575</v>
      </c>
      <c r="I148" s="689">
        <f t="shared" si="29"/>
        <v>277720471</v>
      </c>
      <c r="J148" s="689">
        <f t="shared" si="29"/>
        <v>279099537</v>
      </c>
      <c r="K148" s="689">
        <f>SUM(K131)</f>
        <v>274808735</v>
      </c>
      <c r="L148" s="689">
        <f>SUM(L131)</f>
        <v>274808735</v>
      </c>
    </row>
    <row r="149" spans="1:12" s="303" customFormat="1" ht="12.75" customHeight="1">
      <c r="A149" s="278"/>
      <c r="E149" s="304"/>
      <c r="F149" s="304"/>
      <c r="G149" s="304"/>
      <c r="H149" s="304"/>
      <c r="I149" s="304"/>
      <c r="J149" s="304"/>
      <c r="K149" s="304"/>
      <c r="L149" s="304"/>
    </row>
  </sheetData>
  <sheetProtection selectLockedCells="1" selectUnlockedCells="1"/>
  <mergeCells count="50">
    <mergeCell ref="C56:D56"/>
    <mergeCell ref="C35:D35"/>
    <mergeCell ref="C36:D36"/>
    <mergeCell ref="C41:D41"/>
    <mergeCell ref="C38:D38"/>
    <mergeCell ref="C40:D40"/>
    <mergeCell ref="C52:D52"/>
    <mergeCell ref="C31:D31"/>
    <mergeCell ref="C32:D32"/>
    <mergeCell ref="C33:D33"/>
    <mergeCell ref="C34:D34"/>
    <mergeCell ref="C50:D50"/>
    <mergeCell ref="C55:D55"/>
    <mergeCell ref="C53:D53"/>
    <mergeCell ref="C54:D54"/>
    <mergeCell ref="C49:D49"/>
    <mergeCell ref="C16:D16"/>
    <mergeCell ref="C17:D17"/>
    <mergeCell ref="C18:D18"/>
    <mergeCell ref="C19:D19"/>
    <mergeCell ref="C29:D29"/>
    <mergeCell ref="C30:D30"/>
    <mergeCell ref="C20:D20"/>
    <mergeCell ref="C22:D22"/>
    <mergeCell ref="C23:D23"/>
    <mergeCell ref="C15:D15"/>
    <mergeCell ref="C27:D27"/>
    <mergeCell ref="A59:B59"/>
    <mergeCell ref="A60:B60"/>
    <mergeCell ref="C21:D21"/>
    <mergeCell ref="C26:D26"/>
    <mergeCell ref="C46:D46"/>
    <mergeCell ref="C42:D42"/>
    <mergeCell ref="C51:D51"/>
    <mergeCell ref="C28:D28"/>
    <mergeCell ref="A8:B8"/>
    <mergeCell ref="C8:D8"/>
    <mergeCell ref="C10:D10"/>
    <mergeCell ref="C11:D11"/>
    <mergeCell ref="C13:D13"/>
    <mergeCell ref="C14:D14"/>
    <mergeCell ref="C9:D9"/>
    <mergeCell ref="C12:D12"/>
    <mergeCell ref="A6:C6"/>
    <mergeCell ref="A7:B7"/>
    <mergeCell ref="C7:D7"/>
    <mergeCell ref="A4:L4"/>
    <mergeCell ref="A2:L2"/>
    <mergeCell ref="A1:L1"/>
    <mergeCell ref="E3:H3"/>
  </mergeCells>
  <printOptions horizontalCentered="1"/>
  <pageMargins left="0.5905511811023623" right="0.5905511811023623" top="0.2755905511811024" bottom="0.2755905511811024" header="0.7874015748031497" footer="0.7874015748031497"/>
  <pageSetup horizontalDpi="600" verticalDpi="600" orientation="portrait" paperSize="9" scale="49" r:id="rId1"/>
  <rowBreaks count="1" manualBreakCount="1">
    <brk id="5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AC58"/>
  <sheetViews>
    <sheetView tabSelected="1" view="pageBreakPreview" zoomScaleSheetLayoutView="100" zoomScalePageLayoutView="0" workbookViewId="0" topLeftCell="A1">
      <pane xSplit="1" topLeftCell="X1" activePane="topRight" state="frozen"/>
      <selection pane="topLeft" activeCell="A1" sqref="A1"/>
      <selection pane="topRight" activeCell="A1" sqref="A1:AC1"/>
    </sheetView>
  </sheetViews>
  <sheetFormatPr defaultColWidth="11.57421875" defaultRowHeight="12.75" customHeight="1"/>
  <cols>
    <col min="1" max="1" width="38.421875" style="0" customWidth="1"/>
    <col min="2" max="2" width="16.00390625" style="0" hidden="1" customWidth="1"/>
    <col min="3" max="3" width="14.7109375" style="0" hidden="1" customWidth="1"/>
    <col min="4" max="4" width="13.7109375" style="0" hidden="1" customWidth="1"/>
    <col min="5" max="5" width="17.421875" style="0" hidden="1" customWidth="1"/>
    <col min="6" max="6" width="16.00390625" style="0" hidden="1" customWidth="1"/>
    <col min="7" max="7" width="14.7109375" style="0" hidden="1" customWidth="1"/>
    <col min="8" max="8" width="17.28125" style="0" hidden="1" customWidth="1"/>
    <col min="9" max="9" width="17.421875" style="0" hidden="1" customWidth="1"/>
    <col min="10" max="10" width="16.00390625" style="0" customWidth="1"/>
    <col min="11" max="11" width="14.7109375" style="0" customWidth="1"/>
    <col min="12" max="12" width="17.28125" style="0" customWidth="1"/>
    <col min="13" max="13" width="17.421875" style="0" customWidth="1"/>
    <col min="14" max="14" width="16.00390625" style="0" customWidth="1"/>
    <col min="15" max="15" width="14.7109375" style="0" customWidth="1"/>
    <col min="16" max="16" width="17.28125" style="0" customWidth="1"/>
    <col min="17" max="17" width="17.421875" style="0" customWidth="1"/>
    <col min="18" max="18" width="16.00390625" style="0" customWidth="1"/>
    <col min="19" max="19" width="17.8515625" style="0" customWidth="1"/>
    <col min="20" max="20" width="17.28125" style="0" customWidth="1"/>
    <col min="21" max="21" width="17.421875" style="0" customWidth="1"/>
    <col min="22" max="22" width="16.00390625" style="0" customWidth="1"/>
    <col min="23" max="23" width="17.8515625" style="0" customWidth="1"/>
    <col min="24" max="24" width="17.28125" style="0" customWidth="1"/>
    <col min="25" max="25" width="17.421875" style="0" customWidth="1"/>
    <col min="26" max="26" width="16.00390625" style="0" customWidth="1"/>
    <col min="27" max="27" width="17.8515625" style="0" customWidth="1"/>
    <col min="28" max="28" width="17.28125" style="0" customWidth="1"/>
    <col min="29" max="29" width="17.421875" style="0" customWidth="1"/>
  </cols>
  <sheetData>
    <row r="1" spans="1:29" s="222" customFormat="1" ht="18" customHeight="1">
      <c r="A1" s="1856" t="s">
        <v>545</v>
      </c>
      <c r="B1" s="1856"/>
      <c r="C1" s="1856"/>
      <c r="D1" s="1856"/>
      <c r="E1" s="1856"/>
      <c r="F1" s="1856"/>
      <c r="G1" s="1856"/>
      <c r="H1" s="1856"/>
      <c r="I1" s="1856"/>
      <c r="J1" s="1856"/>
      <c r="K1" s="1856"/>
      <c r="L1" s="1856"/>
      <c r="M1" s="1856"/>
      <c r="N1" s="1856"/>
      <c r="O1" s="1856"/>
      <c r="P1" s="1856"/>
      <c r="Q1" s="1856"/>
      <c r="R1" s="1856"/>
      <c r="S1" s="1856"/>
      <c r="T1" s="1856"/>
      <c r="U1" s="1856"/>
      <c r="V1" s="1856"/>
      <c r="W1" s="1856"/>
      <c r="X1" s="1856"/>
      <c r="Y1" s="1856"/>
      <c r="Z1" s="1856"/>
      <c r="AA1" s="1856"/>
      <c r="AB1" s="1856"/>
      <c r="AC1" s="1856"/>
    </row>
    <row r="2" spans="1:29" ht="12.75" customHeight="1">
      <c r="A2" s="1604" t="s">
        <v>1226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  <c r="Q2" s="1604"/>
      <c r="R2" s="1604"/>
      <c r="S2" s="1604"/>
      <c r="T2" s="1604"/>
      <c r="U2" s="1604"/>
      <c r="V2" s="1604"/>
      <c r="W2" s="1604"/>
      <c r="X2" s="1604"/>
      <c r="Y2" s="1604"/>
      <c r="Z2" s="1604"/>
      <c r="AA2" s="1604"/>
      <c r="AB2" s="1604"/>
      <c r="AC2" s="1604"/>
    </row>
    <row r="3" spans="1:29" ht="12.75" customHeight="1">
      <c r="A3" s="600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1936" t="s">
        <v>1227</v>
      </c>
      <c r="R3" s="1936"/>
      <c r="S3" s="1936"/>
      <c r="T3" s="1936"/>
      <c r="U3" s="600"/>
      <c r="V3" s="600"/>
      <c r="W3" s="600"/>
      <c r="X3" s="600"/>
      <c r="Y3" s="600"/>
      <c r="Z3" s="600"/>
      <c r="AA3" s="600"/>
      <c r="AB3" s="600"/>
      <c r="AC3" s="600" t="s">
        <v>523</v>
      </c>
    </row>
    <row r="4" spans="1:29" ht="12.75" customHeight="1">
      <c r="A4" s="1539" t="s">
        <v>2</v>
      </c>
      <c r="B4" s="1539"/>
      <c r="C4" s="1539"/>
      <c r="D4" s="1539"/>
      <c r="E4" s="1539"/>
      <c r="F4" s="1539"/>
      <c r="G4" s="1539"/>
      <c r="H4" s="1539"/>
      <c r="I4" s="1539"/>
      <c r="J4" s="1539"/>
      <c r="K4" s="1539"/>
      <c r="L4" s="1539"/>
      <c r="M4" s="1539"/>
      <c r="N4" s="1539"/>
      <c r="O4" s="1539"/>
      <c r="P4" s="1539"/>
      <c r="Q4" s="1539"/>
      <c r="R4" s="1539"/>
      <c r="S4" s="1539"/>
      <c r="T4" s="1539"/>
      <c r="U4" s="1539"/>
      <c r="V4" s="1539"/>
      <c r="W4" s="1539"/>
      <c r="X4" s="1539"/>
      <c r="Y4" s="1539"/>
      <c r="Z4" s="1539"/>
      <c r="AA4" s="1539"/>
      <c r="AB4" s="1539"/>
      <c r="AC4" s="1539"/>
    </row>
    <row r="5" spans="1:29" ht="15.75" customHeight="1">
      <c r="A5" s="1605" t="s">
        <v>1038</v>
      </c>
      <c r="B5" s="1605"/>
      <c r="C5" s="1605"/>
      <c r="D5" s="1605"/>
      <c r="E5" s="1605"/>
      <c r="F5" s="1605"/>
      <c r="G5" s="1605"/>
      <c r="H5" s="1605"/>
      <c r="I5" s="1605"/>
      <c r="J5" s="1605"/>
      <c r="K5" s="1605"/>
      <c r="L5" s="1605"/>
      <c r="M5" s="1605"/>
      <c r="N5" s="1605"/>
      <c r="O5" s="1605"/>
      <c r="P5" s="1605"/>
      <c r="Q5" s="1605"/>
      <c r="R5" s="1605"/>
      <c r="S5" s="1605"/>
      <c r="T5" s="1605"/>
      <c r="U5" s="1605"/>
      <c r="V5" s="1605"/>
      <c r="W5" s="1605"/>
      <c r="X5" s="1605"/>
      <c r="Y5" s="1605"/>
      <c r="Z5" s="1605"/>
      <c r="AA5" s="1605"/>
      <c r="AB5" s="1605"/>
      <c r="AC5" s="1605"/>
    </row>
    <row r="6" spans="1:27" ht="9" customHeight="1">
      <c r="A6" s="3"/>
      <c r="B6" s="3"/>
      <c r="C6" s="3"/>
      <c r="F6" s="3"/>
      <c r="G6" s="3"/>
      <c r="J6" s="3"/>
      <c r="K6" s="3"/>
      <c r="N6" s="3"/>
      <c r="O6" s="3"/>
      <c r="R6" s="3"/>
      <c r="S6" s="3"/>
      <c r="V6" s="3"/>
      <c r="W6" s="3"/>
      <c r="Z6" s="3"/>
      <c r="AA6" s="3"/>
    </row>
    <row r="7" spans="1:27" ht="9" customHeight="1">
      <c r="A7" s="3"/>
      <c r="B7" s="3"/>
      <c r="C7" s="3"/>
      <c r="F7" s="3"/>
      <c r="G7" s="3"/>
      <c r="J7" s="3"/>
      <c r="K7" s="3"/>
      <c r="N7" s="3"/>
      <c r="O7" s="3"/>
      <c r="R7" s="3"/>
      <c r="S7" s="3"/>
      <c r="V7" s="3"/>
      <c r="W7" s="3"/>
      <c r="Z7" s="3"/>
      <c r="AA7" s="3"/>
    </row>
    <row r="8" spans="1:29" ht="13.5" customHeight="1" thickBot="1">
      <c r="A8" s="3"/>
      <c r="B8" s="3"/>
      <c r="C8" s="3"/>
      <c r="D8" s="1611"/>
      <c r="E8" s="1611"/>
      <c r="F8" s="3"/>
      <c r="G8" s="3"/>
      <c r="H8" s="1611"/>
      <c r="I8" s="1611"/>
      <c r="J8" s="3"/>
      <c r="K8" s="3"/>
      <c r="L8" s="1611"/>
      <c r="M8" s="1611"/>
      <c r="N8" s="3"/>
      <c r="O8" s="3"/>
      <c r="P8" s="1611"/>
      <c r="Q8" s="1611"/>
      <c r="R8" s="3"/>
      <c r="S8" s="3"/>
      <c r="T8" s="1611"/>
      <c r="U8" s="1611"/>
      <c r="V8" s="3"/>
      <c r="W8" s="3"/>
      <c r="X8" s="1611"/>
      <c r="Y8" s="1611"/>
      <c r="Z8" s="3"/>
      <c r="AA8" s="3"/>
      <c r="AB8" s="1611" t="s">
        <v>216</v>
      </c>
      <c r="AC8" s="1611"/>
    </row>
    <row r="9" spans="1:29" ht="12.75" customHeight="1" thickBot="1">
      <c r="A9" s="1857" t="s">
        <v>546</v>
      </c>
      <c r="B9" s="1852" t="s">
        <v>547</v>
      </c>
      <c r="C9" s="1854" t="s">
        <v>548</v>
      </c>
      <c r="D9" s="1854"/>
      <c r="E9" s="1855"/>
      <c r="F9" s="1852" t="s">
        <v>547</v>
      </c>
      <c r="G9" s="1854" t="s">
        <v>1070</v>
      </c>
      <c r="H9" s="1854"/>
      <c r="I9" s="1855"/>
      <c r="J9" s="1852" t="s">
        <v>547</v>
      </c>
      <c r="K9" s="1854" t="s">
        <v>1131</v>
      </c>
      <c r="L9" s="1854"/>
      <c r="M9" s="1855"/>
      <c r="N9" s="1852" t="s">
        <v>547</v>
      </c>
      <c r="O9" s="1854" t="s">
        <v>1141</v>
      </c>
      <c r="P9" s="1854"/>
      <c r="Q9" s="1855"/>
      <c r="R9" s="1852" t="s">
        <v>547</v>
      </c>
      <c r="S9" s="1854" t="s">
        <v>1148</v>
      </c>
      <c r="T9" s="1854"/>
      <c r="U9" s="1855"/>
      <c r="V9" s="1852" t="s">
        <v>547</v>
      </c>
      <c r="W9" s="1854" t="s">
        <v>1158</v>
      </c>
      <c r="X9" s="1854"/>
      <c r="Y9" s="1855"/>
      <c r="Z9" s="1852" t="s">
        <v>547</v>
      </c>
      <c r="AA9" s="1854" t="s">
        <v>1181</v>
      </c>
      <c r="AB9" s="1854"/>
      <c r="AC9" s="1855"/>
    </row>
    <row r="10" spans="1:29" ht="33.75" customHeight="1">
      <c r="A10" s="1858"/>
      <c r="B10" s="1853"/>
      <c r="C10" s="305" t="s">
        <v>549</v>
      </c>
      <c r="D10" s="305" t="s">
        <v>550</v>
      </c>
      <c r="E10" s="890" t="s">
        <v>551</v>
      </c>
      <c r="F10" s="1853"/>
      <c r="G10" s="305" t="s">
        <v>549</v>
      </c>
      <c r="H10" s="305" t="s">
        <v>550</v>
      </c>
      <c r="I10" s="890" t="s">
        <v>551</v>
      </c>
      <c r="J10" s="1853"/>
      <c r="K10" s="305" t="s">
        <v>549</v>
      </c>
      <c r="L10" s="305" t="s">
        <v>550</v>
      </c>
      <c r="M10" s="890" t="s">
        <v>551</v>
      </c>
      <c r="N10" s="1853"/>
      <c r="O10" s="305" t="s">
        <v>549</v>
      </c>
      <c r="P10" s="305" t="s">
        <v>550</v>
      </c>
      <c r="Q10" s="890" t="s">
        <v>551</v>
      </c>
      <c r="R10" s="1853"/>
      <c r="S10" s="305" t="s">
        <v>549</v>
      </c>
      <c r="T10" s="305" t="s">
        <v>550</v>
      </c>
      <c r="U10" s="890" t="s">
        <v>551</v>
      </c>
      <c r="V10" s="1853"/>
      <c r="W10" s="305" t="s">
        <v>549</v>
      </c>
      <c r="X10" s="305" t="s">
        <v>550</v>
      </c>
      <c r="Y10" s="890" t="s">
        <v>551</v>
      </c>
      <c r="Z10" s="1853"/>
      <c r="AA10" s="305" t="s">
        <v>549</v>
      </c>
      <c r="AB10" s="305" t="s">
        <v>550</v>
      </c>
      <c r="AC10" s="890" t="s">
        <v>551</v>
      </c>
    </row>
    <row r="11" spans="1:29" ht="15" customHeight="1">
      <c r="A11" s="909" t="s">
        <v>2</v>
      </c>
      <c r="B11" s="891">
        <f aca="true" t="shared" si="0" ref="B11:I11">SUM(B12:B28)</f>
        <v>1131018636</v>
      </c>
      <c r="C11" s="66">
        <f t="shared" si="0"/>
        <v>50496817</v>
      </c>
      <c r="D11" s="66">
        <f t="shared" si="0"/>
        <v>0</v>
      </c>
      <c r="E11" s="537">
        <f t="shared" si="0"/>
        <v>1080521819</v>
      </c>
      <c r="F11" s="891">
        <f t="shared" si="0"/>
        <v>1141108095</v>
      </c>
      <c r="G11" s="66">
        <f t="shared" si="0"/>
        <v>51956368</v>
      </c>
      <c r="H11" s="66">
        <f t="shared" si="0"/>
        <v>697666288</v>
      </c>
      <c r="I11" s="537">
        <f t="shared" si="0"/>
        <v>390653662</v>
      </c>
      <c r="J11" s="891">
        <f aca="true" t="shared" si="1" ref="J11:O11">SUM(J12:J28)</f>
        <v>1142429255</v>
      </c>
      <c r="K11" s="66">
        <f t="shared" si="1"/>
        <v>0</v>
      </c>
      <c r="L11" s="66">
        <f t="shared" si="1"/>
        <v>788689784</v>
      </c>
      <c r="M11" s="537">
        <f t="shared" si="1"/>
        <v>353739471</v>
      </c>
      <c r="N11" s="891">
        <f>SUM(N12:N28)</f>
        <v>1145393269</v>
      </c>
      <c r="O11" s="66">
        <f t="shared" si="1"/>
        <v>0</v>
      </c>
      <c r="P11" s="66">
        <f aca="true" t="shared" si="2" ref="P11:U11">SUM(P12:P28)</f>
        <v>788775637</v>
      </c>
      <c r="Q11" s="537">
        <f t="shared" si="2"/>
        <v>356617632</v>
      </c>
      <c r="R11" s="891">
        <f t="shared" si="2"/>
        <v>1151699580</v>
      </c>
      <c r="S11" s="66">
        <f t="shared" si="2"/>
        <v>1151026580</v>
      </c>
      <c r="T11" s="66">
        <f t="shared" si="2"/>
        <v>673000</v>
      </c>
      <c r="U11" s="537">
        <f t="shared" si="2"/>
        <v>0</v>
      </c>
      <c r="V11" s="891">
        <f aca="true" t="shared" si="3" ref="V11:AC11">SUM(V12:V28)</f>
        <v>1184701944</v>
      </c>
      <c r="W11" s="66">
        <f t="shared" si="3"/>
        <v>1184028944</v>
      </c>
      <c r="X11" s="66">
        <f t="shared" si="3"/>
        <v>673000</v>
      </c>
      <c r="Y11" s="537">
        <f t="shared" si="3"/>
        <v>0</v>
      </c>
      <c r="Z11" s="891">
        <f t="shared" si="3"/>
        <v>1184707938</v>
      </c>
      <c r="AA11" s="66">
        <f t="shared" si="3"/>
        <v>1184257938</v>
      </c>
      <c r="AB11" s="66">
        <f t="shared" si="3"/>
        <v>450000</v>
      </c>
      <c r="AC11" s="537">
        <f t="shared" si="3"/>
        <v>0</v>
      </c>
    </row>
    <row r="12" spans="1:29" ht="15" customHeight="1">
      <c r="A12" s="910" t="s">
        <v>694</v>
      </c>
      <c r="B12" s="892">
        <f>SUM(C12:E12)</f>
        <v>673000</v>
      </c>
      <c r="C12" s="124">
        <v>673000</v>
      </c>
      <c r="D12" s="124"/>
      <c r="E12" s="893"/>
      <c r="F12" s="892">
        <f>SUM(G12:I12)</f>
        <v>673000</v>
      </c>
      <c r="G12" s="124">
        <v>673000</v>
      </c>
      <c r="H12" s="124"/>
      <c r="I12" s="893"/>
      <c r="J12" s="892">
        <f>SUM(K12:M12)</f>
        <v>673000</v>
      </c>
      <c r="K12" s="124"/>
      <c r="L12" s="124"/>
      <c r="M12" s="124">
        <v>673000</v>
      </c>
      <c r="N12" s="892">
        <f>SUM(O12:Q12)</f>
        <v>673000</v>
      </c>
      <c r="O12" s="124"/>
      <c r="P12" s="124"/>
      <c r="Q12" s="124">
        <v>673000</v>
      </c>
      <c r="R12" s="892">
        <f>SUM(S12:U12)</f>
        <v>673000</v>
      </c>
      <c r="S12" s="124"/>
      <c r="T12" s="124">
        <v>673000</v>
      </c>
      <c r="U12" s="124">
        <v>0</v>
      </c>
      <c r="V12" s="892">
        <f>SUM(W12:Y12)</f>
        <v>673000</v>
      </c>
      <c r="W12" s="124"/>
      <c r="X12" s="124">
        <v>673000</v>
      </c>
      <c r="Y12" s="124">
        <v>0</v>
      </c>
      <c r="Z12" s="892">
        <f>SUM(AB12)</f>
        <v>450000</v>
      </c>
      <c r="AA12" s="124"/>
      <c r="AB12" s="124">
        <v>450000</v>
      </c>
      <c r="AC12" s="124">
        <v>0</v>
      </c>
    </row>
    <row r="13" spans="1:29" ht="15" customHeight="1">
      <c r="A13" s="910" t="s">
        <v>251</v>
      </c>
      <c r="B13" s="892">
        <f aca="true" t="shared" si="4" ref="B13:B28">SUM(C13:E13)</f>
        <v>551000</v>
      </c>
      <c r="C13" s="124">
        <v>551000</v>
      </c>
      <c r="D13" s="124"/>
      <c r="E13" s="893"/>
      <c r="F13" s="892">
        <f aca="true" t="shared" si="5" ref="F13:F27">SUM(G13:I13)</f>
        <v>551000</v>
      </c>
      <c r="G13" s="124">
        <v>551000</v>
      </c>
      <c r="H13" s="124"/>
      <c r="I13" s="893"/>
      <c r="J13" s="892">
        <f>SUM(K13:M13)</f>
        <v>551000</v>
      </c>
      <c r="K13" s="124"/>
      <c r="L13" s="124"/>
      <c r="M13" s="124">
        <v>551000</v>
      </c>
      <c r="N13" s="892">
        <f>SUM(O13:Q13)</f>
        <v>551000</v>
      </c>
      <c r="O13" s="124"/>
      <c r="P13" s="124"/>
      <c r="Q13" s="124">
        <v>551000</v>
      </c>
      <c r="R13" s="892">
        <f>SUM(S13:U13)</f>
        <v>551000</v>
      </c>
      <c r="S13" s="124">
        <v>551000</v>
      </c>
      <c r="T13" s="124"/>
      <c r="U13" s="124">
        <v>0</v>
      </c>
      <c r="V13" s="892">
        <f>SUM(W13:Y13)</f>
        <v>551000</v>
      </c>
      <c r="W13" s="124">
        <v>551000</v>
      </c>
      <c r="X13" s="124"/>
      <c r="Y13" s="124">
        <v>0</v>
      </c>
      <c r="Z13" s="892">
        <f>SUM(AA13:AC13)</f>
        <v>0</v>
      </c>
      <c r="AA13" s="124">
        <v>0</v>
      </c>
      <c r="AB13" s="124"/>
      <c r="AC13" s="124">
        <v>0</v>
      </c>
    </row>
    <row r="14" spans="1:29" ht="15" customHeight="1">
      <c r="A14" s="910" t="s">
        <v>256</v>
      </c>
      <c r="B14" s="892">
        <f t="shared" si="4"/>
        <v>7000000</v>
      </c>
      <c r="C14" s="306">
        <v>7000000</v>
      </c>
      <c r="D14" s="124"/>
      <c r="E14" s="893"/>
      <c r="F14" s="892">
        <f t="shared" si="5"/>
        <v>7000000</v>
      </c>
      <c r="G14" s="306">
        <v>7000000</v>
      </c>
      <c r="H14" s="124"/>
      <c r="I14" s="893"/>
      <c r="J14" s="892">
        <f>SUM(K14:M14)</f>
        <v>7000000</v>
      </c>
      <c r="K14" s="306"/>
      <c r="L14" s="124"/>
      <c r="M14" s="306">
        <v>7000000</v>
      </c>
      <c r="N14" s="892">
        <f>SUM(O14:Q14)</f>
        <v>7000000</v>
      </c>
      <c r="O14" s="306"/>
      <c r="P14" s="124"/>
      <c r="Q14" s="306">
        <v>7000000</v>
      </c>
      <c r="R14" s="892">
        <f>SUM(S14:U14)</f>
        <v>7000000</v>
      </c>
      <c r="S14" s="306">
        <v>7000000</v>
      </c>
      <c r="T14" s="124"/>
      <c r="U14" s="306">
        <v>0</v>
      </c>
      <c r="V14" s="892">
        <f>SUM(W14:Y14)</f>
        <v>7000000</v>
      </c>
      <c r="W14" s="306">
        <v>7000000</v>
      </c>
      <c r="X14" s="124"/>
      <c r="Y14" s="306">
        <v>0</v>
      </c>
      <c r="Z14" s="892">
        <f>SUM(AA14:AC14)</f>
        <v>5859540</v>
      </c>
      <c r="AA14" s="306">
        <v>5859540</v>
      </c>
      <c r="AB14" s="124"/>
      <c r="AC14" s="306">
        <v>0</v>
      </c>
    </row>
    <row r="15" spans="1:29" ht="15" customHeight="1">
      <c r="A15" s="910" t="s">
        <v>1222</v>
      </c>
      <c r="B15" s="892"/>
      <c r="C15" s="306"/>
      <c r="D15" s="124"/>
      <c r="E15" s="893"/>
      <c r="F15" s="892"/>
      <c r="G15" s="306"/>
      <c r="H15" s="124"/>
      <c r="I15" s="893"/>
      <c r="J15" s="892"/>
      <c r="K15" s="306"/>
      <c r="L15" s="124"/>
      <c r="M15" s="306"/>
      <c r="N15" s="892"/>
      <c r="O15" s="306"/>
      <c r="P15" s="124"/>
      <c r="Q15" s="306"/>
      <c r="R15" s="892"/>
      <c r="S15" s="306"/>
      <c r="T15" s="124"/>
      <c r="U15" s="306"/>
      <c r="V15" s="892"/>
      <c r="W15" s="306"/>
      <c r="X15" s="124"/>
      <c r="Y15" s="306"/>
      <c r="Z15" s="892">
        <f>SUM(AA15:AC15)</f>
        <v>323173</v>
      </c>
      <c r="AA15" s="306">
        <v>323173</v>
      </c>
      <c r="AB15" s="124"/>
      <c r="AC15" s="306"/>
    </row>
    <row r="16" spans="1:29" ht="15" customHeight="1">
      <c r="A16" s="910" t="s">
        <v>695</v>
      </c>
      <c r="B16" s="892">
        <f t="shared" si="4"/>
        <v>100000</v>
      </c>
      <c r="C16" s="124">
        <v>100000</v>
      </c>
      <c r="D16" s="124"/>
      <c r="E16" s="893"/>
      <c r="F16" s="892">
        <f t="shared" si="5"/>
        <v>100000</v>
      </c>
      <c r="G16" s="124">
        <v>100000</v>
      </c>
      <c r="H16" s="124"/>
      <c r="I16" s="893"/>
      <c r="J16" s="892">
        <f>SUM(K16:M16)</f>
        <v>100000</v>
      </c>
      <c r="K16" s="124"/>
      <c r="L16" s="124"/>
      <c r="M16" s="124">
        <v>100000</v>
      </c>
      <c r="N16" s="892">
        <f>SUM(O16:Q16)</f>
        <v>100000</v>
      </c>
      <c r="O16" s="124"/>
      <c r="P16" s="124"/>
      <c r="Q16" s="124">
        <v>100000</v>
      </c>
      <c r="R16" s="892">
        <f>SUM(S16:U16)</f>
        <v>100000</v>
      </c>
      <c r="S16" s="124">
        <v>100000</v>
      </c>
      <c r="T16" s="124"/>
      <c r="U16" s="124">
        <v>0</v>
      </c>
      <c r="V16" s="892">
        <f>SUM(W16:Y16)</f>
        <v>100000</v>
      </c>
      <c r="W16" s="124">
        <v>100000</v>
      </c>
      <c r="X16" s="124"/>
      <c r="Y16" s="124">
        <v>0</v>
      </c>
      <c r="Z16" s="892">
        <f>SUM(AA16:AC16)</f>
        <v>0</v>
      </c>
      <c r="AA16" s="124">
        <v>0</v>
      </c>
      <c r="AB16" s="124"/>
      <c r="AC16" s="124">
        <v>0</v>
      </c>
    </row>
    <row r="17" spans="1:29" ht="15" customHeight="1">
      <c r="A17" s="910" t="s">
        <v>258</v>
      </c>
      <c r="B17" s="892">
        <f t="shared" si="4"/>
        <v>4274204</v>
      </c>
      <c r="C17" s="124">
        <v>4274204</v>
      </c>
      <c r="D17" s="124"/>
      <c r="E17" s="893"/>
      <c r="F17" s="892">
        <v>1634204</v>
      </c>
      <c r="G17" s="124">
        <v>1634204</v>
      </c>
      <c r="H17" s="124"/>
      <c r="I17" s="893"/>
      <c r="J17" s="892">
        <v>1634204</v>
      </c>
      <c r="K17" s="124"/>
      <c r="L17" s="124"/>
      <c r="M17" s="124">
        <v>1634204</v>
      </c>
      <c r="N17" s="892">
        <v>1634204</v>
      </c>
      <c r="O17" s="124"/>
      <c r="P17" s="124"/>
      <c r="Q17" s="124">
        <v>1634204</v>
      </c>
      <c r="R17" s="892">
        <v>1634204</v>
      </c>
      <c r="S17" s="124">
        <v>1634204</v>
      </c>
      <c r="T17" s="124"/>
      <c r="U17" s="124">
        <v>0</v>
      </c>
      <c r="V17" s="892">
        <v>1634204</v>
      </c>
      <c r="W17" s="124">
        <v>1634204</v>
      </c>
      <c r="X17" s="124"/>
      <c r="Y17" s="124">
        <v>0</v>
      </c>
      <c r="Z17" s="892">
        <v>1592137</v>
      </c>
      <c r="AA17" s="124">
        <v>1592137</v>
      </c>
      <c r="AB17" s="124"/>
      <c r="AC17" s="124">
        <v>0</v>
      </c>
    </row>
    <row r="18" spans="1:29" ht="15" customHeight="1">
      <c r="A18" s="910" t="s">
        <v>696</v>
      </c>
      <c r="B18" s="892">
        <f t="shared" si="4"/>
        <v>200000</v>
      </c>
      <c r="C18" s="124">
        <v>200000</v>
      </c>
      <c r="D18" s="124"/>
      <c r="E18" s="893"/>
      <c r="F18" s="892">
        <f t="shared" si="5"/>
        <v>200000</v>
      </c>
      <c r="G18" s="124">
        <v>200000</v>
      </c>
      <c r="H18" s="124"/>
      <c r="I18" s="893"/>
      <c r="J18" s="892">
        <f>SUM(K18:M18)</f>
        <v>200000</v>
      </c>
      <c r="K18" s="124"/>
      <c r="L18" s="124"/>
      <c r="M18" s="124">
        <v>200000</v>
      </c>
      <c r="N18" s="892">
        <f>SUM(O18:Q18)</f>
        <v>200000</v>
      </c>
      <c r="O18" s="124"/>
      <c r="P18" s="124"/>
      <c r="Q18" s="124">
        <v>200000</v>
      </c>
      <c r="R18" s="892">
        <f>SUM(S18:U18)</f>
        <v>200000</v>
      </c>
      <c r="S18" s="124">
        <v>200000</v>
      </c>
      <c r="T18" s="124"/>
      <c r="U18" s="124">
        <v>0</v>
      </c>
      <c r="V18" s="892">
        <f>SUM(W18:Y18)</f>
        <v>200000</v>
      </c>
      <c r="W18" s="124">
        <v>200000</v>
      </c>
      <c r="X18" s="124"/>
      <c r="Y18" s="124">
        <v>0</v>
      </c>
      <c r="Z18" s="892">
        <f>SUM(AA18:AC18)</f>
        <v>0</v>
      </c>
      <c r="AA18" s="124">
        <v>0</v>
      </c>
      <c r="AB18" s="124"/>
      <c r="AC18" s="124">
        <v>0</v>
      </c>
    </row>
    <row r="19" spans="1:29" ht="15" customHeight="1">
      <c r="A19" s="910" t="s">
        <v>697</v>
      </c>
      <c r="B19" s="892">
        <f t="shared" si="4"/>
        <v>0</v>
      </c>
      <c r="C19" s="124">
        <v>0</v>
      </c>
      <c r="D19" s="124"/>
      <c r="E19" s="893"/>
      <c r="F19" s="892">
        <f t="shared" si="5"/>
        <v>0</v>
      </c>
      <c r="G19" s="124">
        <v>0</v>
      </c>
      <c r="H19" s="124"/>
      <c r="I19" s="893"/>
      <c r="J19" s="892">
        <f>SUM(K19:M19)</f>
        <v>0</v>
      </c>
      <c r="K19" s="124"/>
      <c r="L19" s="124"/>
      <c r="M19" s="124">
        <v>0</v>
      </c>
      <c r="N19" s="892">
        <f>SUM(O19:Q19)</f>
        <v>0</v>
      </c>
      <c r="O19" s="124"/>
      <c r="P19" s="124"/>
      <c r="Q19" s="124">
        <v>0</v>
      </c>
      <c r="R19" s="892">
        <f>SUM(S19:U19)</f>
        <v>0</v>
      </c>
      <c r="S19" s="124"/>
      <c r="T19" s="124"/>
      <c r="U19" s="124">
        <v>0</v>
      </c>
      <c r="V19" s="892">
        <f>SUM(W19:Y19)</f>
        <v>0</v>
      </c>
      <c r="W19" s="124"/>
      <c r="X19" s="124"/>
      <c r="Y19" s="124">
        <v>0</v>
      </c>
      <c r="Z19" s="892">
        <f>SUM(AA19:AC19)</f>
        <v>0</v>
      </c>
      <c r="AA19" s="124"/>
      <c r="AB19" s="124"/>
      <c r="AC19" s="124">
        <v>0</v>
      </c>
    </row>
    <row r="20" spans="1:29" ht="15" customHeight="1">
      <c r="A20" s="910" t="s">
        <v>1100</v>
      </c>
      <c r="B20" s="892">
        <f t="shared" si="4"/>
        <v>32122413</v>
      </c>
      <c r="C20" s="124">
        <v>32122413</v>
      </c>
      <c r="D20" s="124"/>
      <c r="E20" s="893"/>
      <c r="F20" s="892">
        <v>36221964</v>
      </c>
      <c r="G20" s="124">
        <v>36221964</v>
      </c>
      <c r="H20" s="124"/>
      <c r="I20" s="893"/>
      <c r="J20" s="892">
        <v>36221964</v>
      </c>
      <c r="K20" s="124"/>
      <c r="L20" s="124"/>
      <c r="M20" s="124">
        <v>36221964</v>
      </c>
      <c r="N20" s="892">
        <v>36221964</v>
      </c>
      <c r="O20" s="124"/>
      <c r="P20" s="124"/>
      <c r="Q20" s="124">
        <v>36221964</v>
      </c>
      <c r="R20" s="892">
        <v>36221964</v>
      </c>
      <c r="S20" s="124">
        <v>36221964</v>
      </c>
      <c r="T20" s="124"/>
      <c r="U20" s="124">
        <v>0</v>
      </c>
      <c r="V20" s="892">
        <v>40766879</v>
      </c>
      <c r="W20" s="124">
        <v>40766879</v>
      </c>
      <c r="X20" s="124"/>
      <c r="Y20" s="124">
        <v>0</v>
      </c>
      <c r="Z20" s="892">
        <v>40766879</v>
      </c>
      <c r="AA20" s="124">
        <v>40766879</v>
      </c>
      <c r="AB20" s="124"/>
      <c r="AC20" s="124">
        <v>0</v>
      </c>
    </row>
    <row r="21" spans="1:29" ht="15" customHeight="1">
      <c r="A21" s="910" t="s">
        <v>1223</v>
      </c>
      <c r="B21" s="892"/>
      <c r="C21" s="124"/>
      <c r="D21" s="124"/>
      <c r="E21" s="893"/>
      <c r="F21" s="892"/>
      <c r="G21" s="124"/>
      <c r="H21" s="124"/>
      <c r="I21" s="893"/>
      <c r="J21" s="892"/>
      <c r="K21" s="124"/>
      <c r="L21" s="124"/>
      <c r="M21" s="124"/>
      <c r="N21" s="892"/>
      <c r="O21" s="124"/>
      <c r="P21" s="124"/>
      <c r="Q21" s="124"/>
      <c r="R21" s="892"/>
      <c r="S21" s="124"/>
      <c r="T21" s="124"/>
      <c r="U21" s="124"/>
      <c r="V21" s="892"/>
      <c r="W21" s="124"/>
      <c r="X21" s="124"/>
      <c r="Y21" s="124"/>
      <c r="Z21" s="892">
        <v>49115</v>
      </c>
      <c r="AA21" s="124">
        <v>49115</v>
      </c>
      <c r="AB21" s="124"/>
      <c r="AC21" s="124"/>
    </row>
    <row r="22" spans="1:29" ht="15" customHeight="1">
      <c r="A22" s="910" t="s">
        <v>1082</v>
      </c>
      <c r="B22" s="892">
        <f t="shared" si="4"/>
        <v>5194000</v>
      </c>
      <c r="C22" s="124">
        <v>5194000</v>
      </c>
      <c r="D22" s="124"/>
      <c r="E22" s="893"/>
      <c r="F22" s="892">
        <f t="shared" si="5"/>
        <v>5194000</v>
      </c>
      <c r="G22" s="124">
        <v>5194000</v>
      </c>
      <c r="H22" s="124"/>
      <c r="I22" s="893"/>
      <c r="J22" s="892">
        <f>SUM(K22:M22)</f>
        <v>5194000</v>
      </c>
      <c r="K22" s="124"/>
      <c r="L22" s="124"/>
      <c r="M22" s="124">
        <v>5194000</v>
      </c>
      <c r="N22" s="892">
        <f>SUM(O22:Q22)</f>
        <v>5194000</v>
      </c>
      <c r="O22" s="124"/>
      <c r="P22" s="124"/>
      <c r="Q22" s="124">
        <v>5194000</v>
      </c>
      <c r="R22" s="892">
        <f>SUM(S22:U22)</f>
        <v>5194000</v>
      </c>
      <c r="S22" s="124">
        <v>5194000</v>
      </c>
      <c r="T22" s="124"/>
      <c r="U22" s="124">
        <v>0</v>
      </c>
      <c r="V22" s="892">
        <f>SUM(W22:Y22)</f>
        <v>5194000</v>
      </c>
      <c r="W22" s="124">
        <v>5194000</v>
      </c>
      <c r="X22" s="124"/>
      <c r="Y22" s="124">
        <v>0</v>
      </c>
      <c r="Z22" s="892">
        <f>SUM(AA22:AC22)</f>
        <v>4137550</v>
      </c>
      <c r="AA22" s="124">
        <v>4137550</v>
      </c>
      <c r="AB22" s="124"/>
      <c r="AC22" s="124">
        <v>0</v>
      </c>
    </row>
    <row r="23" spans="1:29" ht="15" customHeight="1">
      <c r="A23" s="910" t="s">
        <v>698</v>
      </c>
      <c r="B23" s="892">
        <f t="shared" si="4"/>
        <v>797248207</v>
      </c>
      <c r="C23" s="124"/>
      <c r="D23" s="124"/>
      <c r="E23" s="893">
        <v>797248207</v>
      </c>
      <c r="F23" s="892">
        <v>805046338</v>
      </c>
      <c r="G23" s="124"/>
      <c r="H23" s="124">
        <v>697666288</v>
      </c>
      <c r="I23" s="893">
        <v>107380050</v>
      </c>
      <c r="J23" s="892">
        <f>SUM(L23:M23)</f>
        <v>805449232</v>
      </c>
      <c r="K23" s="124"/>
      <c r="L23" s="124">
        <v>779957664</v>
      </c>
      <c r="M23" s="893">
        <v>25491568</v>
      </c>
      <c r="N23" s="892">
        <f>SUM(P23:Q23)</f>
        <v>807190867</v>
      </c>
      <c r="O23" s="124"/>
      <c r="P23" s="124">
        <v>779957664</v>
      </c>
      <c r="Q23" s="893">
        <v>27233203</v>
      </c>
      <c r="R23" s="892">
        <f>SUM(S23)</f>
        <v>811534591</v>
      </c>
      <c r="S23" s="124">
        <v>811534591</v>
      </c>
      <c r="T23" s="124"/>
      <c r="U23" s="893"/>
      <c r="V23" s="892">
        <v>843875529</v>
      </c>
      <c r="W23" s="124">
        <v>843875529</v>
      </c>
      <c r="X23" s="124"/>
      <c r="Y23" s="893"/>
      <c r="Z23" s="892">
        <f>SUM(AA23:AC23)</f>
        <v>845544549</v>
      </c>
      <c r="AA23" s="124">
        <v>845544549</v>
      </c>
      <c r="AB23" s="124"/>
      <c r="AC23" s="893"/>
    </row>
    <row r="24" spans="1:29" ht="15" customHeight="1">
      <c r="A24" s="910" t="s">
        <v>672</v>
      </c>
      <c r="B24" s="892">
        <f t="shared" si="4"/>
        <v>382200</v>
      </c>
      <c r="C24" s="124">
        <v>382200</v>
      </c>
      <c r="D24" s="124"/>
      <c r="E24" s="893"/>
      <c r="F24" s="892">
        <f t="shared" si="5"/>
        <v>382200</v>
      </c>
      <c r="G24" s="124">
        <v>382200</v>
      </c>
      <c r="H24" s="124"/>
      <c r="I24" s="893"/>
      <c r="J24" s="892">
        <f>SUM(K24:M24)</f>
        <v>382200</v>
      </c>
      <c r="K24" s="124"/>
      <c r="L24" s="124"/>
      <c r="M24" s="124">
        <v>382200</v>
      </c>
      <c r="N24" s="892">
        <f>SUM(O24:Q24)</f>
        <v>812200</v>
      </c>
      <c r="O24" s="124"/>
      <c r="P24" s="124"/>
      <c r="Q24" s="124">
        <v>812200</v>
      </c>
      <c r="R24" s="892">
        <f>SUM(S24:U24)</f>
        <v>812200</v>
      </c>
      <c r="S24" s="124">
        <v>812200</v>
      </c>
      <c r="T24" s="124"/>
      <c r="U24" s="124">
        <v>0</v>
      </c>
      <c r="V24" s="892">
        <f>SUM(W24:Y24)</f>
        <v>812200</v>
      </c>
      <c r="W24" s="124">
        <v>812200</v>
      </c>
      <c r="X24" s="124"/>
      <c r="Y24" s="124">
        <v>0</v>
      </c>
      <c r="Z24" s="892">
        <f>SUM(AA24:AC24)</f>
        <v>0</v>
      </c>
      <c r="AA24" s="124">
        <v>0</v>
      </c>
      <c r="AB24" s="124"/>
      <c r="AC24" s="124">
        <v>0</v>
      </c>
    </row>
    <row r="25" spans="1:29" ht="15" customHeight="1">
      <c r="A25" s="910" t="s">
        <v>1224</v>
      </c>
      <c r="B25" s="892"/>
      <c r="C25" s="124"/>
      <c r="D25" s="124"/>
      <c r="E25" s="893"/>
      <c r="F25" s="892"/>
      <c r="G25" s="124"/>
      <c r="H25" s="124"/>
      <c r="I25" s="893"/>
      <c r="J25" s="892"/>
      <c r="K25" s="124"/>
      <c r="L25" s="124"/>
      <c r="M25" s="1495"/>
      <c r="N25" s="892"/>
      <c r="O25" s="124"/>
      <c r="P25" s="124"/>
      <c r="Q25" s="1495"/>
      <c r="R25" s="892"/>
      <c r="S25" s="124"/>
      <c r="T25" s="124"/>
      <c r="U25" s="1495"/>
      <c r="V25" s="892"/>
      <c r="W25" s="124"/>
      <c r="X25" s="124"/>
      <c r="Y25" s="1495"/>
      <c r="Z25" s="892">
        <v>1663859</v>
      </c>
      <c r="AA25" s="124">
        <v>1663859</v>
      </c>
      <c r="AB25" s="124"/>
      <c r="AC25" s="1495"/>
    </row>
    <row r="26" spans="1:29" ht="15" customHeight="1">
      <c r="A26" s="910" t="s">
        <v>1072</v>
      </c>
      <c r="B26" s="892"/>
      <c r="C26" s="124"/>
      <c r="D26" s="124"/>
      <c r="E26" s="893"/>
      <c r="F26" s="892"/>
      <c r="G26" s="124"/>
      <c r="H26" s="124"/>
      <c r="I26" s="893"/>
      <c r="J26" s="892"/>
      <c r="K26" s="124"/>
      <c r="L26" s="124"/>
      <c r="M26" s="1495"/>
      <c r="N26" s="892"/>
      <c r="O26" s="124"/>
      <c r="P26" s="124"/>
      <c r="Q26" s="1495"/>
      <c r="R26" s="892"/>
      <c r="S26" s="124"/>
      <c r="T26" s="124"/>
      <c r="U26" s="1495"/>
      <c r="V26" s="892"/>
      <c r="W26" s="124"/>
      <c r="X26" s="124"/>
      <c r="Y26" s="1495"/>
      <c r="Z26" s="892">
        <f>SUM(AA26:AC26)</f>
        <v>420010</v>
      </c>
      <c r="AA26" s="124">
        <v>420010</v>
      </c>
      <c r="AB26" s="124"/>
      <c r="AC26" s="1495"/>
    </row>
    <row r="27" spans="1:29" ht="15" customHeight="1">
      <c r="A27" s="910" t="s">
        <v>684</v>
      </c>
      <c r="B27" s="892">
        <f t="shared" si="4"/>
        <v>6703536</v>
      </c>
      <c r="C27" s="124"/>
      <c r="D27" s="124"/>
      <c r="E27" s="893">
        <v>6703536</v>
      </c>
      <c r="F27" s="892">
        <f t="shared" si="5"/>
        <v>6703536</v>
      </c>
      <c r="G27" s="124"/>
      <c r="H27" s="124"/>
      <c r="I27" s="893">
        <v>6703536</v>
      </c>
      <c r="J27" s="892">
        <f>SUM(K27:M27)</f>
        <v>7419080</v>
      </c>
      <c r="K27" s="124"/>
      <c r="L27" s="124"/>
      <c r="M27" s="893">
        <v>7419080</v>
      </c>
      <c r="N27" s="892">
        <f>SUM(O27:Q27)</f>
        <v>8095569</v>
      </c>
      <c r="O27" s="124"/>
      <c r="P27" s="124"/>
      <c r="Q27" s="893">
        <v>8095569</v>
      </c>
      <c r="R27" s="892">
        <f>SUM(S27:U27)</f>
        <v>8679084</v>
      </c>
      <c r="S27" s="124">
        <v>8679084</v>
      </c>
      <c r="T27" s="124"/>
      <c r="U27" s="893"/>
      <c r="V27" s="892">
        <v>9086397</v>
      </c>
      <c r="W27" s="124">
        <v>9086397</v>
      </c>
      <c r="X27" s="124"/>
      <c r="Y27" s="893"/>
      <c r="Z27" s="892">
        <f>SUM(AA27:AC27)</f>
        <v>9092391</v>
      </c>
      <c r="AA27" s="124">
        <v>9092391</v>
      </c>
      <c r="AB27" s="124"/>
      <c r="AC27" s="893"/>
    </row>
    <row r="28" spans="1:29" ht="15" customHeight="1" thickBot="1">
      <c r="A28" s="911" t="s">
        <v>648</v>
      </c>
      <c r="B28" s="892">
        <f t="shared" si="4"/>
        <v>276570076</v>
      </c>
      <c r="C28" s="308"/>
      <c r="D28" s="779"/>
      <c r="E28" s="894">
        <v>276570076</v>
      </c>
      <c r="F28" s="892">
        <v>277401853</v>
      </c>
      <c r="G28" s="308"/>
      <c r="H28" s="779"/>
      <c r="I28" s="894">
        <v>276570076</v>
      </c>
      <c r="J28" s="892">
        <v>277604575</v>
      </c>
      <c r="K28" s="308"/>
      <c r="L28" s="779">
        <v>8732120</v>
      </c>
      <c r="M28" s="894">
        <v>268872455</v>
      </c>
      <c r="N28" s="892">
        <f>SUM(P28:Q28)</f>
        <v>277720465</v>
      </c>
      <c r="O28" s="308"/>
      <c r="P28" s="779">
        <v>8817973</v>
      </c>
      <c r="Q28" s="894">
        <v>268902492</v>
      </c>
      <c r="R28" s="892">
        <f>SUM(S28)</f>
        <v>279099537</v>
      </c>
      <c r="S28" s="308">
        <v>279099537</v>
      </c>
      <c r="T28" s="779"/>
      <c r="U28" s="894"/>
      <c r="V28" s="892">
        <v>274808735</v>
      </c>
      <c r="W28" s="308">
        <v>274808735</v>
      </c>
      <c r="X28" s="779"/>
      <c r="Y28" s="894"/>
      <c r="Z28" s="892">
        <v>274808735</v>
      </c>
      <c r="AA28" s="308">
        <v>274808735</v>
      </c>
      <c r="AB28" s="779"/>
      <c r="AC28" s="894"/>
    </row>
    <row r="29" spans="1:29" s="10" customFormat="1" ht="39" customHeight="1" thickBot="1">
      <c r="A29" s="1074" t="s">
        <v>244</v>
      </c>
      <c r="B29" s="895">
        <f>SUM(B30:B39)</f>
        <v>88766565</v>
      </c>
      <c r="C29" s="780">
        <f>SUM(C33:C39)</f>
        <v>41462255</v>
      </c>
      <c r="D29" s="780">
        <f>SUM(D33:D39)</f>
        <v>9168000</v>
      </c>
      <c r="E29" s="781">
        <f>SUM(E33:E39)</f>
        <v>0</v>
      </c>
      <c r="F29" s="895">
        <f>SUM(F30:F39)</f>
        <v>88766565</v>
      </c>
      <c r="G29" s="780">
        <f>SUM(G33:G39)</f>
        <v>39462255</v>
      </c>
      <c r="H29" s="780">
        <f>SUM(H33:H39)</f>
        <v>9168000</v>
      </c>
      <c r="I29" s="781">
        <f>SUM(I33:I39)</f>
        <v>0</v>
      </c>
      <c r="J29" s="895">
        <f>SUM(J30:J39)</f>
        <v>88766565</v>
      </c>
      <c r="K29" s="780">
        <f>SUM(K30:K39)</f>
        <v>70188305</v>
      </c>
      <c r="L29" s="780">
        <f>SUM(L31:L39)</f>
        <v>18578260</v>
      </c>
      <c r="M29" s="781">
        <f>SUM(M33:M39)</f>
        <v>0</v>
      </c>
      <c r="N29" s="895">
        <f>SUM(N30:N39)</f>
        <v>88780666</v>
      </c>
      <c r="O29" s="780">
        <f>SUM(O30:O39)</f>
        <v>70202406</v>
      </c>
      <c r="P29" s="780">
        <f>SUM(P31:P39)</f>
        <v>18578260</v>
      </c>
      <c r="Q29" s="781">
        <f>SUM(Q33:Q39)</f>
        <v>0</v>
      </c>
      <c r="R29" s="895">
        <f>SUM(R30:R39)</f>
        <v>89894422</v>
      </c>
      <c r="S29" s="780">
        <f>SUM(S30:S39)</f>
        <v>71316162</v>
      </c>
      <c r="T29" s="780">
        <f>SUM(T31:T39)</f>
        <v>18578260</v>
      </c>
      <c r="U29" s="781">
        <f>SUM(U33:U39)</f>
        <v>0</v>
      </c>
      <c r="V29" s="895">
        <f>SUM(V30:V39)</f>
        <v>92965316</v>
      </c>
      <c r="W29" s="780">
        <f>SUM(W30:W39)</f>
        <v>76706206</v>
      </c>
      <c r="X29" s="780">
        <f>SUM(X31:X39)</f>
        <v>7790110</v>
      </c>
      <c r="Y29" s="781">
        <f>SUM(Y33:Y39)</f>
        <v>0</v>
      </c>
      <c r="Z29" s="895">
        <f>SUM(Z30:Z39)</f>
        <v>92965316</v>
      </c>
      <c r="AA29" s="780">
        <f>SUM(AA30:AA39)</f>
        <v>76633426</v>
      </c>
      <c r="AB29" s="780">
        <f>SUM(AB31:AB39)</f>
        <v>16331890</v>
      </c>
      <c r="AC29" s="781">
        <f>SUM(AC33:AC39)</f>
        <v>0</v>
      </c>
    </row>
    <row r="30" spans="1:29" ht="15" customHeight="1">
      <c r="A30" s="912" t="s">
        <v>385</v>
      </c>
      <c r="B30" s="896">
        <f>SUM(C30:E30)</f>
        <v>30726050</v>
      </c>
      <c r="C30" s="312">
        <v>30726050</v>
      </c>
      <c r="D30" s="312"/>
      <c r="E30" s="897"/>
      <c r="F30" s="896">
        <f>SUM(G30:I30)</f>
        <v>30726050</v>
      </c>
      <c r="G30" s="312">
        <v>30726050</v>
      </c>
      <c r="H30" s="312"/>
      <c r="I30" s="897"/>
      <c r="J30" s="896">
        <f>SUM(K30:M30)</f>
        <v>30726050</v>
      </c>
      <c r="K30" s="312">
        <v>30726050</v>
      </c>
      <c r="L30" s="312"/>
      <c r="M30" s="897"/>
      <c r="N30" s="896">
        <f>SUM(O30:Q30)</f>
        <v>30726050</v>
      </c>
      <c r="O30" s="312">
        <v>30726050</v>
      </c>
      <c r="P30" s="312"/>
      <c r="Q30" s="897"/>
      <c r="R30" s="896">
        <f>SUM(S30:U30)</f>
        <v>30726050</v>
      </c>
      <c r="S30" s="312">
        <v>30726050</v>
      </c>
      <c r="T30" s="312"/>
      <c r="U30" s="897"/>
      <c r="V30" s="896">
        <f>SUM(W30:Y30)</f>
        <v>33025069</v>
      </c>
      <c r="W30" s="312">
        <v>33025069</v>
      </c>
      <c r="X30" s="312"/>
      <c r="Y30" s="897"/>
      <c r="Z30" s="896">
        <f>SUM(AA30:AC30)</f>
        <v>32997154</v>
      </c>
      <c r="AA30" s="312">
        <v>32997154</v>
      </c>
      <c r="AB30" s="312"/>
      <c r="AC30" s="897"/>
    </row>
    <row r="31" spans="1:29" ht="15" customHeight="1">
      <c r="A31" s="910" t="s">
        <v>390</v>
      </c>
      <c r="B31" s="896">
        <f aca="true" t="shared" si="6" ref="B31:B39">SUM(C31:E31)</f>
        <v>7410260</v>
      </c>
      <c r="C31" s="124"/>
      <c r="D31" s="124">
        <v>7410260</v>
      </c>
      <c r="E31" s="893"/>
      <c r="F31" s="896">
        <v>9410260</v>
      </c>
      <c r="G31" s="124"/>
      <c r="H31" s="124">
        <v>9410260</v>
      </c>
      <c r="I31" s="893"/>
      <c r="J31" s="896">
        <v>9410260</v>
      </c>
      <c r="K31" s="124"/>
      <c r="L31" s="124">
        <v>9410260</v>
      </c>
      <c r="M31" s="893"/>
      <c r="N31" s="896">
        <v>9410260</v>
      </c>
      <c r="O31" s="124"/>
      <c r="P31" s="124">
        <v>9410260</v>
      </c>
      <c r="Q31" s="893"/>
      <c r="R31" s="896">
        <v>9410260</v>
      </c>
      <c r="S31" s="124"/>
      <c r="T31" s="124">
        <v>9410260</v>
      </c>
      <c r="U31" s="893"/>
      <c r="V31" s="896">
        <v>9410260</v>
      </c>
      <c r="W31" s="124"/>
      <c r="X31" s="124">
        <v>941260</v>
      </c>
      <c r="Y31" s="893"/>
      <c r="Z31" s="896">
        <v>9525540</v>
      </c>
      <c r="AA31" s="124"/>
      <c r="AB31" s="124">
        <v>9525540</v>
      </c>
      <c r="AC31" s="893"/>
    </row>
    <row r="32" spans="1:29" ht="15" customHeight="1">
      <c r="A32" s="910" t="s">
        <v>395</v>
      </c>
      <c r="B32" s="896">
        <f t="shared" si="6"/>
        <v>0</v>
      </c>
      <c r="C32" s="124">
        <v>0</v>
      </c>
      <c r="D32" s="124"/>
      <c r="E32" s="893"/>
      <c r="F32" s="896">
        <f aca="true" t="shared" si="7" ref="F32:F39">SUM(G32:I32)</f>
        <v>0</v>
      </c>
      <c r="G32" s="124">
        <v>0</v>
      </c>
      <c r="H32" s="124"/>
      <c r="I32" s="893"/>
      <c r="J32" s="896">
        <f>SUM(K32:M32)</f>
        <v>0</v>
      </c>
      <c r="K32" s="124">
        <v>0</v>
      </c>
      <c r="L32" s="124"/>
      <c r="M32" s="893"/>
      <c r="N32" s="896">
        <f>SUM(O32:Q32)</f>
        <v>0</v>
      </c>
      <c r="O32" s="124">
        <v>0</v>
      </c>
      <c r="P32" s="124"/>
      <c r="Q32" s="893"/>
      <c r="R32" s="896">
        <f>SUM(S32:U32)</f>
        <v>0</v>
      </c>
      <c r="S32" s="124">
        <v>0</v>
      </c>
      <c r="T32" s="124"/>
      <c r="U32" s="893"/>
      <c r="V32" s="896">
        <f>SUM(W32:Y32)</f>
        <v>0</v>
      </c>
      <c r="W32" s="124">
        <v>0</v>
      </c>
      <c r="X32" s="124"/>
      <c r="Y32" s="893"/>
      <c r="Z32" s="896">
        <f>SUM(AA32:AC32)</f>
        <v>0</v>
      </c>
      <c r="AA32" s="124">
        <v>0</v>
      </c>
      <c r="AB32" s="124"/>
      <c r="AC32" s="893"/>
    </row>
    <row r="33" spans="1:29" ht="15" customHeight="1">
      <c r="A33" s="910" t="s">
        <v>552</v>
      </c>
      <c r="B33" s="896">
        <f t="shared" si="6"/>
        <v>500000</v>
      </c>
      <c r="C33" s="124">
        <v>500000</v>
      </c>
      <c r="D33" s="124"/>
      <c r="E33" s="893"/>
      <c r="F33" s="896">
        <f t="shared" si="7"/>
        <v>500000</v>
      </c>
      <c r="G33" s="124">
        <v>500000</v>
      </c>
      <c r="H33" s="124"/>
      <c r="I33" s="893"/>
      <c r="J33" s="896">
        <f>SUM(K33:M33)</f>
        <v>500000</v>
      </c>
      <c r="K33" s="124">
        <v>500000</v>
      </c>
      <c r="L33" s="124"/>
      <c r="M33" s="893"/>
      <c r="N33" s="896">
        <f>SUM(O33:Q33)</f>
        <v>500000</v>
      </c>
      <c r="O33" s="124">
        <v>500000</v>
      </c>
      <c r="P33" s="124"/>
      <c r="Q33" s="893"/>
      <c r="R33" s="896">
        <f>SUM(S33:U33)</f>
        <v>500000</v>
      </c>
      <c r="S33" s="124">
        <v>500000</v>
      </c>
      <c r="T33" s="124"/>
      <c r="U33" s="893"/>
      <c r="V33" s="896">
        <f>SUM(W33:Y33)</f>
        <v>500000</v>
      </c>
      <c r="W33" s="124">
        <v>500000</v>
      </c>
      <c r="X33" s="124"/>
      <c r="Y33" s="893"/>
      <c r="Z33" s="896">
        <f>SUM(AA33:AC33)</f>
        <v>1688432</v>
      </c>
      <c r="AA33" s="124">
        <v>1688432</v>
      </c>
      <c r="AB33" s="124"/>
      <c r="AC33" s="893"/>
    </row>
    <row r="34" spans="1:29" ht="15" customHeight="1">
      <c r="A34" s="910" t="s">
        <v>553</v>
      </c>
      <c r="B34" s="896">
        <f t="shared" si="6"/>
        <v>430000</v>
      </c>
      <c r="C34" s="306">
        <v>430000</v>
      </c>
      <c r="D34" s="124"/>
      <c r="E34" s="893"/>
      <c r="F34" s="896">
        <f t="shared" si="7"/>
        <v>430000</v>
      </c>
      <c r="G34" s="306">
        <v>430000</v>
      </c>
      <c r="H34" s="124"/>
      <c r="I34" s="893"/>
      <c r="J34" s="896">
        <f>SUM(K34:M34)</f>
        <v>430000</v>
      </c>
      <c r="K34" s="306">
        <v>430000</v>
      </c>
      <c r="L34" s="124"/>
      <c r="M34" s="893"/>
      <c r="N34" s="896">
        <f>SUM(O34:Q34)</f>
        <v>430000</v>
      </c>
      <c r="O34" s="306">
        <v>430000</v>
      </c>
      <c r="P34" s="124"/>
      <c r="Q34" s="893"/>
      <c r="R34" s="896">
        <f>SUM(S34:U34)</f>
        <v>430000</v>
      </c>
      <c r="S34" s="306">
        <v>430000</v>
      </c>
      <c r="T34" s="124"/>
      <c r="U34" s="893"/>
      <c r="V34" s="896">
        <f>SUM(W34:Y34)</f>
        <v>430000</v>
      </c>
      <c r="W34" s="306">
        <v>430000</v>
      </c>
      <c r="X34" s="124"/>
      <c r="Y34" s="893"/>
      <c r="Z34" s="896">
        <f>SUM(AA34:AC34)</f>
        <v>145568</v>
      </c>
      <c r="AA34" s="306">
        <v>145568</v>
      </c>
      <c r="AB34" s="124"/>
      <c r="AC34" s="893"/>
    </row>
    <row r="35" spans="1:29" ht="15" customHeight="1">
      <c r="A35" s="910" t="s">
        <v>554</v>
      </c>
      <c r="B35" s="896">
        <f t="shared" si="6"/>
        <v>34172255</v>
      </c>
      <c r="C35" s="124">
        <v>34172255</v>
      </c>
      <c r="D35" s="124"/>
      <c r="E35" s="893"/>
      <c r="F35" s="896">
        <v>37172255</v>
      </c>
      <c r="G35" s="124">
        <v>37172255</v>
      </c>
      <c r="H35" s="124"/>
      <c r="I35" s="893"/>
      <c r="J35" s="896">
        <v>37172255</v>
      </c>
      <c r="K35" s="124">
        <v>37172255</v>
      </c>
      <c r="L35" s="124"/>
      <c r="M35" s="893"/>
      <c r="N35" s="896">
        <v>37186356</v>
      </c>
      <c r="O35" s="124">
        <v>37186356</v>
      </c>
      <c r="P35" s="124"/>
      <c r="Q35" s="893"/>
      <c r="R35" s="896">
        <f>SUM(S35)</f>
        <v>38300112</v>
      </c>
      <c r="S35" s="124">
        <v>38300112</v>
      </c>
      <c r="T35" s="124"/>
      <c r="U35" s="893"/>
      <c r="V35" s="896">
        <v>41391137</v>
      </c>
      <c r="W35" s="124">
        <v>41391137</v>
      </c>
      <c r="X35" s="124"/>
      <c r="Y35" s="893"/>
      <c r="Z35" s="896">
        <v>39968759</v>
      </c>
      <c r="AA35" s="124">
        <v>39968759</v>
      </c>
      <c r="AB35" s="124"/>
      <c r="AC35" s="893"/>
    </row>
    <row r="36" spans="1:29" ht="15" customHeight="1">
      <c r="A36" s="910" t="s">
        <v>555</v>
      </c>
      <c r="B36" s="896">
        <f t="shared" si="6"/>
        <v>640000</v>
      </c>
      <c r="C36" s="124">
        <v>640000</v>
      </c>
      <c r="D36" s="124"/>
      <c r="E36" s="893"/>
      <c r="F36" s="896">
        <f t="shared" si="7"/>
        <v>640000</v>
      </c>
      <c r="G36" s="124">
        <v>640000</v>
      </c>
      <c r="H36" s="124"/>
      <c r="I36" s="893"/>
      <c r="J36" s="896">
        <f>SUM(K36:M36)</f>
        <v>640000</v>
      </c>
      <c r="K36" s="124">
        <v>640000</v>
      </c>
      <c r="L36" s="124"/>
      <c r="M36" s="893"/>
      <c r="N36" s="896">
        <f>SUM(O36:Q36)</f>
        <v>640000</v>
      </c>
      <c r="O36" s="124">
        <v>640000</v>
      </c>
      <c r="P36" s="124"/>
      <c r="Q36" s="893"/>
      <c r="R36" s="896">
        <f>SUM(S36:U36)</f>
        <v>640000</v>
      </c>
      <c r="S36" s="124">
        <v>640000</v>
      </c>
      <c r="T36" s="124"/>
      <c r="U36" s="893"/>
      <c r="V36" s="896">
        <f>SUM(W36:Y36)</f>
        <v>640000</v>
      </c>
      <c r="W36" s="124">
        <v>640000</v>
      </c>
      <c r="X36" s="124"/>
      <c r="Y36" s="893"/>
      <c r="Z36" s="896">
        <f>SUM(AA36:AC36)</f>
        <v>1833513</v>
      </c>
      <c r="AA36" s="124">
        <v>1833513</v>
      </c>
      <c r="AB36" s="124"/>
      <c r="AC36" s="893"/>
    </row>
    <row r="37" spans="1:29" ht="15" customHeight="1">
      <c r="A37" s="910" t="s">
        <v>699</v>
      </c>
      <c r="B37" s="896">
        <f t="shared" si="6"/>
        <v>5000000</v>
      </c>
      <c r="C37" s="124">
        <v>5000000</v>
      </c>
      <c r="D37" s="124"/>
      <c r="E37" s="893"/>
      <c r="F37" s="896">
        <v>0</v>
      </c>
      <c r="G37" s="124">
        <v>0</v>
      </c>
      <c r="H37" s="124"/>
      <c r="I37" s="893"/>
      <c r="J37" s="896">
        <v>0</v>
      </c>
      <c r="K37" s="124">
        <v>0</v>
      </c>
      <c r="L37" s="124"/>
      <c r="M37" s="893"/>
      <c r="N37" s="896">
        <v>0</v>
      </c>
      <c r="O37" s="124">
        <v>0</v>
      </c>
      <c r="P37" s="124"/>
      <c r="Q37" s="893"/>
      <c r="R37" s="896">
        <v>0</v>
      </c>
      <c r="S37" s="124">
        <v>0</v>
      </c>
      <c r="T37" s="124"/>
      <c r="U37" s="893"/>
      <c r="V37" s="896">
        <v>0</v>
      </c>
      <c r="W37" s="124">
        <v>0</v>
      </c>
      <c r="X37" s="124"/>
      <c r="Y37" s="893"/>
      <c r="Z37" s="896">
        <v>0</v>
      </c>
      <c r="AA37" s="124">
        <v>0</v>
      </c>
      <c r="AB37" s="124"/>
      <c r="AC37" s="893"/>
    </row>
    <row r="38" spans="1:29" ht="15" customHeight="1">
      <c r="A38" s="910" t="s">
        <v>556</v>
      </c>
      <c r="B38" s="896">
        <f t="shared" si="6"/>
        <v>720000</v>
      </c>
      <c r="C38" s="124">
        <v>720000</v>
      </c>
      <c r="D38" s="124"/>
      <c r="E38" s="893"/>
      <c r="F38" s="896">
        <f t="shared" si="7"/>
        <v>720000</v>
      </c>
      <c r="G38" s="124">
        <v>720000</v>
      </c>
      <c r="H38" s="124"/>
      <c r="I38" s="893"/>
      <c r="J38" s="896">
        <f>SUM(K38:M38)</f>
        <v>720000</v>
      </c>
      <c r="K38" s="124">
        <v>720000</v>
      </c>
      <c r="L38" s="124"/>
      <c r="M38" s="893"/>
      <c r="N38" s="896">
        <f>SUM(O38:Q38)</f>
        <v>720000</v>
      </c>
      <c r="O38" s="124">
        <v>720000</v>
      </c>
      <c r="P38" s="124"/>
      <c r="Q38" s="893"/>
      <c r="R38" s="896">
        <f>SUM(S38:U38)</f>
        <v>720000</v>
      </c>
      <c r="S38" s="124">
        <v>720000</v>
      </c>
      <c r="T38" s="124"/>
      <c r="U38" s="893"/>
      <c r="V38" s="896">
        <f>SUM(W38:Y38)</f>
        <v>720000</v>
      </c>
      <c r="W38" s="124">
        <v>720000</v>
      </c>
      <c r="X38" s="124"/>
      <c r="Y38" s="893"/>
      <c r="Z38" s="896">
        <f>SUM(AA38:AC38)</f>
        <v>0</v>
      </c>
      <c r="AA38" s="124"/>
      <c r="AB38" s="124"/>
      <c r="AC38" s="893"/>
    </row>
    <row r="39" spans="1:29" ht="15" customHeight="1" thickBot="1">
      <c r="A39" s="911" t="s">
        <v>557</v>
      </c>
      <c r="B39" s="896">
        <f t="shared" si="6"/>
        <v>9168000</v>
      </c>
      <c r="C39" s="308"/>
      <c r="D39" s="308">
        <v>9168000</v>
      </c>
      <c r="E39" s="894"/>
      <c r="F39" s="896">
        <f t="shared" si="7"/>
        <v>9168000</v>
      </c>
      <c r="G39" s="308"/>
      <c r="H39" s="308">
        <v>9168000</v>
      </c>
      <c r="I39" s="894"/>
      <c r="J39" s="896">
        <f>SUM(K39:M39)</f>
        <v>9168000</v>
      </c>
      <c r="K39" s="308"/>
      <c r="L39" s="308">
        <v>9168000</v>
      </c>
      <c r="M39" s="894"/>
      <c r="N39" s="896">
        <f>SUM(O39:Q39)</f>
        <v>9168000</v>
      </c>
      <c r="O39" s="308"/>
      <c r="P39" s="308">
        <v>9168000</v>
      </c>
      <c r="Q39" s="894"/>
      <c r="R39" s="896">
        <f>SUM(S39:U39)</f>
        <v>9168000</v>
      </c>
      <c r="S39" s="308"/>
      <c r="T39" s="308">
        <v>9168000</v>
      </c>
      <c r="U39" s="894"/>
      <c r="V39" s="896">
        <f>SUM(W39:Y39)</f>
        <v>6848850</v>
      </c>
      <c r="W39" s="308"/>
      <c r="X39" s="308">
        <v>6848850</v>
      </c>
      <c r="Y39" s="894"/>
      <c r="Z39" s="896">
        <f>SUM(AA39:AC39)</f>
        <v>6806350</v>
      </c>
      <c r="AA39" s="308"/>
      <c r="AB39" s="308">
        <v>6806350</v>
      </c>
      <c r="AC39" s="894"/>
    </row>
    <row r="40" spans="1:29" ht="15" customHeight="1" thickBot="1">
      <c r="A40" s="913" t="s">
        <v>313</v>
      </c>
      <c r="B40" s="898">
        <f>SUM(B41:B42)</f>
        <v>80284856</v>
      </c>
      <c r="C40" s="309">
        <f>SUM(C41:C42)</f>
        <v>0</v>
      </c>
      <c r="D40" s="309">
        <f>SUM(D41:D42)</f>
        <v>0</v>
      </c>
      <c r="E40" s="899">
        <f>SUM(E41:E42)</f>
        <v>80284856</v>
      </c>
      <c r="F40" s="898">
        <f>SUM(F41:F43)</f>
        <v>81971115</v>
      </c>
      <c r="G40" s="309">
        <f>SUM(G41:G42)</f>
        <v>0</v>
      </c>
      <c r="H40" s="309">
        <f>SUM(H41:H42)</f>
        <v>0</v>
      </c>
      <c r="I40" s="899">
        <f>SUM(I41:I43)</f>
        <v>81971115</v>
      </c>
      <c r="J40" s="898">
        <f>SUM(J41:J43)</f>
        <v>81971115</v>
      </c>
      <c r="K40" s="309">
        <f>SUM(K41:K42)</f>
        <v>0</v>
      </c>
      <c r="L40" s="309">
        <f>SUM(L41:L42)</f>
        <v>1783211</v>
      </c>
      <c r="M40" s="899">
        <f>SUM(M41:M43)</f>
        <v>80187904</v>
      </c>
      <c r="N40" s="898">
        <f>SUM(N41:N43)</f>
        <v>82486317</v>
      </c>
      <c r="O40" s="309">
        <f>SUM(O41:O42)</f>
        <v>0</v>
      </c>
      <c r="P40" s="309">
        <f>SUM(P41:P42)</f>
        <v>2103211</v>
      </c>
      <c r="Q40" s="899">
        <f>SUM(Q41:Q43)</f>
        <v>80383106</v>
      </c>
      <c r="R40" s="898">
        <f>SUM(R41:R43)</f>
        <v>82736317</v>
      </c>
      <c r="S40" s="309">
        <f>SUM(S41:S42)</f>
        <v>5061260</v>
      </c>
      <c r="T40" s="309">
        <f>SUM(T41:T42)</f>
        <v>0</v>
      </c>
      <c r="U40" s="899">
        <f>SUM(U41:U43)</f>
        <v>77675057</v>
      </c>
      <c r="V40" s="898">
        <f>SUM(V41:V43)</f>
        <v>82951167</v>
      </c>
      <c r="W40" s="309">
        <f>SUM(W41:W42)</f>
        <v>81602706</v>
      </c>
      <c r="X40" s="309">
        <f>SUM(X41:X42)</f>
        <v>0</v>
      </c>
      <c r="Y40" s="899">
        <f>SUM(Y41:Y43)</f>
        <v>0</v>
      </c>
      <c r="Z40" s="898">
        <f>SUM(Z41:Z43)</f>
        <v>82951167</v>
      </c>
      <c r="AA40" s="309">
        <f>SUM(AA41:AA42)</f>
        <v>81602706</v>
      </c>
      <c r="AB40" s="309">
        <f>SUM(AB41:AB42)</f>
        <v>0</v>
      </c>
      <c r="AC40" s="899">
        <f>SUM(AC41:AC43)</f>
        <v>0</v>
      </c>
    </row>
    <row r="41" spans="1:29" s="122" customFormat="1" ht="15" customHeight="1">
      <c r="A41" s="1259" t="s">
        <v>558</v>
      </c>
      <c r="B41" s="1260">
        <f>SUM(C41:E41)</f>
        <v>75223596</v>
      </c>
      <c r="C41" s="1261"/>
      <c r="D41" s="1261"/>
      <c r="E41" s="1262">
        <v>75223596</v>
      </c>
      <c r="F41" s="1260">
        <f>SUM(G41:I41)</f>
        <v>75756596</v>
      </c>
      <c r="G41" s="1261"/>
      <c r="H41" s="1261"/>
      <c r="I41" s="1262">
        <v>75756596</v>
      </c>
      <c r="J41" s="1260">
        <f>SUM(K41:M41)</f>
        <v>75756596</v>
      </c>
      <c r="K41" s="1261"/>
      <c r="L41" s="1261">
        <v>1783211</v>
      </c>
      <c r="M41" s="1262">
        <v>73973385</v>
      </c>
      <c r="N41" s="1260">
        <f>SUM(O41:Q41)</f>
        <v>76076596</v>
      </c>
      <c r="O41" s="1261"/>
      <c r="P41" s="1261">
        <v>2103211</v>
      </c>
      <c r="Q41" s="1262">
        <v>73973385</v>
      </c>
      <c r="R41" s="1260">
        <f>SUM(S41:U41)</f>
        <v>76326596</v>
      </c>
      <c r="S41" s="1261"/>
      <c r="T41" s="1261"/>
      <c r="U41" s="1262">
        <v>76326596</v>
      </c>
      <c r="V41" s="1260">
        <v>76541446</v>
      </c>
      <c r="W41" s="1261">
        <v>76541446</v>
      </c>
      <c r="X41" s="1261"/>
      <c r="Y41" s="1262"/>
      <c r="Z41" s="1260">
        <v>76736582</v>
      </c>
      <c r="AA41" s="1261">
        <v>76736582</v>
      </c>
      <c r="AB41" s="1261"/>
      <c r="AC41" s="1262"/>
    </row>
    <row r="42" spans="1:29" s="122" customFormat="1" ht="15" customHeight="1">
      <c r="A42" s="925" t="s">
        <v>559</v>
      </c>
      <c r="B42" s="546">
        <f>SUM(C42:E42)</f>
        <v>5061260</v>
      </c>
      <c r="C42" s="546"/>
      <c r="D42" s="546"/>
      <c r="E42" s="546">
        <v>5061260</v>
      </c>
      <c r="F42" s="546">
        <f>SUM(G42:I42)</f>
        <v>5061260</v>
      </c>
      <c r="G42" s="546"/>
      <c r="H42" s="546"/>
      <c r="I42" s="546">
        <v>5061260</v>
      </c>
      <c r="J42" s="546">
        <f>SUM(K42:M42)</f>
        <v>5061260</v>
      </c>
      <c r="K42" s="546"/>
      <c r="L42" s="546"/>
      <c r="M42" s="546">
        <v>5061260</v>
      </c>
      <c r="N42" s="546">
        <f>SUM(O42:Q42)</f>
        <v>5061260</v>
      </c>
      <c r="O42" s="546"/>
      <c r="P42" s="546"/>
      <c r="Q42" s="546">
        <v>5061260</v>
      </c>
      <c r="R42" s="546">
        <f>SUM(S42:U42)</f>
        <v>5061260</v>
      </c>
      <c r="S42" s="546">
        <v>5061260</v>
      </c>
      <c r="T42" s="546"/>
      <c r="U42" s="546">
        <v>0</v>
      </c>
      <c r="V42" s="546">
        <f>SUM(W42:Y42)</f>
        <v>5061260</v>
      </c>
      <c r="W42" s="546">
        <v>5061260</v>
      </c>
      <c r="X42" s="546"/>
      <c r="Y42" s="546">
        <v>0</v>
      </c>
      <c r="Z42" s="546">
        <v>4866124</v>
      </c>
      <c r="AA42" s="546">
        <v>4866124</v>
      </c>
      <c r="AB42" s="546"/>
      <c r="AC42" s="546">
        <v>0</v>
      </c>
    </row>
    <row r="43" spans="1:29" s="122" customFormat="1" ht="15" customHeight="1" thickBot="1">
      <c r="A43" s="1259" t="s">
        <v>1101</v>
      </c>
      <c r="B43" s="1260"/>
      <c r="C43" s="1261"/>
      <c r="D43" s="1261"/>
      <c r="E43" s="1262"/>
      <c r="F43" s="1260">
        <v>1153259</v>
      </c>
      <c r="G43" s="1261"/>
      <c r="H43" s="1261"/>
      <c r="I43" s="1262">
        <v>1153259</v>
      </c>
      <c r="J43" s="1260">
        <v>1153259</v>
      </c>
      <c r="K43" s="1261"/>
      <c r="L43" s="1261"/>
      <c r="M43" s="1262">
        <v>1153259</v>
      </c>
      <c r="N43" s="1260">
        <v>1348461</v>
      </c>
      <c r="O43" s="1261"/>
      <c r="P43" s="1261"/>
      <c r="Q43" s="1262">
        <v>1348461</v>
      </c>
      <c r="R43" s="1260">
        <v>1348461</v>
      </c>
      <c r="S43" s="1261"/>
      <c r="T43" s="1261"/>
      <c r="U43" s="1262">
        <v>1348461</v>
      </c>
      <c r="V43" s="1260">
        <v>1348461</v>
      </c>
      <c r="W43" s="1261">
        <v>1348461</v>
      </c>
      <c r="X43" s="1261"/>
      <c r="Y43" s="1262"/>
      <c r="Z43" s="1260">
        <v>1348461</v>
      </c>
      <c r="AA43" s="1261">
        <v>0</v>
      </c>
      <c r="AB43" s="1261">
        <v>1348461</v>
      </c>
      <c r="AC43" s="1262"/>
    </row>
    <row r="44" spans="1:29" ht="15" customHeight="1" thickBot="1">
      <c r="A44" s="913" t="s">
        <v>241</v>
      </c>
      <c r="B44" s="898">
        <f aca="true" t="shared" si="8" ref="B44:I44">SUM(B45:B52)</f>
        <v>115839992</v>
      </c>
      <c r="C44" s="309">
        <f t="shared" si="8"/>
        <v>93259126</v>
      </c>
      <c r="D44" s="309">
        <f t="shared" si="8"/>
        <v>22580866</v>
      </c>
      <c r="E44" s="899">
        <f t="shared" si="8"/>
        <v>0</v>
      </c>
      <c r="F44" s="898">
        <f t="shared" si="8"/>
        <v>117006769</v>
      </c>
      <c r="G44" s="309">
        <f t="shared" si="8"/>
        <v>93544126</v>
      </c>
      <c r="H44" s="309">
        <f t="shared" si="8"/>
        <v>23462643</v>
      </c>
      <c r="I44" s="899">
        <f t="shared" si="8"/>
        <v>0</v>
      </c>
      <c r="J44" s="898">
        <f aca="true" t="shared" si="9" ref="J44:Q44">SUM(J45:J52)</f>
        <v>117036010</v>
      </c>
      <c r="K44" s="309">
        <f t="shared" si="9"/>
        <v>92788367</v>
      </c>
      <c r="L44" s="309">
        <f t="shared" si="9"/>
        <v>24247643</v>
      </c>
      <c r="M44" s="899">
        <f t="shared" si="9"/>
        <v>0</v>
      </c>
      <c r="N44" s="898">
        <f t="shared" si="9"/>
        <v>117070189</v>
      </c>
      <c r="O44" s="309">
        <f t="shared" si="9"/>
        <v>92822546</v>
      </c>
      <c r="P44" s="309">
        <f>SUM(P45:P52)</f>
        <v>24247643</v>
      </c>
      <c r="Q44" s="899">
        <f t="shared" si="9"/>
        <v>0</v>
      </c>
      <c r="R44" s="898">
        <f aca="true" t="shared" si="10" ref="R44:Y44">SUM(R45:R52)</f>
        <v>118209957</v>
      </c>
      <c r="S44" s="309">
        <f t="shared" si="10"/>
        <v>94252336</v>
      </c>
      <c r="T44" s="309">
        <f t="shared" si="10"/>
        <v>23957621</v>
      </c>
      <c r="U44" s="899">
        <f t="shared" si="10"/>
        <v>0</v>
      </c>
      <c r="V44" s="898">
        <f t="shared" si="10"/>
        <v>117182205</v>
      </c>
      <c r="W44" s="309">
        <f t="shared" si="10"/>
        <v>93197816</v>
      </c>
      <c r="X44" s="309">
        <f t="shared" si="10"/>
        <v>23984389</v>
      </c>
      <c r="Y44" s="899">
        <f t="shared" si="10"/>
        <v>0</v>
      </c>
      <c r="Z44" s="898">
        <f>SUM(Z45:Z52)</f>
        <v>117182205</v>
      </c>
      <c r="AA44" s="309">
        <f>SUM(AA45:AA52)</f>
        <v>92606115</v>
      </c>
      <c r="AB44" s="309">
        <f>SUM(AB45:AB52)</f>
        <v>24576090</v>
      </c>
      <c r="AC44" s="899">
        <f>SUM(AC45:AC52)</f>
        <v>0</v>
      </c>
    </row>
    <row r="45" spans="1:29" s="122" customFormat="1" ht="15" customHeight="1">
      <c r="A45" s="911" t="s">
        <v>560</v>
      </c>
      <c r="B45" s="900">
        <f>SUM(C45:E45)</f>
        <v>16699204</v>
      </c>
      <c r="C45" s="310">
        <v>16699204</v>
      </c>
      <c r="D45" s="310"/>
      <c r="E45" s="901"/>
      <c r="F45" s="900">
        <f>SUM(G45:I45)</f>
        <v>18699204</v>
      </c>
      <c r="G45" s="310">
        <v>18699204</v>
      </c>
      <c r="H45" s="310"/>
      <c r="I45" s="901"/>
      <c r="J45" s="900">
        <f>SUM(K45:M45)</f>
        <v>18699204</v>
      </c>
      <c r="K45" s="310">
        <v>18699204</v>
      </c>
      <c r="L45" s="310"/>
      <c r="M45" s="901"/>
      <c r="N45" s="900">
        <f>SUM(O45:Q45)</f>
        <v>18699204</v>
      </c>
      <c r="O45" s="310">
        <v>18699204</v>
      </c>
      <c r="P45" s="310"/>
      <c r="Q45" s="901"/>
      <c r="R45" s="900">
        <f>SUM(S45:U45)</f>
        <v>18699204</v>
      </c>
      <c r="S45" s="310">
        <v>18699204</v>
      </c>
      <c r="T45" s="310"/>
      <c r="U45" s="901"/>
      <c r="V45" s="900">
        <f>SUM(W45:Y45)</f>
        <v>18699204</v>
      </c>
      <c r="W45" s="310">
        <v>18699204</v>
      </c>
      <c r="X45" s="310"/>
      <c r="Y45" s="901"/>
      <c r="Z45" s="900">
        <f>SUM(AA45:AC45)</f>
        <v>19131446</v>
      </c>
      <c r="AA45" s="310">
        <v>19131446</v>
      </c>
      <c r="AB45" s="310"/>
      <c r="AC45" s="901"/>
    </row>
    <row r="46" spans="1:29" s="122" customFormat="1" ht="15" customHeight="1">
      <c r="A46" s="914" t="s">
        <v>561</v>
      </c>
      <c r="B46" s="900">
        <f aca="true" t="shared" si="11" ref="B46:B52">SUM(C46:E46)</f>
        <v>2820040</v>
      </c>
      <c r="C46" s="61"/>
      <c r="D46" s="61">
        <v>2820040</v>
      </c>
      <c r="E46" s="903"/>
      <c r="F46" s="900">
        <f aca="true" t="shared" si="12" ref="F46:F52">SUM(G46:I46)</f>
        <v>2820040</v>
      </c>
      <c r="G46" s="61"/>
      <c r="H46" s="61">
        <v>2820040</v>
      </c>
      <c r="I46" s="903"/>
      <c r="J46" s="900">
        <f aca="true" t="shared" si="13" ref="J46:J52">SUM(K46:M46)</f>
        <v>2820040</v>
      </c>
      <c r="K46" s="61"/>
      <c r="L46" s="61">
        <v>2820040</v>
      </c>
      <c r="M46" s="903"/>
      <c r="N46" s="900">
        <f aca="true" t="shared" si="14" ref="N46:N52">SUM(O46:Q46)</f>
        <v>2820040</v>
      </c>
      <c r="O46" s="61"/>
      <c r="P46" s="61">
        <v>2820040</v>
      </c>
      <c r="Q46" s="903"/>
      <c r="R46" s="900">
        <f aca="true" t="shared" si="15" ref="R46:R52">SUM(S46:U46)</f>
        <v>2820040</v>
      </c>
      <c r="S46" s="61"/>
      <c r="T46" s="61">
        <v>2820040</v>
      </c>
      <c r="U46" s="903"/>
      <c r="V46" s="900">
        <f>SUM(W46:Y46)</f>
        <v>2820040</v>
      </c>
      <c r="W46" s="61"/>
      <c r="X46" s="61">
        <v>2820040</v>
      </c>
      <c r="Y46" s="903"/>
      <c r="Z46" s="900">
        <f>SUM(AA46:AC46)</f>
        <v>2165282</v>
      </c>
      <c r="AA46" s="61"/>
      <c r="AB46" s="61">
        <v>2165282</v>
      </c>
      <c r="AC46" s="903"/>
    </row>
    <row r="47" spans="1:29" ht="15" customHeight="1">
      <c r="A47" s="914" t="s">
        <v>700</v>
      </c>
      <c r="B47" s="900">
        <f t="shared" si="11"/>
        <v>0</v>
      </c>
      <c r="C47" s="84"/>
      <c r="D47" s="84"/>
      <c r="E47" s="539"/>
      <c r="F47" s="900">
        <f t="shared" si="12"/>
        <v>0</v>
      </c>
      <c r="G47" s="84"/>
      <c r="H47" s="84"/>
      <c r="I47" s="539"/>
      <c r="J47" s="900">
        <f t="shared" si="13"/>
        <v>0</v>
      </c>
      <c r="K47" s="84"/>
      <c r="L47" s="84"/>
      <c r="M47" s="539"/>
      <c r="N47" s="900">
        <f t="shared" si="14"/>
        <v>0</v>
      </c>
      <c r="O47" s="84"/>
      <c r="P47" s="84"/>
      <c r="Q47" s="539"/>
      <c r="R47" s="900">
        <f t="shared" si="15"/>
        <v>0</v>
      </c>
      <c r="S47" s="84"/>
      <c r="T47" s="84"/>
      <c r="U47" s="539"/>
      <c r="V47" s="900">
        <f>SUM(W47:Y47)</f>
        <v>0</v>
      </c>
      <c r="W47" s="84"/>
      <c r="X47" s="84"/>
      <c r="Y47" s="539"/>
      <c r="Z47" s="900">
        <f>SUM(AA47:AC47)</f>
        <v>94067</v>
      </c>
      <c r="AA47" s="84"/>
      <c r="AB47" s="84">
        <v>94067</v>
      </c>
      <c r="AC47" s="539"/>
    </row>
    <row r="48" spans="1:29" ht="15" customHeight="1">
      <c r="A48" s="914" t="s">
        <v>701</v>
      </c>
      <c r="B48" s="900">
        <f t="shared" si="11"/>
        <v>70812366</v>
      </c>
      <c r="C48" s="84">
        <v>70812366</v>
      </c>
      <c r="D48" s="84"/>
      <c r="E48" s="539"/>
      <c r="F48" s="900">
        <f t="shared" si="12"/>
        <v>68812366</v>
      </c>
      <c r="G48" s="84">
        <v>68812366</v>
      </c>
      <c r="H48" s="84"/>
      <c r="I48" s="539"/>
      <c r="J48" s="900">
        <f t="shared" si="13"/>
        <v>68812366</v>
      </c>
      <c r="K48" s="84">
        <v>68056607</v>
      </c>
      <c r="L48" s="84">
        <v>755759</v>
      </c>
      <c r="M48" s="539"/>
      <c r="N48" s="900">
        <f t="shared" si="14"/>
        <v>68812366</v>
      </c>
      <c r="O48" s="84">
        <v>68090786</v>
      </c>
      <c r="P48" s="84">
        <v>721580</v>
      </c>
      <c r="Q48" s="539"/>
      <c r="R48" s="900">
        <f t="shared" si="15"/>
        <v>69520576</v>
      </c>
      <c r="S48" s="84">
        <v>69520576</v>
      </c>
      <c r="T48" s="84">
        <v>0</v>
      </c>
      <c r="U48" s="539"/>
      <c r="V48" s="900">
        <v>69300411</v>
      </c>
      <c r="W48" s="84">
        <v>69300411</v>
      </c>
      <c r="X48" s="84">
        <v>0</v>
      </c>
      <c r="Y48" s="539"/>
      <c r="Z48" s="900">
        <v>68962272</v>
      </c>
      <c r="AA48" s="84">
        <v>68962272</v>
      </c>
      <c r="AB48" s="84">
        <v>0</v>
      </c>
      <c r="AC48" s="539"/>
    </row>
    <row r="49" spans="1:29" s="122" customFormat="1" ht="15" customHeight="1">
      <c r="A49" s="915" t="s">
        <v>513</v>
      </c>
      <c r="B49" s="900">
        <f t="shared" si="11"/>
        <v>394000</v>
      </c>
      <c r="C49" s="61">
        <v>394000</v>
      </c>
      <c r="D49" s="61"/>
      <c r="E49" s="903"/>
      <c r="F49" s="900">
        <f t="shared" si="12"/>
        <v>394000</v>
      </c>
      <c r="G49" s="61">
        <v>394000</v>
      </c>
      <c r="H49" s="61"/>
      <c r="I49" s="903"/>
      <c r="J49" s="900">
        <f t="shared" si="13"/>
        <v>394000</v>
      </c>
      <c r="K49" s="61">
        <v>394000</v>
      </c>
      <c r="L49" s="61"/>
      <c r="M49" s="903"/>
      <c r="N49" s="900">
        <f t="shared" si="14"/>
        <v>394000</v>
      </c>
      <c r="O49" s="61">
        <v>394000</v>
      </c>
      <c r="P49" s="61"/>
      <c r="Q49" s="903"/>
      <c r="R49" s="900">
        <f t="shared" si="15"/>
        <v>394000</v>
      </c>
      <c r="S49" s="61">
        <v>394000</v>
      </c>
      <c r="T49" s="61"/>
      <c r="U49" s="903"/>
      <c r="V49" s="900">
        <f>SUM(W49:Y49)</f>
        <v>394000</v>
      </c>
      <c r="W49" s="61">
        <v>394000</v>
      </c>
      <c r="X49" s="61"/>
      <c r="Y49" s="903"/>
      <c r="Z49" s="900">
        <f>SUM(AA49:AC49)</f>
        <v>0</v>
      </c>
      <c r="AA49" s="61">
        <v>0</v>
      </c>
      <c r="AB49" s="61"/>
      <c r="AC49" s="903"/>
    </row>
    <row r="50" spans="1:29" s="122" customFormat="1" ht="15" customHeight="1">
      <c r="A50" s="915" t="s">
        <v>702</v>
      </c>
      <c r="B50" s="900">
        <f t="shared" si="11"/>
        <v>10243826</v>
      </c>
      <c r="C50" s="61"/>
      <c r="D50" s="61">
        <v>10243826</v>
      </c>
      <c r="E50" s="903"/>
      <c r="F50" s="900">
        <f t="shared" si="12"/>
        <v>10293826</v>
      </c>
      <c r="G50" s="61"/>
      <c r="H50" s="61">
        <v>10293826</v>
      </c>
      <c r="I50" s="903"/>
      <c r="J50" s="900">
        <f t="shared" si="13"/>
        <v>10293826</v>
      </c>
      <c r="K50" s="61"/>
      <c r="L50" s="61">
        <v>10293826</v>
      </c>
      <c r="M50" s="903"/>
      <c r="N50" s="900">
        <f t="shared" si="14"/>
        <v>10293826</v>
      </c>
      <c r="O50" s="61"/>
      <c r="P50" s="61">
        <v>10293826</v>
      </c>
      <c r="Q50" s="903"/>
      <c r="R50" s="900">
        <f t="shared" si="15"/>
        <v>10689826</v>
      </c>
      <c r="S50" s="61"/>
      <c r="T50" s="61">
        <v>10689826</v>
      </c>
      <c r="U50" s="903"/>
      <c r="V50" s="900">
        <f>SUM(W50:Y50)</f>
        <v>10689826</v>
      </c>
      <c r="W50" s="61"/>
      <c r="X50" s="61">
        <v>10689826</v>
      </c>
      <c r="Y50" s="903"/>
      <c r="Z50" s="900">
        <f>SUM(AA50:AC50)</f>
        <v>11186504</v>
      </c>
      <c r="AA50" s="61"/>
      <c r="AB50" s="61">
        <v>11186504</v>
      </c>
      <c r="AC50" s="903"/>
    </row>
    <row r="51" spans="1:29" s="122" customFormat="1" ht="15" customHeight="1">
      <c r="A51" s="915" t="s">
        <v>562</v>
      </c>
      <c r="B51" s="900">
        <f t="shared" si="11"/>
        <v>9517000</v>
      </c>
      <c r="C51" s="73"/>
      <c r="D51" s="73">
        <v>9517000</v>
      </c>
      <c r="E51" s="902"/>
      <c r="F51" s="900">
        <f t="shared" si="12"/>
        <v>10348777</v>
      </c>
      <c r="G51" s="73"/>
      <c r="H51" s="73">
        <v>10348777</v>
      </c>
      <c r="I51" s="902"/>
      <c r="J51" s="900">
        <f t="shared" si="13"/>
        <v>10378018</v>
      </c>
      <c r="K51" s="73"/>
      <c r="L51" s="73">
        <v>10378018</v>
      </c>
      <c r="M51" s="902"/>
      <c r="N51" s="900">
        <f t="shared" si="14"/>
        <v>10412197</v>
      </c>
      <c r="O51" s="73"/>
      <c r="P51" s="73">
        <v>10412197</v>
      </c>
      <c r="Q51" s="902"/>
      <c r="R51" s="900">
        <f t="shared" si="15"/>
        <v>10447755</v>
      </c>
      <c r="S51" s="73"/>
      <c r="T51" s="73">
        <v>10447755</v>
      </c>
      <c r="U51" s="902"/>
      <c r="V51" s="900">
        <f>SUM(W51:Y51)</f>
        <v>10474523</v>
      </c>
      <c r="W51" s="73"/>
      <c r="X51" s="73">
        <v>10474523</v>
      </c>
      <c r="Y51" s="902"/>
      <c r="Z51" s="900">
        <f>SUM(AA51:AC51)</f>
        <v>11130237</v>
      </c>
      <c r="AA51" s="73"/>
      <c r="AB51" s="73">
        <v>11130237</v>
      </c>
      <c r="AC51" s="902"/>
    </row>
    <row r="52" spans="1:29" s="122" customFormat="1" ht="15" customHeight="1" thickBot="1">
      <c r="A52" s="916" t="s">
        <v>703</v>
      </c>
      <c r="B52" s="900">
        <f t="shared" si="11"/>
        <v>5353556</v>
      </c>
      <c r="C52" s="73">
        <v>5353556</v>
      </c>
      <c r="D52" s="73"/>
      <c r="E52" s="902"/>
      <c r="F52" s="900">
        <f t="shared" si="12"/>
        <v>5638556</v>
      </c>
      <c r="G52" s="73">
        <v>5638556</v>
      </c>
      <c r="H52" s="73"/>
      <c r="I52" s="902"/>
      <c r="J52" s="900">
        <f t="shared" si="13"/>
        <v>5638556</v>
      </c>
      <c r="K52" s="73">
        <v>5638556</v>
      </c>
      <c r="L52" s="73"/>
      <c r="M52" s="902"/>
      <c r="N52" s="900">
        <f t="shared" si="14"/>
        <v>5638556</v>
      </c>
      <c r="O52" s="73">
        <v>5638556</v>
      </c>
      <c r="P52" s="73"/>
      <c r="Q52" s="902"/>
      <c r="R52" s="900">
        <f t="shared" si="15"/>
        <v>5638556</v>
      </c>
      <c r="S52" s="73">
        <v>5638556</v>
      </c>
      <c r="T52" s="73"/>
      <c r="U52" s="902"/>
      <c r="V52" s="900">
        <f>SUM(W52:Y52)</f>
        <v>4804201</v>
      </c>
      <c r="W52" s="73">
        <v>4804201</v>
      </c>
      <c r="X52" s="73"/>
      <c r="Y52" s="902"/>
      <c r="Z52" s="900">
        <f>SUM(AA52:AC52)</f>
        <v>4512397</v>
      </c>
      <c r="AA52" s="73">
        <v>4512397</v>
      </c>
      <c r="AB52" s="73"/>
      <c r="AC52" s="902"/>
    </row>
    <row r="53" spans="1:29" ht="15" customHeight="1" thickBot="1">
      <c r="A53" s="913" t="s">
        <v>854</v>
      </c>
      <c r="B53" s="898">
        <f aca="true" t="shared" si="16" ref="B53:I53">SUM(B54:B57)</f>
        <v>16729452</v>
      </c>
      <c r="C53" s="309">
        <f t="shared" si="16"/>
        <v>15729452</v>
      </c>
      <c r="D53" s="309">
        <f t="shared" si="16"/>
        <v>1000000</v>
      </c>
      <c r="E53" s="899">
        <f t="shared" si="16"/>
        <v>0</v>
      </c>
      <c r="F53" s="898">
        <f t="shared" si="16"/>
        <v>16729452</v>
      </c>
      <c r="G53" s="309">
        <f t="shared" si="16"/>
        <v>15729452</v>
      </c>
      <c r="H53" s="309">
        <f t="shared" si="16"/>
        <v>1000000</v>
      </c>
      <c r="I53" s="899">
        <f t="shared" si="16"/>
        <v>0</v>
      </c>
      <c r="J53" s="898">
        <f aca="true" t="shared" si="17" ref="J53:Q53">SUM(J54:J57)</f>
        <v>16902933</v>
      </c>
      <c r="K53" s="309">
        <f t="shared" si="17"/>
        <v>15402933</v>
      </c>
      <c r="L53" s="309">
        <f t="shared" si="17"/>
        <v>1500000</v>
      </c>
      <c r="M53" s="899">
        <f t="shared" si="17"/>
        <v>0</v>
      </c>
      <c r="N53" s="898">
        <f t="shared" si="17"/>
        <v>16970549</v>
      </c>
      <c r="O53" s="309">
        <f t="shared" si="17"/>
        <v>15470549</v>
      </c>
      <c r="P53" s="309">
        <f t="shared" si="17"/>
        <v>1500000</v>
      </c>
      <c r="Q53" s="899">
        <f t="shared" si="17"/>
        <v>0</v>
      </c>
      <c r="R53" s="898">
        <f aca="true" t="shared" si="18" ref="R53:Y53">SUM(R54:R57)</f>
        <v>17118024</v>
      </c>
      <c r="S53" s="309">
        <f t="shared" si="18"/>
        <v>16118024</v>
      </c>
      <c r="T53" s="309">
        <f t="shared" si="18"/>
        <v>1000000</v>
      </c>
      <c r="U53" s="899">
        <f t="shared" si="18"/>
        <v>0</v>
      </c>
      <c r="V53" s="898">
        <f t="shared" si="18"/>
        <v>14325698</v>
      </c>
      <c r="W53" s="309">
        <f t="shared" si="18"/>
        <v>14325698</v>
      </c>
      <c r="X53" s="309">
        <f t="shared" si="18"/>
        <v>0</v>
      </c>
      <c r="Y53" s="899">
        <f t="shared" si="18"/>
        <v>0</v>
      </c>
      <c r="Z53" s="898">
        <f>SUM(Z54:Z57)</f>
        <v>14325698</v>
      </c>
      <c r="AA53" s="309">
        <f>SUM(AA54:AA57)</f>
        <v>14084643</v>
      </c>
      <c r="AB53" s="309">
        <f>SUM(AB54:AB57)</f>
        <v>241055</v>
      </c>
      <c r="AC53" s="899">
        <f>SUM(AC54:AC57)</f>
        <v>0</v>
      </c>
    </row>
    <row r="54" spans="1:29" ht="15" customHeight="1">
      <c r="A54" s="912" t="s">
        <v>563</v>
      </c>
      <c r="B54" s="904">
        <f>SUM(C54:E54)</f>
        <v>15729452</v>
      </c>
      <c r="C54" s="312">
        <v>15729452</v>
      </c>
      <c r="D54" s="310"/>
      <c r="E54" s="905"/>
      <c r="F54" s="904">
        <f>SUM(G54:I54)</f>
        <v>15729452</v>
      </c>
      <c r="G54" s="312">
        <v>15729452</v>
      </c>
      <c r="H54" s="310"/>
      <c r="I54" s="905"/>
      <c r="J54" s="904">
        <f>SUM(K54:M54)</f>
        <v>15902933</v>
      </c>
      <c r="K54" s="312">
        <v>15402933</v>
      </c>
      <c r="L54" s="310">
        <v>500000</v>
      </c>
      <c r="M54" s="905"/>
      <c r="N54" s="904">
        <f>SUM(O54:Q54)</f>
        <v>15970549</v>
      </c>
      <c r="O54" s="312">
        <v>15470549</v>
      </c>
      <c r="P54" s="310">
        <v>500000</v>
      </c>
      <c r="Q54" s="905"/>
      <c r="R54" s="904">
        <f>SUM(S54:U54)</f>
        <v>16118024</v>
      </c>
      <c r="S54" s="312">
        <v>16118024</v>
      </c>
      <c r="T54" s="310">
        <v>0</v>
      </c>
      <c r="V54" s="904">
        <v>14325698</v>
      </c>
      <c r="W54" s="312">
        <v>14325698</v>
      </c>
      <c r="X54" s="310">
        <v>0</v>
      </c>
      <c r="Y54" s="905"/>
      <c r="Z54" s="904">
        <v>14084643</v>
      </c>
      <c r="AA54" s="312">
        <v>14084643</v>
      </c>
      <c r="AB54" s="310">
        <v>0</v>
      </c>
      <c r="AC54" s="905"/>
    </row>
    <row r="55" spans="1:29" ht="7.5" customHeight="1" hidden="1">
      <c r="A55" s="910" t="s">
        <v>564</v>
      </c>
      <c r="B55" s="904">
        <f>SUM(C55:E55)</f>
        <v>0</v>
      </c>
      <c r="C55" s="66"/>
      <c r="D55" s="61"/>
      <c r="E55" s="537"/>
      <c r="F55" s="904">
        <f>SUM(G55:I55)</f>
        <v>0</v>
      </c>
      <c r="G55" s="66"/>
      <c r="H55" s="61"/>
      <c r="I55" s="537"/>
      <c r="J55" s="904">
        <f>SUM(K55:M55)</f>
        <v>0</v>
      </c>
      <c r="K55" s="66"/>
      <c r="L55" s="61"/>
      <c r="M55" s="537"/>
      <c r="N55" s="904">
        <f>SUM(O55:Q55)</f>
        <v>0</v>
      </c>
      <c r="O55" s="66"/>
      <c r="P55" s="61"/>
      <c r="Q55" s="537"/>
      <c r="R55" s="904">
        <f>SUM(S55:U55)</f>
        <v>0</v>
      </c>
      <c r="S55" s="66"/>
      <c r="T55" s="61"/>
      <c r="U55" s="537"/>
      <c r="V55" s="904">
        <f>SUM(W55:Y55)</f>
        <v>0</v>
      </c>
      <c r="W55" s="66"/>
      <c r="X55" s="61"/>
      <c r="Y55" s="537"/>
      <c r="Z55" s="904">
        <f>SUM(AA55:AC55)</f>
        <v>0</v>
      </c>
      <c r="AA55" s="66"/>
      <c r="AB55" s="61"/>
      <c r="AC55" s="537"/>
    </row>
    <row r="56" spans="1:29" s="122" customFormat="1" ht="15" customHeight="1">
      <c r="A56" s="917" t="s">
        <v>521</v>
      </c>
      <c r="B56" s="904">
        <f>SUM(C56:E56)</f>
        <v>700000</v>
      </c>
      <c r="C56" s="314"/>
      <c r="D56" s="61">
        <v>700000</v>
      </c>
      <c r="E56" s="903"/>
      <c r="F56" s="904">
        <f>SUM(G56:I56)</f>
        <v>700000</v>
      </c>
      <c r="G56" s="314"/>
      <c r="H56" s="61">
        <v>700000</v>
      </c>
      <c r="I56" s="903"/>
      <c r="J56" s="904">
        <f>SUM(K56:M56)</f>
        <v>700000</v>
      </c>
      <c r="K56" s="314"/>
      <c r="L56" s="61">
        <v>700000</v>
      </c>
      <c r="M56" s="903"/>
      <c r="N56" s="904">
        <f>SUM(O56:Q56)</f>
        <v>700000</v>
      </c>
      <c r="O56" s="314"/>
      <c r="P56" s="61">
        <v>700000</v>
      </c>
      <c r="Q56" s="903"/>
      <c r="R56" s="904">
        <f>SUM(S56:U56)</f>
        <v>700000</v>
      </c>
      <c r="S56"/>
      <c r="T56" s="61">
        <v>700000</v>
      </c>
      <c r="U56" s="903"/>
      <c r="V56" s="904">
        <f>SUM(W56:Y56)</f>
        <v>0</v>
      </c>
      <c r="W56" s="314"/>
      <c r="X56" s="61"/>
      <c r="Y56" s="903"/>
      <c r="Z56" s="904">
        <f>SUM(AA56:AC56)</f>
        <v>190991</v>
      </c>
      <c r="AA56" s="314"/>
      <c r="AB56" s="61">
        <v>190991</v>
      </c>
      <c r="AC56" s="903"/>
    </row>
    <row r="57" spans="1:29" s="122" customFormat="1" ht="34.5" customHeight="1" thickBot="1">
      <c r="A57" s="1157" t="s">
        <v>522</v>
      </c>
      <c r="B57" s="904">
        <f>SUM(C57:E57)</f>
        <v>300000</v>
      </c>
      <c r="C57" s="315"/>
      <c r="D57" s="73">
        <v>300000</v>
      </c>
      <c r="E57" s="902"/>
      <c r="F57" s="904">
        <f>SUM(G57:I57)</f>
        <v>300000</v>
      </c>
      <c r="G57" s="315"/>
      <c r="H57" s="73">
        <v>300000</v>
      </c>
      <c r="I57" s="902"/>
      <c r="J57" s="904">
        <f>SUM(K57:M57)</f>
        <v>300000</v>
      </c>
      <c r="K57" s="315"/>
      <c r="L57" s="73">
        <v>300000</v>
      </c>
      <c r="M57" s="902"/>
      <c r="N57" s="904">
        <f>SUM(O57:Q57)</f>
        <v>300000</v>
      </c>
      <c r="O57" s="315"/>
      <c r="P57" s="73">
        <v>300000</v>
      </c>
      <c r="Q57" s="902"/>
      <c r="R57" s="904">
        <f>SUM(S57:U57)</f>
        <v>300000</v>
      </c>
      <c r="S57"/>
      <c r="T57" s="73">
        <v>300000</v>
      </c>
      <c r="U57" s="902"/>
      <c r="V57" s="904">
        <f>SUM(W57:Y57)</f>
        <v>0</v>
      </c>
      <c r="W57" s="315"/>
      <c r="X57" s="73"/>
      <c r="Y57" s="902"/>
      <c r="Z57" s="904">
        <f>SUM(AA57:AC57)</f>
        <v>50064</v>
      </c>
      <c r="AA57" s="315"/>
      <c r="AB57" s="73">
        <v>50064</v>
      </c>
      <c r="AC57" s="902"/>
    </row>
    <row r="58" spans="1:29" s="10" customFormat="1" ht="15" customHeight="1" thickBot="1">
      <c r="A58" s="918" t="s">
        <v>25</v>
      </c>
      <c r="B58" s="906">
        <f aca="true" t="shared" si="19" ref="B58:I58">SUM(B11+B29+B40+B44+B53)</f>
        <v>1432639501</v>
      </c>
      <c r="C58" s="907">
        <f t="shared" si="19"/>
        <v>200947650</v>
      </c>
      <c r="D58" s="907">
        <f t="shared" si="19"/>
        <v>32748866</v>
      </c>
      <c r="E58" s="908">
        <f t="shared" si="19"/>
        <v>1160806675</v>
      </c>
      <c r="F58" s="906">
        <f t="shared" si="19"/>
        <v>1445581996</v>
      </c>
      <c r="G58" s="907">
        <f t="shared" si="19"/>
        <v>200692201</v>
      </c>
      <c r="H58" s="907">
        <f t="shared" si="19"/>
        <v>731296931</v>
      </c>
      <c r="I58" s="908">
        <f t="shared" si="19"/>
        <v>472624777</v>
      </c>
      <c r="J58" s="906">
        <f aca="true" t="shared" si="20" ref="J58:Q58">SUM(J11+J29+J40+J44+J53)</f>
        <v>1447105878</v>
      </c>
      <c r="K58" s="907">
        <f t="shared" si="20"/>
        <v>178379605</v>
      </c>
      <c r="L58" s="907">
        <f t="shared" si="20"/>
        <v>834798898</v>
      </c>
      <c r="M58" s="908">
        <f t="shared" si="20"/>
        <v>433927375</v>
      </c>
      <c r="N58" s="906">
        <f t="shared" si="20"/>
        <v>1450700990</v>
      </c>
      <c r="O58" s="907">
        <f t="shared" si="20"/>
        <v>178495501</v>
      </c>
      <c r="P58" s="907">
        <f t="shared" si="20"/>
        <v>835204751</v>
      </c>
      <c r="Q58" s="908">
        <f t="shared" si="20"/>
        <v>437000738</v>
      </c>
      <c r="R58">
        <f aca="true" t="shared" si="21" ref="R58:Y58">SUM(R11+R29+R40+R44+R53)</f>
        <v>1459658300</v>
      </c>
      <c r="S58">
        <f t="shared" si="21"/>
        <v>1337774362</v>
      </c>
      <c r="T58">
        <f t="shared" si="21"/>
        <v>44208881</v>
      </c>
      <c r="U58">
        <f t="shared" si="21"/>
        <v>77675057</v>
      </c>
      <c r="V58" s="906">
        <f t="shared" si="21"/>
        <v>1492126330</v>
      </c>
      <c r="W58" s="907">
        <f t="shared" si="21"/>
        <v>1449861370</v>
      </c>
      <c r="X58" s="907">
        <f t="shared" si="21"/>
        <v>32447499</v>
      </c>
      <c r="Y58" s="908">
        <f t="shared" si="21"/>
        <v>0</v>
      </c>
      <c r="Z58" s="906">
        <f>SUM(Z11+Z29+Z40+Z44+Z53)</f>
        <v>1492132324</v>
      </c>
      <c r="AA58" s="907">
        <f>SUM(AA11+AA29+AA40+AA44+AA53)</f>
        <v>1449184828</v>
      </c>
      <c r="AB58" s="907">
        <f>SUM(AB11+AB29+AB40+AB44+AB53)</f>
        <v>41599035</v>
      </c>
      <c r="AC58" s="908">
        <f>SUM(AC11+AC29+AC40+AC44+AC53)</f>
        <v>0</v>
      </c>
    </row>
  </sheetData>
  <sheetProtection selectLockedCells="1" selectUnlockedCells="1"/>
  <mergeCells count="27">
    <mergeCell ref="Q3:T3"/>
    <mergeCell ref="D8:E8"/>
    <mergeCell ref="A9:A10"/>
    <mergeCell ref="B9:B10"/>
    <mergeCell ref="C9:E9"/>
    <mergeCell ref="H8:I8"/>
    <mergeCell ref="F9:F10"/>
    <mergeCell ref="G9:I9"/>
    <mergeCell ref="T8:U8"/>
    <mergeCell ref="R9:R10"/>
    <mergeCell ref="S9:U9"/>
    <mergeCell ref="O9:Q9"/>
    <mergeCell ref="L8:M8"/>
    <mergeCell ref="J9:J10"/>
    <mergeCell ref="P8:Q8"/>
    <mergeCell ref="N9:N10"/>
    <mergeCell ref="K9:M9"/>
    <mergeCell ref="AB8:AC8"/>
    <mergeCell ref="Z9:Z10"/>
    <mergeCell ref="AA9:AC9"/>
    <mergeCell ref="A5:AC5"/>
    <mergeCell ref="A4:AC4"/>
    <mergeCell ref="A1:AC1"/>
    <mergeCell ref="A2:AC2"/>
    <mergeCell ref="X8:Y8"/>
    <mergeCell ref="V9:V10"/>
    <mergeCell ref="W9:Y9"/>
  </mergeCells>
  <printOptions horizontalCentered="1"/>
  <pageMargins left="0.4724409448818898" right="0.11811023622047245" top="0.984251968503937" bottom="0.984251968503937" header="0.5118110236220472" footer="0.5118110236220472"/>
  <pageSetup horizontalDpi="600" verticalDpi="600" orientation="landscape" paperSize="9" scale="33" r:id="rId1"/>
  <rowBreaks count="1" manualBreakCount="1">
    <brk id="39" max="2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D31"/>
  <sheetViews>
    <sheetView showGridLines="0" zoomScalePageLayoutView="0" workbookViewId="0" topLeftCell="A1">
      <pane xSplit="2" ySplit="2" topLeftCell="K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AD2"/>
    </sheetView>
  </sheetViews>
  <sheetFormatPr defaultColWidth="9.140625" defaultRowHeight="12.75"/>
  <cols>
    <col min="1" max="1" width="5.7109375" style="0" customWidth="1"/>
    <col min="2" max="2" width="31.7109375" style="0" customWidth="1"/>
    <col min="3" max="3" width="17.140625" style="0" hidden="1" customWidth="1"/>
    <col min="4" max="4" width="16.7109375" style="0" hidden="1" customWidth="1"/>
    <col min="5" max="5" width="11.421875" style="0" hidden="1" customWidth="1"/>
    <col min="6" max="6" width="17.28125" style="0" hidden="1" customWidth="1"/>
    <col min="7" max="7" width="17.140625" style="0" hidden="1" customWidth="1"/>
    <col min="8" max="8" width="16.7109375" style="0" hidden="1" customWidth="1"/>
    <col min="9" max="9" width="11.421875" style="0" hidden="1" customWidth="1"/>
    <col min="10" max="10" width="17.28125" style="0" hidden="1" customWidth="1"/>
    <col min="11" max="11" width="17.140625" style="0" customWidth="1"/>
    <col min="12" max="12" width="16.7109375" style="0" customWidth="1"/>
    <col min="13" max="13" width="11.421875" style="0" customWidth="1"/>
    <col min="14" max="14" width="17.28125" style="0" customWidth="1"/>
    <col min="15" max="15" width="17.140625" style="0" customWidth="1"/>
    <col min="16" max="16" width="16.7109375" style="0" customWidth="1"/>
    <col min="17" max="17" width="11.421875" style="0" customWidth="1"/>
    <col min="18" max="18" width="17.28125" style="0" customWidth="1"/>
    <col min="19" max="19" width="17.140625" style="0" customWidth="1"/>
    <col min="20" max="20" width="16.7109375" style="0" customWidth="1"/>
    <col min="21" max="21" width="11.421875" style="0" customWidth="1"/>
    <col min="22" max="22" width="17.28125" style="0" customWidth="1"/>
    <col min="23" max="23" width="17.140625" style="0" customWidth="1"/>
    <col min="24" max="24" width="16.7109375" style="0" customWidth="1"/>
    <col min="25" max="25" width="11.421875" style="0" customWidth="1"/>
    <col min="26" max="26" width="17.28125" style="0" customWidth="1"/>
    <col min="27" max="27" width="17.140625" style="0" customWidth="1"/>
    <col min="28" max="28" width="16.7109375" style="0" customWidth="1"/>
    <col min="29" max="29" width="11.421875" style="0" customWidth="1"/>
    <col min="30" max="30" width="17.28125" style="0" customWidth="1"/>
  </cols>
  <sheetData>
    <row r="1" spans="1:30" ht="15">
      <c r="A1" s="1856" t="s">
        <v>763</v>
      </c>
      <c r="B1" s="1856"/>
      <c r="C1" s="1856"/>
      <c r="D1" s="1856"/>
      <c r="E1" s="1856"/>
      <c r="F1" s="1856"/>
      <c r="G1" s="1856"/>
      <c r="H1" s="1856"/>
      <c r="I1" s="1856"/>
      <c r="J1" s="1856"/>
      <c r="K1" s="1856"/>
      <c r="L1" s="1856"/>
      <c r="M1" s="1856"/>
      <c r="N1" s="1856"/>
      <c r="O1" s="1856"/>
      <c r="P1" s="1856"/>
      <c r="Q1" s="1856"/>
      <c r="R1" s="1856"/>
      <c r="S1" s="1856"/>
      <c r="T1" s="1856"/>
      <c r="U1" s="1856"/>
      <c r="V1" s="1856"/>
      <c r="W1" s="1856"/>
      <c r="X1" s="1856"/>
      <c r="Y1" s="1856"/>
      <c r="Z1" s="1856"/>
      <c r="AA1" s="1856"/>
      <c r="AB1" s="1856"/>
      <c r="AC1" s="1856"/>
      <c r="AD1" s="1856"/>
    </row>
    <row r="2" spans="1:30" ht="12.75">
      <c r="A2" s="1604" t="s">
        <v>1226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  <c r="Q2" s="1604"/>
      <c r="R2" s="1604"/>
      <c r="S2" s="1604"/>
      <c r="T2" s="1604"/>
      <c r="U2" s="1604"/>
      <c r="V2" s="1604"/>
      <c r="W2" s="1604"/>
      <c r="X2" s="1604"/>
      <c r="Y2" s="1604"/>
      <c r="Z2" s="1604"/>
      <c r="AA2" s="1604"/>
      <c r="AB2" s="1604"/>
      <c r="AC2" s="1604"/>
      <c r="AD2" s="1604"/>
    </row>
    <row r="3" spans="1:30" ht="12.75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W3" s="921"/>
      <c r="X3" s="921"/>
      <c r="Y3" s="921"/>
      <c r="Z3" s="921"/>
      <c r="AA3" s="921"/>
      <c r="AB3" s="921"/>
      <c r="AC3" s="921"/>
      <c r="AD3" s="921"/>
    </row>
    <row r="4" spans="1:30" ht="29.25" customHeight="1">
      <c r="A4" s="1869" t="s">
        <v>764</v>
      </c>
      <c r="B4" s="1869"/>
      <c r="C4" s="1869"/>
      <c r="D4" s="1869"/>
      <c r="E4" s="1869"/>
      <c r="F4" s="1869"/>
      <c r="G4" s="1869"/>
      <c r="H4" s="1869"/>
      <c r="I4" s="1869"/>
      <c r="J4" s="1869"/>
      <c r="K4" s="1869"/>
      <c r="L4" s="1869"/>
      <c r="M4" s="1869"/>
      <c r="N4" s="1869"/>
      <c r="O4" s="1869"/>
      <c r="P4" s="1869"/>
      <c r="Q4" s="1869"/>
      <c r="R4" s="1869"/>
      <c r="S4" s="1869"/>
      <c r="T4" s="1869"/>
      <c r="U4" s="1869"/>
      <c r="V4" s="1869"/>
      <c r="W4" s="1869"/>
      <c r="X4" s="1869"/>
      <c r="Y4" s="1869"/>
      <c r="Z4" s="1869"/>
      <c r="AA4" s="1869"/>
      <c r="AB4" s="1869"/>
      <c r="AC4" s="1869"/>
      <c r="AD4" s="1869"/>
    </row>
    <row r="7" spans="6:30" ht="13.5" thickBot="1">
      <c r="F7" s="1100"/>
      <c r="J7" s="1100"/>
      <c r="N7" s="1100"/>
      <c r="R7" s="1100"/>
      <c r="V7" s="1100"/>
      <c r="Z7" s="1100"/>
      <c r="AD7" s="1100" t="s">
        <v>216</v>
      </c>
    </row>
    <row r="8" spans="1:30" ht="12.75">
      <c r="A8" s="1861" t="s">
        <v>747</v>
      </c>
      <c r="B8" s="1862"/>
      <c r="C8" s="1865" t="s">
        <v>548</v>
      </c>
      <c r="D8" s="1865"/>
      <c r="E8" s="1865"/>
      <c r="F8" s="1866"/>
      <c r="G8" s="1865" t="s">
        <v>1071</v>
      </c>
      <c r="H8" s="1865"/>
      <c r="I8" s="1865"/>
      <c r="J8" s="1866"/>
      <c r="K8" s="1865" t="s">
        <v>1131</v>
      </c>
      <c r="L8" s="1865"/>
      <c r="M8" s="1865"/>
      <c r="N8" s="1866"/>
      <c r="O8" s="1865" t="s">
        <v>1141</v>
      </c>
      <c r="P8" s="1865"/>
      <c r="Q8" s="1865"/>
      <c r="R8" s="1866"/>
      <c r="S8" s="1865" t="s">
        <v>1157</v>
      </c>
      <c r="T8" s="1865"/>
      <c r="U8" s="1865"/>
      <c r="V8" s="1866"/>
      <c r="W8" s="1865" t="s">
        <v>1158</v>
      </c>
      <c r="X8" s="1865"/>
      <c r="Y8" s="1865"/>
      <c r="Z8" s="1866"/>
      <c r="AA8" s="1865" t="s">
        <v>1181</v>
      </c>
      <c r="AB8" s="1865"/>
      <c r="AC8" s="1865"/>
      <c r="AD8" s="1866"/>
    </row>
    <row r="9" spans="1:30" s="4" customFormat="1" ht="48.75" customHeight="1" thickBot="1">
      <c r="A9" s="1863"/>
      <c r="B9" s="1864"/>
      <c r="C9" s="966" t="s">
        <v>748</v>
      </c>
      <c r="D9" s="966" t="s">
        <v>749</v>
      </c>
      <c r="E9" s="966" t="s">
        <v>750</v>
      </c>
      <c r="F9" s="967" t="s">
        <v>25</v>
      </c>
      <c r="G9" s="966" t="s">
        <v>748</v>
      </c>
      <c r="H9" s="966" t="s">
        <v>749</v>
      </c>
      <c r="I9" s="966" t="s">
        <v>750</v>
      </c>
      <c r="J9" s="967" t="s">
        <v>25</v>
      </c>
      <c r="K9" s="966" t="s">
        <v>748</v>
      </c>
      <c r="L9" s="966" t="s">
        <v>749</v>
      </c>
      <c r="M9" s="966" t="s">
        <v>750</v>
      </c>
      <c r="N9" s="967" t="s">
        <v>25</v>
      </c>
      <c r="O9" s="966" t="s">
        <v>748</v>
      </c>
      <c r="P9" s="966" t="s">
        <v>749</v>
      </c>
      <c r="Q9" s="966" t="s">
        <v>750</v>
      </c>
      <c r="R9" s="967" t="s">
        <v>25</v>
      </c>
      <c r="S9" s="966" t="s">
        <v>748</v>
      </c>
      <c r="T9" s="966" t="s">
        <v>749</v>
      </c>
      <c r="U9" s="966" t="s">
        <v>750</v>
      </c>
      <c r="V9" s="967" t="s">
        <v>25</v>
      </c>
      <c r="W9" s="966" t="s">
        <v>748</v>
      </c>
      <c r="X9" s="966" t="s">
        <v>749</v>
      </c>
      <c r="Y9" s="966" t="s">
        <v>750</v>
      </c>
      <c r="Z9" s="967" t="s">
        <v>25</v>
      </c>
      <c r="AA9" s="966" t="s">
        <v>748</v>
      </c>
      <c r="AB9" s="966" t="s">
        <v>749</v>
      </c>
      <c r="AC9" s="966" t="s">
        <v>750</v>
      </c>
      <c r="AD9" s="967" t="s">
        <v>25</v>
      </c>
    </row>
    <row r="10" spans="1:30" s="10" customFormat="1" ht="26.25" thickBot="1">
      <c r="A10" s="962" t="s">
        <v>165</v>
      </c>
      <c r="B10" s="963" t="s">
        <v>753</v>
      </c>
      <c r="C10" s="964">
        <f>SUM(C11)</f>
        <v>0</v>
      </c>
      <c r="D10" s="964">
        <f>SUM(D11)</f>
        <v>0</v>
      </c>
      <c r="E10" s="964">
        <v>0</v>
      </c>
      <c r="F10" s="965">
        <f>SUM(F11)</f>
        <v>0</v>
      </c>
      <c r="G10" s="964">
        <f>SUM(G11)</f>
        <v>0</v>
      </c>
      <c r="H10" s="964">
        <v>50000</v>
      </c>
      <c r="I10" s="964">
        <v>0</v>
      </c>
      <c r="J10" s="965">
        <v>50000</v>
      </c>
      <c r="K10" s="964">
        <f>SUM(K11)</f>
        <v>0</v>
      </c>
      <c r="L10" s="964">
        <v>50000</v>
      </c>
      <c r="M10" s="964">
        <v>0</v>
      </c>
      <c r="N10" s="965">
        <v>50000</v>
      </c>
      <c r="O10" s="964">
        <f>SUM(O11)</f>
        <v>0</v>
      </c>
      <c r="P10" s="964">
        <v>50000</v>
      </c>
      <c r="Q10" s="964">
        <v>0</v>
      </c>
      <c r="R10" s="965">
        <v>50000</v>
      </c>
      <c r="S10" s="964">
        <f>SUM(S11)</f>
        <v>0</v>
      </c>
      <c r="T10" s="964">
        <v>50000</v>
      </c>
      <c r="U10" s="964">
        <v>0</v>
      </c>
      <c r="V10" s="965">
        <v>50000</v>
      </c>
      <c r="W10" s="964">
        <f>SUM(W11)</f>
        <v>0</v>
      </c>
      <c r="X10" s="964">
        <v>130000</v>
      </c>
      <c r="Y10" s="964">
        <v>0</v>
      </c>
      <c r="Z10" s="965">
        <v>130000</v>
      </c>
      <c r="AA10" s="964">
        <f>SUM(AA11)</f>
        <v>0</v>
      </c>
      <c r="AB10" s="964">
        <v>130000</v>
      </c>
      <c r="AC10" s="964">
        <v>0</v>
      </c>
      <c r="AD10" s="965">
        <v>130000</v>
      </c>
    </row>
    <row r="11" spans="1:30" s="122" customFormat="1" ht="26.25" thickBot="1">
      <c r="A11" s="958"/>
      <c r="B11" s="931" t="s">
        <v>751</v>
      </c>
      <c r="C11" s="945">
        <v>0</v>
      </c>
      <c r="D11" s="945"/>
      <c r="E11" s="945"/>
      <c r="F11" s="945">
        <f aca="true" t="shared" si="0" ref="F11:F17">SUM(C11:E11)</f>
        <v>0</v>
      </c>
      <c r="G11" s="945">
        <v>0</v>
      </c>
      <c r="H11" s="945"/>
      <c r="I11" s="945"/>
      <c r="J11" s="945">
        <f aca="true" t="shared" si="1" ref="J11:J17">SUM(G11:I11)</f>
        <v>0</v>
      </c>
      <c r="K11" s="945">
        <v>0</v>
      </c>
      <c r="L11" s="945"/>
      <c r="M11" s="945"/>
      <c r="N11" s="945">
        <f>SUM(K11:M11)</f>
        <v>0</v>
      </c>
      <c r="O11" s="945">
        <v>0</v>
      </c>
      <c r="P11" s="945"/>
      <c r="Q11" s="945"/>
      <c r="R11" s="945">
        <f aca="true" t="shared" si="2" ref="R11:R17">SUM(O11:Q11)</f>
        <v>0</v>
      </c>
      <c r="S11" s="945">
        <v>0</v>
      </c>
      <c r="T11" s="945"/>
      <c r="U11" s="945"/>
      <c r="V11" s="945">
        <f aca="true" t="shared" si="3" ref="V11:V17">SUM(S11:U11)</f>
        <v>0</v>
      </c>
      <c r="W11" s="945">
        <v>0</v>
      </c>
      <c r="X11" s="945"/>
      <c r="Y11" s="945"/>
      <c r="Z11" s="945">
        <f aca="true" t="shared" si="4" ref="Z11:Z17">SUM(W11:Y11)</f>
        <v>0</v>
      </c>
      <c r="AA11" s="945">
        <v>0</v>
      </c>
      <c r="AB11" s="945"/>
      <c r="AC11" s="945"/>
      <c r="AD11" s="945">
        <f aca="true" t="shared" si="5" ref="AD11:AD17">SUM(AA11:AC11)</f>
        <v>0</v>
      </c>
    </row>
    <row r="12" spans="1:30" s="10" customFormat="1" ht="13.5" thickBot="1">
      <c r="A12" s="957" t="s">
        <v>167</v>
      </c>
      <c r="B12" s="933" t="s">
        <v>752</v>
      </c>
      <c r="C12" s="943">
        <f>SUM(C13:C17)</f>
        <v>0</v>
      </c>
      <c r="D12" s="943">
        <f>SUM(D13:D17)</f>
        <v>1400000</v>
      </c>
      <c r="E12" s="943">
        <v>0</v>
      </c>
      <c r="F12" s="944">
        <f t="shared" si="0"/>
        <v>1400000</v>
      </c>
      <c r="G12" s="943">
        <f>SUM(G13:G17)</f>
        <v>0</v>
      </c>
      <c r="H12" s="943">
        <f>SUM(H13:H17)</f>
        <v>1685000</v>
      </c>
      <c r="I12" s="943">
        <v>0</v>
      </c>
      <c r="J12" s="944">
        <f t="shared" si="1"/>
        <v>1685000</v>
      </c>
      <c r="K12" s="943">
        <f>SUM(K13:K17)</f>
        <v>0</v>
      </c>
      <c r="L12" s="943">
        <f>SUM(L13:L17)</f>
        <v>1685000</v>
      </c>
      <c r="M12" s="943">
        <v>0</v>
      </c>
      <c r="N12" s="944">
        <f>SUM(K12:M12)</f>
        <v>1685000</v>
      </c>
      <c r="O12" s="943">
        <f>SUM(O13:O17)</f>
        <v>0</v>
      </c>
      <c r="P12" s="943">
        <f>SUM(P13:P17)</f>
        <v>1685000</v>
      </c>
      <c r="Q12" s="943">
        <v>0</v>
      </c>
      <c r="R12" s="944">
        <f t="shared" si="2"/>
        <v>1685000</v>
      </c>
      <c r="S12" s="943">
        <f>SUM(S13:S17)</f>
        <v>0</v>
      </c>
      <c r="T12" s="943">
        <f>SUM(T13:T17)</f>
        <v>1685000</v>
      </c>
      <c r="U12" s="943">
        <v>0</v>
      </c>
      <c r="V12" s="944">
        <f t="shared" si="3"/>
        <v>1685000</v>
      </c>
      <c r="W12" s="943">
        <f>SUM(W13:W17)</f>
        <v>0</v>
      </c>
      <c r="X12" s="943">
        <v>1869838</v>
      </c>
      <c r="Y12" s="943">
        <v>0</v>
      </c>
      <c r="Z12" s="944">
        <f t="shared" si="4"/>
        <v>1869838</v>
      </c>
      <c r="AA12" s="943">
        <f>SUM(AA13:AA17)</f>
        <v>0</v>
      </c>
      <c r="AB12" s="943">
        <v>1869838</v>
      </c>
      <c r="AC12" s="943">
        <v>0</v>
      </c>
      <c r="AD12" s="944">
        <f t="shared" si="5"/>
        <v>1869838</v>
      </c>
    </row>
    <row r="13" spans="1:30" s="122" customFormat="1" ht="12.75">
      <c r="A13" s="959"/>
      <c r="B13" s="928" t="s">
        <v>754</v>
      </c>
      <c r="C13" s="946"/>
      <c r="D13" s="947">
        <v>1100000</v>
      </c>
      <c r="E13" s="947"/>
      <c r="F13" s="947">
        <f t="shared" si="0"/>
        <v>1100000</v>
      </c>
      <c r="G13" s="946"/>
      <c r="H13" s="947">
        <v>1100000</v>
      </c>
      <c r="I13" s="947"/>
      <c r="J13" s="947">
        <f t="shared" si="1"/>
        <v>1100000</v>
      </c>
      <c r="K13" s="946"/>
      <c r="L13" s="947">
        <v>1100000</v>
      </c>
      <c r="M13" s="947"/>
      <c r="N13" s="947">
        <f>SUM(K13:M13)</f>
        <v>1100000</v>
      </c>
      <c r="O13" s="946"/>
      <c r="P13" s="947">
        <v>1070000</v>
      </c>
      <c r="Q13" s="947"/>
      <c r="R13" s="947">
        <f t="shared" si="2"/>
        <v>1070000</v>
      </c>
      <c r="S13" s="946"/>
      <c r="T13" s="947">
        <v>1070000</v>
      </c>
      <c r="U13" s="947"/>
      <c r="V13" s="947">
        <f t="shared" si="3"/>
        <v>1070000</v>
      </c>
      <c r="W13" s="946"/>
      <c r="X13" s="947">
        <v>1229555</v>
      </c>
      <c r="Y13" s="947"/>
      <c r="Z13" s="947">
        <f t="shared" si="4"/>
        <v>1229555</v>
      </c>
      <c r="AA13" s="946"/>
      <c r="AB13" s="947">
        <v>1229555</v>
      </c>
      <c r="AC13" s="947"/>
      <c r="AD13" s="947">
        <f t="shared" si="5"/>
        <v>1229555</v>
      </c>
    </row>
    <row r="14" spans="1:30" s="122" customFormat="1" ht="25.5">
      <c r="A14" s="960"/>
      <c r="B14" s="926" t="s">
        <v>755</v>
      </c>
      <c r="C14" s="948"/>
      <c r="D14" s="941">
        <v>300000</v>
      </c>
      <c r="E14" s="941"/>
      <c r="F14" s="941">
        <f t="shared" si="0"/>
        <v>300000</v>
      </c>
      <c r="G14" s="948"/>
      <c r="H14" s="941">
        <v>300000</v>
      </c>
      <c r="I14" s="941"/>
      <c r="J14" s="941">
        <f t="shared" si="1"/>
        <v>300000</v>
      </c>
      <c r="K14" s="948"/>
      <c r="L14" s="941">
        <v>300000</v>
      </c>
      <c r="M14" s="941"/>
      <c r="N14" s="941">
        <f>SUM(K14:M14)</f>
        <v>300000</v>
      </c>
      <c r="O14" s="948"/>
      <c r="P14" s="941">
        <v>300000</v>
      </c>
      <c r="Q14" s="941"/>
      <c r="R14" s="941">
        <f t="shared" si="2"/>
        <v>300000</v>
      </c>
      <c r="S14" s="948"/>
      <c r="T14" s="941">
        <v>300000</v>
      </c>
      <c r="U14" s="941"/>
      <c r="V14" s="941">
        <f t="shared" si="3"/>
        <v>300000</v>
      </c>
      <c r="W14" s="948"/>
      <c r="X14" s="941">
        <v>332008</v>
      </c>
      <c r="Y14" s="941"/>
      <c r="Z14" s="941">
        <f t="shared" si="4"/>
        <v>332008</v>
      </c>
      <c r="AA14" s="948"/>
      <c r="AB14" s="941">
        <v>332008</v>
      </c>
      <c r="AC14" s="941"/>
      <c r="AD14" s="941">
        <f t="shared" si="5"/>
        <v>332008</v>
      </c>
    </row>
    <row r="15" spans="1:30" s="122" customFormat="1" ht="25.5">
      <c r="A15" s="960"/>
      <c r="B15" s="926" t="s">
        <v>756</v>
      </c>
      <c r="C15" s="948"/>
      <c r="D15" s="941"/>
      <c r="E15" s="941"/>
      <c r="F15" s="941">
        <f t="shared" si="0"/>
        <v>0</v>
      </c>
      <c r="G15" s="948"/>
      <c r="H15" s="941"/>
      <c r="I15" s="941"/>
      <c r="J15" s="941">
        <f t="shared" si="1"/>
        <v>0</v>
      </c>
      <c r="K15" s="948"/>
      <c r="L15" s="941"/>
      <c r="M15" s="941"/>
      <c r="N15" s="941">
        <f>SUM(K15:M15)</f>
        <v>0</v>
      </c>
      <c r="O15" s="948"/>
      <c r="P15" s="941"/>
      <c r="Q15" s="941"/>
      <c r="R15" s="941">
        <f t="shared" si="2"/>
        <v>0</v>
      </c>
      <c r="S15" s="948"/>
      <c r="T15" s="941"/>
      <c r="U15" s="941"/>
      <c r="V15" s="941">
        <f t="shared" si="3"/>
        <v>0</v>
      </c>
      <c r="W15" s="948"/>
      <c r="X15" s="941"/>
      <c r="Y15" s="941"/>
      <c r="Z15" s="941">
        <f t="shared" si="4"/>
        <v>0</v>
      </c>
      <c r="AA15" s="948"/>
      <c r="AB15" s="941"/>
      <c r="AC15" s="941"/>
      <c r="AD15" s="941">
        <f t="shared" si="5"/>
        <v>0</v>
      </c>
    </row>
    <row r="16" spans="1:30" s="122" customFormat="1" ht="12.75">
      <c r="A16" s="961"/>
      <c r="B16" s="940" t="s">
        <v>739</v>
      </c>
      <c r="C16" s="949"/>
      <c r="D16" s="942"/>
      <c r="E16" s="942"/>
      <c r="F16" s="942"/>
      <c r="G16" s="949"/>
      <c r="H16" s="942"/>
      <c r="I16" s="942"/>
      <c r="J16" s="942"/>
      <c r="K16" s="949"/>
      <c r="L16" s="942"/>
      <c r="M16" s="942"/>
      <c r="N16" s="942"/>
      <c r="O16" s="949"/>
      <c r="P16" s="942">
        <v>285000</v>
      </c>
      <c r="Q16" s="942"/>
      <c r="R16" s="941">
        <f t="shared" si="2"/>
        <v>285000</v>
      </c>
      <c r="S16" s="949"/>
      <c r="T16" s="942">
        <v>285000</v>
      </c>
      <c r="U16" s="942"/>
      <c r="V16" s="941">
        <f t="shared" si="3"/>
        <v>285000</v>
      </c>
      <c r="W16" s="949"/>
      <c r="X16" s="942">
        <v>285000</v>
      </c>
      <c r="Y16" s="942"/>
      <c r="Z16" s="941">
        <f t="shared" si="4"/>
        <v>285000</v>
      </c>
      <c r="AA16" s="949"/>
      <c r="AB16" s="942">
        <v>285000</v>
      </c>
      <c r="AC16" s="942"/>
      <c r="AD16" s="941">
        <f t="shared" si="5"/>
        <v>285000</v>
      </c>
    </row>
    <row r="17" spans="1:30" s="122" customFormat="1" ht="13.5" thickBot="1">
      <c r="A17" s="961"/>
      <c r="B17" s="940" t="s">
        <v>757</v>
      </c>
      <c r="C17" s="949"/>
      <c r="D17" s="942"/>
      <c r="E17" s="942"/>
      <c r="F17" s="942">
        <f t="shared" si="0"/>
        <v>0</v>
      </c>
      <c r="G17" s="949"/>
      <c r="H17" s="942">
        <v>285000</v>
      </c>
      <c r="I17" s="942"/>
      <c r="J17" s="942">
        <f t="shared" si="1"/>
        <v>285000</v>
      </c>
      <c r="K17" s="949"/>
      <c r="L17" s="942">
        <v>285000</v>
      </c>
      <c r="M17" s="942"/>
      <c r="N17" s="942">
        <f>SUM(K17:M17)</f>
        <v>285000</v>
      </c>
      <c r="O17" s="949"/>
      <c r="P17" s="942">
        <v>30000</v>
      </c>
      <c r="Q17" s="942"/>
      <c r="R17" s="942">
        <f t="shared" si="2"/>
        <v>30000</v>
      </c>
      <c r="S17" s="949"/>
      <c r="T17" s="942">
        <v>30000</v>
      </c>
      <c r="U17" s="942"/>
      <c r="V17" s="942">
        <f t="shared" si="3"/>
        <v>30000</v>
      </c>
      <c r="W17" s="949"/>
      <c r="X17" s="942">
        <v>23275</v>
      </c>
      <c r="Y17" s="942"/>
      <c r="Z17" s="942">
        <f t="shared" si="4"/>
        <v>23275</v>
      </c>
      <c r="AA17" s="949"/>
      <c r="AB17" s="942">
        <v>23275</v>
      </c>
      <c r="AC17" s="942"/>
      <c r="AD17" s="942">
        <f t="shared" si="5"/>
        <v>23275</v>
      </c>
    </row>
    <row r="18" spans="1:30" s="10" customFormat="1" ht="26.25" thickBot="1">
      <c r="A18" s="957" t="s">
        <v>174</v>
      </c>
      <c r="B18" s="930" t="s">
        <v>758</v>
      </c>
      <c r="C18" s="943"/>
      <c r="D18" s="943"/>
      <c r="E18" s="943"/>
      <c r="F18" s="944"/>
      <c r="G18" s="943"/>
      <c r="H18" s="943"/>
      <c r="I18" s="943"/>
      <c r="J18" s="944"/>
      <c r="K18" s="943"/>
      <c r="L18" s="943"/>
      <c r="M18" s="943"/>
      <c r="N18" s="944"/>
      <c r="O18" s="943"/>
      <c r="P18" s="943"/>
      <c r="Q18" s="943"/>
      <c r="R18" s="944"/>
      <c r="S18" s="943"/>
      <c r="T18" s="943"/>
      <c r="U18" s="943"/>
      <c r="V18" s="944"/>
      <c r="W18" s="943"/>
      <c r="X18" s="943"/>
      <c r="Y18" s="943"/>
      <c r="Z18" s="944"/>
      <c r="AA18" s="943"/>
      <c r="AB18" s="943"/>
      <c r="AC18" s="943"/>
      <c r="AD18" s="944"/>
    </row>
    <row r="19" spans="1:30" s="673" customFormat="1" ht="16.5" thickBot="1">
      <c r="A19" s="1867" t="s">
        <v>505</v>
      </c>
      <c r="B19" s="1868"/>
      <c r="C19" s="950">
        <f>SUM(C10+C12+C18)</f>
        <v>0</v>
      </c>
      <c r="D19" s="950">
        <f>SUM(D10+D12+D18)</f>
        <v>1400000</v>
      </c>
      <c r="E19" s="950">
        <v>0</v>
      </c>
      <c r="F19" s="951">
        <f>SUM(F10+F12+F18)</f>
        <v>1400000</v>
      </c>
      <c r="G19" s="950">
        <f>SUM(G10+G12+G18)</f>
        <v>0</v>
      </c>
      <c r="H19" s="950">
        <f>SUM(H10+H12+H18)</f>
        <v>1735000</v>
      </c>
      <c r="I19" s="950">
        <v>0</v>
      </c>
      <c r="J19" s="951">
        <f>SUM(J10+J12+J18)</f>
        <v>1735000</v>
      </c>
      <c r="K19" s="950">
        <f>SUM(K10+K12+K18)</f>
        <v>0</v>
      </c>
      <c r="L19" s="950">
        <f>SUM(L10+L12+L18)</f>
        <v>1735000</v>
      </c>
      <c r="M19" s="950">
        <v>0</v>
      </c>
      <c r="N19" s="951">
        <f>SUM(N10+N12+N18)</f>
        <v>1735000</v>
      </c>
      <c r="O19" s="950">
        <f>SUM(O10+O12+O18)</f>
        <v>0</v>
      </c>
      <c r="P19" s="950">
        <f>SUM(P10+P12+P18)</f>
        <v>1735000</v>
      </c>
      <c r="Q19" s="950">
        <v>0</v>
      </c>
      <c r="R19" s="951">
        <f>SUM(R10+R12+R18)</f>
        <v>1735000</v>
      </c>
      <c r="S19" s="950">
        <f>SUM(S10+S12+S18)</f>
        <v>0</v>
      </c>
      <c r="T19" s="950">
        <f>SUM(T10+T12+T18)</f>
        <v>1735000</v>
      </c>
      <c r="U19" s="950">
        <v>0</v>
      </c>
      <c r="V19" s="951">
        <f>SUM(V10+V12+V18)</f>
        <v>1735000</v>
      </c>
      <c r="W19" s="950">
        <f>SUM(W10+W12+W18)</f>
        <v>0</v>
      </c>
      <c r="X19" s="950">
        <f>SUM(X10+X12+X18)</f>
        <v>1999838</v>
      </c>
      <c r="Y19" s="950">
        <v>0</v>
      </c>
      <c r="Z19" s="951">
        <f>SUM(Z10+Z12+Z18)</f>
        <v>1999838</v>
      </c>
      <c r="AA19" s="950">
        <f>SUM(AA10+AA12+AA18)</f>
        <v>0</v>
      </c>
      <c r="AB19" s="950">
        <f>SUM(AB10+AB12+AB18)</f>
        <v>1999838</v>
      </c>
      <c r="AC19" s="950">
        <v>0</v>
      </c>
      <c r="AD19" s="951">
        <f>SUM(AD10+AD12+AD18)</f>
        <v>1999838</v>
      </c>
    </row>
    <row r="20" spans="1:30" ht="38.25">
      <c r="A20" s="932"/>
      <c r="B20" s="923" t="s">
        <v>759</v>
      </c>
      <c r="C20" s="952"/>
      <c r="D20" s="952">
        <v>522344</v>
      </c>
      <c r="E20" s="952"/>
      <c r="F20" s="952">
        <v>522344</v>
      </c>
      <c r="G20" s="952"/>
      <c r="H20" s="952">
        <v>522344</v>
      </c>
      <c r="I20" s="952"/>
      <c r="J20" s="952">
        <v>522344</v>
      </c>
      <c r="K20" s="952"/>
      <c r="L20" s="952">
        <v>522344</v>
      </c>
      <c r="M20" s="952"/>
      <c r="N20" s="952">
        <v>522344</v>
      </c>
      <c r="O20" s="952"/>
      <c r="P20" s="952">
        <v>522344</v>
      </c>
      <c r="Q20" s="952"/>
      <c r="R20" s="952">
        <v>522344</v>
      </c>
      <c r="S20" s="952">
        <v>522344</v>
      </c>
      <c r="T20" s="952"/>
      <c r="U20" s="952"/>
      <c r="V20" s="952">
        <v>522344</v>
      </c>
      <c r="W20" s="952">
        <v>522344</v>
      </c>
      <c r="X20" s="952"/>
      <c r="Y20" s="952"/>
      <c r="Z20" s="952">
        <v>522344</v>
      </c>
      <c r="AA20" s="952">
        <v>522344</v>
      </c>
      <c r="AB20" s="952"/>
      <c r="AC20" s="952"/>
      <c r="AD20" s="952">
        <v>522344</v>
      </c>
    </row>
    <row r="21" spans="1:30" ht="12.75">
      <c r="A21" s="503"/>
      <c r="B21" s="924" t="s">
        <v>760</v>
      </c>
      <c r="C21" s="777"/>
      <c r="D21" s="777">
        <v>522344</v>
      </c>
      <c r="E21" s="777"/>
      <c r="F21" s="777">
        <v>522344</v>
      </c>
      <c r="G21" s="777"/>
      <c r="H21" s="777">
        <v>522344</v>
      </c>
      <c r="I21" s="777"/>
      <c r="J21" s="777">
        <v>522344</v>
      </c>
      <c r="K21" s="777"/>
      <c r="L21" s="777">
        <v>522344</v>
      </c>
      <c r="M21" s="777"/>
      <c r="N21" s="777">
        <v>522344</v>
      </c>
      <c r="O21" s="777"/>
      <c r="P21" s="777">
        <v>522344</v>
      </c>
      <c r="Q21" s="777"/>
      <c r="R21" s="777">
        <v>522344</v>
      </c>
      <c r="S21" s="777">
        <v>522344</v>
      </c>
      <c r="T21" s="777"/>
      <c r="U21" s="777"/>
      <c r="V21" s="777">
        <v>522344</v>
      </c>
      <c r="W21" s="777">
        <v>522344</v>
      </c>
      <c r="X21" s="777"/>
      <c r="Y21" s="777"/>
      <c r="Z21" s="777">
        <v>522344</v>
      </c>
      <c r="AA21" s="777">
        <v>522344</v>
      </c>
      <c r="AB21" s="777"/>
      <c r="AC21" s="777"/>
      <c r="AD21" s="777">
        <v>522344</v>
      </c>
    </row>
    <row r="22" spans="1:30" ht="26.25" thickBot="1">
      <c r="A22" s="934"/>
      <c r="B22" s="935" t="s">
        <v>761</v>
      </c>
      <c r="C22" s="953">
        <v>92259126</v>
      </c>
      <c r="D22" s="953">
        <v>21658522</v>
      </c>
      <c r="E22" s="953"/>
      <c r="F22" s="953">
        <v>113917648</v>
      </c>
      <c r="G22" s="953">
        <v>92259126</v>
      </c>
      <c r="H22" s="953">
        <v>22490299</v>
      </c>
      <c r="I22" s="953"/>
      <c r="J22" s="953">
        <v>114749425</v>
      </c>
      <c r="K22" s="953">
        <v>92288367</v>
      </c>
      <c r="L22" s="953">
        <v>22490299</v>
      </c>
      <c r="M22" s="953"/>
      <c r="N22" s="953">
        <f>SUM(K22:L22)</f>
        <v>114778666</v>
      </c>
      <c r="O22" s="953">
        <v>92322546</v>
      </c>
      <c r="P22" s="953">
        <v>22490299</v>
      </c>
      <c r="Q22" s="953"/>
      <c r="R22" s="953">
        <f>SUM(O22:P22)</f>
        <v>114812845</v>
      </c>
      <c r="S22" s="953">
        <v>93729992</v>
      </c>
      <c r="T22" s="953">
        <v>22222621</v>
      </c>
      <c r="U22" s="953"/>
      <c r="V22" s="953">
        <f>SUM(S22:T22)</f>
        <v>115952613</v>
      </c>
      <c r="W22" s="953">
        <v>92702240</v>
      </c>
      <c r="X22" s="953">
        <v>21957783</v>
      </c>
      <c r="Y22" s="953"/>
      <c r="Z22" s="953">
        <f>SUM(W22:X22)</f>
        <v>114660023</v>
      </c>
      <c r="AA22" s="953">
        <v>92702240</v>
      </c>
      <c r="AB22" s="953">
        <v>21957783</v>
      </c>
      <c r="AC22" s="953"/>
      <c r="AD22" s="953">
        <f>SUM(AA22:AB22)</f>
        <v>114660023</v>
      </c>
    </row>
    <row r="23" spans="1:30" ht="32.25" thickBot="1">
      <c r="A23" s="937"/>
      <c r="B23" s="938" t="s">
        <v>762</v>
      </c>
      <c r="C23" s="954">
        <f aca="true" t="shared" si="6" ref="C23:J23">SUM(C21:C22)</f>
        <v>92259126</v>
      </c>
      <c r="D23" s="954">
        <f t="shared" si="6"/>
        <v>22180866</v>
      </c>
      <c r="E23" s="954">
        <f t="shared" si="6"/>
        <v>0</v>
      </c>
      <c r="F23" s="954">
        <f t="shared" si="6"/>
        <v>114439992</v>
      </c>
      <c r="G23" s="954">
        <f t="shared" si="6"/>
        <v>92259126</v>
      </c>
      <c r="H23" s="954">
        <f t="shared" si="6"/>
        <v>23012643</v>
      </c>
      <c r="I23" s="954">
        <f t="shared" si="6"/>
        <v>0</v>
      </c>
      <c r="J23" s="954">
        <f t="shared" si="6"/>
        <v>115271769</v>
      </c>
      <c r="K23" s="954">
        <f aca="true" t="shared" si="7" ref="K23:R23">SUM(K21:K22)</f>
        <v>92288367</v>
      </c>
      <c r="L23" s="954">
        <f t="shared" si="7"/>
        <v>23012643</v>
      </c>
      <c r="M23" s="954">
        <f t="shared" si="7"/>
        <v>0</v>
      </c>
      <c r="N23" s="954">
        <f t="shared" si="7"/>
        <v>115301010</v>
      </c>
      <c r="O23" s="954">
        <f t="shared" si="7"/>
        <v>92322546</v>
      </c>
      <c r="P23" s="954">
        <f t="shared" si="7"/>
        <v>23012643</v>
      </c>
      <c r="Q23" s="954">
        <f t="shared" si="7"/>
        <v>0</v>
      </c>
      <c r="R23" s="954">
        <f t="shared" si="7"/>
        <v>115335189</v>
      </c>
      <c r="S23" s="954">
        <f aca="true" t="shared" si="8" ref="S23:Z23">SUM(S21:S22)</f>
        <v>94252336</v>
      </c>
      <c r="T23" s="954">
        <f t="shared" si="8"/>
        <v>22222621</v>
      </c>
      <c r="U23" s="954">
        <f t="shared" si="8"/>
        <v>0</v>
      </c>
      <c r="V23" s="954">
        <f t="shared" si="8"/>
        <v>116474957</v>
      </c>
      <c r="W23" s="954">
        <f t="shared" si="8"/>
        <v>93224584</v>
      </c>
      <c r="X23" s="954">
        <f t="shared" si="8"/>
        <v>21957783</v>
      </c>
      <c r="Y23" s="954">
        <f t="shared" si="8"/>
        <v>0</v>
      </c>
      <c r="Z23" s="954">
        <f t="shared" si="8"/>
        <v>115182367</v>
      </c>
      <c r="AA23" s="954">
        <f>SUM(AA21:AA22)</f>
        <v>93224584</v>
      </c>
      <c r="AB23" s="954">
        <f>SUM(AB21:AB22)</f>
        <v>21957783</v>
      </c>
      <c r="AC23" s="954">
        <f>SUM(AC21:AC22)</f>
        <v>0</v>
      </c>
      <c r="AD23" s="954">
        <f>SUM(AD21:AD22)</f>
        <v>115182367</v>
      </c>
    </row>
    <row r="24" spans="1:30" ht="16.5" thickBot="1">
      <c r="A24" s="1859" t="s">
        <v>157</v>
      </c>
      <c r="B24" s="1860"/>
      <c r="C24" s="955">
        <f aca="true" t="shared" si="9" ref="C24:J24">SUM(C19+C23)</f>
        <v>92259126</v>
      </c>
      <c r="D24" s="955">
        <f t="shared" si="9"/>
        <v>23580866</v>
      </c>
      <c r="E24" s="955">
        <f t="shared" si="9"/>
        <v>0</v>
      </c>
      <c r="F24" s="956">
        <f t="shared" si="9"/>
        <v>115839992</v>
      </c>
      <c r="G24" s="955">
        <f t="shared" si="9"/>
        <v>92259126</v>
      </c>
      <c r="H24" s="955">
        <f t="shared" si="9"/>
        <v>24747643</v>
      </c>
      <c r="I24" s="955">
        <f t="shared" si="9"/>
        <v>0</v>
      </c>
      <c r="J24" s="956">
        <f t="shared" si="9"/>
        <v>117006769</v>
      </c>
      <c r="K24" s="955">
        <f aca="true" t="shared" si="10" ref="K24:R24">SUM(K19+K23)</f>
        <v>92288367</v>
      </c>
      <c r="L24" s="955">
        <f t="shared" si="10"/>
        <v>24747643</v>
      </c>
      <c r="M24" s="955">
        <f t="shared" si="10"/>
        <v>0</v>
      </c>
      <c r="N24" s="956">
        <f t="shared" si="10"/>
        <v>117036010</v>
      </c>
      <c r="O24" s="955">
        <f t="shared" si="10"/>
        <v>92322546</v>
      </c>
      <c r="P24" s="955">
        <f t="shared" si="10"/>
        <v>24747643</v>
      </c>
      <c r="Q24" s="955">
        <f t="shared" si="10"/>
        <v>0</v>
      </c>
      <c r="R24" s="956">
        <f t="shared" si="10"/>
        <v>117070189</v>
      </c>
      <c r="S24" s="955">
        <f aca="true" t="shared" si="11" ref="S24:Z24">SUM(S19+S23)</f>
        <v>94252336</v>
      </c>
      <c r="T24" s="955">
        <f t="shared" si="11"/>
        <v>23957621</v>
      </c>
      <c r="U24" s="955">
        <f t="shared" si="11"/>
        <v>0</v>
      </c>
      <c r="V24" s="956">
        <f t="shared" si="11"/>
        <v>118209957</v>
      </c>
      <c r="W24" s="955">
        <f t="shared" si="11"/>
        <v>93224584</v>
      </c>
      <c r="X24" s="955">
        <f t="shared" si="11"/>
        <v>23957621</v>
      </c>
      <c r="Y24" s="955">
        <f t="shared" si="11"/>
        <v>0</v>
      </c>
      <c r="Z24" s="956">
        <f t="shared" si="11"/>
        <v>117182205</v>
      </c>
      <c r="AA24" s="955">
        <f>SUM(AA19+AA23)</f>
        <v>93224584</v>
      </c>
      <c r="AB24" s="955">
        <f>SUM(AB19+AB23)</f>
        <v>23957621</v>
      </c>
      <c r="AC24" s="955">
        <f>SUM(AC19+AC23)</f>
        <v>0</v>
      </c>
      <c r="AD24" s="956">
        <f>SUM(AD19+AD23)</f>
        <v>117182205</v>
      </c>
    </row>
    <row r="25" spans="1:30" ht="12.75">
      <c r="A25" s="973" t="s">
        <v>165</v>
      </c>
      <c r="B25" s="924" t="s">
        <v>765</v>
      </c>
      <c r="C25" s="549">
        <f>SUM(2239195+56944464+330000+295863)</f>
        <v>59809522</v>
      </c>
      <c r="D25" s="549">
        <v>16182277</v>
      </c>
      <c r="E25" s="929"/>
      <c r="F25" s="549">
        <f>SUM(C25:E25)</f>
        <v>75991799</v>
      </c>
      <c r="G25" s="549">
        <f>SUM(2239195+56944464+330000+295863)</f>
        <v>59809522</v>
      </c>
      <c r="H25" s="549">
        <f>SUM(8209856+265497)+8402972</f>
        <v>16878325</v>
      </c>
      <c r="I25" s="929"/>
      <c r="J25" s="549">
        <f>SUM(G25:I25)</f>
        <v>76687847</v>
      </c>
      <c r="K25" s="549">
        <v>59833991</v>
      </c>
      <c r="L25" s="549">
        <f>SUM(8209856+265497)+8402972</f>
        <v>16878325</v>
      </c>
      <c r="M25" s="929"/>
      <c r="N25" s="549">
        <f>SUM(K25:M25)</f>
        <v>76712316</v>
      </c>
      <c r="O25" s="549">
        <v>59862593</v>
      </c>
      <c r="P25" s="549">
        <f>SUM(8209856+265497)+8402972</f>
        <v>16878325</v>
      </c>
      <c r="Q25" s="929"/>
      <c r="R25" s="549">
        <f>SUM(O25:Q25)</f>
        <v>76740918</v>
      </c>
      <c r="S25" s="549">
        <v>60399522</v>
      </c>
      <c r="T25" s="549">
        <v>16963796</v>
      </c>
      <c r="U25" s="929"/>
      <c r="V25" s="549">
        <f>SUM(S25:U25)</f>
        <v>77363318</v>
      </c>
      <c r="W25" s="549">
        <v>54906575</v>
      </c>
      <c r="X25" s="549">
        <v>16963796</v>
      </c>
      <c r="Y25" s="929"/>
      <c r="Z25" s="549">
        <f>SUM(W25:Y25)</f>
        <v>71870371</v>
      </c>
      <c r="AA25" s="549">
        <v>54906575</v>
      </c>
      <c r="AB25" s="549">
        <v>16963796</v>
      </c>
      <c r="AC25" s="929"/>
      <c r="AD25" s="549">
        <f>SUM(AA25:AC25)</f>
        <v>71870371</v>
      </c>
    </row>
    <row r="26" spans="1:30" ht="38.25">
      <c r="A26" s="974" t="s">
        <v>167</v>
      </c>
      <c r="B26" s="924" t="s">
        <v>766</v>
      </c>
      <c r="C26" s="519">
        <f>SUM(460009+11367902+64000+57693)</f>
        <v>11949604</v>
      </c>
      <c r="D26" s="519">
        <v>3210589</v>
      </c>
      <c r="E26" s="504"/>
      <c r="F26" s="549">
        <f>SUM(C26:E26)</f>
        <v>15160193</v>
      </c>
      <c r="G26" s="519">
        <f>SUM(460009+11367902+64000+57693)</f>
        <v>11949604</v>
      </c>
      <c r="H26" s="519">
        <f>SUM(1690854+1600921+54543)</f>
        <v>3346318</v>
      </c>
      <c r="I26" s="504"/>
      <c r="J26" s="549">
        <f>SUM(G26:I26)</f>
        <v>15295922</v>
      </c>
      <c r="K26" s="519">
        <v>11954376</v>
      </c>
      <c r="L26" s="519">
        <f>SUM(1690854+1600921+54543)</f>
        <v>3346318</v>
      </c>
      <c r="M26" s="504"/>
      <c r="N26" s="549">
        <f>SUM(K26:M26)</f>
        <v>15300694</v>
      </c>
      <c r="O26" s="519">
        <v>11959953</v>
      </c>
      <c r="P26" s="519">
        <f>SUM(1690854+1600921+54543)</f>
        <v>3346318</v>
      </c>
      <c r="Q26" s="504"/>
      <c r="R26" s="549">
        <f>SUM(O26:Q26)</f>
        <v>15306271</v>
      </c>
      <c r="S26" s="519">
        <v>12067814</v>
      </c>
      <c r="T26" s="519">
        <v>3359825</v>
      </c>
      <c r="U26" s="504"/>
      <c r="V26" s="549">
        <f>SUM(S26:U26)</f>
        <v>15427639</v>
      </c>
      <c r="W26" s="519">
        <v>17247364</v>
      </c>
      <c r="X26" s="519">
        <v>3359825</v>
      </c>
      <c r="Y26" s="504"/>
      <c r="Z26" s="549">
        <f>SUM(W26:Y26)</f>
        <v>20607189</v>
      </c>
      <c r="AA26" s="519">
        <v>17247364</v>
      </c>
      <c r="AB26" s="519">
        <v>3359825</v>
      </c>
      <c r="AC26" s="504"/>
      <c r="AD26" s="549">
        <f>SUM(AA26:AC26)</f>
        <v>20607189</v>
      </c>
    </row>
    <row r="27" spans="1:30" s="10" customFormat="1" ht="12.75">
      <c r="A27" s="974" t="s">
        <v>174</v>
      </c>
      <c r="B27" s="771" t="s">
        <v>767</v>
      </c>
      <c r="C27" s="519">
        <f>SUM(14000000+2500000+4500000)</f>
        <v>21000000</v>
      </c>
      <c r="D27" s="519">
        <v>3188000</v>
      </c>
      <c r="E27" s="519"/>
      <c r="F27" s="549">
        <f>SUM(C27:E27)</f>
        <v>24188000</v>
      </c>
      <c r="G27" s="519">
        <f>SUM(14000000+2500000+4500000)</f>
        <v>21000000</v>
      </c>
      <c r="H27" s="519">
        <v>3523000</v>
      </c>
      <c r="I27" s="519"/>
      <c r="J27" s="549">
        <f>SUM(G27:I27)</f>
        <v>24523000</v>
      </c>
      <c r="K27" s="519">
        <f>SUM(14000000+2500000+4500000)</f>
        <v>21000000</v>
      </c>
      <c r="L27" s="519">
        <v>3523000</v>
      </c>
      <c r="M27" s="519"/>
      <c r="N27" s="549">
        <f>SUM(K27:M27)</f>
        <v>24523000</v>
      </c>
      <c r="O27" s="519">
        <f>SUM(14000000+2500000+4500000)</f>
        <v>21000000</v>
      </c>
      <c r="P27" s="519">
        <v>3523000</v>
      </c>
      <c r="Q27" s="519"/>
      <c r="R27" s="549">
        <f>SUM(O27:Q27)</f>
        <v>24523000</v>
      </c>
      <c r="S27" s="519">
        <v>21285000</v>
      </c>
      <c r="T27" s="519">
        <v>3634000</v>
      </c>
      <c r="U27" s="519"/>
      <c r="V27" s="549">
        <f>SUM(S27:U27)</f>
        <v>24919000</v>
      </c>
      <c r="W27" s="519">
        <v>20253384</v>
      </c>
      <c r="X27" s="519">
        <v>3634000</v>
      </c>
      <c r="Y27" s="519"/>
      <c r="Z27" s="549">
        <f>SUM(W27:Y27)</f>
        <v>23887384</v>
      </c>
      <c r="AA27" s="519">
        <v>20253384</v>
      </c>
      <c r="AB27" s="519">
        <v>3634000</v>
      </c>
      <c r="AC27" s="519"/>
      <c r="AD27" s="549">
        <f>SUM(AA27:AC27)</f>
        <v>23887384</v>
      </c>
    </row>
    <row r="28" spans="1:30" s="10" customFormat="1" ht="12.75">
      <c r="A28" s="974" t="s">
        <v>184</v>
      </c>
      <c r="B28" s="771" t="s">
        <v>768</v>
      </c>
      <c r="C28" s="968">
        <f>SUM(C29:C30)</f>
        <v>0</v>
      </c>
      <c r="D28" s="968">
        <f>SUM(D29:D30)</f>
        <v>500000</v>
      </c>
      <c r="E28" s="968">
        <f>SUM(E29:E30)</f>
        <v>0</v>
      </c>
      <c r="F28" s="549">
        <f>SUM(C28:E28)</f>
        <v>500000</v>
      </c>
      <c r="G28" s="968">
        <f>SUM(G29:G30)</f>
        <v>0</v>
      </c>
      <c r="H28" s="968">
        <f>SUM(H29:H30)</f>
        <v>500000</v>
      </c>
      <c r="I28" s="968">
        <f>SUM(I29:I30)</f>
        <v>0</v>
      </c>
      <c r="J28" s="549">
        <f>SUM(G28:I28)</f>
        <v>500000</v>
      </c>
      <c r="K28" s="968">
        <f>SUM(K29:K30)</f>
        <v>0</v>
      </c>
      <c r="L28" s="968">
        <f>SUM(L29:L30)</f>
        <v>500000</v>
      </c>
      <c r="M28" s="968">
        <f>SUM(M29:M30)</f>
        <v>0</v>
      </c>
      <c r="N28" s="549">
        <f>SUM(K28:M28)</f>
        <v>500000</v>
      </c>
      <c r="O28" s="968">
        <f>SUM(O29:O30)</f>
        <v>0</v>
      </c>
      <c r="P28" s="968">
        <f>SUM(P29:P30)</f>
        <v>500000</v>
      </c>
      <c r="Q28" s="968">
        <f>SUM(Q29:Q30)</f>
        <v>0</v>
      </c>
      <c r="R28" s="549">
        <f>SUM(O28:Q28)</f>
        <v>500000</v>
      </c>
      <c r="S28" s="968">
        <f>SUM(S29:S30)</f>
        <v>500000</v>
      </c>
      <c r="T28" s="968">
        <f>SUM(T29:T30)</f>
        <v>0</v>
      </c>
      <c r="U28" s="968">
        <f>SUM(U29:U30)</f>
        <v>0</v>
      </c>
      <c r="V28" s="549">
        <f>SUM(S28:U28)</f>
        <v>500000</v>
      </c>
      <c r="W28" s="968">
        <v>817261</v>
      </c>
      <c r="X28" s="968">
        <f>SUM(X29:X30)</f>
        <v>0</v>
      </c>
      <c r="Y28" s="968">
        <f>SUM(Y29:Y30)</f>
        <v>0</v>
      </c>
      <c r="Z28" s="549">
        <f>SUM(W28:Y28)</f>
        <v>817261</v>
      </c>
      <c r="AA28" s="968">
        <v>817261</v>
      </c>
      <c r="AB28" s="968">
        <f>SUM(AB29:AB30)</f>
        <v>0</v>
      </c>
      <c r="AC28" s="968">
        <f>SUM(AC29:AC30)</f>
        <v>0</v>
      </c>
      <c r="AD28" s="549">
        <f>SUM(AA28:AC28)</f>
        <v>817261</v>
      </c>
    </row>
    <row r="29" spans="1:30" s="122" customFormat="1" ht="12.75">
      <c r="A29" s="925"/>
      <c r="B29" s="925" t="s">
        <v>132</v>
      </c>
      <c r="C29" s="546"/>
      <c r="D29" s="925">
        <v>500000</v>
      </c>
      <c r="E29" s="925"/>
      <c r="F29" s="549">
        <f>SUM(C29:E29)</f>
        <v>500000</v>
      </c>
      <c r="G29" s="546"/>
      <c r="H29" s="925">
        <v>500000</v>
      </c>
      <c r="I29" s="925"/>
      <c r="J29" s="549">
        <f>SUM(G29:I29)</f>
        <v>500000</v>
      </c>
      <c r="K29" s="546"/>
      <c r="L29" s="925">
        <v>500000</v>
      </c>
      <c r="M29" s="925"/>
      <c r="N29" s="549">
        <f>SUM(K29:M29)</f>
        <v>500000</v>
      </c>
      <c r="O29" s="546"/>
      <c r="P29" s="925">
        <v>500000</v>
      </c>
      <c r="Q29" s="925"/>
      <c r="R29" s="549">
        <f>SUM(O29:Q29)</f>
        <v>500000</v>
      </c>
      <c r="S29" s="546">
        <v>500000</v>
      </c>
      <c r="T29" s="925"/>
      <c r="U29" s="925"/>
      <c r="V29" s="549">
        <f>SUM(S29:U29)</f>
        <v>500000</v>
      </c>
      <c r="W29" s="546">
        <v>817261</v>
      </c>
      <c r="X29" s="925"/>
      <c r="Y29" s="925"/>
      <c r="Z29" s="549">
        <f>SUM(W29:Y29)</f>
        <v>817261</v>
      </c>
      <c r="AA29" s="546">
        <v>817261</v>
      </c>
      <c r="AB29" s="925"/>
      <c r="AC29" s="925"/>
      <c r="AD29" s="549">
        <f>SUM(AA29:AC29)</f>
        <v>817261</v>
      </c>
    </row>
    <row r="30" spans="1:30" s="122" customFormat="1" ht="13.5" thickBot="1">
      <c r="A30" s="939"/>
      <c r="B30" s="939" t="s">
        <v>134</v>
      </c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  <c r="N30" s="939"/>
      <c r="O30" s="939"/>
      <c r="P30" s="939"/>
      <c r="Q30" s="939"/>
      <c r="R30" s="939"/>
      <c r="S30" s="939"/>
      <c r="T30" s="939"/>
      <c r="U30" s="939"/>
      <c r="V30" s="939"/>
      <c r="W30" s="939"/>
      <c r="X30" s="939"/>
      <c r="Y30" s="939"/>
      <c r="Z30" s="939"/>
      <c r="AA30" s="939"/>
      <c r="AB30" s="939"/>
      <c r="AC30" s="939"/>
      <c r="AD30" s="939"/>
    </row>
    <row r="31" spans="1:30" ht="16.5" thickBot="1">
      <c r="A31" s="969"/>
      <c r="B31" s="970" t="s">
        <v>769</v>
      </c>
      <c r="C31" s="971">
        <f>SUM(C25:C28)</f>
        <v>92759126</v>
      </c>
      <c r="D31" s="971">
        <f>SUM(D25:D29)</f>
        <v>23580866</v>
      </c>
      <c r="E31" s="971">
        <f>SUM(E25:E28)</f>
        <v>0</v>
      </c>
      <c r="F31" s="972">
        <f>SUM(F25:F28)</f>
        <v>115839992</v>
      </c>
      <c r="G31" s="971">
        <f>SUM(G25:G28)</f>
        <v>92759126</v>
      </c>
      <c r="H31" s="971">
        <f>SUM(H25:H29)</f>
        <v>24747643</v>
      </c>
      <c r="I31" s="971">
        <f>SUM(I25:I28)</f>
        <v>0</v>
      </c>
      <c r="J31" s="972">
        <f>SUM(J25:J28)</f>
        <v>117006769</v>
      </c>
      <c r="K31" s="971">
        <f>SUM(K25:K28)</f>
        <v>92788367</v>
      </c>
      <c r="L31" s="971">
        <f>SUM(L25:L29)</f>
        <v>24747643</v>
      </c>
      <c r="M31" s="971">
        <f>SUM(M25:M28)</f>
        <v>0</v>
      </c>
      <c r="N31" s="972">
        <f>SUM(N25:N28)</f>
        <v>117036010</v>
      </c>
      <c r="O31" s="971">
        <f>SUM(O25:O28)</f>
        <v>92822546</v>
      </c>
      <c r="P31" s="971">
        <f>SUM(P25:P29)</f>
        <v>24747643</v>
      </c>
      <c r="Q31" s="971">
        <f>SUM(Q25:Q28)</f>
        <v>0</v>
      </c>
      <c r="R31" s="972">
        <f>SUM(R25:R28)</f>
        <v>117070189</v>
      </c>
      <c r="S31" s="971">
        <f>SUM(S25:S28)</f>
        <v>94252336</v>
      </c>
      <c r="T31" s="971">
        <f>SUM(T25:T29)</f>
        <v>23957621</v>
      </c>
      <c r="U31" s="971">
        <f>SUM(U25:U28)</f>
        <v>0</v>
      </c>
      <c r="V31" s="972">
        <f>SUM(V25:V28)</f>
        <v>118209957</v>
      </c>
      <c r="W31" s="971">
        <f>SUM(W25:W28)</f>
        <v>93224584</v>
      </c>
      <c r="X31" s="971">
        <f>SUM(X25:X29)</f>
        <v>23957621</v>
      </c>
      <c r="Y31" s="971">
        <f>SUM(Y25:Y28)</f>
        <v>0</v>
      </c>
      <c r="Z31" s="972">
        <f>SUM(Z25:Z28)</f>
        <v>117182205</v>
      </c>
      <c r="AA31" s="971">
        <f>SUM(AA25:AA28)</f>
        <v>93224584</v>
      </c>
      <c r="AB31" s="971">
        <f>SUM(AB25:AB29)</f>
        <v>23957621</v>
      </c>
      <c r="AC31" s="971">
        <f>SUM(AC25:AC28)</f>
        <v>0</v>
      </c>
      <c r="AD31" s="972">
        <f>SUM(AD25:AD28)</f>
        <v>117182205</v>
      </c>
    </row>
  </sheetData>
  <sheetProtection/>
  <mergeCells count="13">
    <mergeCell ref="AA8:AD8"/>
    <mergeCell ref="A2:AD2"/>
    <mergeCell ref="A1:AD1"/>
    <mergeCell ref="A4:AD4"/>
    <mergeCell ref="A24:B24"/>
    <mergeCell ref="A8:B9"/>
    <mergeCell ref="C8:F8"/>
    <mergeCell ref="K8:N8"/>
    <mergeCell ref="O8:R8"/>
    <mergeCell ref="W8:Z8"/>
    <mergeCell ref="S8:V8"/>
    <mergeCell ref="G8:J8"/>
    <mergeCell ref="A19:B1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28"/>
  <sheetViews>
    <sheetView showGridLines="0" view="pageBreakPreview" zoomScale="60"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2" sqref="A2:AD2"/>
    </sheetView>
  </sheetViews>
  <sheetFormatPr defaultColWidth="9.140625" defaultRowHeight="12.75"/>
  <cols>
    <col min="1" max="1" width="5.7109375" style="0" customWidth="1"/>
    <col min="2" max="2" width="34.421875" style="0" customWidth="1"/>
    <col min="3" max="3" width="16.421875" style="0" customWidth="1"/>
    <col min="4" max="4" width="16.7109375" style="0" customWidth="1"/>
    <col min="5" max="5" width="13.7109375" style="0" customWidth="1"/>
    <col min="6" max="6" width="17.28125" style="0" customWidth="1"/>
    <col min="7" max="7" width="16.421875" style="0" customWidth="1"/>
    <col min="8" max="8" width="16.7109375" style="0" customWidth="1"/>
    <col min="9" max="9" width="13.7109375" style="0" customWidth="1"/>
    <col min="10" max="10" width="17.28125" style="0" customWidth="1"/>
    <col min="11" max="11" width="16.421875" style="0" customWidth="1"/>
    <col min="12" max="12" width="16.7109375" style="0" customWidth="1"/>
    <col min="13" max="13" width="13.7109375" style="0" customWidth="1"/>
    <col min="14" max="14" width="17.28125" style="0" customWidth="1"/>
    <col min="15" max="15" width="16.421875" style="0" customWidth="1"/>
    <col min="16" max="16" width="16.7109375" style="0" customWidth="1"/>
    <col min="17" max="17" width="13.7109375" style="0" customWidth="1"/>
    <col min="18" max="18" width="17.28125" style="0" customWidth="1"/>
    <col min="19" max="19" width="16.421875" style="0" customWidth="1"/>
    <col min="20" max="20" width="16.7109375" style="0" customWidth="1"/>
    <col min="21" max="21" width="13.7109375" style="0" customWidth="1"/>
    <col min="22" max="22" width="17.28125" style="0" customWidth="1"/>
    <col min="23" max="23" width="16.421875" style="0" customWidth="1"/>
    <col min="24" max="24" width="16.7109375" style="0" customWidth="1"/>
    <col min="25" max="25" width="13.7109375" style="0" customWidth="1"/>
    <col min="26" max="26" width="17.28125" style="0" customWidth="1"/>
    <col min="27" max="27" width="22.140625" style="0" customWidth="1"/>
    <col min="28" max="28" width="16.7109375" style="0" customWidth="1"/>
    <col min="29" max="29" width="13.7109375" style="0" customWidth="1"/>
    <col min="30" max="30" width="17.28125" style="0" customWidth="1"/>
  </cols>
  <sheetData>
    <row r="1" spans="1:30" ht="15">
      <c r="A1" s="1870" t="s">
        <v>772</v>
      </c>
      <c r="B1" s="1870"/>
      <c r="C1" s="1870"/>
      <c r="D1" s="1870"/>
      <c r="E1" s="1870"/>
      <c r="F1" s="1870"/>
      <c r="G1" s="1870"/>
      <c r="H1" s="1870"/>
      <c r="I1" s="1870"/>
      <c r="J1" s="1870"/>
      <c r="K1" s="1870"/>
      <c r="L1" s="1870"/>
      <c r="M1" s="1870"/>
      <c r="N1" s="1870"/>
      <c r="O1" s="1870"/>
      <c r="P1" s="1870"/>
      <c r="Q1" s="1870"/>
      <c r="R1" s="1870"/>
      <c r="S1" s="1870"/>
      <c r="T1" s="1870"/>
      <c r="U1" s="1870"/>
      <c r="V1" s="1870"/>
      <c r="W1" s="1870"/>
      <c r="X1" s="1870"/>
      <c r="Y1" s="1870"/>
      <c r="Z1" s="1870"/>
      <c r="AA1" s="1870"/>
      <c r="AB1" s="1870"/>
      <c r="AC1" s="1870"/>
      <c r="AD1" s="1870"/>
    </row>
    <row r="2" spans="1:30" ht="12.75">
      <c r="A2" s="1604" t="s">
        <v>1226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  <c r="Q2" s="1604"/>
      <c r="R2" s="1604"/>
      <c r="S2" s="1604"/>
      <c r="T2" s="1604"/>
      <c r="U2" s="1604"/>
      <c r="V2" s="1604"/>
      <c r="W2" s="1604"/>
      <c r="X2" s="1604"/>
      <c r="Y2" s="1604"/>
      <c r="Z2" s="1604"/>
      <c r="AA2" s="1604"/>
      <c r="AB2" s="1604"/>
      <c r="AC2" s="1604"/>
      <c r="AD2" s="1604"/>
    </row>
    <row r="3" spans="1:30" ht="12.75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W3" s="921"/>
      <c r="X3" s="921"/>
      <c r="Y3" s="921"/>
      <c r="Z3" s="921"/>
      <c r="AA3" s="921"/>
      <c r="AB3" s="921"/>
      <c r="AC3" s="921"/>
      <c r="AD3" s="921"/>
    </row>
    <row r="4" spans="1:30" ht="12.75">
      <c r="A4" s="921"/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W4" s="921"/>
      <c r="X4" s="921"/>
      <c r="Y4" s="921"/>
      <c r="Z4" s="921"/>
      <c r="AA4" s="921"/>
      <c r="AB4" s="921"/>
      <c r="AC4" s="921"/>
      <c r="AD4" s="921"/>
    </row>
    <row r="5" spans="1:30" ht="12.75">
      <c r="A5" s="921"/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W5" s="921"/>
      <c r="X5" s="921"/>
      <c r="Y5" s="921"/>
      <c r="Z5" s="921"/>
      <c r="AA5" s="921"/>
      <c r="AB5" s="921"/>
      <c r="AC5" s="921"/>
      <c r="AD5" s="921"/>
    </row>
    <row r="6" spans="1:30" ht="29.25" customHeight="1">
      <c r="A6" s="1869" t="s">
        <v>855</v>
      </c>
      <c r="B6" s="1869"/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</row>
    <row r="9" spans="6:30" ht="13.5" thickBot="1">
      <c r="F9" s="1100"/>
      <c r="J9" s="1100"/>
      <c r="N9" s="1100"/>
      <c r="R9" s="1100"/>
      <c r="V9" s="1100"/>
      <c r="Z9" s="1100"/>
      <c r="AD9" s="1100" t="s">
        <v>216</v>
      </c>
    </row>
    <row r="10" spans="1:30" ht="12.75">
      <c r="A10" s="1861" t="s">
        <v>747</v>
      </c>
      <c r="B10" s="1862"/>
      <c r="C10" s="1865" t="s">
        <v>548</v>
      </c>
      <c r="D10" s="1865"/>
      <c r="E10" s="1865"/>
      <c r="F10" s="1866"/>
      <c r="G10" s="1865" t="s">
        <v>1070</v>
      </c>
      <c r="H10" s="1865"/>
      <c r="I10" s="1865"/>
      <c r="J10" s="1866"/>
      <c r="K10" s="1865" t="s">
        <v>1131</v>
      </c>
      <c r="L10" s="1865"/>
      <c r="M10" s="1865"/>
      <c r="N10" s="1866"/>
      <c r="O10" s="1865" t="s">
        <v>1141</v>
      </c>
      <c r="P10" s="1865"/>
      <c r="Q10" s="1865"/>
      <c r="R10" s="1866"/>
      <c r="S10" s="1865" t="s">
        <v>1148</v>
      </c>
      <c r="T10" s="1865"/>
      <c r="U10" s="1865"/>
      <c r="V10" s="1866"/>
      <c r="W10" s="1865" t="s">
        <v>1158</v>
      </c>
      <c r="X10" s="1865"/>
      <c r="Y10" s="1865"/>
      <c r="Z10" s="1866"/>
      <c r="AA10" s="1865" t="s">
        <v>1181</v>
      </c>
      <c r="AB10" s="1865"/>
      <c r="AC10" s="1865"/>
      <c r="AD10" s="1866"/>
    </row>
    <row r="11" spans="1:30" s="4" customFormat="1" ht="39.75" customHeight="1" thickBot="1">
      <c r="A11" s="1863"/>
      <c r="B11" s="1864"/>
      <c r="C11" s="966" t="s">
        <v>748</v>
      </c>
      <c r="D11" s="966" t="s">
        <v>749</v>
      </c>
      <c r="E11" s="966" t="s">
        <v>750</v>
      </c>
      <c r="F11" s="967" t="s">
        <v>25</v>
      </c>
      <c r="G11" s="966" t="s">
        <v>748</v>
      </c>
      <c r="H11" s="966" t="s">
        <v>749</v>
      </c>
      <c r="I11" s="966" t="s">
        <v>750</v>
      </c>
      <c r="J11" s="967" t="s">
        <v>25</v>
      </c>
      <c r="K11" s="966" t="s">
        <v>748</v>
      </c>
      <c r="L11" s="966" t="s">
        <v>749</v>
      </c>
      <c r="M11" s="966" t="s">
        <v>750</v>
      </c>
      <c r="N11" s="967" t="s">
        <v>25</v>
      </c>
      <c r="O11" s="966" t="s">
        <v>748</v>
      </c>
      <c r="P11" s="966" t="s">
        <v>749</v>
      </c>
      <c r="Q11" s="966" t="s">
        <v>750</v>
      </c>
      <c r="R11" s="967" t="s">
        <v>25</v>
      </c>
      <c r="S11" s="966" t="s">
        <v>748</v>
      </c>
      <c r="T11" s="966" t="s">
        <v>749</v>
      </c>
      <c r="U11" s="966" t="s">
        <v>750</v>
      </c>
      <c r="V11" s="967" t="s">
        <v>25</v>
      </c>
      <c r="W11" s="966" t="s">
        <v>748</v>
      </c>
      <c r="X11" s="966" t="s">
        <v>749</v>
      </c>
      <c r="Y11" s="966" t="s">
        <v>750</v>
      </c>
      <c r="Z11" s="967" t="s">
        <v>25</v>
      </c>
      <c r="AA11" s="966" t="s">
        <v>748</v>
      </c>
      <c r="AB11" s="966" t="s">
        <v>749</v>
      </c>
      <c r="AC11" s="966" t="s">
        <v>750</v>
      </c>
      <c r="AD11" s="967" t="s">
        <v>25</v>
      </c>
    </row>
    <row r="12" spans="1:30" s="10" customFormat="1" ht="13.5" thickBot="1">
      <c r="A12" s="957"/>
      <c r="B12" s="933" t="s">
        <v>752</v>
      </c>
      <c r="C12" s="943">
        <f>SUM(C13:C15)</f>
        <v>0</v>
      </c>
      <c r="D12" s="943">
        <f>SUM(D13:D15)</f>
        <v>500000</v>
      </c>
      <c r="E12" s="943">
        <v>0</v>
      </c>
      <c r="F12" s="944">
        <f>SUM(C12:E12)</f>
        <v>500000</v>
      </c>
      <c r="G12" s="943">
        <f>SUM(G13:G15)</f>
        <v>0</v>
      </c>
      <c r="H12" s="943">
        <f>SUM(H13:H15)</f>
        <v>500000</v>
      </c>
      <c r="I12" s="943">
        <v>0</v>
      </c>
      <c r="J12" s="944">
        <f>SUM(G12:I12)</f>
        <v>500000</v>
      </c>
      <c r="K12" s="943">
        <f>SUM(K13:K15)</f>
        <v>0</v>
      </c>
      <c r="L12" s="943">
        <f>SUM(L13:L15)</f>
        <v>500000</v>
      </c>
      <c r="M12" s="943">
        <v>0</v>
      </c>
      <c r="N12" s="944">
        <f>SUM(K12:M12)</f>
        <v>500000</v>
      </c>
      <c r="O12" s="943">
        <f>SUM(O13:O15)</f>
        <v>0</v>
      </c>
      <c r="P12" s="943">
        <f>SUM(P13:P15)</f>
        <v>500000</v>
      </c>
      <c r="Q12" s="943">
        <v>0</v>
      </c>
      <c r="R12" s="944">
        <f>SUM(O12:Q12)</f>
        <v>500000</v>
      </c>
      <c r="S12" s="943">
        <f>SUM(S13:S15)</f>
        <v>0</v>
      </c>
      <c r="T12" s="943">
        <f>SUM(T13:T15)</f>
        <v>500010</v>
      </c>
      <c r="U12" s="943">
        <v>0</v>
      </c>
      <c r="V12" s="944">
        <f>SUM(S12:U12)</f>
        <v>500010</v>
      </c>
      <c r="W12" s="943">
        <f>SUM(W13:W15)</f>
        <v>0</v>
      </c>
      <c r="X12" s="943">
        <f>SUM(X13:X15)</f>
        <v>617003</v>
      </c>
      <c r="Y12" s="943">
        <v>0</v>
      </c>
      <c r="Z12" s="944">
        <f>SUM(W12:Y12)</f>
        <v>617003</v>
      </c>
      <c r="AA12" s="943">
        <f>SUM(AA13:AA15)</f>
        <v>0</v>
      </c>
      <c r="AB12" s="943">
        <f>SUM(AB13:AB15)</f>
        <v>617003</v>
      </c>
      <c r="AC12" s="943">
        <v>0</v>
      </c>
      <c r="AD12" s="944">
        <f>SUM(AA12:AC12)</f>
        <v>617003</v>
      </c>
    </row>
    <row r="13" spans="1:30" s="122" customFormat="1" ht="12.75">
      <c r="A13" s="959"/>
      <c r="B13" s="923" t="s">
        <v>770</v>
      </c>
      <c r="C13" s="946"/>
      <c r="D13" s="947">
        <v>500000</v>
      </c>
      <c r="E13" s="947"/>
      <c r="F13" s="947">
        <f>SUM(C13:E13)</f>
        <v>500000</v>
      </c>
      <c r="G13" s="946"/>
      <c r="H13" s="947">
        <v>500000</v>
      </c>
      <c r="I13" s="947"/>
      <c r="J13" s="947">
        <f>SUM(G13:I13)</f>
        <v>500000</v>
      </c>
      <c r="K13" s="946"/>
      <c r="L13" s="947">
        <v>500000</v>
      </c>
      <c r="M13" s="947"/>
      <c r="N13" s="947">
        <f>SUM(K13:M13)</f>
        <v>500000</v>
      </c>
      <c r="O13" s="946"/>
      <c r="P13" s="947">
        <v>500000</v>
      </c>
      <c r="Q13" s="947"/>
      <c r="R13" s="947">
        <f>SUM(O13:Q13)</f>
        <v>500000</v>
      </c>
      <c r="S13" s="946"/>
      <c r="T13" s="947">
        <v>500000</v>
      </c>
      <c r="U13" s="947"/>
      <c r="V13" s="947">
        <f>SUM(S13:U13)</f>
        <v>500000</v>
      </c>
      <c r="W13" s="946"/>
      <c r="X13" s="947">
        <v>617000</v>
      </c>
      <c r="Y13" s="947"/>
      <c r="Z13" s="947">
        <f>SUM(W13:Y13)</f>
        <v>617000</v>
      </c>
      <c r="AA13" s="946"/>
      <c r="AB13" s="947">
        <v>617000</v>
      </c>
      <c r="AC13" s="947"/>
      <c r="AD13" s="947">
        <f>SUM(AA13:AC13)</f>
        <v>617000</v>
      </c>
    </row>
    <row r="14" spans="1:30" s="122" customFormat="1" ht="25.5">
      <c r="A14" s="960"/>
      <c r="B14" s="923" t="s">
        <v>756</v>
      </c>
      <c r="C14" s="948">
        <v>0</v>
      </c>
      <c r="D14" s="941"/>
      <c r="E14" s="941"/>
      <c r="F14" s="941">
        <f>SUM(C14:E14)</f>
        <v>0</v>
      </c>
      <c r="G14" s="948">
        <v>0</v>
      </c>
      <c r="H14" s="941"/>
      <c r="I14" s="941"/>
      <c r="J14" s="941">
        <f>SUM(G14:I14)</f>
        <v>0</v>
      </c>
      <c r="K14" s="948">
        <v>0</v>
      </c>
      <c r="L14" s="941"/>
      <c r="M14" s="941"/>
      <c r="N14" s="941">
        <f>SUM(K14:M14)</f>
        <v>0</v>
      </c>
      <c r="O14" s="948">
        <v>0</v>
      </c>
      <c r="P14" s="941"/>
      <c r="Q14" s="941"/>
      <c r="R14" s="941">
        <f>SUM(O14:Q14)</f>
        <v>0</v>
      </c>
      <c r="S14" s="948">
        <v>0</v>
      </c>
      <c r="T14" s="941"/>
      <c r="U14" s="941"/>
      <c r="V14" s="941">
        <f>SUM(S14:U14)</f>
        <v>0</v>
      </c>
      <c r="W14" s="948">
        <v>0</v>
      </c>
      <c r="X14" s="941"/>
      <c r="Y14" s="941"/>
      <c r="Z14" s="941">
        <f>SUM(W14:Y14)</f>
        <v>0</v>
      </c>
      <c r="AA14" s="948">
        <v>0</v>
      </c>
      <c r="AB14" s="941"/>
      <c r="AC14" s="941"/>
      <c r="AD14" s="941">
        <f>SUM(AA14:AC14)</f>
        <v>0</v>
      </c>
    </row>
    <row r="15" spans="1:30" s="122" customFormat="1" ht="13.5" thickBot="1">
      <c r="A15" s="960"/>
      <c r="B15" s="1159" t="s">
        <v>771</v>
      </c>
      <c r="C15" s="949">
        <v>0</v>
      </c>
      <c r="D15" s="942"/>
      <c r="E15" s="942"/>
      <c r="F15" s="942">
        <f>SUM(C15:E15)</f>
        <v>0</v>
      </c>
      <c r="G15" s="949">
        <v>0</v>
      </c>
      <c r="H15" s="942"/>
      <c r="I15" s="942"/>
      <c r="J15" s="942">
        <f>SUM(G15:I15)</f>
        <v>0</v>
      </c>
      <c r="K15" s="949">
        <v>0</v>
      </c>
      <c r="L15" s="942"/>
      <c r="M15" s="942"/>
      <c r="N15" s="942">
        <f>SUM(K15:M15)</f>
        <v>0</v>
      </c>
      <c r="O15" s="949">
        <v>0</v>
      </c>
      <c r="P15" s="942"/>
      <c r="Q15" s="942"/>
      <c r="R15" s="942">
        <f>SUM(O15:Q15)</f>
        <v>0</v>
      </c>
      <c r="S15" s="949">
        <v>0</v>
      </c>
      <c r="T15" s="942">
        <v>10</v>
      </c>
      <c r="U15" s="942"/>
      <c r="V15" s="942">
        <f>SUM(S15:U15)</f>
        <v>10</v>
      </c>
      <c r="W15" s="949">
        <v>0</v>
      </c>
      <c r="X15" s="942">
        <v>3</v>
      </c>
      <c r="Y15" s="942"/>
      <c r="Z15" s="942">
        <f>SUM(W15:Y15)</f>
        <v>3</v>
      </c>
      <c r="AA15" s="949">
        <v>0</v>
      </c>
      <c r="AB15" s="942">
        <v>3</v>
      </c>
      <c r="AC15" s="942"/>
      <c r="AD15" s="942">
        <f>SUM(AA15:AC15)</f>
        <v>3</v>
      </c>
    </row>
    <row r="16" spans="1:30" s="673" customFormat="1" ht="16.5" thickBot="1">
      <c r="A16" s="1162" t="s">
        <v>165</v>
      </c>
      <c r="B16" s="1160" t="s">
        <v>505</v>
      </c>
      <c r="C16" s="950">
        <f aca="true" t="shared" si="0" ref="C16:J16">SUM(C12)</f>
        <v>0</v>
      </c>
      <c r="D16" s="950">
        <f t="shared" si="0"/>
        <v>500000</v>
      </c>
      <c r="E16" s="950">
        <f t="shared" si="0"/>
        <v>0</v>
      </c>
      <c r="F16" s="950">
        <f t="shared" si="0"/>
        <v>500000</v>
      </c>
      <c r="G16" s="950">
        <f t="shared" si="0"/>
        <v>0</v>
      </c>
      <c r="H16" s="950">
        <f t="shared" si="0"/>
        <v>500000</v>
      </c>
      <c r="I16" s="950">
        <f t="shared" si="0"/>
        <v>0</v>
      </c>
      <c r="J16" s="950">
        <f t="shared" si="0"/>
        <v>500000</v>
      </c>
      <c r="K16" s="950">
        <f aca="true" t="shared" si="1" ref="K16:R16">SUM(K12)</f>
        <v>0</v>
      </c>
      <c r="L16" s="950">
        <f t="shared" si="1"/>
        <v>500000</v>
      </c>
      <c r="M16" s="950">
        <f t="shared" si="1"/>
        <v>0</v>
      </c>
      <c r="N16" s="950">
        <f t="shared" si="1"/>
        <v>500000</v>
      </c>
      <c r="O16" s="950">
        <f t="shared" si="1"/>
        <v>0</v>
      </c>
      <c r="P16" s="950">
        <f t="shared" si="1"/>
        <v>500000</v>
      </c>
      <c r="Q16" s="950">
        <f t="shared" si="1"/>
        <v>0</v>
      </c>
      <c r="R16" s="950">
        <f t="shared" si="1"/>
        <v>500000</v>
      </c>
      <c r="S16" s="950">
        <f aca="true" t="shared" si="2" ref="S16:Z16">SUM(S12)</f>
        <v>0</v>
      </c>
      <c r="T16" s="950">
        <f t="shared" si="2"/>
        <v>500010</v>
      </c>
      <c r="U16" s="950">
        <f t="shared" si="2"/>
        <v>0</v>
      </c>
      <c r="V16" s="950">
        <f t="shared" si="2"/>
        <v>500010</v>
      </c>
      <c r="W16" s="950">
        <f t="shared" si="2"/>
        <v>0</v>
      </c>
      <c r="X16" s="950">
        <f t="shared" si="2"/>
        <v>617003</v>
      </c>
      <c r="Y16" s="950">
        <f t="shared" si="2"/>
        <v>0</v>
      </c>
      <c r="Z16" s="950">
        <f t="shared" si="2"/>
        <v>617003</v>
      </c>
      <c r="AA16" s="950">
        <f>SUM(AA12)</f>
        <v>0</v>
      </c>
      <c r="AB16" s="950">
        <f>SUM(AB12)</f>
        <v>617003</v>
      </c>
      <c r="AC16" s="950">
        <f>SUM(AC12)</f>
        <v>0</v>
      </c>
      <c r="AD16" s="950">
        <f>SUM(AD12)</f>
        <v>617003</v>
      </c>
    </row>
    <row r="17" spans="1:30" ht="25.5">
      <c r="A17" s="503"/>
      <c r="B17" s="1159" t="s">
        <v>759</v>
      </c>
      <c r="C17" s="952"/>
      <c r="D17" s="952">
        <v>174226</v>
      </c>
      <c r="E17" s="952"/>
      <c r="F17" s="952">
        <v>174226</v>
      </c>
      <c r="G17" s="952"/>
      <c r="H17" s="952">
        <v>174226</v>
      </c>
      <c r="I17" s="952"/>
      <c r="J17" s="952">
        <v>174226</v>
      </c>
      <c r="K17" s="952"/>
      <c r="L17" s="952">
        <v>174226</v>
      </c>
      <c r="M17" s="952"/>
      <c r="N17" s="952">
        <v>174226</v>
      </c>
      <c r="O17" s="952"/>
      <c r="P17" s="952">
        <v>174226</v>
      </c>
      <c r="Q17" s="952"/>
      <c r="R17" s="952">
        <v>174226</v>
      </c>
      <c r="S17" s="952">
        <v>174226</v>
      </c>
      <c r="T17" s="952"/>
      <c r="U17" s="952"/>
      <c r="V17" s="952">
        <v>174226</v>
      </c>
      <c r="W17" s="952">
        <v>174226</v>
      </c>
      <c r="X17" s="952"/>
      <c r="Y17" s="952"/>
      <c r="Z17" s="952">
        <v>174226</v>
      </c>
      <c r="AA17" s="952">
        <v>174226</v>
      </c>
      <c r="AB17" s="952"/>
      <c r="AC17" s="952"/>
      <c r="AD17" s="952">
        <v>174226</v>
      </c>
    </row>
    <row r="18" spans="1:30" ht="12.75">
      <c r="A18" s="503"/>
      <c r="B18" s="1161" t="s">
        <v>760</v>
      </c>
      <c r="C18" s="777"/>
      <c r="D18" s="777">
        <v>174226</v>
      </c>
      <c r="E18" s="777"/>
      <c r="F18" s="777">
        <v>174226</v>
      </c>
      <c r="G18" s="777"/>
      <c r="H18" s="777">
        <v>174226</v>
      </c>
      <c r="I18" s="777"/>
      <c r="J18" s="777">
        <v>174226</v>
      </c>
      <c r="K18" s="777"/>
      <c r="L18" s="777">
        <v>174226</v>
      </c>
      <c r="M18" s="777"/>
      <c r="N18" s="777">
        <v>174226</v>
      </c>
      <c r="O18" s="777"/>
      <c r="P18" s="777">
        <v>174226</v>
      </c>
      <c r="Q18" s="777"/>
      <c r="R18" s="777">
        <v>174226</v>
      </c>
      <c r="S18" s="777">
        <v>174226</v>
      </c>
      <c r="T18" s="777"/>
      <c r="U18" s="777"/>
      <c r="V18" s="777">
        <v>174226</v>
      </c>
      <c r="W18" s="777">
        <v>174226</v>
      </c>
      <c r="X18" s="777"/>
      <c r="Y18" s="777"/>
      <c r="Z18" s="777">
        <v>174226</v>
      </c>
      <c r="AA18" s="777">
        <v>174226</v>
      </c>
      <c r="AB18" s="777"/>
      <c r="AC18" s="777"/>
      <c r="AD18" s="777">
        <v>174226</v>
      </c>
    </row>
    <row r="19" spans="1:30" ht="26.25" thickBot="1">
      <c r="A19" s="934"/>
      <c r="B19" s="935" t="s">
        <v>761</v>
      </c>
      <c r="C19" s="953">
        <v>15229452</v>
      </c>
      <c r="D19" s="953">
        <v>825774</v>
      </c>
      <c r="E19" s="953"/>
      <c r="F19" s="953">
        <f>SUM(C19:E19)</f>
        <v>16055226</v>
      </c>
      <c r="G19" s="953">
        <v>15229452</v>
      </c>
      <c r="H19" s="953">
        <v>825774</v>
      </c>
      <c r="I19" s="953"/>
      <c r="J19" s="953">
        <f>SUM(G19:I19)</f>
        <v>16055226</v>
      </c>
      <c r="K19" s="953">
        <v>15402933</v>
      </c>
      <c r="L19" s="953">
        <v>825774</v>
      </c>
      <c r="M19" s="953"/>
      <c r="N19" s="953">
        <f>SUM(K19:M19)</f>
        <v>16228707</v>
      </c>
      <c r="O19" s="953">
        <v>15470549</v>
      </c>
      <c r="P19" s="953">
        <v>825774</v>
      </c>
      <c r="Q19" s="953"/>
      <c r="R19" s="953">
        <f>SUM(O19:Q19)</f>
        <v>16296323</v>
      </c>
      <c r="S19" s="953">
        <v>15943798</v>
      </c>
      <c r="T19" s="953">
        <v>499990</v>
      </c>
      <c r="U19" s="953"/>
      <c r="V19" s="953">
        <f>SUM(S19:U19)</f>
        <v>16443788</v>
      </c>
      <c r="W19" s="953">
        <v>13534469</v>
      </c>
      <c r="X19" s="953"/>
      <c r="Y19" s="953"/>
      <c r="Z19" s="953">
        <f>SUM(W19:Y19)</f>
        <v>13534469</v>
      </c>
      <c r="AA19" s="953">
        <v>13534469</v>
      </c>
      <c r="AB19" s="953"/>
      <c r="AC19" s="953"/>
      <c r="AD19" s="953">
        <f>SUM(AA19:AC19)</f>
        <v>13534469</v>
      </c>
    </row>
    <row r="20" spans="1:30" ht="32.25" thickBot="1">
      <c r="A20" s="1158" t="s">
        <v>167</v>
      </c>
      <c r="B20" s="938" t="s">
        <v>762</v>
      </c>
      <c r="C20" s="954">
        <f>SUM(C19)</f>
        <v>15229452</v>
      </c>
      <c r="D20" s="954">
        <f>SUM(D18:D19)</f>
        <v>1000000</v>
      </c>
      <c r="E20" s="954">
        <f>SUM(E18:E19)</f>
        <v>0</v>
      </c>
      <c r="F20" s="954">
        <f>SUM(F18:F19)</f>
        <v>16229452</v>
      </c>
      <c r="G20" s="954">
        <f>SUM(G19)</f>
        <v>15229452</v>
      </c>
      <c r="H20" s="954">
        <f>SUM(H18:H19)</f>
        <v>1000000</v>
      </c>
      <c r="I20" s="954">
        <f>SUM(I18:I19)</f>
        <v>0</v>
      </c>
      <c r="J20" s="954">
        <f>SUM(J18:J19)</f>
        <v>16229452</v>
      </c>
      <c r="K20" s="954">
        <f>SUM(K19)</f>
        <v>15402933</v>
      </c>
      <c r="L20" s="954">
        <f>SUM(L18:L19)</f>
        <v>1000000</v>
      </c>
      <c r="M20" s="954">
        <f>SUM(M18:M19)</f>
        <v>0</v>
      </c>
      <c r="N20" s="954">
        <f>SUM(N18:N19)</f>
        <v>16402933</v>
      </c>
      <c r="O20" s="954">
        <f>SUM(O19)</f>
        <v>15470549</v>
      </c>
      <c r="P20" s="954">
        <f>SUM(P18:P19)</f>
        <v>1000000</v>
      </c>
      <c r="Q20" s="954">
        <f>SUM(Q18:Q19)</f>
        <v>0</v>
      </c>
      <c r="R20" s="954">
        <f>SUM(R18:R19)</f>
        <v>16470549</v>
      </c>
      <c r="S20" s="954">
        <f>SUM(S19)</f>
        <v>15943798</v>
      </c>
      <c r="T20" s="954">
        <f>SUM(T18:T19)</f>
        <v>499990</v>
      </c>
      <c r="U20" s="954">
        <f>SUM(U18:U19)</f>
        <v>0</v>
      </c>
      <c r="V20" s="954">
        <f>SUM(V18:V19)</f>
        <v>16618014</v>
      </c>
      <c r="W20" s="954">
        <f>SUM(W19)</f>
        <v>13534469</v>
      </c>
      <c r="X20" s="954">
        <f>SUM(X18:X19)</f>
        <v>0</v>
      </c>
      <c r="Y20" s="954">
        <f>SUM(Y18:Y19)</f>
        <v>0</v>
      </c>
      <c r="Z20" s="954">
        <f>SUM(Z18:Z19)</f>
        <v>13708695</v>
      </c>
      <c r="AA20" s="954">
        <f>SUM(AA19)</f>
        <v>13534469</v>
      </c>
      <c r="AB20" s="954">
        <f>SUM(AB18:AB19)</f>
        <v>0</v>
      </c>
      <c r="AC20" s="954">
        <f>SUM(AC18:AC19)</f>
        <v>0</v>
      </c>
      <c r="AD20" s="954">
        <f>SUM(AD18:AD19)</f>
        <v>13708695</v>
      </c>
    </row>
    <row r="21" spans="1:30" ht="16.5" thickBot="1">
      <c r="A21" s="1859" t="s">
        <v>157</v>
      </c>
      <c r="B21" s="1860"/>
      <c r="C21" s="955">
        <f aca="true" t="shared" si="3" ref="C21:J21">SUM(C16+C20)</f>
        <v>15229452</v>
      </c>
      <c r="D21" s="955">
        <f t="shared" si="3"/>
        <v>1500000</v>
      </c>
      <c r="E21" s="955">
        <f t="shared" si="3"/>
        <v>0</v>
      </c>
      <c r="F21" s="956">
        <f t="shared" si="3"/>
        <v>16729452</v>
      </c>
      <c r="G21" s="955">
        <f t="shared" si="3"/>
        <v>15229452</v>
      </c>
      <c r="H21" s="955">
        <f t="shared" si="3"/>
        <v>1500000</v>
      </c>
      <c r="I21" s="955">
        <f t="shared" si="3"/>
        <v>0</v>
      </c>
      <c r="J21" s="956">
        <f t="shared" si="3"/>
        <v>16729452</v>
      </c>
      <c r="K21" s="955">
        <f aca="true" t="shared" si="4" ref="K21:R21">SUM(K16+K20)</f>
        <v>15402933</v>
      </c>
      <c r="L21" s="955">
        <f t="shared" si="4"/>
        <v>1500000</v>
      </c>
      <c r="M21" s="955">
        <f t="shared" si="4"/>
        <v>0</v>
      </c>
      <c r="N21" s="956">
        <f t="shared" si="4"/>
        <v>16902933</v>
      </c>
      <c r="O21" s="955">
        <f t="shared" si="4"/>
        <v>15470549</v>
      </c>
      <c r="P21" s="955">
        <f t="shared" si="4"/>
        <v>1500000</v>
      </c>
      <c r="Q21" s="955">
        <f t="shared" si="4"/>
        <v>0</v>
      </c>
      <c r="R21" s="956">
        <f t="shared" si="4"/>
        <v>16970549</v>
      </c>
      <c r="S21" s="955">
        <f aca="true" t="shared" si="5" ref="S21:Z21">SUM(S16+S20)</f>
        <v>15943798</v>
      </c>
      <c r="T21" s="955">
        <f t="shared" si="5"/>
        <v>1000000</v>
      </c>
      <c r="U21" s="955">
        <f t="shared" si="5"/>
        <v>0</v>
      </c>
      <c r="V21" s="956">
        <f t="shared" si="5"/>
        <v>17118024</v>
      </c>
      <c r="W21" s="955">
        <f t="shared" si="5"/>
        <v>13534469</v>
      </c>
      <c r="X21" s="955">
        <f t="shared" si="5"/>
        <v>617003</v>
      </c>
      <c r="Y21" s="955">
        <f t="shared" si="5"/>
        <v>0</v>
      </c>
      <c r="Z21" s="956">
        <f t="shared" si="5"/>
        <v>14325698</v>
      </c>
      <c r="AA21" s="955">
        <f>SUM(AA16+AA20)</f>
        <v>13534469</v>
      </c>
      <c r="AB21" s="955">
        <f>SUM(AB16+AB20)</f>
        <v>617003</v>
      </c>
      <c r="AC21" s="955">
        <f>SUM(AC16+AC20)</f>
        <v>0</v>
      </c>
      <c r="AD21" s="956">
        <f>SUM(AD16+AD20)</f>
        <v>14325698</v>
      </c>
    </row>
    <row r="22" spans="1:30" ht="12.75">
      <c r="A22" s="973" t="s">
        <v>165</v>
      </c>
      <c r="B22" s="924" t="s">
        <v>765</v>
      </c>
      <c r="C22" s="549">
        <v>8674148</v>
      </c>
      <c r="D22" s="549"/>
      <c r="E22" s="929"/>
      <c r="F22" s="929">
        <f aca="true" t="shared" si="6" ref="F22:F27">SUM(C22:E22)</f>
        <v>8674148</v>
      </c>
      <c r="G22" s="549">
        <v>8674148</v>
      </c>
      <c r="H22" s="549"/>
      <c r="I22" s="929"/>
      <c r="J22" s="929">
        <f aca="true" t="shared" si="7" ref="J22:J27">SUM(G22:I22)</f>
        <v>8674148</v>
      </c>
      <c r="K22" s="549">
        <v>8819320</v>
      </c>
      <c r="L22" s="549"/>
      <c r="M22" s="929"/>
      <c r="N22" s="929">
        <f aca="true" t="shared" si="8" ref="N22:N27">SUM(K22:M22)</f>
        <v>8819320</v>
      </c>
      <c r="O22" s="549">
        <v>8875902</v>
      </c>
      <c r="P22" s="549"/>
      <c r="Q22" s="929"/>
      <c r="R22" s="929">
        <f aca="true" t="shared" si="9" ref="R22:R27">SUM(O22:Q22)</f>
        <v>8875902</v>
      </c>
      <c r="S22" s="549">
        <v>8999304</v>
      </c>
      <c r="T22" s="549"/>
      <c r="U22" s="929"/>
      <c r="V22" s="929">
        <f aca="true" t="shared" si="10" ref="V22:V27">SUM(S22:U22)</f>
        <v>8999304</v>
      </c>
      <c r="W22" s="549">
        <v>7693140</v>
      </c>
      <c r="X22" s="549"/>
      <c r="Y22" s="929"/>
      <c r="Z22" s="929">
        <f aca="true" t="shared" si="11" ref="Z22:Z27">SUM(W22:Y22)</f>
        <v>7693140</v>
      </c>
      <c r="AA22" s="549">
        <v>7693140</v>
      </c>
      <c r="AB22" s="549"/>
      <c r="AC22" s="929"/>
      <c r="AD22" s="929">
        <f aca="true" t="shared" si="12" ref="AD22:AD27">SUM(AA22:AC22)</f>
        <v>7693140</v>
      </c>
    </row>
    <row r="23" spans="1:30" ht="25.5">
      <c r="A23" s="974" t="s">
        <v>167</v>
      </c>
      <c r="B23" s="924" t="s">
        <v>766</v>
      </c>
      <c r="C23" s="519">
        <v>1714304</v>
      </c>
      <c r="D23" s="519"/>
      <c r="E23" s="504"/>
      <c r="F23" s="929">
        <f t="shared" si="6"/>
        <v>1714304</v>
      </c>
      <c r="G23" s="519">
        <v>1714304</v>
      </c>
      <c r="H23" s="519"/>
      <c r="I23" s="504"/>
      <c r="J23" s="929">
        <f t="shared" si="7"/>
        <v>1714304</v>
      </c>
      <c r="K23" s="519">
        <v>1742613</v>
      </c>
      <c r="L23" s="519"/>
      <c r="M23" s="504"/>
      <c r="N23" s="929">
        <f t="shared" si="8"/>
        <v>1742613</v>
      </c>
      <c r="O23" s="519">
        <v>1753647</v>
      </c>
      <c r="P23" s="519"/>
      <c r="Q23" s="504"/>
      <c r="R23" s="929">
        <f t="shared" si="9"/>
        <v>1753647</v>
      </c>
      <c r="S23" s="519">
        <v>1777710</v>
      </c>
      <c r="T23" s="519"/>
      <c r="U23" s="504"/>
      <c r="V23" s="929">
        <f t="shared" si="10"/>
        <v>1777710</v>
      </c>
      <c r="W23" s="519">
        <v>1553272</v>
      </c>
      <c r="X23" s="519"/>
      <c r="Y23" s="504"/>
      <c r="Z23" s="929">
        <f t="shared" si="11"/>
        <v>1553272</v>
      </c>
      <c r="AA23" s="519">
        <v>1553272</v>
      </c>
      <c r="AB23" s="519"/>
      <c r="AC23" s="504"/>
      <c r="AD23" s="929">
        <f t="shared" si="12"/>
        <v>1553272</v>
      </c>
    </row>
    <row r="24" spans="1:30" s="10" customFormat="1" ht="12.75">
      <c r="A24" s="974" t="s">
        <v>174</v>
      </c>
      <c r="B24" s="771" t="s">
        <v>767</v>
      </c>
      <c r="C24" s="519">
        <v>4841000</v>
      </c>
      <c r="D24" s="519">
        <v>1000000</v>
      </c>
      <c r="E24" s="519"/>
      <c r="F24" s="929">
        <f t="shared" si="6"/>
        <v>5841000</v>
      </c>
      <c r="G24" s="519">
        <v>4841000</v>
      </c>
      <c r="H24" s="519">
        <v>1000000</v>
      </c>
      <c r="I24" s="519"/>
      <c r="J24" s="929">
        <f t="shared" si="7"/>
        <v>5841000</v>
      </c>
      <c r="K24" s="519">
        <v>4841000</v>
      </c>
      <c r="L24" s="519">
        <v>1000000</v>
      </c>
      <c r="M24" s="519"/>
      <c r="N24" s="929">
        <f t="shared" si="8"/>
        <v>5841000</v>
      </c>
      <c r="O24" s="519">
        <v>4841000</v>
      </c>
      <c r="P24" s="519">
        <v>1000000</v>
      </c>
      <c r="Q24" s="519"/>
      <c r="R24" s="929">
        <f t="shared" si="9"/>
        <v>5841000</v>
      </c>
      <c r="S24" s="519">
        <v>4841000</v>
      </c>
      <c r="T24" s="519">
        <v>1000000</v>
      </c>
      <c r="U24" s="519"/>
      <c r="V24" s="929">
        <f t="shared" si="10"/>
        <v>5841000</v>
      </c>
      <c r="W24" s="519">
        <v>4398293</v>
      </c>
      <c r="X24" s="519">
        <v>617003</v>
      </c>
      <c r="Y24" s="519"/>
      <c r="Z24" s="929">
        <f t="shared" si="11"/>
        <v>5015296</v>
      </c>
      <c r="AA24" s="519">
        <v>4398293</v>
      </c>
      <c r="AB24" s="519">
        <v>617003</v>
      </c>
      <c r="AC24" s="519"/>
      <c r="AD24" s="929">
        <f t="shared" si="12"/>
        <v>5015296</v>
      </c>
    </row>
    <row r="25" spans="1:30" s="10" customFormat="1" ht="12.75">
      <c r="A25" s="974" t="s">
        <v>184</v>
      </c>
      <c r="B25" s="771" t="s">
        <v>768</v>
      </c>
      <c r="C25" s="968"/>
      <c r="D25" s="968">
        <f>SUM(D26:D27)</f>
        <v>500000</v>
      </c>
      <c r="E25" s="968">
        <f>SUM(E26:E27)</f>
        <v>0</v>
      </c>
      <c r="F25" s="929">
        <f t="shared" si="6"/>
        <v>500000</v>
      </c>
      <c r="G25" s="968"/>
      <c r="H25" s="968">
        <f>SUM(H26:H27)</f>
        <v>500000</v>
      </c>
      <c r="I25" s="968">
        <f>SUM(I26:I27)</f>
        <v>0</v>
      </c>
      <c r="J25" s="929">
        <f t="shared" si="7"/>
        <v>500000</v>
      </c>
      <c r="K25" s="968"/>
      <c r="L25" s="968">
        <f>SUM(L26:L27)</f>
        <v>500000</v>
      </c>
      <c r="M25" s="968">
        <f>SUM(M26:M27)</f>
        <v>0</v>
      </c>
      <c r="N25" s="929">
        <f t="shared" si="8"/>
        <v>500000</v>
      </c>
      <c r="O25" s="968"/>
      <c r="P25" s="968">
        <f>SUM(P26:P27)</f>
        <v>500000</v>
      </c>
      <c r="Q25" s="968">
        <f>SUM(Q26:Q27)</f>
        <v>0</v>
      </c>
      <c r="R25" s="929">
        <f t="shared" si="9"/>
        <v>500000</v>
      </c>
      <c r="S25" s="968">
        <v>500000</v>
      </c>
      <c r="T25" s="968"/>
      <c r="U25" s="968">
        <f>SUM(U26:U27)</f>
        <v>0</v>
      </c>
      <c r="V25" s="929">
        <f t="shared" si="10"/>
        <v>500000</v>
      </c>
      <c r="W25" s="968">
        <v>63990</v>
      </c>
      <c r="X25" s="968"/>
      <c r="Y25" s="968">
        <f>SUM(Y26:Y27)</f>
        <v>0</v>
      </c>
      <c r="Z25" s="929">
        <f t="shared" si="11"/>
        <v>63990</v>
      </c>
      <c r="AA25" s="968">
        <v>63990</v>
      </c>
      <c r="AB25" s="968"/>
      <c r="AC25" s="968">
        <f>SUM(AC26:AC27)</f>
        <v>0</v>
      </c>
      <c r="AD25" s="929">
        <f t="shared" si="12"/>
        <v>63990</v>
      </c>
    </row>
    <row r="26" spans="1:30" s="122" customFormat="1" ht="12.75">
      <c r="A26" s="925"/>
      <c r="B26" s="925" t="s">
        <v>132</v>
      </c>
      <c r="C26" s="546"/>
      <c r="D26" s="925">
        <v>500000</v>
      </c>
      <c r="E26" s="925"/>
      <c r="F26" s="929">
        <f t="shared" si="6"/>
        <v>500000</v>
      </c>
      <c r="G26" s="546"/>
      <c r="H26" s="925">
        <v>500000</v>
      </c>
      <c r="I26" s="925"/>
      <c r="J26" s="929">
        <f t="shared" si="7"/>
        <v>500000</v>
      </c>
      <c r="K26" s="546"/>
      <c r="L26" s="925">
        <v>500000</v>
      </c>
      <c r="M26" s="925"/>
      <c r="N26" s="929">
        <f t="shared" si="8"/>
        <v>500000</v>
      </c>
      <c r="O26" s="546"/>
      <c r="P26" s="925">
        <v>500000</v>
      </c>
      <c r="Q26" s="925"/>
      <c r="R26" s="929">
        <f t="shared" si="9"/>
        <v>500000</v>
      </c>
      <c r="S26" s="546">
        <v>500000</v>
      </c>
      <c r="T26" s="925"/>
      <c r="U26" s="925"/>
      <c r="V26" s="929">
        <f t="shared" si="10"/>
        <v>500000</v>
      </c>
      <c r="W26" s="546">
        <v>63990</v>
      </c>
      <c r="X26" s="925"/>
      <c r="Y26" s="925"/>
      <c r="Z26" s="929">
        <f t="shared" si="11"/>
        <v>63990</v>
      </c>
      <c r="AA26" s="546">
        <v>63990</v>
      </c>
      <c r="AB26" s="925"/>
      <c r="AC26" s="925"/>
      <c r="AD26" s="929">
        <f t="shared" si="12"/>
        <v>63990</v>
      </c>
    </row>
    <row r="27" spans="1:30" s="122" customFormat="1" ht="13.5" thickBot="1">
      <c r="A27" s="939"/>
      <c r="B27" s="939" t="s">
        <v>134</v>
      </c>
      <c r="C27" s="723"/>
      <c r="D27" s="939"/>
      <c r="E27" s="939"/>
      <c r="F27" s="929">
        <f t="shared" si="6"/>
        <v>0</v>
      </c>
      <c r="G27" s="723"/>
      <c r="H27" s="939"/>
      <c r="I27" s="939"/>
      <c r="J27" s="929">
        <f t="shared" si="7"/>
        <v>0</v>
      </c>
      <c r="K27" s="723"/>
      <c r="L27" s="939"/>
      <c r="M27" s="939"/>
      <c r="N27" s="929">
        <f t="shared" si="8"/>
        <v>0</v>
      </c>
      <c r="O27" s="723"/>
      <c r="P27" s="939"/>
      <c r="Q27" s="939"/>
      <c r="R27" s="929">
        <f t="shared" si="9"/>
        <v>0</v>
      </c>
      <c r="S27" s="723"/>
      <c r="T27" s="939"/>
      <c r="U27" s="939"/>
      <c r="V27" s="929">
        <f t="shared" si="10"/>
        <v>0</v>
      </c>
      <c r="W27" s="723"/>
      <c r="X27" s="939"/>
      <c r="Y27" s="939"/>
      <c r="Z27" s="929">
        <f t="shared" si="11"/>
        <v>0</v>
      </c>
      <c r="AA27" s="723"/>
      <c r="AB27" s="939"/>
      <c r="AC27" s="939"/>
      <c r="AD27" s="929">
        <f t="shared" si="12"/>
        <v>0</v>
      </c>
    </row>
    <row r="28" spans="1:30" ht="16.5" thickBot="1">
      <c r="A28" s="969"/>
      <c r="B28" s="970" t="s">
        <v>769</v>
      </c>
      <c r="C28" s="971">
        <f aca="true" t="shared" si="13" ref="C28:J28">SUM(C22:C25)</f>
        <v>15229452</v>
      </c>
      <c r="D28" s="971">
        <f t="shared" si="13"/>
        <v>1500000</v>
      </c>
      <c r="E28" s="971">
        <f t="shared" si="13"/>
        <v>0</v>
      </c>
      <c r="F28" s="972">
        <f t="shared" si="13"/>
        <v>16729452</v>
      </c>
      <c r="G28" s="971">
        <f t="shared" si="13"/>
        <v>15229452</v>
      </c>
      <c r="H28" s="971">
        <f t="shared" si="13"/>
        <v>1500000</v>
      </c>
      <c r="I28" s="971">
        <f t="shared" si="13"/>
        <v>0</v>
      </c>
      <c r="J28" s="972">
        <f t="shared" si="13"/>
        <v>16729452</v>
      </c>
      <c r="K28" s="971">
        <f aca="true" t="shared" si="14" ref="K28:R28">SUM(K22:K25)</f>
        <v>15402933</v>
      </c>
      <c r="L28" s="971">
        <f t="shared" si="14"/>
        <v>1500000</v>
      </c>
      <c r="M28" s="971">
        <f t="shared" si="14"/>
        <v>0</v>
      </c>
      <c r="N28" s="972">
        <f t="shared" si="14"/>
        <v>16902933</v>
      </c>
      <c r="O28" s="971">
        <f t="shared" si="14"/>
        <v>15470549</v>
      </c>
      <c r="P28" s="971">
        <f t="shared" si="14"/>
        <v>1500000</v>
      </c>
      <c r="Q28" s="971">
        <f t="shared" si="14"/>
        <v>0</v>
      </c>
      <c r="R28" s="972">
        <f t="shared" si="14"/>
        <v>16970549</v>
      </c>
      <c r="S28" s="971">
        <f>SUM(S22:S26)</f>
        <v>16618014</v>
      </c>
      <c r="T28" s="971">
        <f>SUM(T22:T25)</f>
        <v>1000000</v>
      </c>
      <c r="U28" s="971">
        <f>SUM(U22:U25)</f>
        <v>0</v>
      </c>
      <c r="V28" s="972">
        <f>SUM(V22:V25)</f>
        <v>17118014</v>
      </c>
      <c r="W28" s="971">
        <f>SUM(W22:W26)</f>
        <v>13772685</v>
      </c>
      <c r="X28" s="971">
        <f>SUM(X22:X25)</f>
        <v>617003</v>
      </c>
      <c r="Y28" s="971">
        <f>SUM(Y22:Y25)</f>
        <v>0</v>
      </c>
      <c r="Z28" s="972">
        <f>SUM(Z22:Z25)</f>
        <v>14325698</v>
      </c>
      <c r="AA28" s="971">
        <f>SUM(AA22:AA26)</f>
        <v>13772685</v>
      </c>
      <c r="AB28" s="971">
        <f>SUM(AB22:AB25)</f>
        <v>617003</v>
      </c>
      <c r="AC28" s="971">
        <f>SUM(AC22:AC25)</f>
        <v>0</v>
      </c>
      <c r="AD28" s="972">
        <f>SUM(AD22:AD25)</f>
        <v>14325698</v>
      </c>
    </row>
  </sheetData>
  <sheetProtection/>
  <mergeCells count="12">
    <mergeCell ref="K10:N10"/>
    <mergeCell ref="G10:J10"/>
    <mergeCell ref="AA10:AD10"/>
    <mergeCell ref="A6:AD6"/>
    <mergeCell ref="A2:AD2"/>
    <mergeCell ref="A1:AD1"/>
    <mergeCell ref="A21:B21"/>
    <mergeCell ref="A10:B11"/>
    <mergeCell ref="C10:F10"/>
    <mergeCell ref="O10:R10"/>
    <mergeCell ref="S10:V10"/>
    <mergeCell ref="W10:Z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2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AD31"/>
  <sheetViews>
    <sheetView showGridLines="0" zoomScalePageLayoutView="0" workbookViewId="0" topLeftCell="A1">
      <pane xSplit="2" topLeftCell="W1" activePane="topRight" state="frozen"/>
      <selection pane="topLeft" activeCell="A4" sqref="A4"/>
      <selection pane="topRight" activeCell="A2" sqref="A2:AD2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5.28125" style="0" customWidth="1"/>
    <col min="4" max="4" width="16.7109375" style="0" customWidth="1"/>
    <col min="5" max="5" width="16.8515625" style="0" customWidth="1"/>
    <col min="6" max="6" width="17.28125" style="0" customWidth="1"/>
    <col min="7" max="7" width="15.28125" style="0" customWidth="1"/>
    <col min="8" max="8" width="16.7109375" style="0" customWidth="1"/>
    <col min="9" max="9" width="16.8515625" style="0" customWidth="1"/>
    <col min="10" max="10" width="17.28125" style="0" customWidth="1"/>
    <col min="11" max="11" width="15.28125" style="0" customWidth="1"/>
    <col min="12" max="12" width="16.7109375" style="0" customWidth="1"/>
    <col min="13" max="13" width="16.8515625" style="0" customWidth="1"/>
    <col min="14" max="14" width="17.28125" style="0" customWidth="1"/>
    <col min="15" max="15" width="15.28125" style="0" customWidth="1"/>
    <col min="16" max="16" width="16.7109375" style="0" customWidth="1"/>
    <col min="17" max="17" width="16.8515625" style="0" customWidth="1"/>
    <col min="18" max="18" width="17.28125" style="0" customWidth="1"/>
    <col min="19" max="19" width="15.28125" style="0" customWidth="1"/>
    <col min="20" max="20" width="16.7109375" style="0" customWidth="1"/>
    <col min="21" max="21" width="16.8515625" style="0" customWidth="1"/>
    <col min="22" max="22" width="17.28125" style="0" customWidth="1"/>
    <col min="23" max="23" width="17.421875" style="0" customWidth="1"/>
    <col min="24" max="24" width="16.7109375" style="0" customWidth="1"/>
    <col min="25" max="25" width="16.8515625" style="0" customWidth="1"/>
    <col min="26" max="26" width="17.28125" style="0" customWidth="1"/>
    <col min="27" max="27" width="17.421875" style="0" customWidth="1"/>
    <col min="28" max="28" width="16.7109375" style="0" customWidth="1"/>
    <col min="29" max="29" width="16.8515625" style="0" customWidth="1"/>
    <col min="30" max="30" width="17.28125" style="0" customWidth="1"/>
  </cols>
  <sheetData>
    <row r="1" spans="1:30" ht="15">
      <c r="A1" s="1856" t="s">
        <v>774</v>
      </c>
      <c r="B1" s="1856"/>
      <c r="C1" s="1856"/>
      <c r="D1" s="1856"/>
      <c r="E1" s="1856"/>
      <c r="F1" s="1856"/>
      <c r="G1" s="1856"/>
      <c r="H1" s="1856"/>
      <c r="I1" s="1856"/>
      <c r="J1" s="1856"/>
      <c r="K1" s="1856"/>
      <c r="L1" s="1856"/>
      <c r="M1" s="1856"/>
      <c r="N1" s="1856"/>
      <c r="O1" s="1856"/>
      <c r="P1" s="1856"/>
      <c r="Q1" s="1856"/>
      <c r="R1" s="1856"/>
      <c r="S1" s="1856"/>
      <c r="T1" s="1856"/>
      <c r="U1" s="1856"/>
      <c r="V1" s="1856"/>
      <c r="W1" s="1856"/>
      <c r="X1" s="1856"/>
      <c r="Y1" s="1856"/>
      <c r="Z1" s="1856"/>
      <c r="AA1" s="1856"/>
      <c r="AB1" s="1856"/>
      <c r="AC1" s="1856"/>
      <c r="AD1" s="1856"/>
    </row>
    <row r="2" spans="1:30" ht="12.75">
      <c r="A2" s="1604" t="s">
        <v>1226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  <c r="Q2" s="1604"/>
      <c r="R2" s="1604"/>
      <c r="S2" s="1604"/>
      <c r="T2" s="1604"/>
      <c r="U2" s="1604"/>
      <c r="V2" s="1604"/>
      <c r="W2" s="1604"/>
      <c r="X2" s="1604"/>
      <c r="Y2" s="1604"/>
      <c r="Z2" s="1604"/>
      <c r="AA2" s="1604"/>
      <c r="AB2" s="1604"/>
      <c r="AC2" s="1604"/>
      <c r="AD2" s="1604"/>
    </row>
    <row r="3" spans="1:30" ht="12.75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W3" s="921"/>
      <c r="X3" s="921"/>
      <c r="Y3" s="921"/>
      <c r="Z3" s="921"/>
      <c r="AA3" s="921"/>
      <c r="AB3" s="921"/>
      <c r="AC3" s="921"/>
      <c r="AD3" s="921"/>
    </row>
    <row r="4" spans="1:30" ht="12.75">
      <c r="A4" s="921"/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W4" s="921"/>
      <c r="X4" s="921"/>
      <c r="Y4" s="921"/>
      <c r="Z4" s="921"/>
      <c r="AA4" s="921"/>
      <c r="AB4" s="921"/>
      <c r="AC4" s="921"/>
      <c r="AD4" s="921"/>
    </row>
    <row r="5" spans="1:30" ht="12.75">
      <c r="A5" s="921"/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W5" s="921"/>
      <c r="X5" s="921"/>
      <c r="Y5" s="921"/>
      <c r="Z5" s="921"/>
      <c r="AA5" s="921"/>
      <c r="AB5" s="921"/>
      <c r="AC5" s="921"/>
      <c r="AD5" s="921"/>
    </row>
    <row r="6" spans="1:30" ht="29.25" customHeight="1">
      <c r="A6" s="1598" t="s">
        <v>773</v>
      </c>
      <c r="B6" s="1598"/>
      <c r="C6" s="1598"/>
      <c r="D6" s="1598"/>
      <c r="E6" s="1598"/>
      <c r="F6" s="1598"/>
      <c r="G6" s="1598"/>
      <c r="H6" s="1598"/>
      <c r="I6" s="1598"/>
      <c r="J6" s="1598"/>
      <c r="K6" s="1598"/>
      <c r="L6" s="1598"/>
      <c r="M6" s="1598"/>
      <c r="N6" s="1598"/>
      <c r="O6" s="1598"/>
      <c r="P6" s="1598"/>
      <c r="Q6" s="1598"/>
      <c r="R6" s="1598"/>
      <c r="S6" s="1598"/>
      <c r="T6" s="1598"/>
      <c r="U6" s="1598"/>
      <c r="V6" s="1598"/>
      <c r="W6" s="1598"/>
      <c r="X6" s="1598"/>
      <c r="Y6" s="1598"/>
      <c r="Z6" s="1598"/>
      <c r="AA6" s="1598"/>
      <c r="AB6" s="1598"/>
      <c r="AC6" s="1598"/>
      <c r="AD6" s="1598"/>
    </row>
    <row r="9" spans="6:30" ht="13.5" thickBot="1">
      <c r="F9" s="1100"/>
      <c r="J9" s="1100"/>
      <c r="N9" s="1100"/>
      <c r="R9" s="1100"/>
      <c r="V9" s="1100"/>
      <c r="Z9" s="1100"/>
      <c r="AD9" s="1100" t="s">
        <v>216</v>
      </c>
    </row>
    <row r="10" spans="1:30" ht="12.75">
      <c r="A10" s="1861" t="s">
        <v>747</v>
      </c>
      <c r="B10" s="1862"/>
      <c r="C10" s="1865" t="s">
        <v>548</v>
      </c>
      <c r="D10" s="1865"/>
      <c r="E10" s="1865"/>
      <c r="F10" s="1866"/>
      <c r="G10" s="1865" t="s">
        <v>1070</v>
      </c>
      <c r="H10" s="1865"/>
      <c r="I10" s="1865"/>
      <c r="J10" s="1866"/>
      <c r="K10" s="1865" t="s">
        <v>1131</v>
      </c>
      <c r="L10" s="1865"/>
      <c r="M10" s="1865"/>
      <c r="N10" s="1866"/>
      <c r="O10" s="1865" t="s">
        <v>1141</v>
      </c>
      <c r="P10" s="1865"/>
      <c r="Q10" s="1865"/>
      <c r="R10" s="1866"/>
      <c r="S10" s="1865" t="s">
        <v>1148</v>
      </c>
      <c r="T10" s="1865"/>
      <c r="U10" s="1865"/>
      <c r="V10" s="1866"/>
      <c r="W10" s="1865" t="s">
        <v>1158</v>
      </c>
      <c r="X10" s="1865"/>
      <c r="Y10" s="1865"/>
      <c r="Z10" s="1866"/>
      <c r="AA10" s="1865" t="s">
        <v>1181</v>
      </c>
      <c r="AB10" s="1865"/>
      <c r="AC10" s="1865"/>
      <c r="AD10" s="1866"/>
    </row>
    <row r="11" spans="1:30" s="4" customFormat="1" ht="26.25" customHeight="1" thickBot="1">
      <c r="A11" s="1863"/>
      <c r="B11" s="1864"/>
      <c r="C11" s="966" t="s">
        <v>748</v>
      </c>
      <c r="D11" s="966" t="s">
        <v>749</v>
      </c>
      <c r="E11" s="966" t="s">
        <v>750</v>
      </c>
      <c r="F11" s="967" t="s">
        <v>25</v>
      </c>
      <c r="G11" s="966" t="s">
        <v>748</v>
      </c>
      <c r="H11" s="966" t="s">
        <v>749</v>
      </c>
      <c r="I11" s="966" t="s">
        <v>750</v>
      </c>
      <c r="J11" s="967" t="s">
        <v>25</v>
      </c>
      <c r="K11" s="966" t="s">
        <v>748</v>
      </c>
      <c r="L11" s="966" t="s">
        <v>749</v>
      </c>
      <c r="M11" s="966" t="s">
        <v>750</v>
      </c>
      <c r="N11" s="967" t="s">
        <v>25</v>
      </c>
      <c r="O11" s="966" t="s">
        <v>748</v>
      </c>
      <c r="P11" s="966" t="s">
        <v>749</v>
      </c>
      <c r="Q11" s="966" t="s">
        <v>750</v>
      </c>
      <c r="R11" s="967" t="s">
        <v>25</v>
      </c>
      <c r="S11" s="966" t="s">
        <v>748</v>
      </c>
      <c r="T11" s="966" t="s">
        <v>749</v>
      </c>
      <c r="U11" s="966" t="s">
        <v>750</v>
      </c>
      <c r="V11" s="967" t="s">
        <v>25</v>
      </c>
      <c r="W11" s="966" t="s">
        <v>748</v>
      </c>
      <c r="X11" s="966" t="s">
        <v>749</v>
      </c>
      <c r="Y11" s="966" t="s">
        <v>750</v>
      </c>
      <c r="Z11" s="967" t="s">
        <v>25</v>
      </c>
      <c r="AA11" s="966" t="s">
        <v>748</v>
      </c>
      <c r="AB11" s="966" t="s">
        <v>749</v>
      </c>
      <c r="AC11" s="966" t="s">
        <v>750</v>
      </c>
      <c r="AD11" s="967" t="s">
        <v>25</v>
      </c>
    </row>
    <row r="12" spans="1:30" s="10" customFormat="1" ht="13.5" thickBot="1">
      <c r="A12" s="957" t="s">
        <v>165</v>
      </c>
      <c r="B12" s="933" t="s">
        <v>752</v>
      </c>
      <c r="C12" s="943">
        <f>SUM(C13:C15)</f>
        <v>0</v>
      </c>
      <c r="D12" s="943">
        <f>SUM(D13:D17)</f>
        <v>460000</v>
      </c>
      <c r="E12" s="943">
        <f>SUM(E13:E17)</f>
        <v>0</v>
      </c>
      <c r="F12" s="943">
        <f>SUM(F13:F17)</f>
        <v>460000</v>
      </c>
      <c r="G12" s="943">
        <f>SUM(G13:G15)</f>
        <v>0</v>
      </c>
      <c r="H12" s="943">
        <f>SUM(H13:H17)</f>
        <v>993000</v>
      </c>
      <c r="I12" s="943">
        <f>SUM(I13:I17)</f>
        <v>0</v>
      </c>
      <c r="J12" s="943">
        <f>SUM(J13:J17)</f>
        <v>993000</v>
      </c>
      <c r="K12" s="943">
        <f>SUM(K13:K15)</f>
        <v>0</v>
      </c>
      <c r="L12" s="943">
        <f>SUM(L13:L17)</f>
        <v>993000</v>
      </c>
      <c r="M12" s="943">
        <f>SUM(M13:M17)</f>
        <v>0</v>
      </c>
      <c r="N12" s="943">
        <f>SUM(N13:N17)</f>
        <v>993000</v>
      </c>
      <c r="O12" s="943">
        <f>SUM(O13:O15)</f>
        <v>0</v>
      </c>
      <c r="P12" s="943">
        <f>SUM(P13:P17)</f>
        <v>1313000</v>
      </c>
      <c r="Q12" s="943">
        <f>SUM(Q13:Q17)</f>
        <v>0</v>
      </c>
      <c r="R12" s="943">
        <f>SUM(R13:R17)</f>
        <v>1313000</v>
      </c>
      <c r="S12" s="943">
        <f>SUM(S13:S15)</f>
        <v>0</v>
      </c>
      <c r="T12" s="943">
        <f>SUM(T13:T17)</f>
        <v>1563000</v>
      </c>
      <c r="U12" s="943">
        <f>SUM(U13:U17)</f>
        <v>0</v>
      </c>
      <c r="V12" s="943">
        <f>SUM(V13:V17)</f>
        <v>1563000</v>
      </c>
      <c r="W12" s="943">
        <f>SUM(W13:W15)</f>
        <v>0</v>
      </c>
      <c r="X12" s="943">
        <f>SUM(X13:X17)</f>
        <v>1738790</v>
      </c>
      <c r="Y12" s="943">
        <f>SUM(Y13:Y17)</f>
        <v>0</v>
      </c>
      <c r="Z12" s="943">
        <f>SUM(Z13:Z17)</f>
        <v>1738790</v>
      </c>
      <c r="AA12" s="943">
        <f>SUM(AA13:AA15)</f>
        <v>0</v>
      </c>
      <c r="AB12" s="943">
        <f>SUM(AB13:AB17)</f>
        <v>1738790</v>
      </c>
      <c r="AC12" s="943">
        <f>SUM(AC13:AC17)</f>
        <v>0</v>
      </c>
      <c r="AD12" s="943">
        <f>SUM(AD13:AD17)</f>
        <v>1738790</v>
      </c>
    </row>
    <row r="13" spans="1:30" s="122" customFormat="1" ht="12.75">
      <c r="A13" s="959"/>
      <c r="B13" s="923" t="s">
        <v>770</v>
      </c>
      <c r="C13" s="946"/>
      <c r="D13" s="947">
        <v>20000</v>
      </c>
      <c r="E13" s="947"/>
      <c r="F13" s="947">
        <f>SUM(C13:E13)</f>
        <v>20000</v>
      </c>
      <c r="G13" s="946"/>
      <c r="H13" s="947">
        <v>20000</v>
      </c>
      <c r="I13" s="947"/>
      <c r="J13" s="947">
        <f>SUM(G13:I13)</f>
        <v>20000</v>
      </c>
      <c r="K13" s="946"/>
      <c r="L13" s="947">
        <v>20000</v>
      </c>
      <c r="M13" s="947"/>
      <c r="N13" s="947">
        <f>SUM(K13:M13)</f>
        <v>20000</v>
      </c>
      <c r="O13" s="946"/>
      <c r="P13" s="947">
        <v>170000</v>
      </c>
      <c r="Q13" s="947"/>
      <c r="R13" s="947">
        <f>SUM(O13:Q13)</f>
        <v>170000</v>
      </c>
      <c r="S13" s="946"/>
      <c r="T13" s="947">
        <v>240000</v>
      </c>
      <c r="U13" s="947"/>
      <c r="V13" s="947">
        <f>SUM(S13:U13)</f>
        <v>240000</v>
      </c>
      <c r="W13" s="946"/>
      <c r="X13" s="947">
        <v>211001</v>
      </c>
      <c r="Y13" s="947"/>
      <c r="Z13" s="947">
        <f>SUM(W13:Y13)</f>
        <v>211001</v>
      </c>
      <c r="AA13" s="946"/>
      <c r="AB13" s="947">
        <v>211001</v>
      </c>
      <c r="AC13" s="947"/>
      <c r="AD13" s="947">
        <f>SUM(AA13:AC13)</f>
        <v>211001</v>
      </c>
    </row>
    <row r="14" spans="1:30" s="122" customFormat="1" ht="25.5">
      <c r="A14" s="960"/>
      <c r="B14" s="923" t="s">
        <v>775</v>
      </c>
      <c r="C14" s="948"/>
      <c r="D14" s="941">
        <v>340000</v>
      </c>
      <c r="E14" s="941"/>
      <c r="F14" s="941">
        <f>SUM(C14:E14)</f>
        <v>340000</v>
      </c>
      <c r="G14" s="948"/>
      <c r="H14" s="941">
        <v>340000</v>
      </c>
      <c r="I14" s="941"/>
      <c r="J14" s="941">
        <f>SUM(G14:I14)</f>
        <v>340000</v>
      </c>
      <c r="K14" s="948"/>
      <c r="L14" s="941">
        <v>340000</v>
      </c>
      <c r="M14" s="941"/>
      <c r="N14" s="941">
        <f>SUM(K14:M14)</f>
        <v>340000</v>
      </c>
      <c r="O14" s="948"/>
      <c r="P14" s="941">
        <v>470000</v>
      </c>
      <c r="Q14" s="941"/>
      <c r="R14" s="941">
        <f>SUM(O14:Q14)</f>
        <v>470000</v>
      </c>
      <c r="S14" s="948"/>
      <c r="T14" s="941">
        <v>610000</v>
      </c>
      <c r="U14" s="941"/>
      <c r="V14" s="941">
        <f>SUM(S14:U14)</f>
        <v>610000</v>
      </c>
      <c r="W14" s="948"/>
      <c r="X14" s="941">
        <v>776710</v>
      </c>
      <c r="Y14" s="941"/>
      <c r="Z14" s="941">
        <f>SUM(W14:Y14)</f>
        <v>776710</v>
      </c>
      <c r="AA14" s="948"/>
      <c r="AB14" s="941">
        <v>776710</v>
      </c>
      <c r="AC14" s="941"/>
      <c r="AD14" s="941">
        <f>SUM(AA14:AC14)</f>
        <v>776710</v>
      </c>
    </row>
    <row r="15" spans="1:30" s="122" customFormat="1" ht="25.5">
      <c r="A15" s="960"/>
      <c r="B15" s="923" t="s">
        <v>755</v>
      </c>
      <c r="C15" s="948"/>
      <c r="D15" s="941">
        <v>100000</v>
      </c>
      <c r="E15" s="941"/>
      <c r="F15" s="941">
        <f>SUM(C15:E15)</f>
        <v>100000</v>
      </c>
      <c r="G15" s="948"/>
      <c r="H15" s="941">
        <v>100000</v>
      </c>
      <c r="I15" s="941"/>
      <c r="J15" s="941">
        <f>SUM(G15:I15)</f>
        <v>100000</v>
      </c>
      <c r="K15" s="948"/>
      <c r="L15" s="941">
        <v>100000</v>
      </c>
      <c r="M15" s="941"/>
      <c r="N15" s="941">
        <f>SUM(K15:M15)</f>
        <v>100000</v>
      </c>
      <c r="O15" s="948"/>
      <c r="P15" s="941">
        <v>140000</v>
      </c>
      <c r="Q15" s="941"/>
      <c r="R15" s="941">
        <f>SUM(O15:Q15)</f>
        <v>140000</v>
      </c>
      <c r="S15" s="948"/>
      <c r="T15" s="941">
        <v>180000</v>
      </c>
      <c r="U15" s="941"/>
      <c r="V15" s="941">
        <f>SUM(S15:U15)</f>
        <v>180000</v>
      </c>
      <c r="W15" s="948"/>
      <c r="X15" s="941">
        <v>218077</v>
      </c>
      <c r="Y15" s="941"/>
      <c r="Z15" s="941">
        <f>SUM(W15:Y15)</f>
        <v>218077</v>
      </c>
      <c r="AA15" s="948"/>
      <c r="AB15" s="941">
        <v>218077</v>
      </c>
      <c r="AC15" s="941"/>
      <c r="AD15" s="941">
        <f>SUM(AA15:AC15)</f>
        <v>218077</v>
      </c>
    </row>
    <row r="16" spans="1:30" s="122" customFormat="1" ht="12.75">
      <c r="A16" s="960"/>
      <c r="B16" s="1078" t="s">
        <v>739</v>
      </c>
      <c r="C16" s="948"/>
      <c r="D16" s="941"/>
      <c r="E16" s="941"/>
      <c r="F16" s="941"/>
      <c r="G16" s="948"/>
      <c r="H16" s="941">
        <v>533000</v>
      </c>
      <c r="I16" s="941"/>
      <c r="J16" s="942">
        <v>533000</v>
      </c>
      <c r="K16" s="948"/>
      <c r="L16" s="941">
        <v>533000</v>
      </c>
      <c r="M16" s="941"/>
      <c r="N16" s="942">
        <v>533000</v>
      </c>
      <c r="O16" s="948"/>
      <c r="P16" s="941">
        <v>533000</v>
      </c>
      <c r="Q16" s="941"/>
      <c r="R16" s="942">
        <v>533000</v>
      </c>
      <c r="S16" s="948"/>
      <c r="T16" s="941">
        <v>533000</v>
      </c>
      <c r="U16" s="941"/>
      <c r="V16" s="942">
        <v>533000</v>
      </c>
      <c r="W16" s="948"/>
      <c r="X16" s="941">
        <v>533000</v>
      </c>
      <c r="Y16" s="941"/>
      <c r="Z16" s="942">
        <v>533000</v>
      </c>
      <c r="AA16" s="948"/>
      <c r="AB16" s="941">
        <v>533000</v>
      </c>
      <c r="AC16" s="941"/>
      <c r="AD16" s="942">
        <v>533000</v>
      </c>
    </row>
    <row r="17" spans="1:30" s="122" customFormat="1" ht="26.25" thickBot="1">
      <c r="A17" s="961"/>
      <c r="B17" s="935" t="s">
        <v>756</v>
      </c>
      <c r="C17" s="949"/>
      <c r="D17" s="942"/>
      <c r="E17" s="942"/>
      <c r="F17" s="942"/>
      <c r="G17" s="949"/>
      <c r="H17" s="942"/>
      <c r="I17" s="942"/>
      <c r="J17" s="942"/>
      <c r="K17" s="949"/>
      <c r="L17" s="942"/>
      <c r="M17" s="942"/>
      <c r="N17" s="942"/>
      <c r="O17" s="949"/>
      <c r="P17" s="942"/>
      <c r="Q17" s="942"/>
      <c r="R17" s="942"/>
      <c r="S17" s="949"/>
      <c r="T17" s="942"/>
      <c r="U17" s="942"/>
      <c r="V17" s="942"/>
      <c r="W17" s="949"/>
      <c r="X17" s="942">
        <v>2</v>
      </c>
      <c r="Y17" s="942"/>
      <c r="Z17" s="942">
        <v>2</v>
      </c>
      <c r="AA17" s="949"/>
      <c r="AB17" s="942">
        <v>2</v>
      </c>
      <c r="AC17" s="942"/>
      <c r="AD17" s="942">
        <v>2</v>
      </c>
    </row>
    <row r="18" spans="1:30" s="1264" customFormat="1" ht="13.5" thickBot="1">
      <c r="A18" s="1265"/>
      <c r="B18" s="933" t="s">
        <v>1102</v>
      </c>
      <c r="C18" s="1266"/>
      <c r="D18" s="1267"/>
      <c r="E18" s="1267"/>
      <c r="F18" s="1267"/>
      <c r="G18" s="1266"/>
      <c r="H18" s="1267"/>
      <c r="I18" s="1267">
        <v>1153259</v>
      </c>
      <c r="J18" s="1268">
        <v>1153259</v>
      </c>
      <c r="K18" s="1266"/>
      <c r="L18" s="1267"/>
      <c r="M18" s="1267">
        <v>1153259</v>
      </c>
      <c r="N18" s="1268">
        <v>1153259</v>
      </c>
      <c r="O18" s="1266"/>
      <c r="P18" s="1267"/>
      <c r="Q18" s="1267">
        <v>1348461</v>
      </c>
      <c r="R18" s="1268">
        <f>SUM(Q18)</f>
        <v>1348461</v>
      </c>
      <c r="S18" s="1266"/>
      <c r="T18" s="1267"/>
      <c r="U18" s="1267">
        <v>1348461</v>
      </c>
      <c r="V18" s="1268">
        <f>SUM(U18)</f>
        <v>1348461</v>
      </c>
      <c r="W18" s="1266"/>
      <c r="X18" s="1267"/>
      <c r="Y18" s="1267">
        <v>1348461</v>
      </c>
      <c r="Z18" s="1268">
        <f>SUM(Y18)</f>
        <v>1348461</v>
      </c>
      <c r="AA18" s="1266"/>
      <c r="AB18" s="1267"/>
      <c r="AC18" s="1267">
        <v>1348461</v>
      </c>
      <c r="AD18" s="1268">
        <f>SUM(AC18)</f>
        <v>1348461</v>
      </c>
    </row>
    <row r="19" spans="1:30" s="673" customFormat="1" ht="16.5" thickBot="1">
      <c r="A19" s="1871" t="s">
        <v>505</v>
      </c>
      <c r="B19" s="1872"/>
      <c r="C19" s="1263">
        <f aca="true" t="shared" si="0" ref="C19:H19">SUM(C12)</f>
        <v>0</v>
      </c>
      <c r="D19" s="1263">
        <f t="shared" si="0"/>
        <v>460000</v>
      </c>
      <c r="E19" s="1263">
        <f t="shared" si="0"/>
        <v>0</v>
      </c>
      <c r="F19" s="1263">
        <f t="shared" si="0"/>
        <v>460000</v>
      </c>
      <c r="G19" s="1263">
        <f t="shared" si="0"/>
        <v>0</v>
      </c>
      <c r="H19" s="1263">
        <f t="shared" si="0"/>
        <v>993000</v>
      </c>
      <c r="I19" s="1263">
        <f>SUM(I12)+I18</f>
        <v>1153259</v>
      </c>
      <c r="J19" s="1263">
        <f>SUM(J12)+J18</f>
        <v>2146259</v>
      </c>
      <c r="K19" s="1263">
        <f>SUM(K12)</f>
        <v>0</v>
      </c>
      <c r="L19" s="1263">
        <f>SUM(L12)</f>
        <v>993000</v>
      </c>
      <c r="M19" s="1263">
        <f>SUM(M12)+M18</f>
        <v>1153259</v>
      </c>
      <c r="N19" s="1263">
        <f>SUM(N12)+N18</f>
        <v>2146259</v>
      </c>
      <c r="O19" s="1263">
        <f>SUM(O12)</f>
        <v>0</v>
      </c>
      <c r="P19" s="1263">
        <f>SUM(P12)</f>
        <v>1313000</v>
      </c>
      <c r="Q19" s="1263">
        <f>SUM(Q12)+Q18</f>
        <v>1348461</v>
      </c>
      <c r="R19" s="1263">
        <f>SUM(R12)+R18</f>
        <v>2661461</v>
      </c>
      <c r="S19" s="1263">
        <f>SUM(S12)</f>
        <v>0</v>
      </c>
      <c r="T19" s="1263">
        <f>SUM(T12)</f>
        <v>1563000</v>
      </c>
      <c r="U19" s="1263">
        <f>SUM(U12)+U18</f>
        <v>1348461</v>
      </c>
      <c r="V19" s="1263">
        <f>SUM(V12)+V18</f>
        <v>2911461</v>
      </c>
      <c r="W19" s="1263">
        <f>SUM(W12)</f>
        <v>0</v>
      </c>
      <c r="X19" s="1263">
        <f>SUM(X12)</f>
        <v>1738790</v>
      </c>
      <c r="Y19" s="1263">
        <f>SUM(Y12)+Y18</f>
        <v>1348461</v>
      </c>
      <c r="Z19" s="1263">
        <f>SUM(Z12)+Z18</f>
        <v>3087251</v>
      </c>
      <c r="AA19" s="1263">
        <f>SUM(AA12)</f>
        <v>0</v>
      </c>
      <c r="AB19" s="1263">
        <f>SUM(AB12)</f>
        <v>1738790</v>
      </c>
      <c r="AC19" s="1263">
        <f>SUM(AC12)+AC18</f>
        <v>1348461</v>
      </c>
      <c r="AD19" s="1263">
        <f>SUM(AD12)+AD18</f>
        <v>3087251</v>
      </c>
    </row>
    <row r="20" spans="1:30" ht="25.5">
      <c r="A20" s="932"/>
      <c r="B20" s="923" t="s">
        <v>759</v>
      </c>
      <c r="C20" s="952"/>
      <c r="D20" s="952">
        <v>790211</v>
      </c>
      <c r="E20" s="952"/>
      <c r="F20" s="952">
        <v>790211</v>
      </c>
      <c r="G20" s="952"/>
      <c r="H20" s="952">
        <v>790211</v>
      </c>
      <c r="I20" s="952"/>
      <c r="J20" s="952">
        <v>790211</v>
      </c>
      <c r="K20" s="952"/>
      <c r="L20" s="952">
        <v>790211</v>
      </c>
      <c r="M20" s="952"/>
      <c r="N20" s="952">
        <v>790211</v>
      </c>
      <c r="O20" s="952"/>
      <c r="P20" s="952">
        <v>790211</v>
      </c>
      <c r="Q20" s="952"/>
      <c r="R20" s="952">
        <v>790211</v>
      </c>
      <c r="S20" s="952"/>
      <c r="T20" s="952">
        <v>790211</v>
      </c>
      <c r="U20" s="952"/>
      <c r="V20" s="952">
        <v>790211</v>
      </c>
      <c r="W20" s="952"/>
      <c r="X20" s="952">
        <v>790211</v>
      </c>
      <c r="Y20" s="952"/>
      <c r="Z20" s="952">
        <v>790211</v>
      </c>
      <c r="AA20" s="952"/>
      <c r="AB20" s="952">
        <v>790211</v>
      </c>
      <c r="AC20" s="952"/>
      <c r="AD20" s="952">
        <v>790211</v>
      </c>
    </row>
    <row r="21" spans="1:30" ht="12.75">
      <c r="A21" s="503"/>
      <c r="B21" s="924" t="s">
        <v>760</v>
      </c>
      <c r="C21" s="777"/>
      <c r="D21" s="777">
        <v>790211</v>
      </c>
      <c r="E21" s="777"/>
      <c r="F21" s="777">
        <v>790211</v>
      </c>
      <c r="G21" s="777"/>
      <c r="H21" s="777">
        <v>790211</v>
      </c>
      <c r="I21" s="777"/>
      <c r="J21" s="777">
        <v>790211</v>
      </c>
      <c r="K21" s="777"/>
      <c r="L21" s="777">
        <v>790211</v>
      </c>
      <c r="M21" s="777"/>
      <c r="N21" s="777">
        <v>790211</v>
      </c>
      <c r="O21" s="777"/>
      <c r="P21" s="777">
        <v>790211</v>
      </c>
      <c r="Q21" s="777"/>
      <c r="R21" s="777">
        <v>790211</v>
      </c>
      <c r="S21" s="777"/>
      <c r="T21" s="777">
        <v>790211</v>
      </c>
      <c r="U21" s="777"/>
      <c r="V21" s="777">
        <v>790211</v>
      </c>
      <c r="W21" s="777"/>
      <c r="X21" s="777">
        <v>790211</v>
      </c>
      <c r="Y21" s="777"/>
      <c r="Z21" s="777">
        <v>790211</v>
      </c>
      <c r="AA21" s="777"/>
      <c r="AB21" s="777">
        <v>790211</v>
      </c>
      <c r="AC21" s="777"/>
      <c r="AD21" s="777">
        <v>790211</v>
      </c>
    </row>
    <row r="22" spans="1:30" ht="26.25" thickBot="1">
      <c r="A22" s="934"/>
      <c r="B22" s="935" t="s">
        <v>761</v>
      </c>
      <c r="C22" s="953"/>
      <c r="D22" s="953"/>
      <c r="E22" s="953">
        <v>79034645</v>
      </c>
      <c r="F22" s="953">
        <f>SUM(C22:E22)</f>
        <v>79034645</v>
      </c>
      <c r="G22" s="953"/>
      <c r="H22" s="953"/>
      <c r="I22" s="953">
        <v>79034645</v>
      </c>
      <c r="J22" s="953">
        <f>SUM(G22:I22)</f>
        <v>79034645</v>
      </c>
      <c r="K22" s="953"/>
      <c r="L22" s="953"/>
      <c r="M22" s="953">
        <v>79034645</v>
      </c>
      <c r="N22" s="953">
        <f>SUM(K22:M22)</f>
        <v>79034645</v>
      </c>
      <c r="O22" s="953"/>
      <c r="P22" s="953"/>
      <c r="Q22" s="953">
        <v>79034645</v>
      </c>
      <c r="R22" s="953">
        <f>SUM(O22:Q22)</f>
        <v>79034645</v>
      </c>
      <c r="S22" s="953"/>
      <c r="T22" s="953"/>
      <c r="U22" s="953">
        <v>79034645</v>
      </c>
      <c r="V22" s="953">
        <f>SUM(S22:U22)</f>
        <v>79034645</v>
      </c>
      <c r="W22" s="953">
        <v>79073705</v>
      </c>
      <c r="X22" s="953"/>
      <c r="Y22" s="953"/>
      <c r="Z22" s="953">
        <f>SUM(W22:Y22)</f>
        <v>79073705</v>
      </c>
      <c r="AA22" s="953">
        <v>79073705</v>
      </c>
      <c r="AB22" s="953"/>
      <c r="AC22" s="953"/>
      <c r="AD22" s="953">
        <f>SUM(AA22:AC22)</f>
        <v>79073705</v>
      </c>
    </row>
    <row r="23" spans="1:30" ht="16.5" thickBot="1">
      <c r="A23" s="937"/>
      <c r="B23" s="938" t="s">
        <v>762</v>
      </c>
      <c r="C23" s="954">
        <f aca="true" t="shared" si="1" ref="C23:J23">SUM(C21:C22)</f>
        <v>0</v>
      </c>
      <c r="D23" s="954">
        <f t="shared" si="1"/>
        <v>790211</v>
      </c>
      <c r="E23" s="954">
        <f t="shared" si="1"/>
        <v>79034645</v>
      </c>
      <c r="F23" s="954">
        <f t="shared" si="1"/>
        <v>79824856</v>
      </c>
      <c r="G23" s="954">
        <f t="shared" si="1"/>
        <v>0</v>
      </c>
      <c r="H23" s="954">
        <f t="shared" si="1"/>
        <v>790211</v>
      </c>
      <c r="I23" s="954">
        <f t="shared" si="1"/>
        <v>79034645</v>
      </c>
      <c r="J23" s="954">
        <f t="shared" si="1"/>
        <v>79824856</v>
      </c>
      <c r="K23" s="954">
        <f aca="true" t="shared" si="2" ref="K23:R23">SUM(K21:K22)</f>
        <v>0</v>
      </c>
      <c r="L23" s="954">
        <f t="shared" si="2"/>
        <v>790211</v>
      </c>
      <c r="M23" s="954">
        <f t="shared" si="2"/>
        <v>79034645</v>
      </c>
      <c r="N23" s="954">
        <f t="shared" si="2"/>
        <v>79824856</v>
      </c>
      <c r="O23" s="954">
        <f t="shared" si="2"/>
        <v>0</v>
      </c>
      <c r="P23" s="954">
        <f t="shared" si="2"/>
        <v>790211</v>
      </c>
      <c r="Q23" s="954">
        <f t="shared" si="2"/>
        <v>79034645</v>
      </c>
      <c r="R23" s="954">
        <f t="shared" si="2"/>
        <v>79824856</v>
      </c>
      <c r="S23" s="954">
        <f aca="true" t="shared" si="3" ref="S23:Z23">SUM(S21:S22)</f>
        <v>0</v>
      </c>
      <c r="T23" s="954">
        <f t="shared" si="3"/>
        <v>790211</v>
      </c>
      <c r="U23" s="954">
        <f t="shared" si="3"/>
        <v>79034645</v>
      </c>
      <c r="V23" s="954">
        <f t="shared" si="3"/>
        <v>79824856</v>
      </c>
      <c r="W23" s="954">
        <f t="shared" si="3"/>
        <v>79073705</v>
      </c>
      <c r="X23" s="954">
        <f t="shared" si="3"/>
        <v>790211</v>
      </c>
      <c r="Y23" s="954">
        <f t="shared" si="3"/>
        <v>0</v>
      </c>
      <c r="Z23" s="954">
        <f t="shared" si="3"/>
        <v>79863916</v>
      </c>
      <c r="AA23" s="954">
        <f>SUM(AA21:AA22)</f>
        <v>79073705</v>
      </c>
      <c r="AB23" s="954">
        <f>SUM(AB21:AB22)</f>
        <v>790211</v>
      </c>
      <c r="AC23" s="954">
        <f>SUM(AC21:AC22)</f>
        <v>0</v>
      </c>
      <c r="AD23" s="954">
        <f>SUM(AD21:AD22)</f>
        <v>79863916</v>
      </c>
    </row>
    <row r="24" spans="1:30" ht="16.5" thickBot="1">
      <c r="A24" s="1859" t="s">
        <v>157</v>
      </c>
      <c r="B24" s="1860"/>
      <c r="C24" s="955">
        <f aca="true" t="shared" si="4" ref="C24:J24">SUM(C19+C23)</f>
        <v>0</v>
      </c>
      <c r="D24" s="955">
        <f t="shared" si="4"/>
        <v>1250211</v>
      </c>
      <c r="E24" s="955">
        <f t="shared" si="4"/>
        <v>79034645</v>
      </c>
      <c r="F24" s="956">
        <f t="shared" si="4"/>
        <v>80284856</v>
      </c>
      <c r="G24" s="955">
        <f t="shared" si="4"/>
        <v>0</v>
      </c>
      <c r="H24" s="955">
        <f t="shared" si="4"/>
        <v>1783211</v>
      </c>
      <c r="I24" s="955">
        <f t="shared" si="4"/>
        <v>80187904</v>
      </c>
      <c r="J24" s="956">
        <f t="shared" si="4"/>
        <v>81971115</v>
      </c>
      <c r="K24" s="955">
        <f aca="true" t="shared" si="5" ref="K24:R24">SUM(K19+K23)</f>
        <v>0</v>
      </c>
      <c r="L24" s="955">
        <f t="shared" si="5"/>
        <v>1783211</v>
      </c>
      <c r="M24" s="955">
        <f t="shared" si="5"/>
        <v>80187904</v>
      </c>
      <c r="N24" s="956">
        <f t="shared" si="5"/>
        <v>81971115</v>
      </c>
      <c r="O24" s="955">
        <f t="shared" si="5"/>
        <v>0</v>
      </c>
      <c r="P24" s="955">
        <f t="shared" si="5"/>
        <v>2103211</v>
      </c>
      <c r="Q24" s="955">
        <f t="shared" si="5"/>
        <v>80383106</v>
      </c>
      <c r="R24" s="956">
        <f t="shared" si="5"/>
        <v>82486317</v>
      </c>
      <c r="S24" s="955">
        <f aca="true" t="shared" si="6" ref="S24:Z24">SUM(S19+S23)</f>
        <v>0</v>
      </c>
      <c r="T24" s="955">
        <f t="shared" si="6"/>
        <v>2353211</v>
      </c>
      <c r="U24" s="955">
        <f t="shared" si="6"/>
        <v>80383106</v>
      </c>
      <c r="V24" s="956">
        <f t="shared" si="6"/>
        <v>82736317</v>
      </c>
      <c r="W24" s="955">
        <f t="shared" si="6"/>
        <v>79073705</v>
      </c>
      <c r="X24" s="955">
        <f t="shared" si="6"/>
        <v>2529001</v>
      </c>
      <c r="Y24" s="955">
        <f t="shared" si="6"/>
        <v>1348461</v>
      </c>
      <c r="Z24" s="956">
        <f t="shared" si="6"/>
        <v>82951167</v>
      </c>
      <c r="AA24" s="955">
        <f>SUM(AA19+AA23)</f>
        <v>79073705</v>
      </c>
      <c r="AB24" s="955">
        <f>SUM(AB19+AB23)</f>
        <v>2529001</v>
      </c>
      <c r="AC24" s="955">
        <f>SUM(AC19+AC23)</f>
        <v>1348461</v>
      </c>
      <c r="AD24" s="956">
        <f>SUM(AD19+AD23)</f>
        <v>82951167</v>
      </c>
    </row>
    <row r="25" spans="1:30" ht="12.75">
      <c r="A25" s="973" t="s">
        <v>165</v>
      </c>
      <c r="B25" s="924" t="s">
        <v>765</v>
      </c>
      <c r="C25" s="549"/>
      <c r="D25" s="549"/>
      <c r="E25" s="929">
        <v>58349912</v>
      </c>
      <c r="F25" s="549">
        <f>SUM(C25:E25)</f>
        <v>58349912</v>
      </c>
      <c r="G25" s="549"/>
      <c r="H25" s="549"/>
      <c r="I25" s="929">
        <v>59185112</v>
      </c>
      <c r="J25" s="549">
        <f>SUM(G25:I25)</f>
        <v>59185112</v>
      </c>
      <c r="K25" s="549"/>
      <c r="L25" s="549"/>
      <c r="M25" s="929">
        <v>59287149</v>
      </c>
      <c r="N25" s="549">
        <f>SUM(K25:M25)</f>
        <v>59287149</v>
      </c>
      <c r="O25" s="549"/>
      <c r="P25" s="549"/>
      <c r="Q25" s="929">
        <v>59357149</v>
      </c>
      <c r="R25" s="549">
        <f>SUM(O25:Q25)</f>
        <v>59357149</v>
      </c>
      <c r="S25" s="549"/>
      <c r="T25" s="549">
        <v>4213492</v>
      </c>
      <c r="U25" s="929">
        <v>55143657</v>
      </c>
      <c r="V25" s="549">
        <f>SUM(S25:U25)</f>
        <v>59357149</v>
      </c>
      <c r="W25" s="549">
        <v>60086306</v>
      </c>
      <c r="X25" s="549"/>
      <c r="Y25" s="929"/>
      <c r="Z25" s="549">
        <f>SUM(W25:Y25)</f>
        <v>60086306</v>
      </c>
      <c r="AA25" s="549">
        <v>59079069</v>
      </c>
      <c r="AB25" s="549"/>
      <c r="AC25" s="929">
        <v>1007237</v>
      </c>
      <c r="AD25" s="549">
        <f>SUM(AA25:AC25)</f>
        <v>60086306</v>
      </c>
    </row>
    <row r="26" spans="1:30" ht="25.5">
      <c r="A26" s="974" t="s">
        <v>167</v>
      </c>
      <c r="B26" s="924" t="s">
        <v>766</v>
      </c>
      <c r="C26" s="519"/>
      <c r="D26" s="519"/>
      <c r="E26" s="504">
        <v>11434944</v>
      </c>
      <c r="F26" s="549">
        <f>SUM(C26:E26)</f>
        <v>11434944</v>
      </c>
      <c r="G26" s="519"/>
      <c r="H26" s="519"/>
      <c r="I26" s="504">
        <v>11605922</v>
      </c>
      <c r="J26" s="549">
        <f>SUM(G26:I26)</f>
        <v>11605922</v>
      </c>
      <c r="K26" s="519"/>
      <c r="L26" s="519"/>
      <c r="M26" s="504">
        <v>11625549</v>
      </c>
      <c r="N26" s="549">
        <f>SUM(K26:M26)</f>
        <v>11625549</v>
      </c>
      <c r="O26" s="519"/>
      <c r="P26" s="519"/>
      <c r="Q26" s="504">
        <v>11639199</v>
      </c>
      <c r="R26" s="549">
        <f>SUM(O26:Q26)</f>
        <v>11639199</v>
      </c>
      <c r="S26" s="519"/>
      <c r="T26" s="519">
        <v>847768</v>
      </c>
      <c r="U26" s="504">
        <v>10791431</v>
      </c>
      <c r="V26" s="549">
        <f>SUM(S26:U26)</f>
        <v>11639199</v>
      </c>
      <c r="W26" s="519">
        <v>11807570</v>
      </c>
      <c r="X26" s="519"/>
      <c r="Y26" s="504"/>
      <c r="Z26" s="549">
        <f>SUM(W26:Y26)</f>
        <v>11807570</v>
      </c>
      <c r="AA26" s="519">
        <v>11603315</v>
      </c>
      <c r="AB26" s="519"/>
      <c r="AC26" s="504">
        <v>204255</v>
      </c>
      <c r="AD26" s="549">
        <f>SUM(AA26:AC26)</f>
        <v>11807570</v>
      </c>
    </row>
    <row r="27" spans="1:30" s="10" customFormat="1" ht="12.75">
      <c r="A27" s="974" t="s">
        <v>174</v>
      </c>
      <c r="B27" s="771" t="s">
        <v>767</v>
      </c>
      <c r="C27" s="519"/>
      <c r="D27" s="519">
        <v>750211</v>
      </c>
      <c r="E27" s="519">
        <v>9249789</v>
      </c>
      <c r="F27" s="549">
        <f>SUM(C27:E27)</f>
        <v>10000000</v>
      </c>
      <c r="G27" s="519"/>
      <c r="H27" s="519">
        <v>1283211</v>
      </c>
      <c r="I27" s="519">
        <v>9396870</v>
      </c>
      <c r="J27" s="549">
        <f>SUM(G27:I27)</f>
        <v>10680081</v>
      </c>
      <c r="K27" s="519"/>
      <c r="L27" s="519">
        <v>1283211</v>
      </c>
      <c r="M27" s="519">
        <v>9275206</v>
      </c>
      <c r="N27" s="549">
        <f>SUM(K27:M27)</f>
        <v>10558417</v>
      </c>
      <c r="O27" s="519"/>
      <c r="P27" s="519">
        <v>1603211</v>
      </c>
      <c r="Q27" s="519">
        <v>9386758</v>
      </c>
      <c r="R27" s="549">
        <f>SUM(O27:Q27)</f>
        <v>10989969</v>
      </c>
      <c r="S27" s="519"/>
      <c r="T27" s="519"/>
      <c r="U27" s="519">
        <v>11239969</v>
      </c>
      <c r="V27" s="549">
        <f>SUM(S27:U27)</f>
        <v>11239969</v>
      </c>
      <c r="W27" s="519">
        <v>8316812</v>
      </c>
      <c r="X27" s="519">
        <v>2529001</v>
      </c>
      <c r="Y27" s="519"/>
      <c r="Z27" s="549">
        <f>SUM(W27:Y27)</f>
        <v>10845813</v>
      </c>
      <c r="AA27" s="519">
        <v>8179843</v>
      </c>
      <c r="AB27" s="519">
        <v>2529001</v>
      </c>
      <c r="AC27" s="519">
        <v>136969</v>
      </c>
      <c r="AD27" s="549">
        <f>SUM(AA27:AC27)</f>
        <v>10845813</v>
      </c>
    </row>
    <row r="28" spans="1:30" s="10" customFormat="1" ht="12.75">
      <c r="A28" s="974" t="s">
        <v>184</v>
      </c>
      <c r="B28" s="771" t="s">
        <v>768</v>
      </c>
      <c r="C28" s="968"/>
      <c r="D28" s="968">
        <v>500000</v>
      </c>
      <c r="E28" s="968"/>
      <c r="F28" s="549">
        <f>SUM(C28:E28)</f>
        <v>500000</v>
      </c>
      <c r="G28" s="968"/>
      <c r="H28" s="968">
        <v>500000</v>
      </c>
      <c r="I28" s="968"/>
      <c r="J28" s="549">
        <f>SUM(G28:I28)</f>
        <v>500000</v>
      </c>
      <c r="K28" s="968"/>
      <c r="L28" s="968">
        <v>500000</v>
      </c>
      <c r="M28" s="968"/>
      <c r="N28" s="549">
        <f>SUM(K28:M28)</f>
        <v>500000</v>
      </c>
      <c r="O28" s="968"/>
      <c r="P28" s="968">
        <v>500000</v>
      </c>
      <c r="Q28" s="968"/>
      <c r="R28" s="549">
        <f>SUM(O28:Q28)</f>
        <v>500000</v>
      </c>
      <c r="S28" s="968"/>
      <c r="T28" s="968">
        <v>0</v>
      </c>
      <c r="U28" s="968">
        <v>500000</v>
      </c>
      <c r="V28" s="549">
        <f>SUM(S28:U28)</f>
        <v>500000</v>
      </c>
      <c r="W28" s="968">
        <v>211478</v>
      </c>
      <c r="X28" s="968">
        <v>0</v>
      </c>
      <c r="Y28" s="968"/>
      <c r="Z28" s="549">
        <f>SUM(W28:Y28)</f>
        <v>211478</v>
      </c>
      <c r="AA28" s="968">
        <v>211478</v>
      </c>
      <c r="AB28" s="968">
        <v>0</v>
      </c>
      <c r="AC28" s="968"/>
      <c r="AD28" s="549">
        <f>SUM(AA28:AC28)</f>
        <v>211478</v>
      </c>
    </row>
    <row r="29" spans="1:30" s="122" customFormat="1" ht="12.75">
      <c r="A29" s="925"/>
      <c r="B29" s="925" t="s">
        <v>132</v>
      </c>
      <c r="C29" s="546"/>
      <c r="D29" s="975">
        <v>500000</v>
      </c>
      <c r="E29" s="975"/>
      <c r="F29" s="975"/>
      <c r="G29" s="546"/>
      <c r="H29" s="975">
        <v>500000</v>
      </c>
      <c r="I29" s="975"/>
      <c r="J29" s="975"/>
      <c r="K29" s="546"/>
      <c r="L29" s="975">
        <v>500000</v>
      </c>
      <c r="M29" s="975"/>
      <c r="N29" s="975"/>
      <c r="O29" s="546"/>
      <c r="P29" s="975">
        <v>500000</v>
      </c>
      <c r="Q29" s="975"/>
      <c r="R29" s="975"/>
      <c r="S29" s="546"/>
      <c r="T29" s="975">
        <v>0</v>
      </c>
      <c r="U29" s="975">
        <v>500000</v>
      </c>
      <c r="V29" s="975">
        <v>500000</v>
      </c>
      <c r="W29" s="546">
        <v>211478</v>
      </c>
      <c r="X29" s="975">
        <v>0</v>
      </c>
      <c r="Y29" s="975"/>
      <c r="Z29" s="975">
        <v>500000</v>
      </c>
      <c r="AA29" s="546">
        <v>211478</v>
      </c>
      <c r="AB29" s="975">
        <v>0</v>
      </c>
      <c r="AC29" s="975"/>
      <c r="AD29" s="975">
        <v>500000</v>
      </c>
    </row>
    <row r="30" spans="1:30" s="122" customFormat="1" ht="13.5" thickBot="1">
      <c r="A30" s="939"/>
      <c r="B30" s="939" t="s">
        <v>134</v>
      </c>
      <c r="C30" s="939"/>
      <c r="D30" s="976"/>
      <c r="E30" s="976"/>
      <c r="F30" s="976"/>
      <c r="G30" s="939"/>
      <c r="H30" s="976"/>
      <c r="I30" s="976"/>
      <c r="J30" s="976"/>
      <c r="K30" s="939"/>
      <c r="L30" s="976"/>
      <c r="M30" s="976"/>
      <c r="N30" s="976"/>
      <c r="O30" s="939"/>
      <c r="P30" s="976"/>
      <c r="Q30" s="976"/>
      <c r="R30" s="976"/>
      <c r="S30" s="939"/>
      <c r="T30" s="976"/>
      <c r="U30" s="976"/>
      <c r="V30" s="976"/>
      <c r="W30" s="939"/>
      <c r="X30" s="976"/>
      <c r="Y30" s="976"/>
      <c r="Z30" s="976"/>
      <c r="AA30" s="939"/>
      <c r="AB30" s="976"/>
      <c r="AC30" s="976"/>
      <c r="AD30" s="976"/>
    </row>
    <row r="31" spans="1:30" ht="16.5" thickBot="1">
      <c r="A31" s="969"/>
      <c r="B31" s="970" t="s">
        <v>769</v>
      </c>
      <c r="C31" s="971">
        <f aca="true" t="shared" si="7" ref="C31:J31">SUM(C25:C28)</f>
        <v>0</v>
      </c>
      <c r="D31" s="971">
        <f t="shared" si="7"/>
        <v>1250211</v>
      </c>
      <c r="E31" s="971">
        <f t="shared" si="7"/>
        <v>79034645</v>
      </c>
      <c r="F31" s="972">
        <f t="shared" si="7"/>
        <v>80284856</v>
      </c>
      <c r="G31" s="971">
        <f t="shared" si="7"/>
        <v>0</v>
      </c>
      <c r="H31" s="971">
        <f t="shared" si="7"/>
        <v>1783211</v>
      </c>
      <c r="I31" s="971">
        <f t="shared" si="7"/>
        <v>80187904</v>
      </c>
      <c r="J31" s="972">
        <f t="shared" si="7"/>
        <v>81971115</v>
      </c>
      <c r="K31" s="971">
        <f aca="true" t="shared" si="8" ref="K31:R31">SUM(K25:K28)</f>
        <v>0</v>
      </c>
      <c r="L31" s="971">
        <f t="shared" si="8"/>
        <v>1783211</v>
      </c>
      <c r="M31" s="971">
        <f t="shared" si="8"/>
        <v>80187904</v>
      </c>
      <c r="N31" s="972">
        <f t="shared" si="8"/>
        <v>81971115</v>
      </c>
      <c r="O31" s="971">
        <f t="shared" si="8"/>
        <v>0</v>
      </c>
      <c r="P31" s="971">
        <f t="shared" si="8"/>
        <v>2103211</v>
      </c>
      <c r="Q31" s="971">
        <f t="shared" si="8"/>
        <v>80383106</v>
      </c>
      <c r="R31" s="972">
        <f t="shared" si="8"/>
        <v>82486317</v>
      </c>
      <c r="S31" s="971">
        <f aca="true" t="shared" si="9" ref="S31:Z31">SUM(S25:S28)</f>
        <v>0</v>
      </c>
      <c r="T31" s="971">
        <f t="shared" si="9"/>
        <v>5061260</v>
      </c>
      <c r="U31" s="971">
        <f t="shared" si="9"/>
        <v>77675057</v>
      </c>
      <c r="V31" s="972">
        <f t="shared" si="9"/>
        <v>82736317</v>
      </c>
      <c r="W31" s="971">
        <f>SUM(W25:W29)</f>
        <v>80633644</v>
      </c>
      <c r="X31" s="971">
        <f t="shared" si="9"/>
        <v>2529001</v>
      </c>
      <c r="Y31" s="971">
        <f t="shared" si="9"/>
        <v>0</v>
      </c>
      <c r="Z31" s="972">
        <f t="shared" si="9"/>
        <v>82951167</v>
      </c>
      <c r="AA31" s="971">
        <f>SUM(AA25:AA29)</f>
        <v>79285183</v>
      </c>
      <c r="AB31" s="971">
        <f>SUM(AB25:AB28)</f>
        <v>2529001</v>
      </c>
      <c r="AC31" s="971">
        <f>SUM(AC25:AC28)</f>
        <v>1348461</v>
      </c>
      <c r="AD31" s="972">
        <f>SUM(AD25:AD28)</f>
        <v>82951167</v>
      </c>
    </row>
  </sheetData>
  <sheetProtection/>
  <mergeCells count="13">
    <mergeCell ref="AA10:AD10"/>
    <mergeCell ref="A6:AD6"/>
    <mergeCell ref="A2:AD2"/>
    <mergeCell ref="A1:AD1"/>
    <mergeCell ref="A24:B24"/>
    <mergeCell ref="A10:B11"/>
    <mergeCell ref="C10:F10"/>
    <mergeCell ref="A19:B19"/>
    <mergeCell ref="O10:R10"/>
    <mergeCell ref="W10:Z10"/>
    <mergeCell ref="S10:V10"/>
    <mergeCell ref="K10:N10"/>
    <mergeCell ref="G10:J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2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32"/>
  <sheetViews>
    <sheetView showGridLines="0" view="pageBreakPreview" zoomScale="60" zoomScalePageLayoutView="0" workbookViewId="0" topLeftCell="A1">
      <pane xSplit="2" ySplit="2" topLeftCell="K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AD2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6.57421875" style="0" customWidth="1"/>
    <col min="4" max="4" width="16.7109375" style="0" customWidth="1"/>
    <col min="5" max="5" width="14.140625" style="0" customWidth="1"/>
    <col min="6" max="6" width="17.28125" style="0" customWidth="1"/>
    <col min="7" max="7" width="16.57421875" style="0" customWidth="1"/>
    <col min="8" max="8" width="16.7109375" style="0" customWidth="1"/>
    <col min="9" max="9" width="14.140625" style="0" customWidth="1"/>
    <col min="10" max="10" width="17.28125" style="0" customWidth="1"/>
    <col min="11" max="11" width="16.57421875" style="0" customWidth="1"/>
    <col min="12" max="12" width="16.7109375" style="0" customWidth="1"/>
    <col min="13" max="13" width="14.140625" style="0" customWidth="1"/>
    <col min="14" max="14" width="17.28125" style="0" customWidth="1"/>
    <col min="15" max="15" width="16.57421875" style="0" customWidth="1"/>
    <col min="16" max="16" width="16.7109375" style="0" customWidth="1"/>
    <col min="17" max="17" width="14.140625" style="0" customWidth="1"/>
    <col min="18" max="18" width="17.28125" style="0" customWidth="1"/>
    <col min="19" max="19" width="16.57421875" style="0" customWidth="1"/>
    <col min="20" max="20" width="16.7109375" style="0" customWidth="1"/>
    <col min="21" max="21" width="14.140625" style="0" customWidth="1"/>
    <col min="22" max="22" width="17.28125" style="0" customWidth="1"/>
    <col min="23" max="23" width="16.57421875" style="0" customWidth="1"/>
    <col min="24" max="24" width="16.7109375" style="0" customWidth="1"/>
    <col min="25" max="25" width="14.140625" style="0" customWidth="1"/>
    <col min="26" max="26" width="17.28125" style="0" customWidth="1"/>
    <col min="27" max="27" width="16.57421875" style="0" customWidth="1"/>
    <col min="28" max="28" width="16.7109375" style="0" customWidth="1"/>
    <col min="29" max="29" width="14.140625" style="0" customWidth="1"/>
    <col min="30" max="30" width="17.28125" style="0" customWidth="1"/>
  </cols>
  <sheetData>
    <row r="1" spans="1:30" ht="15">
      <c r="A1" s="1856" t="s">
        <v>777</v>
      </c>
      <c r="B1" s="1856"/>
      <c r="C1" s="1856"/>
      <c r="D1" s="1856"/>
      <c r="E1" s="1856"/>
      <c r="F1" s="1856"/>
      <c r="G1" s="1856"/>
      <c r="H1" s="1856"/>
      <c r="I1" s="1856"/>
      <c r="J1" s="1856"/>
      <c r="K1" s="1856"/>
      <c r="L1" s="1856"/>
      <c r="M1" s="1856"/>
      <c r="N1" s="1856"/>
      <c r="O1" s="1856"/>
      <c r="P1" s="1856"/>
      <c r="Q1" s="1856"/>
      <c r="R1" s="1856"/>
      <c r="S1" s="1856"/>
      <c r="T1" s="1856"/>
      <c r="U1" s="1856"/>
      <c r="V1" s="1856"/>
      <c r="W1" s="1856"/>
      <c r="X1" s="1856"/>
      <c r="Y1" s="1856"/>
      <c r="Z1" s="1856"/>
      <c r="AA1" s="1856"/>
      <c r="AB1" s="1856"/>
      <c r="AC1" s="1856"/>
      <c r="AD1" s="1856"/>
    </row>
    <row r="2" spans="1:30" ht="12.75">
      <c r="A2" s="1604" t="s">
        <v>1226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  <c r="Q2" s="1604"/>
      <c r="R2" s="1604"/>
      <c r="S2" s="1604"/>
      <c r="T2" s="1604"/>
      <c r="U2" s="1604"/>
      <c r="V2" s="1604"/>
      <c r="W2" s="1604"/>
      <c r="X2" s="1604"/>
      <c r="Y2" s="1604"/>
      <c r="Z2" s="1604"/>
      <c r="AA2" s="1604"/>
      <c r="AB2" s="1604"/>
      <c r="AC2" s="1604"/>
      <c r="AD2" s="1604"/>
    </row>
    <row r="3" spans="1:30" ht="12.75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W3" s="921"/>
      <c r="X3" s="921"/>
      <c r="Y3" s="921"/>
      <c r="Z3" s="921"/>
      <c r="AA3" s="921"/>
      <c r="AB3" s="921"/>
      <c r="AC3" s="921"/>
      <c r="AD3" s="921"/>
    </row>
    <row r="4" spans="1:30" ht="12.75">
      <c r="A4" s="921"/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W4" s="921"/>
      <c r="X4" s="921"/>
      <c r="Y4" s="921"/>
      <c r="Z4" s="921"/>
      <c r="AA4" s="921"/>
      <c r="AB4" s="921"/>
      <c r="AC4" s="921"/>
      <c r="AD4" s="921"/>
    </row>
    <row r="5" spans="1:30" ht="12.75">
      <c r="A5" s="921"/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W5" s="921"/>
      <c r="X5" s="921"/>
      <c r="Y5" s="921"/>
      <c r="Z5" s="921"/>
      <c r="AA5" s="921"/>
      <c r="AB5" s="921"/>
      <c r="AC5" s="921"/>
      <c r="AD5" s="921"/>
    </row>
    <row r="6" spans="1:30" ht="29.25" customHeight="1">
      <c r="A6" s="1869" t="s">
        <v>776</v>
      </c>
      <c r="B6" s="1869"/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</row>
    <row r="9" spans="6:30" ht="13.5" thickBot="1">
      <c r="F9" s="1100"/>
      <c r="J9" s="1100"/>
      <c r="N9" s="1100"/>
      <c r="R9" s="1100"/>
      <c r="V9" s="1100"/>
      <c r="Z9" s="1100"/>
      <c r="AD9" s="1100" t="s">
        <v>216</v>
      </c>
    </row>
    <row r="10" spans="1:30" ht="12.75">
      <c r="A10" s="1861" t="s">
        <v>747</v>
      </c>
      <c r="B10" s="1862"/>
      <c r="C10" s="1865" t="s">
        <v>548</v>
      </c>
      <c r="D10" s="1865"/>
      <c r="E10" s="1865"/>
      <c r="F10" s="1866"/>
      <c r="G10" s="1865" t="s">
        <v>1070</v>
      </c>
      <c r="H10" s="1865"/>
      <c r="I10" s="1865"/>
      <c r="J10" s="1866"/>
      <c r="K10" s="1865" t="s">
        <v>1131</v>
      </c>
      <c r="L10" s="1865"/>
      <c r="M10" s="1865"/>
      <c r="N10" s="1866"/>
      <c r="O10" s="1865" t="s">
        <v>1141</v>
      </c>
      <c r="P10" s="1865"/>
      <c r="Q10" s="1865"/>
      <c r="R10" s="1866"/>
      <c r="S10" s="1865" t="s">
        <v>1148</v>
      </c>
      <c r="T10" s="1865"/>
      <c r="U10" s="1865"/>
      <c r="V10" s="1866"/>
      <c r="W10" s="1865" t="s">
        <v>1158</v>
      </c>
      <c r="X10" s="1865"/>
      <c r="Y10" s="1865"/>
      <c r="Z10" s="1866"/>
      <c r="AA10" s="1865" t="s">
        <v>1158</v>
      </c>
      <c r="AB10" s="1865"/>
      <c r="AC10" s="1865"/>
      <c r="AD10" s="1866"/>
    </row>
    <row r="11" spans="1:30" s="4" customFormat="1" ht="26.25" customHeight="1" thickBot="1">
      <c r="A11" s="1863"/>
      <c r="B11" s="1864"/>
      <c r="C11" s="966" t="s">
        <v>748</v>
      </c>
      <c r="D11" s="927" t="s">
        <v>749</v>
      </c>
      <c r="E11" s="927" t="s">
        <v>750</v>
      </c>
      <c r="F11" s="979" t="s">
        <v>25</v>
      </c>
      <c r="G11" s="966" t="s">
        <v>748</v>
      </c>
      <c r="H11" s="927" t="s">
        <v>749</v>
      </c>
      <c r="I11" s="927" t="s">
        <v>750</v>
      </c>
      <c r="J11" s="979" t="s">
        <v>25</v>
      </c>
      <c r="K11" s="966" t="s">
        <v>748</v>
      </c>
      <c r="L11" s="927" t="s">
        <v>749</v>
      </c>
      <c r="M11" s="927" t="s">
        <v>750</v>
      </c>
      <c r="N11" s="979" t="s">
        <v>25</v>
      </c>
      <c r="O11" s="966" t="s">
        <v>748</v>
      </c>
      <c r="P11" s="927" t="s">
        <v>749</v>
      </c>
      <c r="Q11" s="927" t="s">
        <v>750</v>
      </c>
      <c r="R11" s="979" t="s">
        <v>25</v>
      </c>
      <c r="S11" s="966" t="s">
        <v>748</v>
      </c>
      <c r="T11" s="927" t="s">
        <v>749</v>
      </c>
      <c r="U11" s="927" t="s">
        <v>750</v>
      </c>
      <c r="V11" s="979" t="s">
        <v>25</v>
      </c>
      <c r="W11" s="966" t="s">
        <v>748</v>
      </c>
      <c r="X11" s="927" t="s">
        <v>749</v>
      </c>
      <c r="Y11" s="927" t="s">
        <v>750</v>
      </c>
      <c r="Z11" s="979" t="s">
        <v>25</v>
      </c>
      <c r="AA11" s="966" t="s">
        <v>748</v>
      </c>
      <c r="AB11" s="927" t="s">
        <v>749</v>
      </c>
      <c r="AC11" s="927" t="s">
        <v>750</v>
      </c>
      <c r="AD11" s="979" t="s">
        <v>25</v>
      </c>
    </row>
    <row r="12" spans="1:30" s="4" customFormat="1" ht="26.25" customHeight="1" thickBot="1">
      <c r="A12" s="1075" t="s">
        <v>165</v>
      </c>
      <c r="B12" s="1163" t="s">
        <v>831</v>
      </c>
      <c r="C12" s="1164">
        <v>0</v>
      </c>
      <c r="D12" s="1076">
        <v>0</v>
      </c>
      <c r="E12" s="1077">
        <v>0</v>
      </c>
      <c r="F12" s="1165">
        <v>0</v>
      </c>
      <c r="G12" s="1164">
        <v>0</v>
      </c>
      <c r="H12" s="1076">
        <v>0</v>
      </c>
      <c r="I12" s="1077">
        <v>0</v>
      </c>
      <c r="J12" s="1165">
        <v>0</v>
      </c>
      <c r="K12" s="1164">
        <v>0</v>
      </c>
      <c r="L12" s="1076">
        <v>0</v>
      </c>
      <c r="M12" s="1077">
        <v>0</v>
      </c>
      <c r="N12" s="1165">
        <v>0</v>
      </c>
      <c r="O12" s="1164">
        <v>0</v>
      </c>
      <c r="P12" s="1076">
        <v>0</v>
      </c>
      <c r="Q12" s="1077">
        <v>0</v>
      </c>
      <c r="R12" s="1165">
        <v>0</v>
      </c>
      <c r="S12" s="1164">
        <v>0</v>
      </c>
      <c r="T12" s="1076">
        <v>984913</v>
      </c>
      <c r="U12" s="1077">
        <v>0</v>
      </c>
      <c r="V12" s="1165">
        <v>984913</v>
      </c>
      <c r="W12" s="1164">
        <v>0</v>
      </c>
      <c r="X12" s="1076">
        <v>984913</v>
      </c>
      <c r="Y12" s="1077">
        <v>0</v>
      </c>
      <c r="Z12" s="1165">
        <v>984913</v>
      </c>
      <c r="AA12" s="1164">
        <v>0</v>
      </c>
      <c r="AB12" s="1076">
        <v>984913</v>
      </c>
      <c r="AC12" s="1077">
        <v>0</v>
      </c>
      <c r="AD12" s="1165">
        <v>984913</v>
      </c>
    </row>
    <row r="13" spans="1:30" s="10" customFormat="1" ht="13.5" thickBot="1">
      <c r="A13" s="957" t="s">
        <v>167</v>
      </c>
      <c r="B13" s="933" t="s">
        <v>752</v>
      </c>
      <c r="C13" s="943">
        <f aca="true" t="shared" si="0" ref="C13:J13">SUM(C14:C19)</f>
        <v>4125748</v>
      </c>
      <c r="D13" s="964">
        <f t="shared" si="0"/>
        <v>16048252</v>
      </c>
      <c r="E13" s="964">
        <f t="shared" si="0"/>
        <v>0</v>
      </c>
      <c r="F13" s="964">
        <f t="shared" si="0"/>
        <v>20174000</v>
      </c>
      <c r="G13" s="943">
        <f t="shared" si="0"/>
        <v>4125748</v>
      </c>
      <c r="H13" s="964">
        <f t="shared" si="0"/>
        <v>16048252</v>
      </c>
      <c r="I13" s="964">
        <f t="shared" si="0"/>
        <v>0</v>
      </c>
      <c r="J13" s="964">
        <f t="shared" si="0"/>
        <v>20174000</v>
      </c>
      <c r="K13" s="943">
        <f aca="true" t="shared" si="1" ref="K13:R13">SUM(K14:K19)</f>
        <v>4125748</v>
      </c>
      <c r="L13" s="964">
        <f t="shared" si="1"/>
        <v>16048252</v>
      </c>
      <c r="M13" s="964">
        <f t="shared" si="1"/>
        <v>0</v>
      </c>
      <c r="N13" s="964">
        <f t="shared" si="1"/>
        <v>20174000</v>
      </c>
      <c r="O13" s="943">
        <f t="shared" si="1"/>
        <v>4125748</v>
      </c>
      <c r="P13" s="964">
        <f t="shared" si="1"/>
        <v>16048252</v>
      </c>
      <c r="Q13" s="964">
        <f t="shared" si="1"/>
        <v>0</v>
      </c>
      <c r="R13" s="964">
        <f t="shared" si="1"/>
        <v>20174000</v>
      </c>
      <c r="S13" s="943">
        <f aca="true" t="shared" si="2" ref="S13:Z13">SUM(S14:S19)</f>
        <v>4125748</v>
      </c>
      <c r="T13" s="964">
        <f t="shared" si="2"/>
        <v>16085262</v>
      </c>
      <c r="U13" s="964">
        <f t="shared" si="2"/>
        <v>0</v>
      </c>
      <c r="V13" s="964">
        <f t="shared" si="2"/>
        <v>20211010</v>
      </c>
      <c r="W13" s="943">
        <f t="shared" si="2"/>
        <v>18172607</v>
      </c>
      <c r="X13" s="964">
        <f t="shared" si="2"/>
        <v>5237250</v>
      </c>
      <c r="Y13" s="964">
        <f t="shared" si="2"/>
        <v>0</v>
      </c>
      <c r="Z13" s="964">
        <f t="shared" si="2"/>
        <v>23409857</v>
      </c>
      <c r="AA13" s="943">
        <f>SUM(AA14:AA19)</f>
        <v>18172607</v>
      </c>
      <c r="AB13" s="964">
        <f>SUM(AB14:AB19)</f>
        <v>5237250</v>
      </c>
      <c r="AC13" s="964">
        <f>SUM(AC14:AC19)</f>
        <v>0</v>
      </c>
      <c r="AD13" s="964">
        <f>SUM(AD14:AD19)</f>
        <v>23409857</v>
      </c>
    </row>
    <row r="14" spans="1:30" s="122" customFormat="1" ht="12.75">
      <c r="A14" s="959"/>
      <c r="B14" s="923" t="s">
        <v>778</v>
      </c>
      <c r="C14" s="946"/>
      <c r="D14" s="947">
        <v>90000</v>
      </c>
      <c r="E14" s="947"/>
      <c r="F14" s="947">
        <f>SUM(C14:E14)</f>
        <v>90000</v>
      </c>
      <c r="G14" s="946"/>
      <c r="H14" s="947">
        <v>90000</v>
      </c>
      <c r="I14" s="947"/>
      <c r="J14" s="947">
        <f>SUM(G14:I14)</f>
        <v>90000</v>
      </c>
      <c r="K14" s="946"/>
      <c r="L14" s="947">
        <v>90000</v>
      </c>
      <c r="M14" s="947"/>
      <c r="N14" s="947">
        <f>SUM(K14:M14)</f>
        <v>90000</v>
      </c>
      <c r="O14" s="946"/>
      <c r="P14" s="947">
        <v>91000</v>
      </c>
      <c r="Q14" s="947"/>
      <c r="R14" s="947">
        <f>SUM(O14:Q14)</f>
        <v>91000</v>
      </c>
      <c r="S14" s="946"/>
      <c r="T14" s="947">
        <v>121000</v>
      </c>
      <c r="U14" s="947"/>
      <c r="V14" s="947">
        <f>SUM(S14:U14)</f>
        <v>121000</v>
      </c>
      <c r="W14" s="946"/>
      <c r="X14" s="947">
        <v>146522</v>
      </c>
      <c r="Y14" s="947"/>
      <c r="Z14" s="947">
        <f aca="true" t="shared" si="3" ref="Z14:Z19">SUM(W14:Y14)</f>
        <v>146522</v>
      </c>
      <c r="AA14" s="946"/>
      <c r="AB14" s="947">
        <v>146522</v>
      </c>
      <c r="AC14" s="947"/>
      <c r="AD14" s="947">
        <f aca="true" t="shared" si="4" ref="AD14:AD19">SUM(AA14:AC14)</f>
        <v>146522</v>
      </c>
    </row>
    <row r="15" spans="1:30" s="122" customFormat="1" ht="12.75">
      <c r="A15" s="959"/>
      <c r="B15" s="923" t="s">
        <v>779</v>
      </c>
      <c r="C15" s="946"/>
      <c r="D15" s="947">
        <v>84000</v>
      </c>
      <c r="E15" s="947"/>
      <c r="F15" s="947">
        <f>SUM(C15:E15)</f>
        <v>84000</v>
      </c>
      <c r="G15" s="946"/>
      <c r="H15" s="947">
        <v>84000</v>
      </c>
      <c r="I15" s="947"/>
      <c r="J15" s="947">
        <f>SUM(G15:I15)</f>
        <v>84000</v>
      </c>
      <c r="K15" s="946"/>
      <c r="L15" s="947">
        <v>84000</v>
      </c>
      <c r="M15" s="947"/>
      <c r="N15" s="947">
        <f>SUM(K15:M15)</f>
        <v>84000</v>
      </c>
      <c r="O15" s="946"/>
      <c r="P15" s="947">
        <v>82990</v>
      </c>
      <c r="Q15" s="947"/>
      <c r="R15" s="947">
        <f>SUM(O15:Q15)</f>
        <v>82990</v>
      </c>
      <c r="S15" s="946"/>
      <c r="T15" s="947">
        <v>90000</v>
      </c>
      <c r="U15" s="947"/>
      <c r="V15" s="947">
        <f>SUM(S15:U15)</f>
        <v>90000</v>
      </c>
      <c r="W15" s="946"/>
      <c r="X15" s="947">
        <v>113990</v>
      </c>
      <c r="Y15" s="947"/>
      <c r="Z15" s="947">
        <f t="shared" si="3"/>
        <v>113990</v>
      </c>
      <c r="AA15" s="946"/>
      <c r="AB15" s="947">
        <v>113990</v>
      </c>
      <c r="AC15" s="947"/>
      <c r="AD15" s="947">
        <f t="shared" si="4"/>
        <v>113990</v>
      </c>
    </row>
    <row r="16" spans="1:30" s="122" customFormat="1" ht="12.75">
      <c r="A16" s="959"/>
      <c r="B16" s="923" t="s">
        <v>754</v>
      </c>
      <c r="C16" s="946">
        <v>4125748</v>
      </c>
      <c r="D16" s="947">
        <v>11874252</v>
      </c>
      <c r="E16" s="947"/>
      <c r="F16" s="947">
        <f>SUM(C16:E16)</f>
        <v>16000000</v>
      </c>
      <c r="G16" s="946">
        <v>4125748</v>
      </c>
      <c r="H16" s="947">
        <v>11874252</v>
      </c>
      <c r="I16" s="947"/>
      <c r="J16" s="947">
        <f>SUM(G16:I16)</f>
        <v>16000000</v>
      </c>
      <c r="K16" s="946">
        <v>4125748</v>
      </c>
      <c r="L16" s="947">
        <v>11874252</v>
      </c>
      <c r="M16" s="947"/>
      <c r="N16" s="947">
        <f>SUM(K16:M16)</f>
        <v>16000000</v>
      </c>
      <c r="O16" s="946">
        <v>4125748</v>
      </c>
      <c r="P16" s="947">
        <v>11874252</v>
      </c>
      <c r="Q16" s="947"/>
      <c r="R16" s="947">
        <f>SUM(O16:Q16)</f>
        <v>16000000</v>
      </c>
      <c r="S16" s="946">
        <v>4125748</v>
      </c>
      <c r="T16" s="947">
        <v>11874252</v>
      </c>
      <c r="U16" s="947"/>
      <c r="V16" s="947">
        <f>SUM(S16:U16)</f>
        <v>16000000</v>
      </c>
      <c r="W16" s="946">
        <v>18172607</v>
      </c>
      <c r="X16" s="947"/>
      <c r="Y16" s="947"/>
      <c r="Z16" s="947">
        <f t="shared" si="3"/>
        <v>18172607</v>
      </c>
      <c r="AA16" s="946">
        <v>18172607</v>
      </c>
      <c r="AB16" s="947"/>
      <c r="AC16" s="947"/>
      <c r="AD16" s="947">
        <f t="shared" si="4"/>
        <v>18172607</v>
      </c>
    </row>
    <row r="17" spans="1:30" s="122" customFormat="1" ht="25.5">
      <c r="A17" s="959"/>
      <c r="B17" s="923" t="s">
        <v>755</v>
      </c>
      <c r="C17" s="946"/>
      <c r="D17" s="947">
        <v>4000000</v>
      </c>
      <c r="E17" s="947"/>
      <c r="F17" s="947">
        <f>SUM(C17:E17)</f>
        <v>4000000</v>
      </c>
      <c r="G17" s="946"/>
      <c r="H17" s="947">
        <v>4000000</v>
      </c>
      <c r="I17" s="947"/>
      <c r="J17" s="947">
        <f>SUM(G17:I17)</f>
        <v>4000000</v>
      </c>
      <c r="K17" s="946"/>
      <c r="L17" s="947">
        <v>4000000</v>
      </c>
      <c r="M17" s="947"/>
      <c r="N17" s="947">
        <f>SUM(K17:M17)</f>
        <v>4000000</v>
      </c>
      <c r="O17" s="946"/>
      <c r="P17" s="947">
        <v>4000000</v>
      </c>
      <c r="Q17" s="947"/>
      <c r="R17" s="947">
        <f>SUM(O17:Q17)</f>
        <v>4000000</v>
      </c>
      <c r="S17" s="946"/>
      <c r="T17" s="947">
        <v>4000000</v>
      </c>
      <c r="U17" s="947"/>
      <c r="V17" s="947">
        <f>SUM(S17:U17)</f>
        <v>4000000</v>
      </c>
      <c r="W17" s="946"/>
      <c r="X17" s="947">
        <v>4976718</v>
      </c>
      <c r="Y17" s="947"/>
      <c r="Z17" s="947">
        <f t="shared" si="3"/>
        <v>4976718</v>
      </c>
      <c r="AA17" s="946"/>
      <c r="AB17" s="947">
        <v>4976718</v>
      </c>
      <c r="AC17" s="947"/>
      <c r="AD17" s="947">
        <f t="shared" si="4"/>
        <v>4976718</v>
      </c>
    </row>
    <row r="18" spans="1:30" s="122" customFormat="1" ht="12.75">
      <c r="A18" s="959"/>
      <c r="B18" s="1078" t="s">
        <v>1170</v>
      </c>
      <c r="C18" s="946"/>
      <c r="D18" s="947"/>
      <c r="E18" s="947"/>
      <c r="F18" s="947"/>
      <c r="G18" s="946"/>
      <c r="H18" s="947"/>
      <c r="I18" s="947"/>
      <c r="J18" s="947"/>
      <c r="K18" s="946"/>
      <c r="L18" s="947"/>
      <c r="M18" s="947"/>
      <c r="N18" s="947"/>
      <c r="O18" s="946"/>
      <c r="P18" s="947"/>
      <c r="Q18" s="947"/>
      <c r="R18" s="947"/>
      <c r="S18" s="946"/>
      <c r="T18" s="947"/>
      <c r="U18" s="947"/>
      <c r="V18" s="947"/>
      <c r="W18" s="946"/>
      <c r="X18" s="947">
        <v>1</v>
      </c>
      <c r="Y18" s="947"/>
      <c r="Z18" s="947">
        <f t="shared" si="3"/>
        <v>1</v>
      </c>
      <c r="AA18" s="946"/>
      <c r="AB18" s="947">
        <v>1</v>
      </c>
      <c r="AC18" s="947"/>
      <c r="AD18" s="947">
        <f t="shared" si="4"/>
        <v>1</v>
      </c>
    </row>
    <row r="19" spans="1:30" s="122" customFormat="1" ht="13.5" thickBot="1">
      <c r="A19" s="960"/>
      <c r="B19" s="923" t="s">
        <v>771</v>
      </c>
      <c r="C19" s="948"/>
      <c r="D19" s="941"/>
      <c r="E19" s="941"/>
      <c r="F19" s="941">
        <f>SUM(C19:E19)</f>
        <v>0</v>
      </c>
      <c r="G19" s="948"/>
      <c r="H19" s="941"/>
      <c r="I19" s="941"/>
      <c r="J19" s="941">
        <f>SUM(G19:I19)</f>
        <v>0</v>
      </c>
      <c r="K19" s="948"/>
      <c r="L19" s="941"/>
      <c r="M19" s="941"/>
      <c r="N19" s="941">
        <f>SUM(K19:M19)</f>
        <v>0</v>
      </c>
      <c r="O19" s="948"/>
      <c r="P19" s="941">
        <v>10</v>
      </c>
      <c r="Q19" s="941"/>
      <c r="R19" s="941">
        <f>SUM(O19:Q19)</f>
        <v>10</v>
      </c>
      <c r="S19" s="948"/>
      <c r="T19" s="941">
        <v>10</v>
      </c>
      <c r="U19" s="941"/>
      <c r="V19" s="941">
        <f>SUM(S19:U19)</f>
        <v>10</v>
      </c>
      <c r="W19" s="948"/>
      <c r="X19" s="941">
        <v>19</v>
      </c>
      <c r="Y19" s="941"/>
      <c r="Z19" s="941">
        <f t="shared" si="3"/>
        <v>19</v>
      </c>
      <c r="AA19" s="948"/>
      <c r="AB19" s="941">
        <v>19</v>
      </c>
      <c r="AC19" s="941"/>
      <c r="AD19" s="941">
        <f t="shared" si="4"/>
        <v>19</v>
      </c>
    </row>
    <row r="20" spans="1:30" s="673" customFormat="1" ht="16.5" thickBot="1">
      <c r="A20" s="1867" t="s">
        <v>505</v>
      </c>
      <c r="B20" s="1868"/>
      <c r="C20" s="950">
        <f aca="true" t="shared" si="5" ref="C20:J20">SUM(C13)</f>
        <v>4125748</v>
      </c>
      <c r="D20" s="950">
        <f t="shared" si="5"/>
        <v>16048252</v>
      </c>
      <c r="E20" s="950">
        <f t="shared" si="5"/>
        <v>0</v>
      </c>
      <c r="F20" s="950">
        <f t="shared" si="5"/>
        <v>20174000</v>
      </c>
      <c r="G20" s="950">
        <f t="shared" si="5"/>
        <v>4125748</v>
      </c>
      <c r="H20" s="950">
        <f t="shared" si="5"/>
        <v>16048252</v>
      </c>
      <c r="I20" s="950">
        <f t="shared" si="5"/>
        <v>0</v>
      </c>
      <c r="J20" s="950">
        <f t="shared" si="5"/>
        <v>20174000</v>
      </c>
      <c r="K20" s="950">
        <f aca="true" t="shared" si="6" ref="K20:R20">SUM(K13)</f>
        <v>4125748</v>
      </c>
      <c r="L20" s="950">
        <f t="shared" si="6"/>
        <v>16048252</v>
      </c>
      <c r="M20" s="950">
        <f t="shared" si="6"/>
        <v>0</v>
      </c>
      <c r="N20" s="950">
        <f t="shared" si="6"/>
        <v>20174000</v>
      </c>
      <c r="O20" s="950">
        <f t="shared" si="6"/>
        <v>4125748</v>
      </c>
      <c r="P20" s="950">
        <f t="shared" si="6"/>
        <v>16048252</v>
      </c>
      <c r="Q20" s="950">
        <f t="shared" si="6"/>
        <v>0</v>
      </c>
      <c r="R20" s="950">
        <f t="shared" si="6"/>
        <v>20174000</v>
      </c>
      <c r="S20" s="950">
        <f>SUM(S13)</f>
        <v>4125748</v>
      </c>
      <c r="T20" s="950">
        <f>SUM(T13)+T12</f>
        <v>17070175</v>
      </c>
      <c r="U20" s="950">
        <f>SUM(U13)</f>
        <v>0</v>
      </c>
      <c r="V20" s="950">
        <f>SUM(V13)+V12</f>
        <v>21195923</v>
      </c>
      <c r="W20" s="950">
        <f>SUM(W13)</f>
        <v>18172607</v>
      </c>
      <c r="X20" s="950">
        <f>SUM(X13)+X12</f>
        <v>6222163</v>
      </c>
      <c r="Y20" s="950">
        <f>SUM(Y13)</f>
        <v>0</v>
      </c>
      <c r="Z20" s="950">
        <f>SUM(Z13)+Z12</f>
        <v>24394770</v>
      </c>
      <c r="AA20" s="950">
        <f>SUM(AA13)</f>
        <v>18172607</v>
      </c>
      <c r="AB20" s="950">
        <f>SUM(AB13)+AB12</f>
        <v>6222163</v>
      </c>
      <c r="AC20" s="950">
        <f>SUM(AC13)</f>
        <v>0</v>
      </c>
      <c r="AD20" s="950">
        <f>SUM(AD13)+AD12</f>
        <v>24394770</v>
      </c>
    </row>
    <row r="21" spans="1:30" ht="25.5">
      <c r="A21" s="932"/>
      <c r="B21" s="923" t="s">
        <v>759</v>
      </c>
      <c r="C21" s="952"/>
      <c r="D21" s="952">
        <v>1030008</v>
      </c>
      <c r="E21" s="952"/>
      <c r="F21" s="952">
        <f>SUM(C21:E21)</f>
        <v>1030008</v>
      </c>
      <c r="G21" s="952"/>
      <c r="H21" s="952">
        <v>1030008</v>
      </c>
      <c r="I21" s="952"/>
      <c r="J21" s="952">
        <f>SUM(G21:I21)</f>
        <v>1030008</v>
      </c>
      <c r="K21" s="952"/>
      <c r="L21" s="952">
        <v>1030008</v>
      </c>
      <c r="M21" s="952"/>
      <c r="N21" s="952">
        <f>SUM(K21:M21)</f>
        <v>1030008</v>
      </c>
      <c r="O21" s="952"/>
      <c r="P21" s="952">
        <v>1030008</v>
      </c>
      <c r="Q21" s="952"/>
      <c r="R21" s="952">
        <f>SUM(O21:Q21)</f>
        <v>1030008</v>
      </c>
      <c r="S21" s="952">
        <v>1030008</v>
      </c>
      <c r="T21" s="952"/>
      <c r="U21" s="952"/>
      <c r="V21" s="952">
        <f>SUM(S21:U21)</f>
        <v>1030008</v>
      </c>
      <c r="W21" s="952">
        <v>1030008</v>
      </c>
      <c r="X21" s="952"/>
      <c r="Y21" s="952"/>
      <c r="Z21" s="952">
        <f>SUM(W21:Y21)</f>
        <v>1030008</v>
      </c>
      <c r="AA21" s="952">
        <v>1030008</v>
      </c>
      <c r="AB21" s="952"/>
      <c r="AC21" s="952"/>
      <c r="AD21" s="952">
        <f>SUM(AA21:AC21)</f>
        <v>1030008</v>
      </c>
    </row>
    <row r="22" spans="1:30" ht="12.75">
      <c r="A22" s="503"/>
      <c r="B22" s="924" t="s">
        <v>760</v>
      </c>
      <c r="C22" s="777"/>
      <c r="D22" s="777">
        <v>1030008</v>
      </c>
      <c r="E22" s="777"/>
      <c r="F22" s="952">
        <f>SUM(C22:E22)</f>
        <v>1030008</v>
      </c>
      <c r="G22" s="777"/>
      <c r="H22" s="777">
        <v>1030008</v>
      </c>
      <c r="I22" s="777"/>
      <c r="J22" s="952">
        <f>SUM(G22:I22)</f>
        <v>1030008</v>
      </c>
      <c r="K22" s="777"/>
      <c r="L22" s="777">
        <v>1030008</v>
      </c>
      <c r="M22" s="777"/>
      <c r="N22" s="952">
        <f>SUM(K22:M22)</f>
        <v>1030008</v>
      </c>
      <c r="O22" s="777"/>
      <c r="P22" s="777">
        <v>1030008</v>
      </c>
      <c r="Q22" s="777"/>
      <c r="R22" s="952">
        <f>SUM(O22:Q22)</f>
        <v>1030008</v>
      </c>
      <c r="S22" s="777">
        <v>1030008</v>
      </c>
      <c r="T22" s="777"/>
      <c r="U22" s="777"/>
      <c r="V22" s="952">
        <f>SUM(S22:U22)</f>
        <v>1030008</v>
      </c>
      <c r="W22" s="777">
        <v>1030008</v>
      </c>
      <c r="X22" s="777"/>
      <c r="Y22" s="777"/>
      <c r="Z22" s="952">
        <f>SUM(W22:Y22)</f>
        <v>1030008</v>
      </c>
      <c r="AA22" s="777">
        <v>1030008</v>
      </c>
      <c r="AB22" s="777"/>
      <c r="AC22" s="777"/>
      <c r="AD22" s="952">
        <f>SUM(AA22:AC22)</f>
        <v>1030008</v>
      </c>
    </row>
    <row r="23" spans="1:30" ht="26.25" thickBot="1">
      <c r="A23" s="934"/>
      <c r="B23" s="935" t="s">
        <v>761</v>
      </c>
      <c r="C23" s="953">
        <v>67562557</v>
      </c>
      <c r="D23" s="953"/>
      <c r="E23" s="953"/>
      <c r="F23" s="952">
        <f>SUM(C23:E23)</f>
        <v>67562557</v>
      </c>
      <c r="G23" s="953">
        <v>67562557</v>
      </c>
      <c r="H23" s="953"/>
      <c r="I23" s="953"/>
      <c r="J23" s="952">
        <f>SUM(G23:I23)</f>
        <v>67562557</v>
      </c>
      <c r="K23" s="953">
        <v>66062557</v>
      </c>
      <c r="L23" s="953">
        <v>1500000</v>
      </c>
      <c r="M23" s="953"/>
      <c r="N23" s="952">
        <f>SUM(K23:M23)</f>
        <v>67562557</v>
      </c>
      <c r="O23" s="953">
        <v>66076658</v>
      </c>
      <c r="P23" s="953">
        <v>1500000</v>
      </c>
      <c r="Q23" s="953"/>
      <c r="R23" s="952">
        <f>SUM(O23:Q23)</f>
        <v>67576658</v>
      </c>
      <c r="S23" s="953">
        <v>66160406</v>
      </c>
      <c r="T23" s="953">
        <v>1508085</v>
      </c>
      <c r="U23" s="953"/>
      <c r="V23" s="952">
        <f>SUM(S23:U23)</f>
        <v>67668491</v>
      </c>
      <c r="W23" s="953">
        <v>53703424</v>
      </c>
      <c r="X23" s="953">
        <v>13837114</v>
      </c>
      <c r="Y23" s="953"/>
      <c r="Z23" s="952">
        <f>SUM(W23:Y23)</f>
        <v>67540538</v>
      </c>
      <c r="AA23" s="953">
        <v>53703424</v>
      </c>
      <c r="AB23" s="953">
        <v>13837114</v>
      </c>
      <c r="AC23" s="953"/>
      <c r="AD23" s="952">
        <f>SUM(AA23:AC23)</f>
        <v>67540538</v>
      </c>
    </row>
    <row r="24" spans="1:30" ht="16.5" thickBot="1">
      <c r="A24" s="937"/>
      <c r="B24" s="938" t="s">
        <v>762</v>
      </c>
      <c r="C24" s="954">
        <f aca="true" t="shared" si="7" ref="C24:J24">SUM(C22:C23)</f>
        <v>67562557</v>
      </c>
      <c r="D24" s="954">
        <f t="shared" si="7"/>
        <v>1030008</v>
      </c>
      <c r="E24" s="954">
        <f t="shared" si="7"/>
        <v>0</v>
      </c>
      <c r="F24" s="954">
        <f t="shared" si="7"/>
        <v>68592565</v>
      </c>
      <c r="G24" s="954">
        <f t="shared" si="7"/>
        <v>67562557</v>
      </c>
      <c r="H24" s="954">
        <f t="shared" si="7"/>
        <v>1030008</v>
      </c>
      <c r="I24" s="954">
        <f t="shared" si="7"/>
        <v>0</v>
      </c>
      <c r="J24" s="954">
        <f t="shared" si="7"/>
        <v>68592565</v>
      </c>
      <c r="K24" s="954">
        <f aca="true" t="shared" si="8" ref="K24:R24">SUM(K22:K23)</f>
        <v>66062557</v>
      </c>
      <c r="L24" s="954">
        <f t="shared" si="8"/>
        <v>2530008</v>
      </c>
      <c r="M24" s="954">
        <f t="shared" si="8"/>
        <v>0</v>
      </c>
      <c r="N24" s="954">
        <f t="shared" si="8"/>
        <v>68592565</v>
      </c>
      <c r="O24" s="954">
        <f t="shared" si="8"/>
        <v>66076658</v>
      </c>
      <c r="P24" s="954">
        <f t="shared" si="8"/>
        <v>2530008</v>
      </c>
      <c r="Q24" s="954">
        <f t="shared" si="8"/>
        <v>0</v>
      </c>
      <c r="R24" s="954">
        <f t="shared" si="8"/>
        <v>68606666</v>
      </c>
      <c r="S24" s="954">
        <f aca="true" t="shared" si="9" ref="S24:Z24">SUM(S22:S23)</f>
        <v>67190414</v>
      </c>
      <c r="T24" s="954">
        <f t="shared" si="9"/>
        <v>1508085</v>
      </c>
      <c r="U24" s="954">
        <f t="shared" si="9"/>
        <v>0</v>
      </c>
      <c r="V24" s="954">
        <f t="shared" si="9"/>
        <v>68698499</v>
      </c>
      <c r="W24" s="954">
        <f t="shared" si="9"/>
        <v>54733432</v>
      </c>
      <c r="X24" s="954">
        <f t="shared" si="9"/>
        <v>13837114</v>
      </c>
      <c r="Y24" s="954">
        <f t="shared" si="9"/>
        <v>0</v>
      </c>
      <c r="Z24" s="954">
        <f t="shared" si="9"/>
        <v>68570546</v>
      </c>
      <c r="AA24" s="954">
        <f>SUM(AA22:AA23)</f>
        <v>54733432</v>
      </c>
      <c r="AB24" s="954">
        <f>SUM(AB22:AB23)</f>
        <v>13837114</v>
      </c>
      <c r="AC24" s="954">
        <f>SUM(AC22:AC23)</f>
        <v>0</v>
      </c>
      <c r="AD24" s="954">
        <f>SUM(AD22:AD23)</f>
        <v>68570546</v>
      </c>
    </row>
    <row r="25" spans="1:30" ht="16.5" thickBot="1">
      <c r="A25" s="1859" t="s">
        <v>157</v>
      </c>
      <c r="B25" s="1860"/>
      <c r="C25" s="955">
        <f aca="true" t="shared" si="10" ref="C25:J25">SUM(C20+C24)</f>
        <v>71688305</v>
      </c>
      <c r="D25" s="955">
        <f t="shared" si="10"/>
        <v>17078260</v>
      </c>
      <c r="E25" s="955">
        <f t="shared" si="10"/>
        <v>0</v>
      </c>
      <c r="F25" s="956">
        <f t="shared" si="10"/>
        <v>88766565</v>
      </c>
      <c r="G25" s="955">
        <f t="shared" si="10"/>
        <v>71688305</v>
      </c>
      <c r="H25" s="955">
        <f t="shared" si="10"/>
        <v>17078260</v>
      </c>
      <c r="I25" s="955">
        <f t="shared" si="10"/>
        <v>0</v>
      </c>
      <c r="J25" s="956">
        <f t="shared" si="10"/>
        <v>88766565</v>
      </c>
      <c r="K25" s="955">
        <f aca="true" t="shared" si="11" ref="K25:R25">SUM(K20+K24)</f>
        <v>70188305</v>
      </c>
      <c r="L25" s="955">
        <f t="shared" si="11"/>
        <v>18578260</v>
      </c>
      <c r="M25" s="955">
        <f t="shared" si="11"/>
        <v>0</v>
      </c>
      <c r="N25" s="956">
        <f t="shared" si="11"/>
        <v>88766565</v>
      </c>
      <c r="O25" s="955">
        <f t="shared" si="11"/>
        <v>70202406</v>
      </c>
      <c r="P25" s="955">
        <f t="shared" si="11"/>
        <v>18578260</v>
      </c>
      <c r="Q25" s="955">
        <f t="shared" si="11"/>
        <v>0</v>
      </c>
      <c r="R25" s="956">
        <f t="shared" si="11"/>
        <v>88780666</v>
      </c>
      <c r="S25" s="955">
        <f aca="true" t="shared" si="12" ref="S25:Z25">SUM(S20+S24)</f>
        <v>71316162</v>
      </c>
      <c r="T25" s="955">
        <f t="shared" si="12"/>
        <v>18578260</v>
      </c>
      <c r="U25" s="955">
        <f t="shared" si="12"/>
        <v>0</v>
      </c>
      <c r="V25" s="956">
        <f t="shared" si="12"/>
        <v>89894422</v>
      </c>
      <c r="W25" s="955">
        <f t="shared" si="12"/>
        <v>72906039</v>
      </c>
      <c r="X25" s="955">
        <f t="shared" si="12"/>
        <v>20059277</v>
      </c>
      <c r="Y25" s="955">
        <f t="shared" si="12"/>
        <v>0</v>
      </c>
      <c r="Z25" s="956">
        <f t="shared" si="12"/>
        <v>92965316</v>
      </c>
      <c r="AA25" s="955">
        <f>SUM(AA20+AA24)</f>
        <v>72906039</v>
      </c>
      <c r="AB25" s="955">
        <f>SUM(AB20+AB24)</f>
        <v>20059277</v>
      </c>
      <c r="AC25" s="955">
        <f>SUM(AC20+AC24)</f>
        <v>0</v>
      </c>
      <c r="AD25" s="956">
        <f>SUM(AD20+AD24)</f>
        <v>92965316</v>
      </c>
    </row>
    <row r="26" spans="1:30" ht="12.75">
      <c r="A26" s="973" t="s">
        <v>165</v>
      </c>
      <c r="B26" s="924" t="s">
        <v>765</v>
      </c>
      <c r="C26" s="549">
        <f>SUM(9500792+23791603)</f>
        <v>33292395</v>
      </c>
      <c r="D26" s="549">
        <f>SUM(43850555-33292395)</f>
        <v>10558160</v>
      </c>
      <c r="E26" s="929"/>
      <c r="F26" s="549">
        <f>SUM(C26:E26)</f>
        <v>43850555</v>
      </c>
      <c r="G26" s="549">
        <f>SUM(9500792+23791603)</f>
        <v>33292395</v>
      </c>
      <c r="H26" s="549">
        <f>SUM(43850555-33292395)</f>
        <v>10558160</v>
      </c>
      <c r="I26" s="929"/>
      <c r="J26" s="549">
        <f>SUM(G26:I26)</f>
        <v>43850555</v>
      </c>
      <c r="K26" s="549">
        <f>SUM(9500792+23791603)</f>
        <v>33292395</v>
      </c>
      <c r="L26" s="549">
        <f>SUM(43850555-33292395)</f>
        <v>10558160</v>
      </c>
      <c r="M26" s="929"/>
      <c r="N26" s="549">
        <f>SUM(K26:M26)</f>
        <v>43850555</v>
      </c>
      <c r="O26" s="549">
        <v>33304195</v>
      </c>
      <c r="P26" s="549">
        <f>SUM(43850555-33292395)</f>
        <v>10558160</v>
      </c>
      <c r="Q26" s="929"/>
      <c r="R26" s="549">
        <f>SUM(O26:Q26)</f>
        <v>43862355</v>
      </c>
      <c r="S26" s="549">
        <v>34205238</v>
      </c>
      <c r="T26" s="549">
        <f>SUM(2886160+7672000)</f>
        <v>10558160</v>
      </c>
      <c r="U26" s="929"/>
      <c r="V26" s="549">
        <f>SUM(S26:U26)</f>
        <v>44763398</v>
      </c>
      <c r="W26" s="549">
        <v>28093032</v>
      </c>
      <c r="X26" s="549">
        <f>SUM(2886160+7672000)</f>
        <v>10558160</v>
      </c>
      <c r="Y26" s="929"/>
      <c r="Z26" s="549">
        <f>SUM(W26:Y26)</f>
        <v>38651192</v>
      </c>
      <c r="AA26" s="549">
        <v>28093032</v>
      </c>
      <c r="AB26" s="549">
        <f>SUM(2886160+7672000)</f>
        <v>10558160</v>
      </c>
      <c r="AC26" s="929"/>
      <c r="AD26" s="549">
        <f>SUM(AA26:AC26)</f>
        <v>38651192</v>
      </c>
    </row>
    <row r="27" spans="1:30" ht="25.5">
      <c r="A27" s="974" t="s">
        <v>167</v>
      </c>
      <c r="B27" s="924" t="s">
        <v>766</v>
      </c>
      <c r="C27" s="519">
        <f>SUM(1725258+4880652)</f>
        <v>6605910</v>
      </c>
      <c r="D27" s="519">
        <f>SUM(8626010-6605910)</f>
        <v>2020100</v>
      </c>
      <c r="E27" s="504"/>
      <c r="F27" s="549">
        <f>SUM(C27:E27)</f>
        <v>8626010</v>
      </c>
      <c r="G27" s="519">
        <f>SUM(1725258+4880652)</f>
        <v>6605910</v>
      </c>
      <c r="H27" s="519">
        <f>SUM(8626010-6605910)</f>
        <v>2020100</v>
      </c>
      <c r="I27" s="504"/>
      <c r="J27" s="549">
        <f>SUM(G27:I27)</f>
        <v>8626010</v>
      </c>
      <c r="K27" s="519">
        <f>SUM(1725258+4880652)</f>
        <v>6605910</v>
      </c>
      <c r="L27" s="519">
        <f>SUM(8626010-6605910)</f>
        <v>2020100</v>
      </c>
      <c r="M27" s="504"/>
      <c r="N27" s="549">
        <f>SUM(K27:M27)</f>
        <v>8626010</v>
      </c>
      <c r="O27" s="519">
        <v>6608211</v>
      </c>
      <c r="P27" s="519">
        <f>SUM(8626010-6605910)</f>
        <v>2020100</v>
      </c>
      <c r="Q27" s="504"/>
      <c r="R27" s="549">
        <f>SUM(O27:Q27)</f>
        <v>8628311</v>
      </c>
      <c r="S27" s="519">
        <v>6783914</v>
      </c>
      <c r="T27" s="519">
        <f>SUM(1496000+524100)</f>
        <v>2020100</v>
      </c>
      <c r="U27" s="504"/>
      <c r="V27" s="549">
        <f>SUM(S27:U27)</f>
        <v>8804014</v>
      </c>
      <c r="W27" s="519">
        <v>8606643</v>
      </c>
      <c r="X27" s="519">
        <f>SUM(1496000+524100)</f>
        <v>2020100</v>
      </c>
      <c r="Y27" s="504"/>
      <c r="Z27" s="549">
        <f>SUM(W27:Y27)</f>
        <v>10626743</v>
      </c>
      <c r="AA27" s="519">
        <v>8606643</v>
      </c>
      <c r="AB27" s="519">
        <f>SUM(1496000+524100)</f>
        <v>2020100</v>
      </c>
      <c r="AC27" s="504"/>
      <c r="AD27" s="549">
        <f>SUM(AA27:AC27)</f>
        <v>10626743</v>
      </c>
    </row>
    <row r="28" spans="1:30" s="10" customFormat="1" ht="12.75">
      <c r="A28" s="974" t="s">
        <v>174</v>
      </c>
      <c r="B28" s="771" t="s">
        <v>767</v>
      </c>
      <c r="C28" s="519">
        <f>SUM(19500000+500000+430000+5000000+640000+5000000+720000)</f>
        <v>31790000</v>
      </c>
      <c r="D28" s="519">
        <f>SUM(35790000-31790000)</f>
        <v>4000000</v>
      </c>
      <c r="E28" s="519"/>
      <c r="F28" s="549">
        <f>SUM(C28:E28)</f>
        <v>35790000</v>
      </c>
      <c r="G28" s="519">
        <f>SUM(19500000+500000+430000+5000000+640000+5000000+720000)</f>
        <v>31790000</v>
      </c>
      <c r="H28" s="519">
        <f>SUM(35790000-31790000)</f>
        <v>4000000</v>
      </c>
      <c r="I28" s="519"/>
      <c r="J28" s="549">
        <f>SUM(G28:I28)</f>
        <v>35790000</v>
      </c>
      <c r="K28" s="519">
        <v>30290000</v>
      </c>
      <c r="L28" s="519">
        <v>5500000</v>
      </c>
      <c r="M28" s="519"/>
      <c r="N28" s="549">
        <f>SUM(K28:M28)</f>
        <v>35790000</v>
      </c>
      <c r="O28" s="519">
        <v>30290000</v>
      </c>
      <c r="P28" s="519">
        <v>5500000</v>
      </c>
      <c r="Q28" s="519"/>
      <c r="R28" s="549">
        <f>SUM(O28:Q28)</f>
        <v>35790000</v>
      </c>
      <c r="S28" s="519">
        <v>29827010</v>
      </c>
      <c r="T28" s="519">
        <f>SUM(6000000)</f>
        <v>6000000</v>
      </c>
      <c r="U28" s="519"/>
      <c r="V28" s="549">
        <f>SUM(S28:U28)</f>
        <v>35827010</v>
      </c>
      <c r="W28" s="519">
        <v>36206364</v>
      </c>
      <c r="X28" s="519">
        <f>SUM(6000000)</f>
        <v>6000000</v>
      </c>
      <c r="Y28" s="519"/>
      <c r="Z28" s="549">
        <f>SUM(W28:Y28)</f>
        <v>42206364</v>
      </c>
      <c r="AA28" s="519">
        <v>36206364</v>
      </c>
      <c r="AB28" s="519">
        <f>SUM(6000000)</f>
        <v>6000000</v>
      </c>
      <c r="AC28" s="519"/>
      <c r="AD28" s="549">
        <f>SUM(AA28:AC28)</f>
        <v>42206364</v>
      </c>
    </row>
    <row r="29" spans="1:30" s="10" customFormat="1" ht="12.75">
      <c r="A29" s="974" t="s">
        <v>184</v>
      </c>
      <c r="B29" s="771" t="s">
        <v>768</v>
      </c>
      <c r="C29" s="968"/>
      <c r="D29" s="968">
        <v>500000</v>
      </c>
      <c r="E29" s="968">
        <f>SUM(E30:E31)</f>
        <v>0</v>
      </c>
      <c r="F29" s="549">
        <f>SUM(C29:E29)</f>
        <v>500000</v>
      </c>
      <c r="G29" s="968"/>
      <c r="H29" s="968">
        <v>500000</v>
      </c>
      <c r="I29" s="968">
        <f>SUM(I30:I31)</f>
        <v>0</v>
      </c>
      <c r="J29" s="549">
        <f>SUM(G29:I29)</f>
        <v>500000</v>
      </c>
      <c r="K29" s="968"/>
      <c r="L29" s="968">
        <v>500000</v>
      </c>
      <c r="M29" s="968">
        <f>SUM(M30:M31)</f>
        <v>0</v>
      </c>
      <c r="N29" s="549">
        <f>SUM(K29:M29)</f>
        <v>500000</v>
      </c>
      <c r="O29" s="968"/>
      <c r="P29" s="968">
        <v>500000</v>
      </c>
      <c r="Q29" s="968">
        <f>SUM(Q30:Q31)</f>
        <v>0</v>
      </c>
      <c r="R29" s="549">
        <f>SUM(O29:Q29)</f>
        <v>500000</v>
      </c>
      <c r="S29" s="968">
        <v>500000</v>
      </c>
      <c r="T29" s="968"/>
      <c r="U29" s="968">
        <f>SUM(U30:U31)</f>
        <v>0</v>
      </c>
      <c r="V29" s="549">
        <f>SUM(S29:U29)</f>
        <v>500000</v>
      </c>
      <c r="W29" s="968"/>
      <c r="X29" s="968">
        <v>1481017</v>
      </c>
      <c r="Y29" s="968">
        <f>SUM(Y30:Y31)</f>
        <v>0</v>
      </c>
      <c r="Z29" s="549">
        <f>SUM(W29:Y29)</f>
        <v>1481017</v>
      </c>
      <c r="AA29" s="968"/>
      <c r="AB29" s="968">
        <v>1481017</v>
      </c>
      <c r="AC29" s="968">
        <f>SUM(AC30:AC31)</f>
        <v>0</v>
      </c>
      <c r="AD29" s="549">
        <f>SUM(AA29:AC29)</f>
        <v>1481017</v>
      </c>
    </row>
    <row r="30" spans="1:30" s="122" customFormat="1" ht="12.75">
      <c r="A30" s="925"/>
      <c r="B30" s="925" t="s">
        <v>132</v>
      </c>
      <c r="C30" s="546"/>
      <c r="D30" s="925">
        <v>500000</v>
      </c>
      <c r="E30" s="925"/>
      <c r="F30" s="925"/>
      <c r="G30" s="546"/>
      <c r="H30" s="925">
        <v>500000</v>
      </c>
      <c r="I30" s="925"/>
      <c r="J30" s="925"/>
      <c r="K30" s="546"/>
      <c r="L30" s="925">
        <v>500000</v>
      </c>
      <c r="M30" s="925"/>
      <c r="N30" s="925"/>
      <c r="O30" s="546"/>
      <c r="P30" s="925">
        <v>500000</v>
      </c>
      <c r="Q30" s="925"/>
      <c r="R30" s="925"/>
      <c r="S30" s="546">
        <v>500000</v>
      </c>
      <c r="T30" s="925"/>
      <c r="U30" s="925"/>
      <c r="V30" s="504">
        <v>500000</v>
      </c>
      <c r="W30" s="546"/>
      <c r="X30" s="925">
        <v>1481017</v>
      </c>
      <c r="Y30" s="925"/>
      <c r="Z30" s="504">
        <v>500000</v>
      </c>
      <c r="AA30" s="546"/>
      <c r="AB30" s="925">
        <v>1481017</v>
      </c>
      <c r="AC30" s="925"/>
      <c r="AD30" s="504">
        <v>500000</v>
      </c>
    </row>
    <row r="31" spans="1:30" s="122" customFormat="1" ht="13.5" thickBot="1">
      <c r="A31" s="939"/>
      <c r="B31" s="939" t="s">
        <v>134</v>
      </c>
      <c r="C31" s="939"/>
      <c r="D31" s="939"/>
      <c r="E31" s="939"/>
      <c r="F31" s="939"/>
      <c r="G31" s="939"/>
      <c r="H31" s="939"/>
      <c r="I31" s="939"/>
      <c r="J31" s="939"/>
      <c r="K31" s="939"/>
      <c r="L31" s="939"/>
      <c r="M31" s="939"/>
      <c r="N31" s="939"/>
      <c r="O31" s="939"/>
      <c r="P31" s="939"/>
      <c r="Q31" s="939"/>
      <c r="R31" s="939"/>
      <c r="S31" s="939"/>
      <c r="T31" s="939"/>
      <c r="U31" s="939"/>
      <c r="V31" s="939"/>
      <c r="W31" s="939"/>
      <c r="X31" s="939"/>
      <c r="Y31" s="939"/>
      <c r="Z31" s="939"/>
      <c r="AA31" s="939"/>
      <c r="AB31" s="939"/>
      <c r="AC31" s="939"/>
      <c r="AD31" s="939"/>
    </row>
    <row r="32" spans="1:30" ht="16.5" thickBot="1">
      <c r="A32" s="969"/>
      <c r="B32" s="970" t="s">
        <v>769</v>
      </c>
      <c r="C32" s="971">
        <f aca="true" t="shared" si="13" ref="C32:J32">SUM(C26:C29)</f>
        <v>71688305</v>
      </c>
      <c r="D32" s="971">
        <f t="shared" si="13"/>
        <v>17078260</v>
      </c>
      <c r="E32" s="971">
        <f t="shared" si="13"/>
        <v>0</v>
      </c>
      <c r="F32" s="972">
        <f t="shared" si="13"/>
        <v>88766565</v>
      </c>
      <c r="G32" s="971">
        <f t="shared" si="13"/>
        <v>71688305</v>
      </c>
      <c r="H32" s="971">
        <f t="shared" si="13"/>
        <v>17078260</v>
      </c>
      <c r="I32" s="971">
        <f t="shared" si="13"/>
        <v>0</v>
      </c>
      <c r="J32" s="972">
        <f t="shared" si="13"/>
        <v>88766565</v>
      </c>
      <c r="K32" s="971">
        <f aca="true" t="shared" si="14" ref="K32:R32">SUM(K26:K29)</f>
        <v>70188305</v>
      </c>
      <c r="L32" s="971">
        <f t="shared" si="14"/>
        <v>18578260</v>
      </c>
      <c r="M32" s="971">
        <f t="shared" si="14"/>
        <v>0</v>
      </c>
      <c r="N32" s="972">
        <f t="shared" si="14"/>
        <v>88766565</v>
      </c>
      <c r="O32" s="971">
        <f t="shared" si="14"/>
        <v>70202406</v>
      </c>
      <c r="P32" s="971">
        <f t="shared" si="14"/>
        <v>18578260</v>
      </c>
      <c r="Q32" s="971">
        <f t="shared" si="14"/>
        <v>0</v>
      </c>
      <c r="R32" s="972">
        <f t="shared" si="14"/>
        <v>88780666</v>
      </c>
      <c r="S32" s="971">
        <f aca="true" t="shared" si="15" ref="S32:Z32">SUM(S26:S29)</f>
        <v>71316162</v>
      </c>
      <c r="T32" s="971">
        <f t="shared" si="15"/>
        <v>18578260</v>
      </c>
      <c r="U32" s="971">
        <f t="shared" si="15"/>
        <v>0</v>
      </c>
      <c r="V32" s="972">
        <f t="shared" si="15"/>
        <v>89894422</v>
      </c>
      <c r="W32" s="971">
        <f t="shared" si="15"/>
        <v>72906039</v>
      </c>
      <c r="X32" s="971">
        <f t="shared" si="15"/>
        <v>20059277</v>
      </c>
      <c r="Y32" s="971">
        <f t="shared" si="15"/>
        <v>0</v>
      </c>
      <c r="Z32" s="972">
        <f t="shared" si="15"/>
        <v>92965316</v>
      </c>
      <c r="AA32" s="971">
        <f>SUM(AA26:AA29)</f>
        <v>72906039</v>
      </c>
      <c r="AB32" s="971">
        <f>SUM(AB26:AB29)</f>
        <v>20059277</v>
      </c>
      <c r="AC32" s="971">
        <f>SUM(AC26:AC29)</f>
        <v>0</v>
      </c>
      <c r="AD32" s="972">
        <f>SUM(AD26:AD29)</f>
        <v>92965316</v>
      </c>
    </row>
  </sheetData>
  <sheetProtection/>
  <mergeCells count="13">
    <mergeCell ref="A25:B25"/>
    <mergeCell ref="A10:B11"/>
    <mergeCell ref="C10:F10"/>
    <mergeCell ref="A20:B20"/>
    <mergeCell ref="O10:R10"/>
    <mergeCell ref="S10:V10"/>
    <mergeCell ref="AA10:AD10"/>
    <mergeCell ref="A6:AD6"/>
    <mergeCell ref="A1:AD1"/>
    <mergeCell ref="A2:AD2"/>
    <mergeCell ref="W10:Z10"/>
    <mergeCell ref="K10:N10"/>
    <mergeCell ref="G10:J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2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AD68"/>
  <sheetViews>
    <sheetView showGridLines="0" view="pageBreakPreview" zoomScale="6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AD2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8.7109375" style="0" customWidth="1"/>
    <col min="4" max="4" width="20.00390625" style="0" customWidth="1"/>
    <col min="5" max="5" width="17.7109375" style="0" bestFit="1" customWidth="1"/>
    <col min="6" max="6" width="20.7109375" style="0" customWidth="1"/>
    <col min="7" max="7" width="18.7109375" style="0" customWidth="1"/>
    <col min="8" max="8" width="20.00390625" style="0" customWidth="1"/>
    <col min="9" max="9" width="17.7109375" style="0" bestFit="1" customWidth="1"/>
    <col min="10" max="10" width="20.7109375" style="0" customWidth="1"/>
    <col min="11" max="11" width="18.7109375" style="0" customWidth="1"/>
    <col min="12" max="12" width="20.00390625" style="0" customWidth="1"/>
    <col min="13" max="13" width="17.7109375" style="0" bestFit="1" customWidth="1"/>
    <col min="14" max="14" width="20.7109375" style="0" customWidth="1"/>
    <col min="15" max="15" width="18.7109375" style="0" customWidth="1"/>
    <col min="16" max="16" width="20.00390625" style="0" customWidth="1"/>
    <col min="17" max="17" width="17.7109375" style="0" bestFit="1" customWidth="1"/>
    <col min="18" max="18" width="20.7109375" style="0" customWidth="1"/>
    <col min="19" max="19" width="20.8515625" style="0" customWidth="1"/>
    <col min="20" max="20" width="20.00390625" style="0" customWidth="1"/>
    <col min="21" max="21" width="17.7109375" style="0" bestFit="1" customWidth="1"/>
    <col min="22" max="22" width="20.7109375" style="0" customWidth="1"/>
    <col min="23" max="23" width="20.8515625" style="0" customWidth="1"/>
    <col min="24" max="24" width="20.00390625" style="0" customWidth="1"/>
    <col min="25" max="25" width="17.7109375" style="0" bestFit="1" customWidth="1"/>
    <col min="26" max="26" width="20.7109375" style="0" customWidth="1"/>
    <col min="27" max="27" width="20.8515625" style="0" customWidth="1"/>
    <col min="28" max="28" width="20.00390625" style="0" customWidth="1"/>
    <col min="29" max="29" width="17.7109375" style="0" bestFit="1" customWidth="1"/>
    <col min="30" max="30" width="29.28125" style="0" customWidth="1"/>
  </cols>
  <sheetData>
    <row r="1" spans="1:30" ht="15">
      <c r="A1" s="1856" t="s">
        <v>781</v>
      </c>
      <c r="B1" s="1856"/>
      <c r="C1" s="1856"/>
      <c r="D1" s="1856"/>
      <c r="E1" s="1856"/>
      <c r="F1" s="1856"/>
      <c r="G1" s="1856"/>
      <c r="H1" s="1856"/>
      <c r="I1" s="1856"/>
      <c r="J1" s="1856"/>
      <c r="K1" s="1856"/>
      <c r="L1" s="1856"/>
      <c r="M1" s="1856"/>
      <c r="N1" s="1856"/>
      <c r="O1" s="1856"/>
      <c r="P1" s="1856"/>
      <c r="Q1" s="1856"/>
      <c r="R1" s="1856"/>
      <c r="S1" s="1856"/>
      <c r="T1" s="1856"/>
      <c r="U1" s="1856"/>
      <c r="V1" s="1856"/>
      <c r="W1" s="1856"/>
      <c r="X1" s="1856"/>
      <c r="Y1" s="1856"/>
      <c r="Z1" s="1856"/>
      <c r="AA1" s="1856"/>
      <c r="AB1" s="1856"/>
      <c r="AC1" s="1856"/>
      <c r="AD1" s="1856"/>
    </row>
    <row r="2" spans="1:30" ht="12.75">
      <c r="A2" s="1604" t="s">
        <v>1226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  <c r="Q2" s="1604"/>
      <c r="R2" s="1604"/>
      <c r="S2" s="1604"/>
      <c r="T2" s="1604"/>
      <c r="U2" s="1604"/>
      <c r="V2" s="1604"/>
      <c r="W2" s="1604"/>
      <c r="X2" s="1604"/>
      <c r="Y2" s="1604"/>
      <c r="Z2" s="1604"/>
      <c r="AA2" s="1604"/>
      <c r="AB2" s="1604"/>
      <c r="AC2" s="1604"/>
      <c r="AD2" s="1604"/>
    </row>
    <row r="3" spans="1:30" ht="12.75">
      <c r="A3" s="921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W3" s="921"/>
      <c r="X3" s="921"/>
      <c r="Y3" s="921"/>
      <c r="Z3" s="921"/>
      <c r="AA3" s="921"/>
      <c r="AB3" s="921"/>
      <c r="AC3" s="921"/>
      <c r="AD3" s="921"/>
    </row>
    <row r="4" spans="1:30" ht="29.25" customHeight="1">
      <c r="A4" s="1869" t="s">
        <v>780</v>
      </c>
      <c r="B4" s="1869"/>
      <c r="C4" s="1869"/>
      <c r="D4" s="1869"/>
      <c r="E4" s="1869"/>
      <c r="F4" s="1869"/>
      <c r="G4" s="1869"/>
      <c r="H4" s="1869"/>
      <c r="I4" s="1869"/>
      <c r="J4" s="1869"/>
      <c r="K4" s="1869"/>
      <c r="L4" s="1869"/>
      <c r="M4" s="1869"/>
      <c r="N4" s="1869"/>
      <c r="O4" s="1869"/>
      <c r="P4" s="1869"/>
      <c r="Q4" s="1869"/>
      <c r="R4" s="1869"/>
      <c r="S4" s="1869"/>
      <c r="T4" s="1869"/>
      <c r="U4" s="1869"/>
      <c r="V4" s="1869"/>
      <c r="W4" s="1869"/>
      <c r="X4" s="1869"/>
      <c r="Y4" s="1869"/>
      <c r="Z4" s="1869"/>
      <c r="AA4" s="1869"/>
      <c r="AB4" s="1869"/>
      <c r="AC4" s="1869"/>
      <c r="AD4" s="1869"/>
    </row>
    <row r="7" ht="13.5" thickBot="1">
      <c r="AD7" t="s">
        <v>216</v>
      </c>
    </row>
    <row r="8" spans="1:30" ht="12.75">
      <c r="A8" s="1861" t="s">
        <v>747</v>
      </c>
      <c r="B8" s="1862"/>
      <c r="C8" s="1865" t="s">
        <v>548</v>
      </c>
      <c r="D8" s="1865"/>
      <c r="E8" s="1865"/>
      <c r="F8" s="1866"/>
      <c r="G8" s="1865" t="s">
        <v>1070</v>
      </c>
      <c r="H8" s="1865"/>
      <c r="I8" s="1865"/>
      <c r="J8" s="1866"/>
      <c r="K8" s="1865" t="s">
        <v>1131</v>
      </c>
      <c r="L8" s="1865"/>
      <c r="M8" s="1865"/>
      <c r="N8" s="1866"/>
      <c r="O8" s="1865" t="s">
        <v>1141</v>
      </c>
      <c r="P8" s="1865"/>
      <c r="Q8" s="1865"/>
      <c r="R8" s="1866"/>
      <c r="S8" s="1865" t="s">
        <v>1148</v>
      </c>
      <c r="T8" s="1865"/>
      <c r="U8" s="1865"/>
      <c r="V8" s="1866"/>
      <c r="W8" s="1865" t="s">
        <v>1158</v>
      </c>
      <c r="X8" s="1865"/>
      <c r="Y8" s="1865"/>
      <c r="Z8" s="1866"/>
      <c r="AA8" s="1865" t="s">
        <v>1225</v>
      </c>
      <c r="AB8" s="1865"/>
      <c r="AC8" s="1865"/>
      <c r="AD8" s="1866"/>
    </row>
    <row r="9" spans="1:30" s="4" customFormat="1" ht="26.25" customHeight="1">
      <c r="A9" s="1873"/>
      <c r="B9" s="1874"/>
      <c r="C9" s="927" t="s">
        <v>748</v>
      </c>
      <c r="D9" s="927" t="s">
        <v>749</v>
      </c>
      <c r="E9" s="927" t="s">
        <v>750</v>
      </c>
      <c r="F9" s="979" t="s">
        <v>25</v>
      </c>
      <c r="G9" s="927" t="s">
        <v>748</v>
      </c>
      <c r="H9" s="927" t="s">
        <v>749</v>
      </c>
      <c r="I9" s="927" t="s">
        <v>750</v>
      </c>
      <c r="J9" s="979" t="s">
        <v>25</v>
      </c>
      <c r="K9" s="927" t="s">
        <v>748</v>
      </c>
      <c r="L9" s="927" t="s">
        <v>749</v>
      </c>
      <c r="M9" s="927" t="s">
        <v>750</v>
      </c>
      <c r="N9" s="979" t="s">
        <v>25</v>
      </c>
      <c r="O9" s="927" t="s">
        <v>748</v>
      </c>
      <c r="P9" s="927" t="s">
        <v>749</v>
      </c>
      <c r="Q9" s="927" t="s">
        <v>750</v>
      </c>
      <c r="R9" s="979" t="s">
        <v>25</v>
      </c>
      <c r="S9" s="927" t="s">
        <v>748</v>
      </c>
      <c r="T9" s="927" t="s">
        <v>749</v>
      </c>
      <c r="U9" s="927" t="s">
        <v>750</v>
      </c>
      <c r="V9" s="979" t="s">
        <v>25</v>
      </c>
      <c r="W9" s="927" t="s">
        <v>748</v>
      </c>
      <c r="X9" s="927" t="s">
        <v>749</v>
      </c>
      <c r="Y9" s="927" t="s">
        <v>750</v>
      </c>
      <c r="Z9" s="979" t="s">
        <v>25</v>
      </c>
      <c r="AA9" s="927" t="s">
        <v>748</v>
      </c>
      <c r="AB9" s="927" t="s">
        <v>749</v>
      </c>
      <c r="AC9" s="927" t="s">
        <v>750</v>
      </c>
      <c r="AD9" s="979" t="s">
        <v>25</v>
      </c>
    </row>
    <row r="10" spans="1:30" s="4" customFormat="1" ht="26.25" customHeight="1">
      <c r="A10" s="922"/>
      <c r="B10" s="923" t="s">
        <v>782</v>
      </c>
      <c r="C10" s="980"/>
      <c r="D10" s="980"/>
      <c r="E10" s="980">
        <v>58148665</v>
      </c>
      <c r="F10" s="980">
        <f aca="true" t="shared" si="0" ref="F10:F15">SUM(C10:E10)</f>
        <v>58148665</v>
      </c>
      <c r="G10" s="980"/>
      <c r="H10" s="980"/>
      <c r="I10" s="980">
        <v>58203565</v>
      </c>
      <c r="J10" s="980">
        <f aca="true" t="shared" si="1" ref="J10:J15">SUM(G10:I10)</f>
        <v>58203565</v>
      </c>
      <c r="K10" s="980"/>
      <c r="L10" s="980"/>
      <c r="M10" s="980">
        <v>58148665</v>
      </c>
      <c r="N10" s="980">
        <f aca="true" t="shared" si="2" ref="N10:N15">SUM(K10:M10)</f>
        <v>58148665</v>
      </c>
      <c r="O10" s="980"/>
      <c r="P10" s="980"/>
      <c r="Q10" s="980">
        <v>58148665</v>
      </c>
      <c r="R10" s="980">
        <f aca="true" t="shared" si="3" ref="R10:R15">SUM(O10:Q10)</f>
        <v>58148665</v>
      </c>
      <c r="S10" s="980">
        <v>58148665</v>
      </c>
      <c r="T10" s="980"/>
      <c r="U10" s="980"/>
      <c r="V10" s="980">
        <f aca="true" t="shared" si="4" ref="V10:V15">SUM(S10:U10)</f>
        <v>58148665</v>
      </c>
      <c r="W10" s="980">
        <v>58211337</v>
      </c>
      <c r="X10" s="980"/>
      <c r="Y10" s="980"/>
      <c r="Z10" s="980">
        <f aca="true" t="shared" si="5" ref="Z10:Z15">SUM(W10:Y10)</f>
        <v>58211337</v>
      </c>
      <c r="AA10" s="980">
        <v>58211337</v>
      </c>
      <c r="AB10" s="980"/>
      <c r="AC10" s="980"/>
      <c r="AD10" s="980">
        <f aca="true" t="shared" si="6" ref="AD10:AD15">SUM(AA10:AC10)</f>
        <v>58211337</v>
      </c>
    </row>
    <row r="11" spans="1:30" s="4" customFormat="1" ht="26.25" customHeight="1">
      <c r="A11" s="922"/>
      <c r="B11" s="923" t="s">
        <v>783</v>
      </c>
      <c r="C11" s="980"/>
      <c r="D11" s="980"/>
      <c r="E11" s="980">
        <v>69694818</v>
      </c>
      <c r="F11" s="980">
        <f t="shared" si="0"/>
        <v>69694818</v>
      </c>
      <c r="G11" s="980"/>
      <c r="H11" s="980"/>
      <c r="I11" s="980">
        <v>69694818</v>
      </c>
      <c r="J11" s="980">
        <f t="shared" si="1"/>
        <v>69694818</v>
      </c>
      <c r="K11" s="980"/>
      <c r="L11" s="980"/>
      <c r="M11" s="980">
        <v>69694818</v>
      </c>
      <c r="N11" s="980">
        <f t="shared" si="2"/>
        <v>69694818</v>
      </c>
      <c r="O11" s="980"/>
      <c r="P11" s="980"/>
      <c r="Q11" s="980">
        <v>69694818</v>
      </c>
      <c r="R11" s="980">
        <f t="shared" si="3"/>
        <v>69694818</v>
      </c>
      <c r="S11" s="980">
        <v>69694818</v>
      </c>
      <c r="T11" s="980"/>
      <c r="U11" s="980"/>
      <c r="V11" s="980">
        <f t="shared" si="4"/>
        <v>69694818</v>
      </c>
      <c r="W11" s="980">
        <v>71893151</v>
      </c>
      <c r="X11" s="980"/>
      <c r="Y11" s="980"/>
      <c r="Z11" s="980">
        <f t="shared" si="5"/>
        <v>71893151</v>
      </c>
      <c r="AA11" s="980">
        <v>71893151</v>
      </c>
      <c r="AB11" s="980"/>
      <c r="AC11" s="980"/>
      <c r="AD11" s="980">
        <f t="shared" si="6"/>
        <v>71893151</v>
      </c>
    </row>
    <row r="12" spans="1:30" s="4" customFormat="1" ht="26.25" customHeight="1">
      <c r="A12" s="922"/>
      <c r="B12" s="923" t="s">
        <v>784</v>
      </c>
      <c r="C12" s="980"/>
      <c r="D12" s="980"/>
      <c r="E12" s="980">
        <v>60996421</v>
      </c>
      <c r="F12" s="980">
        <f t="shared" si="0"/>
        <v>60996421</v>
      </c>
      <c r="G12" s="980"/>
      <c r="H12" s="980"/>
      <c r="I12" s="980">
        <v>62478972</v>
      </c>
      <c r="J12" s="980">
        <f t="shared" si="1"/>
        <v>62478972</v>
      </c>
      <c r="K12" s="980"/>
      <c r="L12" s="980"/>
      <c r="M12" s="980">
        <v>62478972</v>
      </c>
      <c r="N12" s="980">
        <f t="shared" si="2"/>
        <v>62478972</v>
      </c>
      <c r="O12" s="980"/>
      <c r="P12" s="980"/>
      <c r="Q12" s="980">
        <v>62478972</v>
      </c>
      <c r="R12" s="980">
        <f t="shared" si="3"/>
        <v>62478972</v>
      </c>
      <c r="S12" s="980">
        <v>62478972</v>
      </c>
      <c r="T12" s="980"/>
      <c r="U12" s="980"/>
      <c r="V12" s="980">
        <f t="shared" si="4"/>
        <v>62478972</v>
      </c>
      <c r="W12" s="980">
        <v>66041405</v>
      </c>
      <c r="X12" s="980"/>
      <c r="Y12" s="980"/>
      <c r="Z12" s="980">
        <f t="shared" si="5"/>
        <v>66041405</v>
      </c>
      <c r="AA12" s="980">
        <v>66041405</v>
      </c>
      <c r="AB12" s="980"/>
      <c r="AC12" s="980"/>
      <c r="AD12" s="980">
        <f t="shared" si="6"/>
        <v>66041405</v>
      </c>
    </row>
    <row r="13" spans="1:30" s="4" customFormat="1" ht="26.25" customHeight="1">
      <c r="A13" s="922"/>
      <c r="B13" s="923" t="s">
        <v>785</v>
      </c>
      <c r="C13" s="980"/>
      <c r="D13" s="980"/>
      <c r="E13" s="980">
        <v>4261620</v>
      </c>
      <c r="F13" s="980">
        <f t="shared" si="0"/>
        <v>4261620</v>
      </c>
      <c r="G13" s="980"/>
      <c r="H13" s="980"/>
      <c r="I13" s="980">
        <v>4261620</v>
      </c>
      <c r="J13" s="980">
        <f t="shared" si="1"/>
        <v>4261620</v>
      </c>
      <c r="K13" s="980"/>
      <c r="L13" s="980"/>
      <c r="M13" s="980">
        <v>4261620</v>
      </c>
      <c r="N13" s="980">
        <f t="shared" si="2"/>
        <v>4261620</v>
      </c>
      <c r="O13" s="980"/>
      <c r="P13" s="980"/>
      <c r="Q13" s="980">
        <v>4261620</v>
      </c>
      <c r="R13" s="980">
        <f t="shared" si="3"/>
        <v>4261620</v>
      </c>
      <c r="S13" s="980">
        <v>4261620</v>
      </c>
      <c r="T13" s="980"/>
      <c r="U13" s="980"/>
      <c r="V13" s="980">
        <f t="shared" si="4"/>
        <v>4261620</v>
      </c>
      <c r="W13" s="980">
        <v>4760778</v>
      </c>
      <c r="X13" s="980"/>
      <c r="Y13" s="980"/>
      <c r="Z13" s="980">
        <f t="shared" si="5"/>
        <v>4760778</v>
      </c>
      <c r="AA13" s="980">
        <v>4760778</v>
      </c>
      <c r="AB13" s="980"/>
      <c r="AC13" s="980"/>
      <c r="AD13" s="980">
        <f t="shared" si="6"/>
        <v>4760778</v>
      </c>
    </row>
    <row r="14" spans="1:30" s="4" customFormat="1" ht="26.25" customHeight="1">
      <c r="A14" s="922"/>
      <c r="B14" s="923" t="s">
        <v>786</v>
      </c>
      <c r="C14" s="980"/>
      <c r="D14" s="980"/>
      <c r="E14" s="980"/>
      <c r="F14" s="980">
        <f t="shared" si="0"/>
        <v>0</v>
      </c>
      <c r="G14" s="980"/>
      <c r="H14" s="980"/>
      <c r="I14" s="980">
        <v>620800</v>
      </c>
      <c r="J14" s="980">
        <f t="shared" si="1"/>
        <v>620800</v>
      </c>
      <c r="K14" s="980"/>
      <c r="L14" s="980"/>
      <c r="M14" s="980">
        <v>1226416</v>
      </c>
      <c r="N14" s="980">
        <f t="shared" si="2"/>
        <v>1226416</v>
      </c>
      <c r="O14" s="980"/>
      <c r="P14" s="980"/>
      <c r="Q14" s="980">
        <v>1286490</v>
      </c>
      <c r="R14" s="980">
        <f t="shared" si="3"/>
        <v>1286490</v>
      </c>
      <c r="S14" s="980">
        <v>2126602</v>
      </c>
      <c r="T14" s="980"/>
      <c r="U14" s="980"/>
      <c r="V14" s="980">
        <f t="shared" si="4"/>
        <v>2126602</v>
      </c>
      <c r="W14" s="980">
        <v>2961270</v>
      </c>
      <c r="X14" s="980"/>
      <c r="Y14" s="980"/>
      <c r="Z14" s="980">
        <f t="shared" si="5"/>
        <v>2961270</v>
      </c>
      <c r="AA14" s="980">
        <v>2961270</v>
      </c>
      <c r="AB14" s="980"/>
      <c r="AC14" s="980"/>
      <c r="AD14" s="980">
        <f t="shared" si="6"/>
        <v>2961270</v>
      </c>
    </row>
    <row r="15" spans="1:30" s="4" customFormat="1" ht="25.5">
      <c r="A15" s="922"/>
      <c r="B15" s="923" t="s">
        <v>787</v>
      </c>
      <c r="C15" s="980"/>
      <c r="D15" s="980"/>
      <c r="E15" s="980"/>
      <c r="F15" s="980">
        <f t="shared" si="0"/>
        <v>0</v>
      </c>
      <c r="G15" s="980"/>
      <c r="H15" s="980"/>
      <c r="I15" s="980"/>
      <c r="J15" s="980">
        <f t="shared" si="1"/>
        <v>0</v>
      </c>
      <c r="K15" s="980"/>
      <c r="L15" s="980"/>
      <c r="M15" s="980">
        <v>54900</v>
      </c>
      <c r="N15" s="980">
        <f t="shared" si="2"/>
        <v>54900</v>
      </c>
      <c r="O15" s="980"/>
      <c r="P15" s="980"/>
      <c r="Q15" s="980">
        <v>54900</v>
      </c>
      <c r="R15" s="980">
        <f t="shared" si="3"/>
        <v>54900</v>
      </c>
      <c r="S15" s="980">
        <v>270530</v>
      </c>
      <c r="T15" s="980"/>
      <c r="U15" s="980"/>
      <c r="V15" s="980">
        <f t="shared" si="4"/>
        <v>270530</v>
      </c>
      <c r="W15" s="980">
        <v>270530</v>
      </c>
      <c r="X15" s="980"/>
      <c r="Y15" s="980"/>
      <c r="Z15" s="980">
        <f t="shared" si="5"/>
        <v>270530</v>
      </c>
      <c r="AA15" s="980">
        <v>270530</v>
      </c>
      <c r="AB15" s="980"/>
      <c r="AC15" s="980"/>
      <c r="AD15" s="980">
        <f t="shared" si="6"/>
        <v>270530</v>
      </c>
    </row>
    <row r="16" spans="1:30" s="4" customFormat="1" ht="26.25" customHeight="1">
      <c r="A16" s="922"/>
      <c r="B16" s="977" t="s">
        <v>788</v>
      </c>
      <c r="C16" s="981">
        <f aca="true" t="shared" si="7" ref="C16:J16">SUM(C10:C15)</f>
        <v>0</v>
      </c>
      <c r="D16" s="981">
        <f t="shared" si="7"/>
        <v>0</v>
      </c>
      <c r="E16" s="981">
        <f t="shared" si="7"/>
        <v>193101524</v>
      </c>
      <c r="F16" s="981">
        <f t="shared" si="7"/>
        <v>193101524</v>
      </c>
      <c r="G16" s="981">
        <f t="shared" si="7"/>
        <v>0</v>
      </c>
      <c r="H16" s="981">
        <f t="shared" si="7"/>
        <v>0</v>
      </c>
      <c r="I16" s="981">
        <f t="shared" si="7"/>
        <v>195259775</v>
      </c>
      <c r="J16" s="981">
        <f t="shared" si="7"/>
        <v>195259775</v>
      </c>
      <c r="K16" s="981">
        <f aca="true" t="shared" si="8" ref="K16:R16">SUM(K10:K15)</f>
        <v>0</v>
      </c>
      <c r="L16" s="981">
        <f t="shared" si="8"/>
        <v>0</v>
      </c>
      <c r="M16" s="981">
        <f t="shared" si="8"/>
        <v>195865391</v>
      </c>
      <c r="N16" s="981">
        <f t="shared" si="8"/>
        <v>195865391</v>
      </c>
      <c r="O16" s="981">
        <f t="shared" si="8"/>
        <v>0</v>
      </c>
      <c r="P16" s="981">
        <f t="shared" si="8"/>
        <v>0</v>
      </c>
      <c r="Q16" s="981">
        <f t="shared" si="8"/>
        <v>195925465</v>
      </c>
      <c r="R16" s="981">
        <f t="shared" si="8"/>
        <v>195925465</v>
      </c>
      <c r="S16" s="981">
        <f>SUM(S10:S15)</f>
        <v>196981207</v>
      </c>
      <c r="T16" s="981"/>
      <c r="U16" s="981"/>
      <c r="V16" s="981">
        <f>SUM(V10:V15)</f>
        <v>196981207</v>
      </c>
      <c r="W16" s="981">
        <f>SUM(W10:W15)</f>
        <v>204138471</v>
      </c>
      <c r="X16" s="981"/>
      <c r="Y16" s="981"/>
      <c r="Z16" s="981">
        <f>SUM(Z10:Z15)</f>
        <v>204138471</v>
      </c>
      <c r="AA16" s="981">
        <f>SUM(AA10:AA15)</f>
        <v>204138471</v>
      </c>
      <c r="AB16" s="981"/>
      <c r="AC16" s="981"/>
      <c r="AD16" s="981">
        <f>SUM(AD10:AD15)</f>
        <v>204138471</v>
      </c>
    </row>
    <row r="17" spans="1:30" s="983" customFormat="1" ht="26.25" customHeight="1">
      <c r="A17" s="982"/>
      <c r="B17" s="977" t="s">
        <v>789</v>
      </c>
      <c r="C17" s="981"/>
      <c r="D17" s="981">
        <v>9168000</v>
      </c>
      <c r="E17" s="981"/>
      <c r="F17" s="981">
        <f>SUM(C17:E17)</f>
        <v>9168000</v>
      </c>
      <c r="G17" s="981"/>
      <c r="H17" s="981">
        <v>9168000</v>
      </c>
      <c r="I17" s="981"/>
      <c r="J17" s="981">
        <f>SUM(G17:I17)</f>
        <v>9168000</v>
      </c>
      <c r="K17" s="981"/>
      <c r="L17" s="981">
        <v>9168000</v>
      </c>
      <c r="M17" s="981"/>
      <c r="N17" s="981">
        <f>SUM(K17:M17)</f>
        <v>9168000</v>
      </c>
      <c r="O17" s="981"/>
      <c r="P17" s="981">
        <v>9168000</v>
      </c>
      <c r="Q17" s="981"/>
      <c r="R17" s="981">
        <f>SUM(O17:Q17)</f>
        <v>9168000</v>
      </c>
      <c r="S17" s="981">
        <v>9168000</v>
      </c>
      <c r="T17" s="981"/>
      <c r="U17" s="981"/>
      <c r="V17" s="981">
        <f>SUM(S17:U17)</f>
        <v>9168000</v>
      </c>
      <c r="W17" s="981">
        <v>6848850</v>
      </c>
      <c r="X17" s="981"/>
      <c r="Y17" s="981"/>
      <c r="Z17" s="981">
        <f>SUM(W17:Y17)</f>
        <v>6848850</v>
      </c>
      <c r="AA17" s="981">
        <v>6848850</v>
      </c>
      <c r="AB17" s="981"/>
      <c r="AC17" s="981"/>
      <c r="AD17" s="981">
        <f>SUM(AA17:AC17)</f>
        <v>6848850</v>
      </c>
    </row>
    <row r="18" spans="1:30" s="4" customFormat="1" ht="24">
      <c r="A18" s="922"/>
      <c r="B18" s="978" t="s">
        <v>790</v>
      </c>
      <c r="C18" s="980"/>
      <c r="D18" s="980">
        <v>9168000</v>
      </c>
      <c r="E18" s="980"/>
      <c r="F18" s="980">
        <v>9168000</v>
      </c>
      <c r="G18" s="980"/>
      <c r="H18" s="980">
        <v>9168000</v>
      </c>
      <c r="I18" s="980"/>
      <c r="J18" s="980">
        <v>9168000</v>
      </c>
      <c r="K18" s="980"/>
      <c r="L18" s="980">
        <v>9168000</v>
      </c>
      <c r="M18" s="980"/>
      <c r="N18" s="980">
        <v>9168000</v>
      </c>
      <c r="O18" s="980"/>
      <c r="P18" s="980">
        <v>9168000</v>
      </c>
      <c r="Q18" s="980"/>
      <c r="R18" s="980">
        <v>9168000</v>
      </c>
      <c r="S18" s="980">
        <v>9168000</v>
      </c>
      <c r="T18" s="980"/>
      <c r="U18" s="980"/>
      <c r="V18" s="980">
        <f>SUM(S18:U18)</f>
        <v>9168000</v>
      </c>
      <c r="W18" s="980">
        <v>6848850</v>
      </c>
      <c r="X18" s="980"/>
      <c r="Y18" s="980"/>
      <c r="Z18" s="980">
        <f>SUM(W18:Y18)</f>
        <v>6848850</v>
      </c>
      <c r="AA18" s="980">
        <v>6848850</v>
      </c>
      <c r="AB18" s="980"/>
      <c r="AC18" s="980"/>
      <c r="AD18" s="980">
        <f>SUM(AA18:AC18)</f>
        <v>6848850</v>
      </c>
    </row>
    <row r="19" spans="1:30" s="4" customFormat="1" ht="31.5">
      <c r="A19" s="922" t="s">
        <v>165</v>
      </c>
      <c r="B19" s="936" t="s">
        <v>791</v>
      </c>
      <c r="C19" s="985">
        <f aca="true" t="shared" si="9" ref="C19:J19">SUM(C16+C17)</f>
        <v>0</v>
      </c>
      <c r="D19" s="985">
        <f t="shared" si="9"/>
        <v>9168000</v>
      </c>
      <c r="E19" s="985">
        <f t="shared" si="9"/>
        <v>193101524</v>
      </c>
      <c r="F19" s="985">
        <f t="shared" si="9"/>
        <v>202269524</v>
      </c>
      <c r="G19" s="985">
        <f t="shared" si="9"/>
        <v>0</v>
      </c>
      <c r="H19" s="985">
        <f t="shared" si="9"/>
        <v>9168000</v>
      </c>
      <c r="I19" s="985">
        <f t="shared" si="9"/>
        <v>195259775</v>
      </c>
      <c r="J19" s="985">
        <f t="shared" si="9"/>
        <v>204427775</v>
      </c>
      <c r="K19" s="985">
        <f aca="true" t="shared" si="10" ref="K19:R19">SUM(K16+K17)</f>
        <v>0</v>
      </c>
      <c r="L19" s="985">
        <f t="shared" si="10"/>
        <v>9168000</v>
      </c>
      <c r="M19" s="985">
        <f t="shared" si="10"/>
        <v>195865391</v>
      </c>
      <c r="N19" s="985">
        <f t="shared" si="10"/>
        <v>205033391</v>
      </c>
      <c r="O19" s="985">
        <f t="shared" si="10"/>
        <v>0</v>
      </c>
      <c r="P19" s="985">
        <f t="shared" si="10"/>
        <v>9168000</v>
      </c>
      <c r="Q19" s="985">
        <f t="shared" si="10"/>
        <v>195925465</v>
      </c>
      <c r="R19" s="985">
        <f t="shared" si="10"/>
        <v>205093465</v>
      </c>
      <c r="S19" s="985">
        <f aca="true" t="shared" si="11" ref="S19:Z19">SUM(S16+S17)</f>
        <v>206149207</v>
      </c>
      <c r="T19" s="985">
        <f t="shared" si="11"/>
        <v>0</v>
      </c>
      <c r="U19" s="985">
        <f t="shared" si="11"/>
        <v>0</v>
      </c>
      <c r="V19" s="985">
        <f t="shared" si="11"/>
        <v>206149207</v>
      </c>
      <c r="W19" s="985">
        <f t="shared" si="11"/>
        <v>210987321</v>
      </c>
      <c r="X19" s="985">
        <f t="shared" si="11"/>
        <v>0</v>
      </c>
      <c r="Y19" s="985">
        <f t="shared" si="11"/>
        <v>0</v>
      </c>
      <c r="Z19" s="985">
        <f t="shared" si="11"/>
        <v>210987321</v>
      </c>
      <c r="AA19" s="985">
        <f>SUM(AA16+AA17)</f>
        <v>210987321</v>
      </c>
      <c r="AB19" s="985">
        <f>SUM(AB16+AB17)</f>
        <v>0</v>
      </c>
      <c r="AC19" s="985">
        <f>SUM(AC16+AC17)</f>
        <v>0</v>
      </c>
      <c r="AD19" s="985">
        <f>SUM(AD16+AD17)</f>
        <v>210987321</v>
      </c>
    </row>
    <row r="20" spans="1:30" s="4" customFormat="1" ht="31.5">
      <c r="A20" s="922" t="s">
        <v>167</v>
      </c>
      <c r="B20" s="936" t="s">
        <v>168</v>
      </c>
      <c r="C20" s="985">
        <v>0</v>
      </c>
      <c r="D20" s="985">
        <v>0</v>
      </c>
      <c r="E20" s="985">
        <v>0</v>
      </c>
      <c r="F20" s="985">
        <v>0</v>
      </c>
      <c r="G20" s="985">
        <v>0</v>
      </c>
      <c r="H20" s="985">
        <v>0</v>
      </c>
      <c r="I20" s="985">
        <v>0</v>
      </c>
      <c r="J20" s="985">
        <v>0</v>
      </c>
      <c r="K20" s="985">
        <v>0</v>
      </c>
      <c r="L20" s="985">
        <v>0</v>
      </c>
      <c r="M20" s="985">
        <v>0</v>
      </c>
      <c r="N20" s="985">
        <v>0</v>
      </c>
      <c r="O20" s="985">
        <v>0</v>
      </c>
      <c r="P20" s="985">
        <v>0</v>
      </c>
      <c r="Q20" s="985">
        <v>0</v>
      </c>
      <c r="R20" s="985">
        <v>0</v>
      </c>
      <c r="S20" s="985">
        <v>0</v>
      </c>
      <c r="T20" s="985"/>
      <c r="U20" s="985"/>
      <c r="V20" s="985"/>
      <c r="W20" s="985">
        <v>6653317</v>
      </c>
      <c r="X20" s="985">
        <v>7529481</v>
      </c>
      <c r="Y20" s="985"/>
      <c r="Z20" s="985">
        <f>SUM(W20:X20)</f>
        <v>14182798</v>
      </c>
      <c r="AA20" s="985">
        <v>6653317</v>
      </c>
      <c r="AB20" s="985">
        <v>7529481</v>
      </c>
      <c r="AC20" s="985"/>
      <c r="AD20" s="985">
        <f>SUM(AA20:AB20)</f>
        <v>14182798</v>
      </c>
    </row>
    <row r="21" spans="1:30" s="4" customFormat="1" ht="12.75">
      <c r="A21" s="922"/>
      <c r="B21" s="977" t="s">
        <v>792</v>
      </c>
      <c r="C21" s="980"/>
      <c r="D21" s="980"/>
      <c r="E21" s="980">
        <v>6755000</v>
      </c>
      <c r="F21" s="980">
        <f>SUM(C21:E21)</f>
        <v>6755000</v>
      </c>
      <c r="G21" s="980"/>
      <c r="H21" s="980"/>
      <c r="I21" s="980">
        <v>6755000</v>
      </c>
      <c r="J21" s="980">
        <f>SUM(G21:I21)</f>
        <v>6755000</v>
      </c>
      <c r="K21" s="980"/>
      <c r="L21" s="980"/>
      <c r="M21" s="980">
        <v>6755000</v>
      </c>
      <c r="N21" s="980">
        <f>SUM(K21:M21)</f>
        <v>6755000</v>
      </c>
      <c r="O21" s="980"/>
      <c r="P21" s="980"/>
      <c r="Q21" s="980">
        <v>6755000</v>
      </c>
      <c r="R21" s="980">
        <f>SUM(O21:Q21)</f>
        <v>6755000</v>
      </c>
      <c r="S21" s="980">
        <v>6755000</v>
      </c>
      <c r="T21" s="980"/>
      <c r="U21" s="980"/>
      <c r="V21" s="980">
        <f>SUM(S21:U21)</f>
        <v>6755000</v>
      </c>
      <c r="W21" s="980">
        <v>8127945</v>
      </c>
      <c r="X21" s="980"/>
      <c r="Y21" s="980"/>
      <c r="Z21" s="980">
        <f>SUM(W21:Y21)</f>
        <v>8127945</v>
      </c>
      <c r="AA21" s="980">
        <v>8127945</v>
      </c>
      <c r="AB21" s="980"/>
      <c r="AC21" s="980"/>
      <c r="AD21" s="980">
        <f>SUM(AA21:AC21)</f>
        <v>8127945</v>
      </c>
    </row>
    <row r="22" spans="1:30" s="4" customFormat="1" ht="12.75">
      <c r="A22" s="922"/>
      <c r="B22" s="923" t="s">
        <v>793</v>
      </c>
      <c r="C22" s="980"/>
      <c r="D22" s="980"/>
      <c r="E22" s="980">
        <v>134000000</v>
      </c>
      <c r="F22" s="980">
        <f>SUM(C22:E22)</f>
        <v>134000000</v>
      </c>
      <c r="G22" s="980"/>
      <c r="H22" s="980"/>
      <c r="I22" s="980">
        <v>134000000</v>
      </c>
      <c r="J22" s="980">
        <f>SUM(G22:I22)</f>
        <v>134000000</v>
      </c>
      <c r="K22" s="980"/>
      <c r="L22" s="980"/>
      <c r="M22" s="980">
        <v>134000000</v>
      </c>
      <c r="N22" s="980">
        <f>SUM(K22:M22)</f>
        <v>134000000</v>
      </c>
      <c r="O22" s="980"/>
      <c r="P22" s="980"/>
      <c r="Q22" s="980">
        <v>134000000</v>
      </c>
      <c r="R22" s="980">
        <f>SUM(O22:Q22)</f>
        <v>134000000</v>
      </c>
      <c r="S22" s="980">
        <v>136000000</v>
      </c>
      <c r="T22" s="980"/>
      <c r="U22" s="980"/>
      <c r="V22" s="980">
        <f aca="true" t="shared" si="12" ref="V22:V27">SUM(S22:U22)</f>
        <v>136000000</v>
      </c>
      <c r="W22" s="980">
        <v>164505470</v>
      </c>
      <c r="X22" s="980"/>
      <c r="Y22" s="980"/>
      <c r="Z22" s="980">
        <f aca="true" t="shared" si="13" ref="Z22:Z27">SUM(W22:Y22)</f>
        <v>164505470</v>
      </c>
      <c r="AA22" s="980">
        <v>164505470</v>
      </c>
      <c r="AB22" s="980"/>
      <c r="AC22" s="980"/>
      <c r="AD22" s="980">
        <f aca="true" t="shared" si="14" ref="AD22:AD27">SUM(AA22:AC22)</f>
        <v>164505470</v>
      </c>
    </row>
    <row r="23" spans="1:30" s="4" customFormat="1" ht="12.75">
      <c r="A23" s="922"/>
      <c r="B23" s="923" t="s">
        <v>794</v>
      </c>
      <c r="C23" s="980"/>
      <c r="D23" s="980"/>
      <c r="E23" s="980">
        <v>9235000</v>
      </c>
      <c r="F23" s="980">
        <f>SUM(C23:E23)</f>
        <v>9235000</v>
      </c>
      <c r="G23" s="980"/>
      <c r="H23" s="980"/>
      <c r="I23" s="980">
        <v>9235000</v>
      </c>
      <c r="J23" s="980">
        <f>SUM(G23:I23)</f>
        <v>9235000</v>
      </c>
      <c r="K23" s="980"/>
      <c r="L23" s="980"/>
      <c r="M23" s="980">
        <v>9235000</v>
      </c>
      <c r="N23" s="980">
        <f>SUM(K23:M23)</f>
        <v>9235000</v>
      </c>
      <c r="O23" s="980"/>
      <c r="P23" s="980"/>
      <c r="Q23" s="980">
        <v>11376598</v>
      </c>
      <c r="R23" s="980">
        <f>SUM(O23:Q23)</f>
        <v>11376598</v>
      </c>
      <c r="S23" s="980">
        <v>11376598</v>
      </c>
      <c r="T23" s="980"/>
      <c r="U23" s="980"/>
      <c r="V23" s="980">
        <f t="shared" si="12"/>
        <v>11376598</v>
      </c>
      <c r="W23" s="980">
        <v>12680105</v>
      </c>
      <c r="X23" s="980"/>
      <c r="Y23" s="980"/>
      <c r="Z23" s="980">
        <f t="shared" si="13"/>
        <v>12680105</v>
      </c>
      <c r="AA23" s="980">
        <v>12680105</v>
      </c>
      <c r="AB23" s="980"/>
      <c r="AC23" s="980"/>
      <c r="AD23" s="980">
        <f t="shared" si="14"/>
        <v>12680105</v>
      </c>
    </row>
    <row r="24" spans="1:30" s="4" customFormat="1" ht="25.5">
      <c r="A24" s="922"/>
      <c r="B24" s="923" t="s">
        <v>795</v>
      </c>
      <c r="C24" s="980"/>
      <c r="D24" s="980"/>
      <c r="E24" s="980"/>
      <c r="F24" s="980">
        <f>SUM(C24:E24)</f>
        <v>0</v>
      </c>
      <c r="G24" s="980"/>
      <c r="H24" s="980"/>
      <c r="I24" s="980"/>
      <c r="J24" s="980">
        <f>SUM(G24:I24)</f>
        <v>0</v>
      </c>
      <c r="K24" s="980"/>
      <c r="L24" s="980"/>
      <c r="M24" s="980"/>
      <c r="N24" s="980">
        <f>SUM(K24:M24)</f>
        <v>0</v>
      </c>
      <c r="O24" s="980"/>
      <c r="P24" s="980"/>
      <c r="Q24" s="980"/>
      <c r="R24" s="980">
        <f>SUM(O24:Q24)</f>
        <v>0</v>
      </c>
      <c r="S24" s="980"/>
      <c r="T24" s="980"/>
      <c r="U24" s="980"/>
      <c r="V24" s="980">
        <f t="shared" si="12"/>
        <v>0</v>
      </c>
      <c r="W24" s="980"/>
      <c r="X24" s="980"/>
      <c r="Y24" s="980"/>
      <c r="Z24" s="980">
        <f t="shared" si="13"/>
        <v>0</v>
      </c>
      <c r="AA24" s="980"/>
      <c r="AB24" s="980"/>
      <c r="AC24" s="980"/>
      <c r="AD24" s="980">
        <f t="shared" si="14"/>
        <v>0</v>
      </c>
    </row>
    <row r="25" spans="1:30" s="4" customFormat="1" ht="12.75">
      <c r="A25" s="922"/>
      <c r="B25" s="977" t="s">
        <v>796</v>
      </c>
      <c r="C25" s="980"/>
      <c r="D25" s="980">
        <f>SUM(D22:D24)</f>
        <v>0</v>
      </c>
      <c r="E25" s="980">
        <f>SUM(E22:E24)</f>
        <v>143235000</v>
      </c>
      <c r="F25" s="980">
        <f>SUM(F22:F24)</f>
        <v>143235000</v>
      </c>
      <c r="G25" s="980"/>
      <c r="H25" s="980">
        <f>SUM(H22:H24)</f>
        <v>0</v>
      </c>
      <c r="I25" s="980">
        <f>SUM(I22:I24)</f>
        <v>143235000</v>
      </c>
      <c r="J25" s="980">
        <f>SUM(J22:J24)</f>
        <v>143235000</v>
      </c>
      <c r="K25" s="980"/>
      <c r="L25" s="980">
        <f>SUM(L22:L24)</f>
        <v>0</v>
      </c>
      <c r="M25" s="980">
        <f>SUM(M22:M24)</f>
        <v>143235000</v>
      </c>
      <c r="N25" s="980">
        <f>SUM(N22:N24)</f>
        <v>143235000</v>
      </c>
      <c r="O25" s="980"/>
      <c r="P25" s="980">
        <f>SUM(P22:P24)</f>
        <v>0</v>
      </c>
      <c r="Q25" s="980">
        <f>SUM(Q22:Q24)</f>
        <v>145376598</v>
      </c>
      <c r="R25" s="980">
        <f>SUM(R22:R24)</f>
        <v>145376598</v>
      </c>
      <c r="S25" s="980">
        <f>SUM(S22:S24)</f>
        <v>147376598</v>
      </c>
      <c r="T25" s="980"/>
      <c r="U25" s="980"/>
      <c r="V25" s="980">
        <f t="shared" si="12"/>
        <v>147376598</v>
      </c>
      <c r="W25" s="980">
        <f>SUM(W22:W24)</f>
        <v>177185575</v>
      </c>
      <c r="X25" s="980"/>
      <c r="Y25" s="980"/>
      <c r="Z25" s="980">
        <f t="shared" si="13"/>
        <v>177185575</v>
      </c>
      <c r="AA25" s="980">
        <f>SUM(AA22:AA24)</f>
        <v>177185575</v>
      </c>
      <c r="AB25" s="980"/>
      <c r="AC25" s="980"/>
      <c r="AD25" s="980">
        <f t="shared" si="14"/>
        <v>177185575</v>
      </c>
    </row>
    <row r="26" spans="1:30" s="4" customFormat="1" ht="12.75">
      <c r="A26" s="922"/>
      <c r="B26" s="977" t="s">
        <v>797</v>
      </c>
      <c r="C26" s="980"/>
      <c r="D26" s="980"/>
      <c r="E26" s="980">
        <v>465000</v>
      </c>
      <c r="F26" s="980">
        <v>465000</v>
      </c>
      <c r="G26" s="980"/>
      <c r="H26" s="980"/>
      <c r="I26" s="980">
        <v>465000</v>
      </c>
      <c r="J26" s="980">
        <v>465000</v>
      </c>
      <c r="K26" s="980"/>
      <c r="L26" s="980"/>
      <c r="M26" s="980">
        <v>465000</v>
      </c>
      <c r="N26" s="980">
        <v>465000</v>
      </c>
      <c r="O26" s="980"/>
      <c r="P26" s="980"/>
      <c r="Q26" s="980">
        <v>465000</v>
      </c>
      <c r="R26" s="980">
        <v>465000</v>
      </c>
      <c r="S26" s="980">
        <v>465000</v>
      </c>
      <c r="T26" s="980"/>
      <c r="U26" s="980"/>
      <c r="V26" s="980">
        <f t="shared" si="12"/>
        <v>465000</v>
      </c>
      <c r="W26" s="980">
        <v>1362640</v>
      </c>
      <c r="X26" s="980"/>
      <c r="Y26" s="980"/>
      <c r="Z26" s="980">
        <f t="shared" si="13"/>
        <v>1362640</v>
      </c>
      <c r="AA26" s="980">
        <v>1362640</v>
      </c>
      <c r="AB26" s="980"/>
      <c r="AC26" s="980"/>
      <c r="AD26" s="980">
        <f t="shared" si="14"/>
        <v>1362640</v>
      </c>
    </row>
    <row r="27" spans="1:30" s="4" customFormat="1" ht="15.75">
      <c r="A27" s="922" t="s">
        <v>167</v>
      </c>
      <c r="B27" s="936" t="s">
        <v>798</v>
      </c>
      <c r="C27" s="984">
        <f aca="true" t="shared" si="15" ref="C27:J27">SUM(C21+C25+C26)</f>
        <v>0</v>
      </c>
      <c r="D27" s="984">
        <f t="shared" si="15"/>
        <v>0</v>
      </c>
      <c r="E27" s="984">
        <f t="shared" si="15"/>
        <v>150455000</v>
      </c>
      <c r="F27" s="984">
        <f t="shared" si="15"/>
        <v>150455000</v>
      </c>
      <c r="G27" s="984">
        <f t="shared" si="15"/>
        <v>0</v>
      </c>
      <c r="H27" s="984">
        <f t="shared" si="15"/>
        <v>0</v>
      </c>
      <c r="I27" s="984">
        <f t="shared" si="15"/>
        <v>150455000</v>
      </c>
      <c r="J27" s="984">
        <f t="shared" si="15"/>
        <v>150455000</v>
      </c>
      <c r="K27" s="984">
        <f aca="true" t="shared" si="16" ref="K27:R27">SUM(K21+K25+K26)</f>
        <v>0</v>
      </c>
      <c r="L27" s="984">
        <f t="shared" si="16"/>
        <v>0</v>
      </c>
      <c r="M27" s="984">
        <f t="shared" si="16"/>
        <v>150455000</v>
      </c>
      <c r="N27" s="984">
        <f t="shared" si="16"/>
        <v>150455000</v>
      </c>
      <c r="O27" s="984">
        <f t="shared" si="16"/>
        <v>0</v>
      </c>
      <c r="P27" s="984">
        <f t="shared" si="16"/>
        <v>0</v>
      </c>
      <c r="Q27" s="984">
        <f t="shared" si="16"/>
        <v>152596598</v>
      </c>
      <c r="R27" s="984">
        <f t="shared" si="16"/>
        <v>152596598</v>
      </c>
      <c r="S27" s="984">
        <f>SUM(S21+S25+S26)</f>
        <v>154596598</v>
      </c>
      <c r="T27" s="984"/>
      <c r="U27" s="984"/>
      <c r="V27" s="1418">
        <f t="shared" si="12"/>
        <v>154596598</v>
      </c>
      <c r="W27" s="984">
        <f>SUM(W21+W25+W26)</f>
        <v>186676160</v>
      </c>
      <c r="X27" s="984"/>
      <c r="Y27" s="984"/>
      <c r="Z27" s="1418">
        <f t="shared" si="13"/>
        <v>186676160</v>
      </c>
      <c r="AA27" s="984">
        <f>SUM(AA21+AA25+AA26)</f>
        <v>186676160</v>
      </c>
      <c r="AB27" s="984"/>
      <c r="AC27" s="984"/>
      <c r="AD27" s="1418">
        <f t="shared" si="14"/>
        <v>186676160</v>
      </c>
    </row>
    <row r="28" spans="1:30" s="4" customFormat="1" ht="12.75">
      <c r="A28" s="922"/>
      <c r="B28" s="923" t="s">
        <v>778</v>
      </c>
      <c r="C28" s="980"/>
      <c r="D28" s="980">
        <v>5400000</v>
      </c>
      <c r="E28" s="980"/>
      <c r="F28" s="980">
        <f aca="true" t="shared" si="17" ref="F28:F35">SUM(C28:E28)</f>
        <v>5400000</v>
      </c>
      <c r="G28" s="980"/>
      <c r="H28" s="980">
        <v>5400000</v>
      </c>
      <c r="I28" s="980"/>
      <c r="J28" s="980">
        <f aca="true" t="shared" si="18" ref="J28:J33">SUM(G28:I28)</f>
        <v>5400000</v>
      </c>
      <c r="K28" s="980"/>
      <c r="L28" s="980">
        <v>5400000</v>
      </c>
      <c r="M28" s="980"/>
      <c r="N28" s="980">
        <f aca="true" t="shared" si="19" ref="N28:N33">SUM(K28:M28)</f>
        <v>5400000</v>
      </c>
      <c r="O28" s="980"/>
      <c r="P28" s="980">
        <v>5400000</v>
      </c>
      <c r="Q28" s="980"/>
      <c r="R28" s="980">
        <f aca="true" t="shared" si="20" ref="R28:R34">SUM(O28:Q28)</f>
        <v>5400000</v>
      </c>
      <c r="S28" s="980">
        <v>5400000</v>
      </c>
      <c r="T28" s="980"/>
      <c r="U28" s="980"/>
      <c r="V28" s="980">
        <f>SUM(S28)</f>
        <v>5400000</v>
      </c>
      <c r="W28" s="980">
        <v>3345228</v>
      </c>
      <c r="X28" s="980"/>
      <c r="Y28" s="980"/>
      <c r="Z28" s="980">
        <f>SUM(W28)</f>
        <v>3345228</v>
      </c>
      <c r="AA28" s="980">
        <v>3345228</v>
      </c>
      <c r="AB28" s="980"/>
      <c r="AC28" s="980"/>
      <c r="AD28" s="980">
        <f>SUM(AA28)</f>
        <v>3345228</v>
      </c>
    </row>
    <row r="29" spans="1:30" s="4" customFormat="1" ht="25.5">
      <c r="A29" s="922"/>
      <c r="B29" s="923" t="s">
        <v>799</v>
      </c>
      <c r="C29" s="980"/>
      <c r="D29" s="980">
        <v>3655000</v>
      </c>
      <c r="E29" s="980"/>
      <c r="F29" s="980">
        <f t="shared" si="17"/>
        <v>3655000</v>
      </c>
      <c r="G29" s="980"/>
      <c r="H29" s="980">
        <v>3655000</v>
      </c>
      <c r="I29" s="980"/>
      <c r="J29" s="980">
        <f t="shared" si="18"/>
        <v>3655000</v>
      </c>
      <c r="K29" s="980"/>
      <c r="L29" s="980">
        <v>3655000</v>
      </c>
      <c r="M29" s="980"/>
      <c r="N29" s="980">
        <f t="shared" si="19"/>
        <v>3655000</v>
      </c>
      <c r="O29" s="980"/>
      <c r="P29" s="980">
        <v>3655000</v>
      </c>
      <c r="Q29" s="980"/>
      <c r="R29" s="980">
        <f t="shared" si="20"/>
        <v>3655000</v>
      </c>
      <c r="S29" s="980">
        <v>2982000</v>
      </c>
      <c r="T29" s="980">
        <v>673000</v>
      </c>
      <c r="U29" s="980"/>
      <c r="V29" s="980">
        <f aca="true" t="shared" si="21" ref="V29:V34">SUM(S29:U29)</f>
        <v>3655000</v>
      </c>
      <c r="W29" s="980">
        <v>4026406</v>
      </c>
      <c r="X29" s="980"/>
      <c r="Y29" s="980"/>
      <c r="Z29" s="980">
        <f aca="true" t="shared" si="22" ref="Z29:Z34">SUM(W29:Y29)</f>
        <v>4026406</v>
      </c>
      <c r="AA29" s="980">
        <v>4026406</v>
      </c>
      <c r="AB29" s="980"/>
      <c r="AC29" s="980"/>
      <c r="AD29" s="980">
        <f aca="true" t="shared" si="23" ref="AD29:AD34">SUM(AA29:AC29)</f>
        <v>4026406</v>
      </c>
    </row>
    <row r="30" spans="1:30" s="4" customFormat="1" ht="12.75">
      <c r="A30" s="922"/>
      <c r="B30" s="923" t="s">
        <v>800</v>
      </c>
      <c r="C30" s="980"/>
      <c r="D30" s="980">
        <v>850000</v>
      </c>
      <c r="E30" s="980"/>
      <c r="F30" s="980">
        <f t="shared" si="17"/>
        <v>850000</v>
      </c>
      <c r="G30" s="980"/>
      <c r="H30" s="980">
        <v>850000</v>
      </c>
      <c r="I30" s="980"/>
      <c r="J30" s="980">
        <f t="shared" si="18"/>
        <v>850000</v>
      </c>
      <c r="K30" s="980"/>
      <c r="L30" s="980">
        <v>850000</v>
      </c>
      <c r="M30" s="980"/>
      <c r="N30" s="980">
        <f t="shared" si="19"/>
        <v>850000</v>
      </c>
      <c r="O30" s="980"/>
      <c r="P30" s="980">
        <v>850000</v>
      </c>
      <c r="Q30" s="980"/>
      <c r="R30" s="980">
        <f t="shared" si="20"/>
        <v>850000</v>
      </c>
      <c r="S30" s="980">
        <v>850000</v>
      </c>
      <c r="T30" s="980"/>
      <c r="U30" s="980"/>
      <c r="V30" s="980">
        <f t="shared" si="21"/>
        <v>850000</v>
      </c>
      <c r="W30" s="980">
        <v>2389529</v>
      </c>
      <c r="X30" s="980"/>
      <c r="Y30" s="980"/>
      <c r="Z30" s="980">
        <f t="shared" si="22"/>
        <v>2389529</v>
      </c>
      <c r="AA30" s="980">
        <v>2389529</v>
      </c>
      <c r="AB30" s="980"/>
      <c r="AC30" s="980"/>
      <c r="AD30" s="980">
        <f t="shared" si="23"/>
        <v>2389529</v>
      </c>
    </row>
    <row r="31" spans="1:30" s="4" customFormat="1" ht="25.5">
      <c r="A31" s="922"/>
      <c r="B31" s="923" t="s">
        <v>755</v>
      </c>
      <c r="C31" s="980"/>
      <c r="D31" s="980">
        <v>4250000</v>
      </c>
      <c r="E31" s="980"/>
      <c r="F31" s="980">
        <f t="shared" si="17"/>
        <v>4250000</v>
      </c>
      <c r="G31" s="980"/>
      <c r="H31" s="980">
        <v>4250000</v>
      </c>
      <c r="I31" s="980"/>
      <c r="J31" s="980">
        <f t="shared" si="18"/>
        <v>4250000</v>
      </c>
      <c r="K31" s="980"/>
      <c r="L31" s="980">
        <v>4250000</v>
      </c>
      <c r="M31" s="980"/>
      <c r="N31" s="980">
        <f t="shared" si="19"/>
        <v>4250000</v>
      </c>
      <c r="O31" s="980"/>
      <c r="P31" s="980">
        <v>4250000</v>
      </c>
      <c r="Q31" s="980"/>
      <c r="R31" s="980">
        <f t="shared" si="20"/>
        <v>4250000</v>
      </c>
      <c r="S31" s="980">
        <v>13324750</v>
      </c>
      <c r="T31" s="980"/>
      <c r="U31" s="980"/>
      <c r="V31" s="980">
        <f t="shared" si="21"/>
        <v>13324750</v>
      </c>
      <c r="W31" s="980">
        <v>6025093</v>
      </c>
      <c r="X31" s="980"/>
      <c r="Y31" s="980"/>
      <c r="Z31" s="980">
        <f t="shared" si="22"/>
        <v>6025093</v>
      </c>
      <c r="AA31" s="980">
        <v>6025093</v>
      </c>
      <c r="AB31" s="980"/>
      <c r="AC31" s="980"/>
      <c r="AD31" s="980">
        <f t="shared" si="23"/>
        <v>6025093</v>
      </c>
    </row>
    <row r="32" spans="1:30" s="4" customFormat="1" ht="26.25" customHeight="1">
      <c r="A32" s="922"/>
      <c r="B32" s="923" t="s">
        <v>801</v>
      </c>
      <c r="C32" s="980"/>
      <c r="D32" s="980">
        <v>5700000</v>
      </c>
      <c r="E32" s="980"/>
      <c r="F32" s="980">
        <f t="shared" si="17"/>
        <v>5700000</v>
      </c>
      <c r="G32" s="980"/>
      <c r="H32" s="980">
        <v>5700000</v>
      </c>
      <c r="I32" s="980"/>
      <c r="J32" s="980">
        <f t="shared" si="18"/>
        <v>5700000</v>
      </c>
      <c r="K32" s="980"/>
      <c r="L32" s="980">
        <v>5700000</v>
      </c>
      <c r="M32" s="980"/>
      <c r="N32" s="980">
        <f t="shared" si="19"/>
        <v>5700000</v>
      </c>
      <c r="O32" s="980"/>
      <c r="P32" s="980">
        <v>5700000</v>
      </c>
      <c r="Q32" s="980"/>
      <c r="R32" s="980">
        <f t="shared" si="20"/>
        <v>5700000</v>
      </c>
      <c r="S32" s="980">
        <v>0</v>
      </c>
      <c r="T32" s="980"/>
      <c r="U32" s="980"/>
      <c r="V32" s="980">
        <f t="shared" si="21"/>
        <v>0</v>
      </c>
      <c r="W32" s="980">
        <v>0</v>
      </c>
      <c r="X32" s="980"/>
      <c r="Y32" s="980"/>
      <c r="Z32" s="980">
        <f t="shared" si="22"/>
        <v>0</v>
      </c>
      <c r="AA32" s="980">
        <v>0</v>
      </c>
      <c r="AB32" s="980"/>
      <c r="AC32" s="980"/>
      <c r="AD32" s="980">
        <f t="shared" si="23"/>
        <v>0</v>
      </c>
    </row>
    <row r="33" spans="1:30" s="4" customFormat="1" ht="26.25" customHeight="1">
      <c r="A33" s="922"/>
      <c r="B33" s="923" t="s">
        <v>802</v>
      </c>
      <c r="C33" s="980"/>
      <c r="D33" s="980">
        <v>3000</v>
      </c>
      <c r="E33" s="980"/>
      <c r="F33" s="980">
        <f t="shared" si="17"/>
        <v>3000</v>
      </c>
      <c r="G33" s="980"/>
      <c r="H33" s="980">
        <v>3000</v>
      </c>
      <c r="I33" s="980"/>
      <c r="J33" s="980">
        <f t="shared" si="18"/>
        <v>3000</v>
      </c>
      <c r="K33" s="980"/>
      <c r="L33" s="980">
        <v>3000</v>
      </c>
      <c r="M33" s="980"/>
      <c r="N33" s="980">
        <f t="shared" si="19"/>
        <v>3000</v>
      </c>
      <c r="O33" s="980"/>
      <c r="P33" s="980">
        <v>3000</v>
      </c>
      <c r="Q33" s="980"/>
      <c r="R33" s="980">
        <f t="shared" si="20"/>
        <v>3000</v>
      </c>
      <c r="S33" s="980">
        <v>3000</v>
      </c>
      <c r="T33" s="980"/>
      <c r="U33" s="980"/>
      <c r="V33" s="980">
        <f t="shared" si="21"/>
        <v>3000</v>
      </c>
      <c r="W33" s="980">
        <v>535</v>
      </c>
      <c r="X33" s="980"/>
      <c r="Y33" s="980"/>
      <c r="Z33" s="980">
        <f t="shared" si="22"/>
        <v>535</v>
      </c>
      <c r="AA33" s="980">
        <v>535</v>
      </c>
      <c r="AB33" s="980"/>
      <c r="AC33" s="980"/>
      <c r="AD33" s="980">
        <f t="shared" si="23"/>
        <v>535</v>
      </c>
    </row>
    <row r="34" spans="1:30" s="4" customFormat="1" ht="12.75">
      <c r="A34" s="922"/>
      <c r="B34" s="1078" t="s">
        <v>856</v>
      </c>
      <c r="C34" s="980"/>
      <c r="D34" s="980"/>
      <c r="E34" s="980"/>
      <c r="F34" s="980"/>
      <c r="G34" s="980"/>
      <c r="H34" s="980"/>
      <c r="I34" s="980"/>
      <c r="J34" s="980"/>
      <c r="K34" s="980"/>
      <c r="L34" s="980"/>
      <c r="M34" s="980"/>
      <c r="N34" s="980"/>
      <c r="O34" s="980"/>
      <c r="P34" s="980">
        <v>44417</v>
      </c>
      <c r="Q34" s="980"/>
      <c r="R34" s="980">
        <f t="shared" si="20"/>
        <v>44417</v>
      </c>
      <c r="S34" s="980">
        <v>172669</v>
      </c>
      <c r="T34" s="980"/>
      <c r="U34" s="980"/>
      <c r="V34" s="980">
        <f t="shared" si="21"/>
        <v>172669</v>
      </c>
      <c r="W34" s="980">
        <v>660167</v>
      </c>
      <c r="X34" s="980"/>
      <c r="Y34" s="980"/>
      <c r="Z34" s="980">
        <f t="shared" si="22"/>
        <v>660167</v>
      </c>
      <c r="AA34" s="980">
        <v>660167</v>
      </c>
      <c r="AB34" s="980"/>
      <c r="AC34" s="980"/>
      <c r="AD34" s="980">
        <f t="shared" si="23"/>
        <v>660167</v>
      </c>
    </row>
    <row r="35" spans="1:30" s="4" customFormat="1" ht="12.75">
      <c r="A35" s="922"/>
      <c r="B35" s="923" t="s">
        <v>757</v>
      </c>
      <c r="C35" s="980"/>
      <c r="D35" s="980"/>
      <c r="E35" s="980"/>
      <c r="F35" s="980">
        <f t="shared" si="17"/>
        <v>0</v>
      </c>
      <c r="G35" s="980"/>
      <c r="H35" s="980"/>
      <c r="I35" s="980"/>
      <c r="J35" s="980">
        <f>SUM(G35:I35)</f>
        <v>0</v>
      </c>
      <c r="K35" s="980"/>
      <c r="L35" s="980"/>
      <c r="M35" s="980"/>
      <c r="N35" s="980">
        <f>SUM(K35:M35)</f>
        <v>0</v>
      </c>
      <c r="O35" s="980"/>
      <c r="P35" s="980">
        <v>18</v>
      </c>
      <c r="Q35" s="980"/>
      <c r="R35" s="980">
        <f>SUM(O35:Q35)</f>
        <v>18</v>
      </c>
      <c r="S35" s="980">
        <v>18</v>
      </c>
      <c r="T35" s="980"/>
      <c r="U35" s="980"/>
      <c r="V35" s="980">
        <f>SUM(S35:U35)</f>
        <v>18</v>
      </c>
      <c r="W35" s="980">
        <v>310271</v>
      </c>
      <c r="X35" s="980"/>
      <c r="Y35" s="980"/>
      <c r="Z35" s="980">
        <f>SUM(W35:Y35)</f>
        <v>310271</v>
      </c>
      <c r="AA35" s="980">
        <v>310271</v>
      </c>
      <c r="AB35" s="980"/>
      <c r="AC35" s="980"/>
      <c r="AD35" s="980">
        <f>SUM(AA35:AC35)</f>
        <v>310271</v>
      </c>
    </row>
    <row r="36" spans="1:30" s="4" customFormat="1" ht="15.75">
      <c r="A36" s="922" t="s">
        <v>174</v>
      </c>
      <c r="B36" s="936" t="s">
        <v>752</v>
      </c>
      <c r="C36" s="984">
        <f aca="true" t="shared" si="24" ref="C36:J36">SUM(C28:C35)</f>
        <v>0</v>
      </c>
      <c r="D36" s="984">
        <f t="shared" si="24"/>
        <v>19858000</v>
      </c>
      <c r="E36" s="984">
        <f t="shared" si="24"/>
        <v>0</v>
      </c>
      <c r="F36" s="984">
        <f t="shared" si="24"/>
        <v>19858000</v>
      </c>
      <c r="G36" s="984">
        <f t="shared" si="24"/>
        <v>0</v>
      </c>
      <c r="H36" s="984">
        <f t="shared" si="24"/>
        <v>19858000</v>
      </c>
      <c r="I36" s="984">
        <f t="shared" si="24"/>
        <v>0</v>
      </c>
      <c r="J36" s="984">
        <f t="shared" si="24"/>
        <v>19858000</v>
      </c>
      <c r="K36" s="984">
        <f aca="true" t="shared" si="25" ref="K36:R36">SUM(K28:K35)</f>
        <v>0</v>
      </c>
      <c r="L36" s="984">
        <f t="shared" si="25"/>
        <v>19858000</v>
      </c>
      <c r="M36" s="984">
        <f t="shared" si="25"/>
        <v>0</v>
      </c>
      <c r="N36" s="984">
        <f t="shared" si="25"/>
        <v>19858000</v>
      </c>
      <c r="O36" s="984">
        <f t="shared" si="25"/>
        <v>0</v>
      </c>
      <c r="P36" s="984">
        <f t="shared" si="25"/>
        <v>19902435</v>
      </c>
      <c r="Q36" s="984">
        <f t="shared" si="25"/>
        <v>0</v>
      </c>
      <c r="R36" s="984">
        <f t="shared" si="25"/>
        <v>19902435</v>
      </c>
      <c r="S36" s="984">
        <f aca="true" t="shared" si="26" ref="S36:Z36">SUM(S28:S35)</f>
        <v>22732437</v>
      </c>
      <c r="T36" s="984">
        <f t="shared" si="26"/>
        <v>673000</v>
      </c>
      <c r="U36" s="984">
        <f t="shared" si="26"/>
        <v>0</v>
      </c>
      <c r="V36" s="984">
        <f t="shared" si="26"/>
        <v>23405437</v>
      </c>
      <c r="W36" s="984">
        <f t="shared" si="26"/>
        <v>16757229</v>
      </c>
      <c r="X36" s="984">
        <f t="shared" si="26"/>
        <v>0</v>
      </c>
      <c r="Y36" s="984">
        <f t="shared" si="26"/>
        <v>0</v>
      </c>
      <c r="Z36" s="984">
        <f t="shared" si="26"/>
        <v>16757229</v>
      </c>
      <c r="AA36" s="984">
        <f>SUM(AA28:AA35)</f>
        <v>16757229</v>
      </c>
      <c r="AB36" s="984">
        <f>SUM(AB28:AB35)</f>
        <v>0</v>
      </c>
      <c r="AC36" s="984">
        <f>SUM(AC28:AC35)</f>
        <v>0</v>
      </c>
      <c r="AD36" s="984">
        <f>SUM(AD28:AD35)</f>
        <v>16757229</v>
      </c>
    </row>
    <row r="37" spans="1:30" s="4" customFormat="1" ht="12.75">
      <c r="A37" s="922"/>
      <c r="B37" s="923" t="s">
        <v>803</v>
      </c>
      <c r="C37" s="980"/>
      <c r="D37" s="980">
        <v>24433530</v>
      </c>
      <c r="E37" s="980"/>
      <c r="F37" s="980">
        <f>SUM(C37:E37)</f>
        <v>24433530</v>
      </c>
      <c r="G37" s="980"/>
      <c r="H37" s="980">
        <v>32364738</v>
      </c>
      <c r="I37" s="980"/>
      <c r="J37" s="980">
        <f>SUM(G37:I37)</f>
        <v>32364738</v>
      </c>
      <c r="K37" s="980"/>
      <c r="L37" s="980">
        <v>32364738</v>
      </c>
      <c r="M37" s="980"/>
      <c r="N37" s="980">
        <f>SUM(K37:M37)</f>
        <v>32364738</v>
      </c>
      <c r="O37" s="980"/>
      <c r="P37" s="980">
        <v>32127362</v>
      </c>
      <c r="Q37" s="980"/>
      <c r="R37" s="980">
        <f>SUM(O37:Q37)</f>
        <v>32127362</v>
      </c>
      <c r="S37" s="980">
        <v>30832408</v>
      </c>
      <c r="T37" s="980"/>
      <c r="U37" s="980"/>
      <c r="V37" s="980">
        <f>SUM(S37:U37)</f>
        <v>30832408</v>
      </c>
      <c r="W37" s="980">
        <v>15566246</v>
      </c>
      <c r="X37" s="980"/>
      <c r="Y37" s="980"/>
      <c r="Z37" s="980">
        <f>SUM(W37:Y37)</f>
        <v>15566246</v>
      </c>
      <c r="AA37" s="980">
        <v>15566246</v>
      </c>
      <c r="AB37" s="980"/>
      <c r="AC37" s="980"/>
      <c r="AD37" s="980">
        <f>SUM(AA37:AC37)</f>
        <v>15566246</v>
      </c>
    </row>
    <row r="38" spans="1:30" s="4" customFormat="1" ht="12.75">
      <c r="A38" s="922"/>
      <c r="B38" s="923" t="s">
        <v>804</v>
      </c>
      <c r="C38" s="980"/>
      <c r="D38" s="980"/>
      <c r="E38" s="980"/>
      <c r="F38" s="980">
        <f>SUM(C38:E38)</f>
        <v>0</v>
      </c>
      <c r="G38" s="980"/>
      <c r="H38" s="980"/>
      <c r="I38" s="980"/>
      <c r="J38" s="980">
        <f>SUM(G38:I38)</f>
        <v>0</v>
      </c>
      <c r="K38" s="980"/>
      <c r="L38" s="980"/>
      <c r="M38" s="980"/>
      <c r="N38" s="980">
        <f>SUM(K38:M38)</f>
        <v>0</v>
      </c>
      <c r="O38" s="980"/>
      <c r="P38" s="980"/>
      <c r="Q38" s="980"/>
      <c r="R38" s="980">
        <f>SUM(O38:Q38)</f>
        <v>0</v>
      </c>
      <c r="S38" s="980"/>
      <c r="T38" s="980"/>
      <c r="U38" s="980"/>
      <c r="V38" s="980">
        <f>SUM(S38:U38)</f>
        <v>0</v>
      </c>
      <c r="W38" s="980"/>
      <c r="X38" s="980"/>
      <c r="Y38" s="980"/>
      <c r="Z38" s="980">
        <f>SUM(W38:Y38)</f>
        <v>0</v>
      </c>
      <c r="AA38" s="980"/>
      <c r="AB38" s="980"/>
      <c r="AC38" s="980"/>
      <c r="AD38" s="980">
        <f>SUM(AA38:AC38)</f>
        <v>0</v>
      </c>
    </row>
    <row r="39" spans="1:30" s="4" customFormat="1" ht="15.75">
      <c r="A39" s="922" t="s">
        <v>184</v>
      </c>
      <c r="B39" s="936" t="s">
        <v>805</v>
      </c>
      <c r="C39" s="984">
        <f aca="true" t="shared" si="27" ref="C39:J39">SUM(C37:C38)</f>
        <v>0</v>
      </c>
      <c r="D39" s="984">
        <f t="shared" si="27"/>
        <v>24433530</v>
      </c>
      <c r="E39" s="984">
        <f t="shared" si="27"/>
        <v>0</v>
      </c>
      <c r="F39" s="984">
        <f t="shared" si="27"/>
        <v>24433530</v>
      </c>
      <c r="G39" s="984">
        <f t="shared" si="27"/>
        <v>0</v>
      </c>
      <c r="H39" s="984">
        <f t="shared" si="27"/>
        <v>32364738</v>
      </c>
      <c r="I39" s="984">
        <f t="shared" si="27"/>
        <v>0</v>
      </c>
      <c r="J39" s="984">
        <f t="shared" si="27"/>
        <v>32364738</v>
      </c>
      <c r="K39" s="984">
        <f aca="true" t="shared" si="28" ref="K39:R39">SUM(K37:K38)</f>
        <v>0</v>
      </c>
      <c r="L39" s="984">
        <f t="shared" si="28"/>
        <v>32364738</v>
      </c>
      <c r="M39" s="984">
        <f t="shared" si="28"/>
        <v>0</v>
      </c>
      <c r="N39" s="984">
        <f t="shared" si="28"/>
        <v>32364738</v>
      </c>
      <c r="O39" s="984">
        <f t="shared" si="28"/>
        <v>0</v>
      </c>
      <c r="P39" s="984">
        <f t="shared" si="28"/>
        <v>32127362</v>
      </c>
      <c r="Q39" s="984">
        <f t="shared" si="28"/>
        <v>0</v>
      </c>
      <c r="R39" s="984">
        <f t="shared" si="28"/>
        <v>32127362</v>
      </c>
      <c r="S39" s="984">
        <f>SUM(S37:S38)</f>
        <v>30832408</v>
      </c>
      <c r="T39" s="984"/>
      <c r="U39" s="984">
        <f>SUM(U37:U38)</f>
        <v>0</v>
      </c>
      <c r="V39" s="984">
        <f>SUM(V37:V38)</f>
        <v>30832408</v>
      </c>
      <c r="W39" s="984">
        <f>SUM(W37:W38)</f>
        <v>15566246</v>
      </c>
      <c r="X39" s="984"/>
      <c r="Y39" s="984">
        <f>SUM(Y37:Y38)</f>
        <v>0</v>
      </c>
      <c r="Z39" s="984">
        <f>SUM(Z37:Z38)</f>
        <v>15566246</v>
      </c>
      <c r="AA39" s="984">
        <f>SUM(AA37:AA38)</f>
        <v>15566246</v>
      </c>
      <c r="AB39" s="984"/>
      <c r="AC39" s="984">
        <f>SUM(AC37:AC38)</f>
        <v>0</v>
      </c>
      <c r="AD39" s="984">
        <f>SUM(AD37:AD38)</f>
        <v>15566246</v>
      </c>
    </row>
    <row r="40" spans="1:30" s="4" customFormat="1" ht="26.25" customHeight="1">
      <c r="A40" s="922"/>
      <c r="B40" s="923" t="s">
        <v>806</v>
      </c>
      <c r="C40" s="980"/>
      <c r="D40" s="980">
        <v>200000</v>
      </c>
      <c r="E40" s="980"/>
      <c r="F40" s="980">
        <f>SUM(C40:E40)</f>
        <v>200000</v>
      </c>
      <c r="G40" s="980"/>
      <c r="H40" s="980">
        <v>200000</v>
      </c>
      <c r="I40" s="980"/>
      <c r="J40" s="980">
        <f>SUM(G40:I40)</f>
        <v>200000</v>
      </c>
      <c r="K40" s="980"/>
      <c r="L40" s="980">
        <v>200000</v>
      </c>
      <c r="M40" s="980"/>
      <c r="N40" s="980">
        <f>SUM(K40:M40)</f>
        <v>200000</v>
      </c>
      <c r="O40" s="980"/>
      <c r="P40" s="980">
        <v>200000</v>
      </c>
      <c r="Q40" s="980"/>
      <c r="R40" s="980">
        <f>SUM(O40:Q40)</f>
        <v>200000</v>
      </c>
      <c r="S40" s="980">
        <v>200000</v>
      </c>
      <c r="T40" s="980"/>
      <c r="U40" s="980"/>
      <c r="V40" s="980">
        <f>SUM(S40:U40)</f>
        <v>200000</v>
      </c>
      <c r="W40" s="980">
        <v>77420</v>
      </c>
      <c r="X40" s="980"/>
      <c r="Y40" s="980"/>
      <c r="Z40" s="980">
        <f>SUM(W40:Y40)</f>
        <v>77420</v>
      </c>
      <c r="AA40" s="980">
        <v>77420</v>
      </c>
      <c r="AB40" s="980"/>
      <c r="AC40" s="980"/>
      <c r="AD40" s="980">
        <f>SUM(AA40:AC40)</f>
        <v>77420</v>
      </c>
    </row>
    <row r="41" spans="1:30" s="4" customFormat="1" ht="12.75">
      <c r="A41" s="922"/>
      <c r="B41" s="978" t="s">
        <v>807</v>
      </c>
      <c r="C41" s="980"/>
      <c r="D41" s="980"/>
      <c r="E41" s="980"/>
      <c r="F41" s="980">
        <f>SUM(C41:E41)</f>
        <v>0</v>
      </c>
      <c r="G41" s="980"/>
      <c r="H41" s="980"/>
      <c r="I41" s="980"/>
      <c r="J41" s="980">
        <f>SUM(G41:I41)</f>
        <v>0</v>
      </c>
      <c r="K41" s="980"/>
      <c r="L41" s="980"/>
      <c r="M41" s="980"/>
      <c r="N41" s="980">
        <f>SUM(K41:M41)</f>
        <v>0</v>
      </c>
      <c r="O41" s="980"/>
      <c r="P41" s="980"/>
      <c r="Q41" s="980"/>
      <c r="R41" s="980">
        <f>SUM(O41:Q41)</f>
        <v>0</v>
      </c>
      <c r="S41" s="980"/>
      <c r="T41" s="980"/>
      <c r="U41" s="980"/>
      <c r="V41" s="980">
        <f>SUM(S41:U41)</f>
        <v>0</v>
      </c>
      <c r="W41" s="980"/>
      <c r="X41" s="980"/>
      <c r="Y41" s="980"/>
      <c r="Z41" s="980">
        <f>SUM(W41:Y41)</f>
        <v>0</v>
      </c>
      <c r="AA41" s="980"/>
      <c r="AB41" s="980"/>
      <c r="AC41" s="980"/>
      <c r="AD41" s="980">
        <f>SUM(AA41:AC41)</f>
        <v>0</v>
      </c>
    </row>
    <row r="42" spans="1:30" s="4" customFormat="1" ht="26.25" customHeight="1">
      <c r="A42" s="922"/>
      <c r="B42" s="923" t="s">
        <v>808</v>
      </c>
      <c r="C42" s="980"/>
      <c r="D42" s="980"/>
      <c r="E42" s="980"/>
      <c r="F42" s="980">
        <f>SUM(C42:E42)</f>
        <v>0</v>
      </c>
      <c r="G42" s="980"/>
      <c r="H42" s="980"/>
      <c r="I42" s="980"/>
      <c r="J42" s="980">
        <f>SUM(G42:I42)</f>
        <v>0</v>
      </c>
      <c r="K42" s="980"/>
      <c r="L42" s="980"/>
      <c r="M42" s="980"/>
      <c r="N42" s="980">
        <f>SUM(K42:M42)</f>
        <v>0</v>
      </c>
      <c r="O42" s="980"/>
      <c r="P42" s="980">
        <v>278800</v>
      </c>
      <c r="Q42" s="980"/>
      <c r="R42" s="980">
        <f>SUM(O42:Q42)</f>
        <v>278800</v>
      </c>
      <c r="S42" s="980">
        <v>737800</v>
      </c>
      <c r="T42" s="980"/>
      <c r="U42" s="980"/>
      <c r="V42" s="980">
        <f>SUM(S42:U42)</f>
        <v>737800</v>
      </c>
      <c r="W42" s="980">
        <v>737800</v>
      </c>
      <c r="X42" s="980"/>
      <c r="Y42" s="980"/>
      <c r="Z42" s="980">
        <f>SUM(W42:Y42)</f>
        <v>737800</v>
      </c>
      <c r="AA42" s="980">
        <v>737800</v>
      </c>
      <c r="AB42" s="980"/>
      <c r="AC42" s="980"/>
      <c r="AD42" s="980">
        <f>SUM(AA42:AC42)</f>
        <v>737800</v>
      </c>
    </row>
    <row r="43" spans="1:30" s="4" customFormat="1" ht="12.75">
      <c r="A43" s="922"/>
      <c r="B43" s="978" t="s">
        <v>809</v>
      </c>
      <c r="C43" s="980"/>
      <c r="D43" s="980"/>
      <c r="E43" s="980"/>
      <c r="F43" s="980">
        <f>SUM(C43:E43)</f>
        <v>0</v>
      </c>
      <c r="G43" s="980"/>
      <c r="H43" s="980"/>
      <c r="I43" s="980"/>
      <c r="J43" s="980">
        <f>SUM(G43:I43)</f>
        <v>0</v>
      </c>
      <c r="K43" s="980"/>
      <c r="L43" s="980"/>
      <c r="M43" s="980"/>
      <c r="N43" s="980">
        <f>SUM(K43:M43)</f>
        <v>0</v>
      </c>
      <c r="O43" s="980"/>
      <c r="P43" s="980"/>
      <c r="Q43" s="980"/>
      <c r="R43" s="980">
        <f>SUM(O43:Q43)</f>
        <v>0</v>
      </c>
      <c r="S43" s="980"/>
      <c r="T43" s="980"/>
      <c r="U43" s="980"/>
      <c r="V43" s="980">
        <f>SUM(S43:U43)</f>
        <v>0</v>
      </c>
      <c r="W43" s="980"/>
      <c r="X43" s="980"/>
      <c r="Y43" s="980"/>
      <c r="Z43" s="980">
        <f>SUM(W43:Y43)</f>
        <v>0</v>
      </c>
      <c r="AA43" s="980"/>
      <c r="AB43" s="980"/>
      <c r="AC43" s="980"/>
      <c r="AD43" s="980">
        <f>SUM(AA43:AC43)</f>
        <v>0</v>
      </c>
    </row>
    <row r="44" spans="1:30" s="4" customFormat="1" ht="31.5">
      <c r="A44" s="922" t="s">
        <v>185</v>
      </c>
      <c r="B44" s="936" t="s">
        <v>810</v>
      </c>
      <c r="C44" s="984">
        <f aca="true" t="shared" si="29" ref="C44:J44">SUM(C40+C42)</f>
        <v>0</v>
      </c>
      <c r="D44" s="984">
        <f t="shared" si="29"/>
        <v>200000</v>
      </c>
      <c r="E44" s="984">
        <f t="shared" si="29"/>
        <v>0</v>
      </c>
      <c r="F44" s="984">
        <f t="shared" si="29"/>
        <v>200000</v>
      </c>
      <c r="G44" s="984">
        <f t="shared" si="29"/>
        <v>0</v>
      </c>
      <c r="H44" s="984">
        <f t="shared" si="29"/>
        <v>200000</v>
      </c>
      <c r="I44" s="984">
        <f t="shared" si="29"/>
        <v>0</v>
      </c>
      <c r="J44" s="984">
        <f t="shared" si="29"/>
        <v>200000</v>
      </c>
      <c r="K44" s="984">
        <f aca="true" t="shared" si="30" ref="K44:R44">SUM(K40+K42)</f>
        <v>0</v>
      </c>
      <c r="L44" s="984">
        <f t="shared" si="30"/>
        <v>200000</v>
      </c>
      <c r="M44" s="984">
        <f t="shared" si="30"/>
        <v>0</v>
      </c>
      <c r="N44" s="984">
        <f t="shared" si="30"/>
        <v>200000</v>
      </c>
      <c r="O44" s="984">
        <f t="shared" si="30"/>
        <v>0</v>
      </c>
      <c r="P44" s="984">
        <f t="shared" si="30"/>
        <v>478800</v>
      </c>
      <c r="Q44" s="984">
        <f t="shared" si="30"/>
        <v>0</v>
      </c>
      <c r="R44" s="984">
        <f t="shared" si="30"/>
        <v>478800</v>
      </c>
      <c r="S44" s="984">
        <f>SUM(S40+S42)</f>
        <v>937800</v>
      </c>
      <c r="T44" s="984"/>
      <c r="U44" s="984">
        <f>SUM(U40+U42)</f>
        <v>0</v>
      </c>
      <c r="V44" s="984">
        <f>SUM(V40+V42)</f>
        <v>937800</v>
      </c>
      <c r="W44" s="984">
        <f>SUM(W40+W42)</f>
        <v>815220</v>
      </c>
      <c r="X44" s="984"/>
      <c r="Y44" s="984">
        <f>SUM(Y40+Y42)</f>
        <v>0</v>
      </c>
      <c r="Z44" s="984">
        <f>SUM(Z40+Z42)</f>
        <v>815220</v>
      </c>
      <c r="AA44" s="984">
        <f>SUM(AA40+AA42)</f>
        <v>815220</v>
      </c>
      <c r="AB44" s="984"/>
      <c r="AC44" s="984">
        <f>SUM(AC40+AC42)</f>
        <v>0</v>
      </c>
      <c r="AD44" s="984">
        <f>SUM(AD40+AD42)</f>
        <v>815220</v>
      </c>
    </row>
    <row r="45" spans="1:30" s="4" customFormat="1" ht="26.25" customHeight="1">
      <c r="A45" s="922"/>
      <c r="B45" s="923" t="s">
        <v>811</v>
      </c>
      <c r="C45" s="922"/>
      <c r="D45" s="922"/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80">
        <v>3200000</v>
      </c>
      <c r="Y45" s="980"/>
      <c r="Z45" s="980">
        <f>SUM(X45:Y45)</f>
        <v>3200000</v>
      </c>
      <c r="AA45" s="922"/>
      <c r="AB45" s="980">
        <v>3200000</v>
      </c>
      <c r="AC45" s="980"/>
      <c r="AD45" s="980">
        <f>SUM(AB45:AC45)</f>
        <v>3200000</v>
      </c>
    </row>
    <row r="46" spans="1:30" s="4" customFormat="1" ht="32.25" thickBot="1">
      <c r="A46" s="922" t="s">
        <v>186</v>
      </c>
      <c r="B46" s="936" t="s">
        <v>812</v>
      </c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922"/>
      <c r="U46" s="922"/>
      <c r="V46" s="922"/>
      <c r="W46" s="922">
        <f>SUM(W45)</f>
        <v>0</v>
      </c>
      <c r="X46" s="980">
        <v>3200000</v>
      </c>
      <c r="Y46" s="980"/>
      <c r="Z46" s="980">
        <f>SUM(X46:Y46)</f>
        <v>3200000</v>
      </c>
      <c r="AA46" s="922">
        <f>SUM(AA45)</f>
        <v>0</v>
      </c>
      <c r="AB46" s="980">
        <v>3200000</v>
      </c>
      <c r="AC46" s="980"/>
      <c r="AD46" s="980">
        <f>SUM(AB46:AC46)</f>
        <v>3200000</v>
      </c>
    </row>
    <row r="47" spans="1:30" s="673" customFormat="1" ht="16.5" thickBot="1">
      <c r="A47" s="1867" t="s">
        <v>505</v>
      </c>
      <c r="B47" s="1868"/>
      <c r="C47" s="950">
        <f aca="true" t="shared" si="31" ref="C47:J47">SUM(C19+C27+C36+C39+C44+C46)</f>
        <v>0</v>
      </c>
      <c r="D47" s="950">
        <f t="shared" si="31"/>
        <v>53659530</v>
      </c>
      <c r="E47" s="950">
        <f t="shared" si="31"/>
        <v>343556524</v>
      </c>
      <c r="F47" s="950">
        <f t="shared" si="31"/>
        <v>397216054</v>
      </c>
      <c r="G47" s="950">
        <f t="shared" si="31"/>
        <v>0</v>
      </c>
      <c r="H47" s="950">
        <f t="shared" si="31"/>
        <v>61590738</v>
      </c>
      <c r="I47" s="950">
        <f t="shared" si="31"/>
        <v>345714775</v>
      </c>
      <c r="J47" s="950">
        <f t="shared" si="31"/>
        <v>407305513</v>
      </c>
      <c r="K47" s="950">
        <f aca="true" t="shared" si="32" ref="K47:R47">SUM(K19+K27+K36+K39+K44+K46)</f>
        <v>0</v>
      </c>
      <c r="L47" s="950">
        <f t="shared" si="32"/>
        <v>61590738</v>
      </c>
      <c r="M47" s="950">
        <f t="shared" si="32"/>
        <v>346320391</v>
      </c>
      <c r="N47" s="950">
        <f t="shared" si="32"/>
        <v>407911129</v>
      </c>
      <c r="O47" s="950">
        <f t="shared" si="32"/>
        <v>0</v>
      </c>
      <c r="P47" s="950">
        <f t="shared" si="32"/>
        <v>61676597</v>
      </c>
      <c r="Q47" s="950">
        <f t="shared" si="32"/>
        <v>348522063</v>
      </c>
      <c r="R47" s="950">
        <f t="shared" si="32"/>
        <v>410198660</v>
      </c>
      <c r="S47" s="950">
        <f aca="true" t="shared" si="33" ref="S47:Y47">SUM(S19+S27+S36+S39+S44+S46)</f>
        <v>415248450</v>
      </c>
      <c r="T47" s="950">
        <f t="shared" si="33"/>
        <v>673000</v>
      </c>
      <c r="U47" s="950">
        <f t="shared" si="33"/>
        <v>0</v>
      </c>
      <c r="V47" s="950">
        <f t="shared" si="33"/>
        <v>415921450</v>
      </c>
      <c r="W47" s="950">
        <f t="shared" si="33"/>
        <v>430802176</v>
      </c>
      <c r="X47" s="950">
        <f t="shared" si="33"/>
        <v>3200000</v>
      </c>
      <c r="Y47" s="950">
        <f t="shared" si="33"/>
        <v>0</v>
      </c>
      <c r="Z47" s="950">
        <f>SUM(Z19+Z27+Z36+Z39+Z44+Z46)+Z20</f>
        <v>448184974</v>
      </c>
      <c r="AA47" s="950">
        <f>SUM(AA19+AA27+AA36+AA39+AA44+AA46)</f>
        <v>430802176</v>
      </c>
      <c r="AB47" s="950">
        <f>SUM(AB19+AB27+AB36+AB39+AB44+AB46)</f>
        <v>3200000</v>
      </c>
      <c r="AC47" s="950">
        <f>SUM(AC19+AC27+AC36+AC39+AC44+AC46)</f>
        <v>0</v>
      </c>
      <c r="AD47" s="950">
        <f>SUM(AD19+AD27+AD36+AD39+AD44+AD46)+AD20</f>
        <v>448184974</v>
      </c>
    </row>
    <row r="48" spans="1:30" ht="25.5">
      <c r="A48" s="932"/>
      <c r="B48" s="923" t="s">
        <v>759</v>
      </c>
      <c r="C48" s="952"/>
      <c r="D48" s="952">
        <v>727099046</v>
      </c>
      <c r="E48" s="952"/>
      <c r="F48" s="952">
        <v>727099046</v>
      </c>
      <c r="G48" s="952"/>
      <c r="H48" s="952">
        <v>727099046</v>
      </c>
      <c r="I48" s="952"/>
      <c r="J48" s="952">
        <v>727099046</v>
      </c>
      <c r="K48" s="952"/>
      <c r="L48" s="952">
        <v>727099046</v>
      </c>
      <c r="M48" s="952"/>
      <c r="N48" s="952">
        <v>727099046</v>
      </c>
      <c r="O48" s="952"/>
      <c r="P48" s="952">
        <v>727099046</v>
      </c>
      <c r="Q48" s="952"/>
      <c r="R48" s="952">
        <v>727099046</v>
      </c>
      <c r="S48" s="952">
        <v>727099046</v>
      </c>
      <c r="T48" s="952"/>
      <c r="U48" s="952"/>
      <c r="V48" s="952">
        <f>SUM(S48)</f>
        <v>727099046</v>
      </c>
      <c r="W48" s="952">
        <v>727099046</v>
      </c>
      <c r="X48" s="952"/>
      <c r="Y48" s="952"/>
      <c r="Z48" s="952">
        <f>SUM(W48)</f>
        <v>727099046</v>
      </c>
      <c r="AA48" s="952">
        <v>727099046</v>
      </c>
      <c r="AB48" s="952"/>
      <c r="AC48" s="952"/>
      <c r="AD48" s="952">
        <f>SUM(AA48)</f>
        <v>727099046</v>
      </c>
    </row>
    <row r="49" spans="1:30" ht="12.75">
      <c r="A49" s="503"/>
      <c r="B49" s="924" t="s">
        <v>760</v>
      </c>
      <c r="C49" s="777"/>
      <c r="D49" s="777">
        <v>727099046</v>
      </c>
      <c r="E49" s="777"/>
      <c r="F49" s="777">
        <v>727099046</v>
      </c>
      <c r="G49" s="777"/>
      <c r="H49" s="777">
        <v>727099046</v>
      </c>
      <c r="I49" s="777"/>
      <c r="J49" s="777">
        <v>727099046</v>
      </c>
      <c r="K49" s="777"/>
      <c r="L49" s="777">
        <v>727099046</v>
      </c>
      <c r="M49" s="777"/>
      <c r="N49" s="777">
        <v>727099046</v>
      </c>
      <c r="O49" s="777"/>
      <c r="P49" s="777">
        <v>727099046</v>
      </c>
      <c r="Q49" s="777"/>
      <c r="R49" s="777">
        <v>727099046</v>
      </c>
      <c r="S49" s="777">
        <v>727099046</v>
      </c>
      <c r="T49" s="777"/>
      <c r="U49" s="777"/>
      <c r="V49" s="952">
        <f>SUM(S49)</f>
        <v>727099046</v>
      </c>
      <c r="W49" s="777">
        <v>727099046</v>
      </c>
      <c r="X49" s="777"/>
      <c r="Y49" s="777"/>
      <c r="Z49" s="952">
        <f>SUM(W49)</f>
        <v>727099046</v>
      </c>
      <c r="AA49" s="777">
        <v>727099046</v>
      </c>
      <c r="AB49" s="777"/>
      <c r="AC49" s="777"/>
      <c r="AD49" s="952">
        <f>SUM(AA49)</f>
        <v>727099046</v>
      </c>
    </row>
    <row r="50" spans="1:30" ht="13.5" thickBot="1">
      <c r="A50" s="934"/>
      <c r="B50" s="986" t="s">
        <v>813</v>
      </c>
      <c r="C50" s="953"/>
      <c r="D50" s="953"/>
      <c r="E50" s="953">
        <v>6703536</v>
      </c>
      <c r="F50" s="953">
        <v>6703536</v>
      </c>
      <c r="G50" s="953"/>
      <c r="H50" s="953"/>
      <c r="I50" s="953">
        <v>6703536</v>
      </c>
      <c r="J50" s="953">
        <v>6703536</v>
      </c>
      <c r="K50" s="953"/>
      <c r="L50" s="953"/>
      <c r="M50" s="953">
        <v>7419080</v>
      </c>
      <c r="N50" s="953">
        <v>7419080</v>
      </c>
      <c r="O50" s="953"/>
      <c r="P50" s="953"/>
      <c r="Q50" s="953">
        <v>8095569</v>
      </c>
      <c r="R50" s="953">
        <v>8095569</v>
      </c>
      <c r="S50" s="953">
        <v>8679084</v>
      </c>
      <c r="T50" s="953"/>
      <c r="U50" s="953"/>
      <c r="V50" s="952">
        <f>SUM(S50)</f>
        <v>8679084</v>
      </c>
      <c r="W50" s="953">
        <v>9417924</v>
      </c>
      <c r="X50" s="953"/>
      <c r="Y50" s="953"/>
      <c r="Z50" s="952">
        <f>SUM(W50)</f>
        <v>9417924</v>
      </c>
      <c r="AA50" s="953">
        <v>9423918</v>
      </c>
      <c r="AB50" s="953"/>
      <c r="AC50" s="953"/>
      <c r="AD50" s="952">
        <v>9423918</v>
      </c>
    </row>
    <row r="51" spans="1:30" ht="16.5" thickBot="1">
      <c r="A51" s="937"/>
      <c r="B51" s="938" t="s">
        <v>762</v>
      </c>
      <c r="C51" s="954"/>
      <c r="D51" s="954">
        <f>SUM(D49:D50)</f>
        <v>727099046</v>
      </c>
      <c r="E51" s="954">
        <f>SUM(E49:E50)</f>
        <v>6703536</v>
      </c>
      <c r="F51" s="954">
        <f>SUM(F49:F50)</f>
        <v>733802582</v>
      </c>
      <c r="G51" s="954"/>
      <c r="H51" s="954">
        <f>SUM(H49:H50)</f>
        <v>727099046</v>
      </c>
      <c r="I51" s="954">
        <f>SUM(I49:I50)</f>
        <v>6703536</v>
      </c>
      <c r="J51" s="954">
        <f>SUM(J49:J50)</f>
        <v>733802582</v>
      </c>
      <c r="K51" s="954"/>
      <c r="L51" s="954">
        <f>SUM(L49:L50)</f>
        <v>727099046</v>
      </c>
      <c r="M51" s="954">
        <f>SUM(M49:M50)</f>
        <v>7419080</v>
      </c>
      <c r="N51" s="954">
        <f>SUM(N49:N50)</f>
        <v>734518126</v>
      </c>
      <c r="O51" s="954"/>
      <c r="P51" s="954">
        <f aca="true" t="shared" si="34" ref="P51:V51">SUM(P49:P50)</f>
        <v>727099046</v>
      </c>
      <c r="Q51" s="954">
        <f t="shared" si="34"/>
        <v>8095569</v>
      </c>
      <c r="R51" s="954">
        <f t="shared" si="34"/>
        <v>735194615</v>
      </c>
      <c r="S51" s="954">
        <f t="shared" si="34"/>
        <v>735778130</v>
      </c>
      <c r="T51" s="954">
        <f t="shared" si="34"/>
        <v>0</v>
      </c>
      <c r="U51" s="954">
        <f t="shared" si="34"/>
        <v>0</v>
      </c>
      <c r="V51" s="954">
        <f t="shared" si="34"/>
        <v>735778130</v>
      </c>
      <c r="W51" s="954">
        <f aca="true" t="shared" si="35" ref="W51:AD51">SUM(W49:W50)</f>
        <v>736516970</v>
      </c>
      <c r="X51" s="954">
        <f t="shared" si="35"/>
        <v>0</v>
      </c>
      <c r="Y51" s="954">
        <f t="shared" si="35"/>
        <v>0</v>
      </c>
      <c r="Z51" s="954">
        <f t="shared" si="35"/>
        <v>736516970</v>
      </c>
      <c r="AA51" s="954">
        <f t="shared" si="35"/>
        <v>736522964</v>
      </c>
      <c r="AB51" s="954">
        <f t="shared" si="35"/>
        <v>0</v>
      </c>
      <c r="AC51" s="954">
        <f t="shared" si="35"/>
        <v>0</v>
      </c>
      <c r="AD51" s="954">
        <f t="shared" si="35"/>
        <v>736522964</v>
      </c>
    </row>
    <row r="52" spans="1:30" ht="16.5" thickBot="1">
      <c r="A52" s="1859" t="s">
        <v>157</v>
      </c>
      <c r="B52" s="1860"/>
      <c r="C52" s="955">
        <f aca="true" t="shared" si="36" ref="C52:J52">SUM(C47+C51)</f>
        <v>0</v>
      </c>
      <c r="D52" s="955">
        <f t="shared" si="36"/>
        <v>780758576</v>
      </c>
      <c r="E52" s="955">
        <f t="shared" si="36"/>
        <v>350260060</v>
      </c>
      <c r="F52" s="956">
        <f t="shared" si="36"/>
        <v>1131018636</v>
      </c>
      <c r="G52" s="955">
        <f t="shared" si="36"/>
        <v>0</v>
      </c>
      <c r="H52" s="955">
        <f t="shared" si="36"/>
        <v>788689784</v>
      </c>
      <c r="I52" s="955">
        <f t="shared" si="36"/>
        <v>352418311</v>
      </c>
      <c r="J52" s="956">
        <f t="shared" si="36"/>
        <v>1141108095</v>
      </c>
      <c r="K52" s="955">
        <f aca="true" t="shared" si="37" ref="K52:R52">SUM(K47+K51)</f>
        <v>0</v>
      </c>
      <c r="L52" s="955">
        <f t="shared" si="37"/>
        <v>788689784</v>
      </c>
      <c r="M52" s="955">
        <f t="shared" si="37"/>
        <v>353739471</v>
      </c>
      <c r="N52" s="956">
        <f t="shared" si="37"/>
        <v>1142429255</v>
      </c>
      <c r="O52" s="955">
        <f t="shared" si="37"/>
        <v>0</v>
      </c>
      <c r="P52" s="955">
        <f t="shared" si="37"/>
        <v>788775643</v>
      </c>
      <c r="Q52" s="955">
        <f t="shared" si="37"/>
        <v>356617632</v>
      </c>
      <c r="R52" s="956">
        <f t="shared" si="37"/>
        <v>1145393275</v>
      </c>
      <c r="S52" s="955">
        <f>SUM(S47+S51)</f>
        <v>1151026580</v>
      </c>
      <c r="T52" s="955">
        <f>SUM(T47+T51)</f>
        <v>673000</v>
      </c>
      <c r="U52" s="955">
        <f>SUM(U47+U51)</f>
        <v>0</v>
      </c>
      <c r="V52" s="956">
        <f>SUM(V47+V51)</f>
        <v>1151699580</v>
      </c>
      <c r="W52" s="955">
        <f>SUM(W47+W51)</f>
        <v>1167319146</v>
      </c>
      <c r="X52" s="955">
        <f>SUM(X47+X51)+X20</f>
        <v>10729481</v>
      </c>
      <c r="Y52" s="955">
        <f>SUM(Y47+Y51)</f>
        <v>0</v>
      </c>
      <c r="Z52" s="956">
        <f>SUM(Z47+Z51)</f>
        <v>1184701944</v>
      </c>
      <c r="AA52" s="955">
        <f>SUM(AA47+AA51)</f>
        <v>1167325140</v>
      </c>
      <c r="AB52" s="955">
        <f>SUM(AB47+AB51)+AB20</f>
        <v>10729481</v>
      </c>
      <c r="AC52" s="955">
        <f>SUM(AC47+AC51)</f>
        <v>0</v>
      </c>
      <c r="AD52" s="956">
        <f>SUM(AD47+AD51)</f>
        <v>1184707938</v>
      </c>
    </row>
    <row r="53" spans="1:30" ht="12.75">
      <c r="A53" s="973" t="s">
        <v>165</v>
      </c>
      <c r="B53" s="924" t="s">
        <v>765</v>
      </c>
      <c r="C53" s="549"/>
      <c r="D53" s="549"/>
      <c r="E53" s="929">
        <v>16733537</v>
      </c>
      <c r="F53" s="549">
        <f>SUM(C53:E53)</f>
        <v>16733537</v>
      </c>
      <c r="G53" s="549"/>
      <c r="H53" s="549"/>
      <c r="I53" s="929">
        <v>22208937</v>
      </c>
      <c r="J53" s="549">
        <f>SUM(G53:I53)</f>
        <v>22208937</v>
      </c>
      <c r="K53" s="549"/>
      <c r="L53" s="549"/>
      <c r="M53" s="929">
        <v>22208937</v>
      </c>
      <c r="N53" s="549">
        <f>SUM(K53:M53)</f>
        <v>22208937</v>
      </c>
      <c r="O53" s="549"/>
      <c r="P53" s="549"/>
      <c r="Q53" s="929">
        <v>23227223</v>
      </c>
      <c r="R53" s="549">
        <f>SUM(O53:Q53)</f>
        <v>23227223</v>
      </c>
      <c r="S53" s="549">
        <v>24949098</v>
      </c>
      <c r="T53" s="549"/>
      <c r="U53" s="929"/>
      <c r="V53" s="549">
        <f>SUM(S53:U53)</f>
        <v>24949098</v>
      </c>
      <c r="W53" s="549">
        <v>24657111</v>
      </c>
      <c r="X53" s="549"/>
      <c r="Y53" s="929"/>
      <c r="Z53" s="549">
        <f>SUM(W53:Y53)</f>
        <v>24657111</v>
      </c>
      <c r="AA53" s="549">
        <v>24657111</v>
      </c>
      <c r="AB53" s="549"/>
      <c r="AC53" s="929"/>
      <c r="AD53" s="549">
        <f>SUM(AA53:AC53)</f>
        <v>24657111</v>
      </c>
    </row>
    <row r="54" spans="1:30" ht="25.5">
      <c r="A54" s="974" t="s">
        <v>167</v>
      </c>
      <c r="B54" s="924" t="s">
        <v>766</v>
      </c>
      <c r="C54" s="519"/>
      <c r="D54" s="519"/>
      <c r="E54" s="504">
        <v>3160667</v>
      </c>
      <c r="F54" s="549">
        <f>SUM(C54:E54)</f>
        <v>3160667</v>
      </c>
      <c r="G54" s="519"/>
      <c r="H54" s="519"/>
      <c r="I54" s="504">
        <v>4164937</v>
      </c>
      <c r="J54" s="549">
        <f>SUM(G54:I54)</f>
        <v>4164937</v>
      </c>
      <c r="K54" s="519"/>
      <c r="L54" s="519"/>
      <c r="M54" s="504">
        <v>4164937</v>
      </c>
      <c r="N54" s="549">
        <f>SUM(K54:M54)</f>
        <v>4164937</v>
      </c>
      <c r="O54" s="519"/>
      <c r="P54" s="519"/>
      <c r="Q54" s="504">
        <v>4346668</v>
      </c>
      <c r="R54" s="549">
        <f>SUM(O54:Q54)</f>
        <v>4346668</v>
      </c>
      <c r="S54" s="519">
        <v>4723754</v>
      </c>
      <c r="T54" s="519"/>
      <c r="U54" s="504"/>
      <c r="V54" s="549">
        <f>SUM(S54:U54)</f>
        <v>4723754</v>
      </c>
      <c r="W54" s="519">
        <v>4122203</v>
      </c>
      <c r="X54" s="519"/>
      <c r="Y54" s="504"/>
      <c r="Z54" s="549">
        <f>SUM(W54:Y54)</f>
        <v>4122203</v>
      </c>
      <c r="AA54" s="519">
        <v>4122203</v>
      </c>
      <c r="AB54" s="519"/>
      <c r="AC54" s="504"/>
      <c r="AD54" s="549">
        <f>SUM(AA54:AC54)</f>
        <v>4122203</v>
      </c>
    </row>
    <row r="55" spans="1:30" s="10" customFormat="1" ht="12.75">
      <c r="A55" s="974" t="s">
        <v>174</v>
      </c>
      <c r="B55" s="771" t="s">
        <v>767</v>
      </c>
      <c r="C55" s="519"/>
      <c r="D55" s="519">
        <v>18335076</v>
      </c>
      <c r="E55" s="519">
        <v>41898244</v>
      </c>
      <c r="F55" s="549">
        <f>SUM(C55:E55)</f>
        <v>60233320</v>
      </c>
      <c r="G55" s="519"/>
      <c r="H55" s="519">
        <v>32691219</v>
      </c>
      <c r="I55" s="519">
        <v>36745048</v>
      </c>
      <c r="J55" s="549">
        <f>SUM(G55:I55)</f>
        <v>69436267</v>
      </c>
      <c r="K55" s="519"/>
      <c r="L55" s="519">
        <v>7948728</v>
      </c>
      <c r="M55" s="519">
        <v>45880062</v>
      </c>
      <c r="N55" s="549">
        <f>SUM(K55:M55)</f>
        <v>53828790</v>
      </c>
      <c r="O55" s="519"/>
      <c r="P55" s="519">
        <v>32927915</v>
      </c>
      <c r="Q55" s="519">
        <v>45880062</v>
      </c>
      <c r="R55" s="549">
        <f>SUM(O55:Q55)</f>
        <v>78807977</v>
      </c>
      <c r="S55" s="519">
        <v>80657382</v>
      </c>
      <c r="T55" s="519">
        <v>673000</v>
      </c>
      <c r="U55" s="519"/>
      <c r="V55" s="549">
        <f>SUM(S55:U55)</f>
        <v>81330382</v>
      </c>
      <c r="W55" s="519">
        <v>97469979</v>
      </c>
      <c r="X55" s="519"/>
      <c r="Y55" s="519"/>
      <c r="Z55" s="549">
        <f>SUM(W55:Y55)</f>
        <v>97469979</v>
      </c>
      <c r="AA55" s="519">
        <v>97469979</v>
      </c>
      <c r="AB55" s="519"/>
      <c r="AC55" s="519"/>
      <c r="AD55" s="549">
        <f>SUM(AA55:AC55)</f>
        <v>97469979</v>
      </c>
    </row>
    <row r="56" spans="1:30" s="10" customFormat="1" ht="12.75">
      <c r="A56" s="974" t="s">
        <v>184</v>
      </c>
      <c r="B56" s="771" t="s">
        <v>815</v>
      </c>
      <c r="C56" s="519"/>
      <c r="D56" s="519"/>
      <c r="E56" s="519">
        <v>5194000</v>
      </c>
      <c r="F56" s="549">
        <f aca="true" t="shared" si="38" ref="F56:F62">SUM(C56:E56)</f>
        <v>5194000</v>
      </c>
      <c r="G56" s="519"/>
      <c r="H56" s="519"/>
      <c r="I56" s="519">
        <v>5194000</v>
      </c>
      <c r="J56" s="549">
        <f aca="true" t="shared" si="39" ref="J56:J62">SUM(G56:I56)</f>
        <v>5194000</v>
      </c>
      <c r="K56" s="519"/>
      <c r="L56" s="519"/>
      <c r="M56" s="519">
        <v>5194000</v>
      </c>
      <c r="N56" s="549">
        <f aca="true" t="shared" si="40" ref="N56:N62">SUM(K56:M56)</f>
        <v>5194000</v>
      </c>
      <c r="O56" s="519"/>
      <c r="P56" s="519"/>
      <c r="Q56" s="519">
        <v>5194000</v>
      </c>
      <c r="R56" s="549">
        <f aca="true" t="shared" si="41" ref="R56:R62">SUM(O56:Q56)</f>
        <v>5194000</v>
      </c>
      <c r="S56" s="519">
        <v>5194000</v>
      </c>
      <c r="T56" s="519"/>
      <c r="U56" s="519"/>
      <c r="V56" s="549">
        <f aca="true" t="shared" si="42" ref="V56:V62">SUM(S56:U56)</f>
        <v>5194000</v>
      </c>
      <c r="W56" s="519">
        <v>3627050</v>
      </c>
      <c r="X56" s="519"/>
      <c r="Y56" s="519"/>
      <c r="Z56" s="549">
        <f aca="true" t="shared" si="43" ref="Z56:Z62">SUM(W56:Y56)</f>
        <v>3627050</v>
      </c>
      <c r="AA56" s="519">
        <v>3627050</v>
      </c>
      <c r="AB56" s="519"/>
      <c r="AC56" s="519"/>
      <c r="AD56" s="549">
        <f aca="true" t="shared" si="44" ref="AD56:AD62">SUM(AA56:AC56)</f>
        <v>3627050</v>
      </c>
    </row>
    <row r="57" spans="1:30" s="10" customFormat="1" ht="12.75">
      <c r="A57" s="974" t="s">
        <v>185</v>
      </c>
      <c r="B57" s="771" t="s">
        <v>219</v>
      </c>
      <c r="C57" s="519"/>
      <c r="D57" s="519">
        <v>715261087</v>
      </c>
      <c r="E57" s="519"/>
      <c r="F57" s="549">
        <f t="shared" si="38"/>
        <v>715261087</v>
      </c>
      <c r="G57" s="519"/>
      <c r="H57" s="519">
        <v>699696288</v>
      </c>
      <c r="I57" s="519"/>
      <c r="J57" s="549">
        <f t="shared" si="39"/>
        <v>699696288</v>
      </c>
      <c r="K57" s="519"/>
      <c r="L57" s="519">
        <v>702346659</v>
      </c>
      <c r="M57" s="519"/>
      <c r="N57" s="549">
        <f t="shared" si="40"/>
        <v>702346659</v>
      </c>
      <c r="O57" s="519"/>
      <c r="P57" s="519">
        <v>678339090</v>
      </c>
      <c r="Q57" s="519"/>
      <c r="R57" s="549">
        <f t="shared" si="41"/>
        <v>678339090</v>
      </c>
      <c r="S57" s="519">
        <v>674637990</v>
      </c>
      <c r="T57" s="519"/>
      <c r="U57" s="519"/>
      <c r="V57" s="549">
        <f t="shared" si="42"/>
        <v>674637990</v>
      </c>
      <c r="W57" s="519">
        <v>664627351</v>
      </c>
      <c r="X57" s="519"/>
      <c r="Y57" s="519"/>
      <c r="Z57" s="549">
        <f t="shared" si="43"/>
        <v>664627351</v>
      </c>
      <c r="AA57" s="519">
        <v>664627351</v>
      </c>
      <c r="AB57" s="519"/>
      <c r="AC57" s="519"/>
      <c r="AD57" s="549">
        <f t="shared" si="44"/>
        <v>664627351</v>
      </c>
    </row>
    <row r="58" spans="1:30" s="10" customFormat="1" ht="12.75">
      <c r="A58" s="974" t="s">
        <v>186</v>
      </c>
      <c r="B58" s="771" t="s">
        <v>816</v>
      </c>
      <c r="C58" s="519"/>
      <c r="D58" s="519">
        <v>34762413</v>
      </c>
      <c r="E58" s="519"/>
      <c r="F58" s="549">
        <f t="shared" si="38"/>
        <v>34762413</v>
      </c>
      <c r="G58" s="519"/>
      <c r="H58" s="519">
        <v>36221964</v>
      </c>
      <c r="I58" s="519"/>
      <c r="J58" s="549">
        <f t="shared" si="39"/>
        <v>36221964</v>
      </c>
      <c r="K58" s="519"/>
      <c r="L58" s="519">
        <v>36221964</v>
      </c>
      <c r="M58" s="519"/>
      <c r="N58" s="549">
        <f t="shared" si="40"/>
        <v>36221964</v>
      </c>
      <c r="O58" s="519"/>
      <c r="P58" s="519">
        <v>36221964</v>
      </c>
      <c r="Q58" s="519"/>
      <c r="R58" s="549">
        <f t="shared" si="41"/>
        <v>36221964</v>
      </c>
      <c r="S58" s="519">
        <v>36221964</v>
      </c>
      <c r="T58" s="519"/>
      <c r="U58" s="519"/>
      <c r="V58" s="549">
        <f t="shared" si="42"/>
        <v>36221964</v>
      </c>
      <c r="W58" s="519">
        <v>40766879</v>
      </c>
      <c r="X58" s="519"/>
      <c r="Y58" s="519"/>
      <c r="Z58" s="549">
        <f t="shared" si="43"/>
        <v>40766879</v>
      </c>
      <c r="AA58" s="519">
        <v>40766879</v>
      </c>
      <c r="AB58" s="519"/>
      <c r="AC58" s="519"/>
      <c r="AD58" s="549">
        <f t="shared" si="44"/>
        <v>40766879</v>
      </c>
    </row>
    <row r="59" spans="1:30" s="10" customFormat="1" ht="12.75">
      <c r="A59" s="974" t="s">
        <v>188</v>
      </c>
      <c r="B59" s="771" t="s">
        <v>814</v>
      </c>
      <c r="C59" s="968"/>
      <c r="D59" s="968">
        <v>12400000</v>
      </c>
      <c r="E59" s="968"/>
      <c r="F59" s="549">
        <f t="shared" si="38"/>
        <v>12400000</v>
      </c>
      <c r="G59" s="968"/>
      <c r="H59" s="968">
        <v>20080313</v>
      </c>
      <c r="I59" s="968"/>
      <c r="J59" s="549">
        <f t="shared" si="39"/>
        <v>20080313</v>
      </c>
      <c r="K59" s="968"/>
      <c r="L59" s="968">
        <f>SUM(L60:L61)</f>
        <v>33440313</v>
      </c>
      <c r="M59" s="968"/>
      <c r="N59" s="549">
        <f t="shared" si="40"/>
        <v>33440313</v>
      </c>
      <c r="O59" s="968"/>
      <c r="P59" s="968">
        <f>SUM(P60:P61)</f>
        <v>33440313</v>
      </c>
      <c r="Q59" s="968"/>
      <c r="R59" s="549">
        <f t="shared" si="41"/>
        <v>33440313</v>
      </c>
      <c r="S59" s="968">
        <v>36863771</v>
      </c>
      <c r="T59" s="968"/>
      <c r="U59" s="968"/>
      <c r="V59" s="549">
        <f t="shared" si="42"/>
        <v>36863771</v>
      </c>
      <c r="W59" s="968">
        <v>54806758</v>
      </c>
      <c r="X59" s="968"/>
      <c r="Y59" s="968"/>
      <c r="Z59" s="549">
        <f t="shared" si="43"/>
        <v>54806758</v>
      </c>
      <c r="AA59" s="968">
        <v>54806758</v>
      </c>
      <c r="AB59" s="968"/>
      <c r="AC59" s="968"/>
      <c r="AD59" s="549">
        <f t="shared" si="44"/>
        <v>54806758</v>
      </c>
    </row>
    <row r="60" spans="1:30" s="122" customFormat="1" ht="12.75">
      <c r="A60" s="925"/>
      <c r="B60" s="925" t="s">
        <v>132</v>
      </c>
      <c r="C60" s="546"/>
      <c r="D60" s="925">
        <v>11000000</v>
      </c>
      <c r="E60" s="925"/>
      <c r="F60" s="549">
        <f t="shared" si="38"/>
        <v>11000000</v>
      </c>
      <c r="G60" s="546"/>
      <c r="H60" s="925">
        <v>12355333</v>
      </c>
      <c r="I60" s="925"/>
      <c r="J60" s="549">
        <f t="shared" si="39"/>
        <v>12355333</v>
      </c>
      <c r="K60" s="546"/>
      <c r="L60" s="925">
        <v>26115333</v>
      </c>
      <c r="M60" s="925"/>
      <c r="N60" s="549">
        <f t="shared" si="40"/>
        <v>26115333</v>
      </c>
      <c r="O60" s="546"/>
      <c r="P60" s="925">
        <v>26115333</v>
      </c>
      <c r="Q60" s="925"/>
      <c r="R60" s="549">
        <f t="shared" si="41"/>
        <v>26115333</v>
      </c>
      <c r="S60" s="546">
        <v>27436617</v>
      </c>
      <c r="T60" s="925"/>
      <c r="U60" s="925"/>
      <c r="V60" s="549">
        <f t="shared" si="42"/>
        <v>27436617</v>
      </c>
      <c r="W60" s="546">
        <v>46062104</v>
      </c>
      <c r="X60" s="925"/>
      <c r="Y60" s="925"/>
      <c r="Z60" s="549">
        <f t="shared" si="43"/>
        <v>46062104</v>
      </c>
      <c r="AA60" s="546">
        <v>46062104</v>
      </c>
      <c r="AB60" s="925"/>
      <c r="AC60" s="925"/>
      <c r="AD60" s="549">
        <f t="shared" si="44"/>
        <v>46062104</v>
      </c>
    </row>
    <row r="61" spans="1:30" s="122" customFormat="1" ht="12.75">
      <c r="A61" s="925"/>
      <c r="B61" s="925" t="s">
        <v>134</v>
      </c>
      <c r="C61" s="925"/>
      <c r="D61" s="925">
        <v>1400000</v>
      </c>
      <c r="E61" s="925"/>
      <c r="F61" s="549">
        <f t="shared" si="38"/>
        <v>1400000</v>
      </c>
      <c r="G61" s="925"/>
      <c r="H61" s="925">
        <v>7724980</v>
      </c>
      <c r="I61" s="925"/>
      <c r="J61" s="549">
        <f t="shared" si="39"/>
        <v>7724980</v>
      </c>
      <c r="K61" s="925"/>
      <c r="L61" s="925">
        <v>7324980</v>
      </c>
      <c r="M61" s="925"/>
      <c r="N61" s="549">
        <f t="shared" si="40"/>
        <v>7324980</v>
      </c>
      <c r="O61" s="925"/>
      <c r="P61" s="925">
        <v>7324980</v>
      </c>
      <c r="Q61" s="925"/>
      <c r="R61" s="549">
        <f t="shared" si="41"/>
        <v>7324980</v>
      </c>
      <c r="S61" s="925">
        <v>9427154</v>
      </c>
      <c r="T61" s="925"/>
      <c r="U61" s="925"/>
      <c r="V61" s="549">
        <f t="shared" si="42"/>
        <v>9427154</v>
      </c>
      <c r="W61" s="925">
        <v>8744654</v>
      </c>
      <c r="X61" s="925"/>
      <c r="Y61" s="925"/>
      <c r="Z61" s="549">
        <f t="shared" si="43"/>
        <v>8744654</v>
      </c>
      <c r="AA61" s="925">
        <v>8744654</v>
      </c>
      <c r="AB61" s="925"/>
      <c r="AC61" s="925"/>
      <c r="AD61" s="549">
        <f t="shared" si="44"/>
        <v>8744654</v>
      </c>
    </row>
    <row r="62" spans="1:30" s="10" customFormat="1" ht="12.75">
      <c r="A62" s="771" t="s">
        <v>191</v>
      </c>
      <c r="B62" s="771" t="s">
        <v>817</v>
      </c>
      <c r="C62" s="771"/>
      <c r="D62" s="771"/>
      <c r="E62" s="771"/>
      <c r="F62" s="549">
        <f t="shared" si="38"/>
        <v>0</v>
      </c>
      <c r="G62" s="771"/>
      <c r="H62" s="771"/>
      <c r="I62" s="771"/>
      <c r="J62" s="549">
        <f t="shared" si="39"/>
        <v>0</v>
      </c>
      <c r="K62" s="771"/>
      <c r="L62" s="771"/>
      <c r="M62" s="771"/>
      <c r="N62" s="549">
        <f t="shared" si="40"/>
        <v>0</v>
      </c>
      <c r="O62" s="771"/>
      <c r="P62" s="771"/>
      <c r="Q62" s="771"/>
      <c r="R62" s="549">
        <f t="shared" si="41"/>
        <v>0</v>
      </c>
      <c r="S62" s="771"/>
      <c r="T62" s="771"/>
      <c r="U62" s="771"/>
      <c r="V62" s="549">
        <f t="shared" si="42"/>
        <v>0</v>
      </c>
      <c r="W62" s="771"/>
      <c r="X62" s="771">
        <v>10729481</v>
      </c>
      <c r="Y62" s="771"/>
      <c r="Z62" s="549">
        <f t="shared" si="43"/>
        <v>10729481</v>
      </c>
      <c r="AA62" s="771"/>
      <c r="AB62" s="771">
        <v>10729481</v>
      </c>
      <c r="AC62" s="771"/>
      <c r="AD62" s="549">
        <f t="shared" si="44"/>
        <v>10729481</v>
      </c>
    </row>
    <row r="63" spans="1:30" ht="15.75">
      <c r="A63" s="987"/>
      <c r="B63" s="988" t="s">
        <v>769</v>
      </c>
      <c r="C63" s="989">
        <f aca="true" t="shared" si="45" ref="C63:J63">SUM(C53:C59)</f>
        <v>0</v>
      </c>
      <c r="D63" s="989">
        <f t="shared" si="45"/>
        <v>780758576</v>
      </c>
      <c r="E63" s="989">
        <f t="shared" si="45"/>
        <v>66986448</v>
      </c>
      <c r="F63" s="990">
        <f t="shared" si="45"/>
        <v>847745024</v>
      </c>
      <c r="G63" s="989">
        <f t="shared" si="45"/>
        <v>0</v>
      </c>
      <c r="H63" s="989">
        <f t="shared" si="45"/>
        <v>788689784</v>
      </c>
      <c r="I63" s="989">
        <f t="shared" si="45"/>
        <v>68312922</v>
      </c>
      <c r="J63" s="990">
        <f t="shared" si="45"/>
        <v>857002706</v>
      </c>
      <c r="K63" s="989">
        <f aca="true" t="shared" si="46" ref="K63:R63">SUM(K53:K59)</f>
        <v>0</v>
      </c>
      <c r="L63" s="989">
        <f t="shared" si="46"/>
        <v>779957664</v>
      </c>
      <c r="M63" s="989">
        <f t="shared" si="46"/>
        <v>77447936</v>
      </c>
      <c r="N63" s="990">
        <f t="shared" si="46"/>
        <v>857405600</v>
      </c>
      <c r="O63" s="989">
        <f t="shared" si="46"/>
        <v>0</v>
      </c>
      <c r="P63" s="989">
        <f t="shared" si="46"/>
        <v>780929282</v>
      </c>
      <c r="Q63" s="989">
        <f t="shared" si="46"/>
        <v>78647953</v>
      </c>
      <c r="R63" s="990">
        <f t="shared" si="46"/>
        <v>859577235</v>
      </c>
      <c r="S63" s="989">
        <f>SUM(S53:S59)</f>
        <v>863247959</v>
      </c>
      <c r="T63" s="989">
        <f>SUM(T53:T59)</f>
        <v>673000</v>
      </c>
      <c r="U63" s="989">
        <f>SUM(U53:U59)</f>
        <v>0</v>
      </c>
      <c r="V63" s="990">
        <f>SUM(V53:V59)</f>
        <v>863920959</v>
      </c>
      <c r="W63" s="989">
        <f>SUM(W53:W59)</f>
        <v>890077331</v>
      </c>
      <c r="X63" s="989">
        <f>SUM(X62)</f>
        <v>10729481</v>
      </c>
      <c r="Y63" s="989">
        <f>SUM(Y53:Y59)</f>
        <v>0</v>
      </c>
      <c r="Z63" s="990">
        <f>SUM(Z53:Z59)+Z62</f>
        <v>900806812</v>
      </c>
      <c r="AA63" s="989">
        <f>SUM(AA53:AA59)</f>
        <v>890077331</v>
      </c>
      <c r="AB63" s="989">
        <f>SUM(AB62)</f>
        <v>10729481</v>
      </c>
      <c r="AC63" s="989">
        <f>SUM(AC53:AC59)</f>
        <v>0</v>
      </c>
      <c r="AD63" s="990">
        <f>SUM(AD53:AD59)+AD62</f>
        <v>900806812</v>
      </c>
    </row>
    <row r="64" spans="1:30" ht="25.5">
      <c r="A64" s="503"/>
      <c r="B64" s="923" t="s">
        <v>818</v>
      </c>
      <c r="C64" s="504"/>
      <c r="D64" s="504"/>
      <c r="E64" s="504">
        <v>6703536</v>
      </c>
      <c r="F64" s="504">
        <f>SUM(C64:E64)</f>
        <v>6703536</v>
      </c>
      <c r="G64" s="504"/>
      <c r="H64" s="504"/>
      <c r="I64" s="504">
        <v>6703536</v>
      </c>
      <c r="J64" s="504">
        <f>SUM(G64:I64)</f>
        <v>6703536</v>
      </c>
      <c r="K64" s="504"/>
      <c r="L64" s="504"/>
      <c r="M64" s="504">
        <v>7419080</v>
      </c>
      <c r="N64" s="504">
        <f>SUM(K64:M64)</f>
        <v>7419080</v>
      </c>
      <c r="O64" s="504"/>
      <c r="P64" s="504"/>
      <c r="Q64" s="504">
        <v>8095569</v>
      </c>
      <c r="R64" s="504">
        <f>SUM(O64:Q64)</f>
        <v>8095569</v>
      </c>
      <c r="S64" s="504">
        <v>8679084</v>
      </c>
      <c r="T64" s="504"/>
      <c r="U64" s="504"/>
      <c r="V64" s="504">
        <f>SUM(S64:U64)</f>
        <v>8679084</v>
      </c>
      <c r="W64" s="504">
        <v>9086397</v>
      </c>
      <c r="X64" s="504"/>
      <c r="Y64" s="504"/>
      <c r="Z64" s="504">
        <f>SUM(W64:Y64)</f>
        <v>9086397</v>
      </c>
      <c r="AA64" s="504">
        <v>9092391</v>
      </c>
      <c r="AB64" s="504"/>
      <c r="AC64" s="504"/>
      <c r="AD64" s="504">
        <v>9092391</v>
      </c>
    </row>
    <row r="65" spans="1:30" ht="25.5">
      <c r="A65" s="503"/>
      <c r="B65" s="923" t="s">
        <v>819</v>
      </c>
      <c r="C65" s="504"/>
      <c r="D65" s="504"/>
      <c r="E65" s="504">
        <v>276570076</v>
      </c>
      <c r="F65" s="504">
        <f>SUM(C65:E65)</f>
        <v>276570076</v>
      </c>
      <c r="G65" s="504"/>
      <c r="H65" s="504"/>
      <c r="I65" s="504">
        <v>277401853</v>
      </c>
      <c r="J65" s="504">
        <f>SUM(G65:I65)</f>
        <v>277401853</v>
      </c>
      <c r="K65" s="504"/>
      <c r="L65" s="504">
        <v>8732120</v>
      </c>
      <c r="M65" s="504">
        <v>268872455</v>
      </c>
      <c r="N65" s="504">
        <f>SUM(K65:M65)</f>
        <v>277604575</v>
      </c>
      <c r="O65" s="504"/>
      <c r="P65" s="504">
        <v>7846361</v>
      </c>
      <c r="Q65" s="504">
        <v>269874110</v>
      </c>
      <c r="R65" s="504">
        <f>SUM(O65:Q65)</f>
        <v>277720471</v>
      </c>
      <c r="S65" s="504">
        <v>279099537</v>
      </c>
      <c r="T65" s="504"/>
      <c r="U65" s="504"/>
      <c r="V65" s="504">
        <f>SUM(S65:U65)</f>
        <v>279099537</v>
      </c>
      <c r="W65" s="504">
        <v>274808735</v>
      </c>
      <c r="X65" s="504"/>
      <c r="Y65" s="504"/>
      <c r="Z65" s="504">
        <f>SUM(W65:Y65)</f>
        <v>274808735</v>
      </c>
      <c r="AA65" s="504">
        <v>274808735</v>
      </c>
      <c r="AB65" s="504"/>
      <c r="AC65" s="504"/>
      <c r="AD65" s="504">
        <f>SUM(AA65:AC65)</f>
        <v>274808735</v>
      </c>
    </row>
    <row r="66" spans="1:30" ht="12.75">
      <c r="A66" s="503"/>
      <c r="B66" s="977" t="s">
        <v>820</v>
      </c>
      <c r="C66" s="504">
        <f>SUM(C64:C65)</f>
        <v>0</v>
      </c>
      <c r="D66" s="504">
        <f>SUM(D64:D65)</f>
        <v>0</v>
      </c>
      <c r="E66" s="504"/>
      <c r="F66" s="504">
        <f>SUM(C66:E66)</f>
        <v>0</v>
      </c>
      <c r="G66" s="504">
        <f>SUM(G64:G65)</f>
        <v>0</v>
      </c>
      <c r="H66" s="504">
        <f>SUM(H64:H65)</f>
        <v>0</v>
      </c>
      <c r="I66" s="504"/>
      <c r="J66" s="504">
        <f>SUM(G66:I66)</f>
        <v>0</v>
      </c>
      <c r="K66" s="504">
        <f>SUM(K64:K65)</f>
        <v>0</v>
      </c>
      <c r="L66" s="504">
        <f>SUM(L64:L65)</f>
        <v>8732120</v>
      </c>
      <c r="M66" s="504"/>
      <c r="N66" s="504">
        <f>SUM(K66:M66)</f>
        <v>8732120</v>
      </c>
      <c r="O66" s="504">
        <f>SUM(O64:O65)</f>
        <v>0</v>
      </c>
      <c r="P66" s="504">
        <f>SUM(P64:P65)</f>
        <v>7846361</v>
      </c>
      <c r="Q66" s="504"/>
      <c r="R66" s="504">
        <f>SUM(O66:Q66)</f>
        <v>7846361</v>
      </c>
      <c r="S66" s="504">
        <f>SUM(S64:S65)</f>
        <v>287778621</v>
      </c>
      <c r="T66" s="504"/>
      <c r="U66" s="504"/>
      <c r="V66" s="504">
        <f>SUM(S66:U66)</f>
        <v>287778621</v>
      </c>
      <c r="W66" s="504">
        <f>SUM(W64:W65)</f>
        <v>283895132</v>
      </c>
      <c r="X66" s="504"/>
      <c r="Y66" s="504"/>
      <c r="Z66" s="504">
        <f>SUM(W66:Y66)</f>
        <v>283895132</v>
      </c>
      <c r="AA66" s="504">
        <f>SUM(AA64:AA65)</f>
        <v>283901126</v>
      </c>
      <c r="AB66" s="504"/>
      <c r="AC66" s="504"/>
      <c r="AD66" s="504">
        <f>SUM(AA66:AC66)</f>
        <v>283901126</v>
      </c>
    </row>
    <row r="67" spans="1:30" ht="16.5" thickBot="1">
      <c r="A67" s="934"/>
      <c r="B67" s="992" t="s">
        <v>821</v>
      </c>
      <c r="C67" s="723">
        <f>SUM(C66)</f>
        <v>0</v>
      </c>
      <c r="D67" s="723">
        <f>SUM(D66)</f>
        <v>0</v>
      </c>
      <c r="E67" s="723">
        <f>SUM(E64:E65)</f>
        <v>283273612</v>
      </c>
      <c r="F67" s="723">
        <f>SUM(F64:F65)</f>
        <v>283273612</v>
      </c>
      <c r="G67" s="723">
        <f>SUM(G66)</f>
        <v>0</v>
      </c>
      <c r="H67" s="723">
        <f>SUM(H66)</f>
        <v>0</v>
      </c>
      <c r="I67" s="723">
        <f>SUM(I64:I65)</f>
        <v>284105389</v>
      </c>
      <c r="J67" s="723">
        <f>SUM(J64:J65)</f>
        <v>284105389</v>
      </c>
      <c r="K67" s="723">
        <f>SUM(K66)</f>
        <v>0</v>
      </c>
      <c r="L67" s="723">
        <f>SUM(L66)</f>
        <v>8732120</v>
      </c>
      <c r="M67" s="723">
        <f>SUM(M64:M65)</f>
        <v>276291535</v>
      </c>
      <c r="N67" s="723">
        <f>SUM(N64:N65)</f>
        <v>285023655</v>
      </c>
      <c r="O67" s="723">
        <f>SUM(O66)</f>
        <v>0</v>
      </c>
      <c r="P67" s="723">
        <f>SUM(P66)</f>
        <v>7846361</v>
      </c>
      <c r="Q67" s="723">
        <f>SUM(Q64:Q65)</f>
        <v>277969679</v>
      </c>
      <c r="R67" s="723">
        <f>SUM(R64:R65)</f>
        <v>285816040</v>
      </c>
      <c r="S67" s="723">
        <f>SUM(S66)</f>
        <v>287778621</v>
      </c>
      <c r="T67" s="723"/>
      <c r="U67" s="723"/>
      <c r="V67" s="723">
        <f>SUM(V64:V65)</f>
        <v>287778621</v>
      </c>
      <c r="W67" s="723">
        <f>SUM(W66)</f>
        <v>283895132</v>
      </c>
      <c r="X67" s="723"/>
      <c r="Y67" s="723"/>
      <c r="Z67" s="723">
        <f>SUM(Z64:Z65)</f>
        <v>283895132</v>
      </c>
      <c r="AA67" s="723">
        <f>SUM(AA66)</f>
        <v>283901126</v>
      </c>
      <c r="AB67" s="723"/>
      <c r="AC67" s="723"/>
      <c r="AD67" s="723">
        <f>SUM(AD64:AD65)</f>
        <v>283901126</v>
      </c>
    </row>
    <row r="68" spans="1:30" s="991" customFormat="1" ht="16.5" thickBot="1">
      <c r="A68" s="1859" t="s">
        <v>119</v>
      </c>
      <c r="B68" s="1860"/>
      <c r="C68" s="971">
        <f aca="true" t="shared" si="47" ref="C68:J68">SUM(C63+C67)</f>
        <v>0</v>
      </c>
      <c r="D68" s="971">
        <f t="shared" si="47"/>
        <v>780758576</v>
      </c>
      <c r="E68" s="971">
        <f t="shared" si="47"/>
        <v>350260060</v>
      </c>
      <c r="F68" s="972">
        <f t="shared" si="47"/>
        <v>1131018636</v>
      </c>
      <c r="G68" s="971">
        <f t="shared" si="47"/>
        <v>0</v>
      </c>
      <c r="H68" s="971">
        <f t="shared" si="47"/>
        <v>788689784</v>
      </c>
      <c r="I68" s="971">
        <f t="shared" si="47"/>
        <v>352418311</v>
      </c>
      <c r="J68" s="972">
        <f t="shared" si="47"/>
        <v>1141108095</v>
      </c>
      <c r="K68" s="971">
        <f aca="true" t="shared" si="48" ref="K68:R68">SUM(K63+K67)</f>
        <v>0</v>
      </c>
      <c r="L68" s="971">
        <f t="shared" si="48"/>
        <v>788689784</v>
      </c>
      <c r="M68" s="971">
        <f t="shared" si="48"/>
        <v>353739471</v>
      </c>
      <c r="N68" s="972">
        <f t="shared" si="48"/>
        <v>1142429255</v>
      </c>
      <c r="O68" s="971">
        <f t="shared" si="48"/>
        <v>0</v>
      </c>
      <c r="P68" s="971">
        <f t="shared" si="48"/>
        <v>788775643</v>
      </c>
      <c r="Q68" s="971">
        <f t="shared" si="48"/>
        <v>356617632</v>
      </c>
      <c r="R68" s="972">
        <f t="shared" si="48"/>
        <v>1145393275</v>
      </c>
      <c r="S68" s="971">
        <f aca="true" t="shared" si="49" ref="S68:Z68">SUM(S63+S67)</f>
        <v>1151026580</v>
      </c>
      <c r="T68" s="971">
        <f t="shared" si="49"/>
        <v>673000</v>
      </c>
      <c r="U68" s="971">
        <f t="shared" si="49"/>
        <v>0</v>
      </c>
      <c r="V68" s="972">
        <f t="shared" si="49"/>
        <v>1151699580</v>
      </c>
      <c r="W68" s="971">
        <f t="shared" si="49"/>
        <v>1173972463</v>
      </c>
      <c r="X68" s="971">
        <f t="shared" si="49"/>
        <v>10729481</v>
      </c>
      <c r="Y68" s="971">
        <f t="shared" si="49"/>
        <v>0</v>
      </c>
      <c r="Z68" s="972">
        <f t="shared" si="49"/>
        <v>1184701944</v>
      </c>
      <c r="AA68" s="971">
        <f>SUM(AA63+AA67)</f>
        <v>1173978457</v>
      </c>
      <c r="AB68" s="971">
        <f>SUM(AB63+AB67)</f>
        <v>10729481</v>
      </c>
      <c r="AC68" s="971">
        <f>SUM(AC63+AC67)</f>
        <v>0</v>
      </c>
      <c r="AD68" s="972">
        <f>SUM(AD63+AD67)</f>
        <v>1184707938</v>
      </c>
    </row>
  </sheetData>
  <sheetProtection/>
  <mergeCells count="14">
    <mergeCell ref="G8:J8"/>
    <mergeCell ref="W8:Z8"/>
    <mergeCell ref="AA8:AD8"/>
    <mergeCell ref="A4:AD4"/>
    <mergeCell ref="A2:AD2"/>
    <mergeCell ref="A1:AD1"/>
    <mergeCell ref="A68:B68"/>
    <mergeCell ref="A52:B52"/>
    <mergeCell ref="A8:B9"/>
    <mergeCell ref="C8:F8"/>
    <mergeCell ref="A47:B47"/>
    <mergeCell ref="S8:V8"/>
    <mergeCell ref="O8:R8"/>
    <mergeCell ref="K8:N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22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18" customWidth="1"/>
    <col min="2" max="2" width="16.00390625" style="18" customWidth="1"/>
    <col min="3" max="4" width="11.57421875" style="18" customWidth="1"/>
    <col min="5" max="5" width="13.7109375" style="18" customWidth="1"/>
    <col min="6" max="16384" width="11.57421875" style="18" customWidth="1"/>
  </cols>
  <sheetData>
    <row r="1" spans="4:5" ht="12.75" customHeight="1">
      <c r="D1" s="1504" t="s">
        <v>572</v>
      </c>
      <c r="E1" s="1504"/>
    </row>
    <row r="2" spans="2:5" ht="12.75" customHeight="1">
      <c r="B2" s="1875" t="s">
        <v>1</v>
      </c>
      <c r="C2" s="1875"/>
      <c r="D2" s="1875"/>
      <c r="E2" s="1875"/>
    </row>
    <row r="3" spans="1:2" ht="29.25" customHeight="1">
      <c r="A3" s="45"/>
      <c r="B3" s="45"/>
    </row>
    <row r="4" spans="1:5" ht="12.75" customHeight="1">
      <c r="A4" s="1876" t="s">
        <v>2</v>
      </c>
      <c r="B4" s="1876"/>
      <c r="C4" s="1876"/>
      <c r="D4" s="1876"/>
      <c r="E4" s="1876"/>
    </row>
    <row r="5" spans="1:5" ht="12.75" customHeight="1">
      <c r="A5" s="1505" t="s">
        <v>573</v>
      </c>
      <c r="B5" s="1505"/>
      <c r="C5" s="1505"/>
      <c r="D5" s="1505"/>
      <c r="E5" s="1505"/>
    </row>
    <row r="6" spans="1:3" ht="27" customHeight="1">
      <c r="A6" s="328"/>
      <c r="B6" s="328"/>
      <c r="C6" s="328"/>
    </row>
    <row r="7" spans="1:5" ht="13.5" customHeight="1">
      <c r="A7" s="328"/>
      <c r="B7" s="328"/>
      <c r="C7" s="328"/>
      <c r="D7" s="1501" t="s">
        <v>5</v>
      </c>
      <c r="E7" s="1501"/>
    </row>
    <row r="8" spans="1:5" ht="12.75" customHeight="1">
      <c r="A8" s="1877" t="s">
        <v>546</v>
      </c>
      <c r="B8" s="1878" t="s">
        <v>547</v>
      </c>
      <c r="C8" s="1879" t="s">
        <v>574</v>
      </c>
      <c r="D8" s="1879"/>
      <c r="E8" s="1879"/>
    </row>
    <row r="9" spans="1:5" ht="33.75" customHeight="1">
      <c r="A9" s="1877"/>
      <c r="B9" s="1878"/>
      <c r="C9" s="329" t="s">
        <v>549</v>
      </c>
      <c r="D9" s="329" t="s">
        <v>550</v>
      </c>
      <c r="E9" s="330" t="s">
        <v>551</v>
      </c>
    </row>
    <row r="10" spans="1:5" ht="15" customHeight="1">
      <c r="A10" s="331" t="s">
        <v>2</v>
      </c>
      <c r="B10" s="332">
        <f>C10+D10+E10</f>
        <v>210979</v>
      </c>
      <c r="C10" s="333">
        <f>SUM(C11:C14)</f>
        <v>202719</v>
      </c>
      <c r="D10" s="333">
        <f>SUM(D11:D14)</f>
        <v>8260</v>
      </c>
      <c r="E10" s="334">
        <f>SUM(E11:E14)</f>
        <v>0</v>
      </c>
    </row>
    <row r="11" spans="1:5" s="338" customFormat="1" ht="15" customHeight="1">
      <c r="A11" s="335" t="s">
        <v>575</v>
      </c>
      <c r="B11" s="336"/>
      <c r="C11" s="336">
        <v>202719</v>
      </c>
      <c r="D11" s="336"/>
      <c r="E11" s="337"/>
    </row>
    <row r="12" spans="1:5" s="338" customFormat="1" ht="15" customHeight="1">
      <c r="A12" s="335" t="s">
        <v>576</v>
      </c>
      <c r="B12" s="336"/>
      <c r="C12" s="336"/>
      <c r="D12" s="336">
        <v>610</v>
      </c>
      <c r="E12" s="337"/>
    </row>
    <row r="13" spans="1:5" s="338" customFormat="1" ht="15" customHeight="1">
      <c r="A13" s="339" t="s">
        <v>577</v>
      </c>
      <c r="B13" s="340"/>
      <c r="C13" s="336"/>
      <c r="D13" s="340">
        <v>7650</v>
      </c>
      <c r="E13" s="337"/>
    </row>
    <row r="14" spans="1:5" s="338" customFormat="1" ht="15" customHeight="1">
      <c r="A14" s="335" t="s">
        <v>578</v>
      </c>
      <c r="B14" s="336"/>
      <c r="C14" s="336"/>
      <c r="D14" s="336"/>
      <c r="E14" s="337" t="s">
        <v>579</v>
      </c>
    </row>
    <row r="15" spans="1:5" ht="15" customHeight="1">
      <c r="A15" s="341" t="s">
        <v>239</v>
      </c>
      <c r="B15" s="332">
        <f>C15+D15+E15</f>
        <v>112004</v>
      </c>
      <c r="C15" s="332">
        <f>SUM(C16:C17)</f>
        <v>91520</v>
      </c>
      <c r="D15" s="332">
        <f>SUM(D16:D17)</f>
        <v>0</v>
      </c>
      <c r="E15" s="342">
        <f>SUM(E16:E17)</f>
        <v>20484</v>
      </c>
    </row>
    <row r="16" spans="1:5" s="338" customFormat="1" ht="15" customHeight="1">
      <c r="A16" s="339" t="s">
        <v>580</v>
      </c>
      <c r="B16" s="340"/>
      <c r="C16" s="336">
        <v>68282</v>
      </c>
      <c r="D16" s="340"/>
      <c r="E16" s="343">
        <v>20484</v>
      </c>
    </row>
    <row r="17" spans="1:5" s="338" customFormat="1" ht="15" customHeight="1">
      <c r="A17" s="339" t="s">
        <v>581</v>
      </c>
      <c r="B17" s="340"/>
      <c r="C17" s="336">
        <v>23238</v>
      </c>
      <c r="D17" s="340"/>
      <c r="E17" s="343"/>
    </row>
    <row r="18" spans="1:5" ht="15" customHeight="1">
      <c r="A18" s="341" t="s">
        <v>582</v>
      </c>
      <c r="B18" s="332">
        <v>80345</v>
      </c>
      <c r="C18" s="344">
        <f>SUM(C19:C20)</f>
        <v>72285</v>
      </c>
      <c r="D18" s="344">
        <f>SUM(D19:D20)</f>
        <v>8060</v>
      </c>
      <c r="E18" s="345">
        <f>SUM(E19:E20)</f>
        <v>0</v>
      </c>
    </row>
    <row r="19" spans="1:5" s="338" customFormat="1" ht="15" customHeight="1">
      <c r="A19" s="339" t="s">
        <v>583</v>
      </c>
      <c r="B19" s="340"/>
      <c r="C19" s="336">
        <v>72285</v>
      </c>
      <c r="D19" s="340"/>
      <c r="E19" s="343"/>
    </row>
    <row r="20" spans="1:5" s="338" customFormat="1" ht="15" customHeight="1">
      <c r="A20" s="339" t="s">
        <v>584</v>
      </c>
      <c r="B20" s="340"/>
      <c r="C20" s="336"/>
      <c r="D20" s="340">
        <v>8060</v>
      </c>
      <c r="E20" s="343"/>
    </row>
    <row r="21" spans="1:5" ht="15" customHeight="1">
      <c r="A21" s="341" t="s">
        <v>585</v>
      </c>
      <c r="B21" s="332">
        <v>16681</v>
      </c>
      <c r="C21" s="332">
        <f>B21</f>
        <v>16681</v>
      </c>
      <c r="D21" s="332"/>
      <c r="E21" s="342"/>
    </row>
    <row r="22" spans="1:5" ht="15" customHeight="1">
      <c r="A22" s="341" t="s">
        <v>243</v>
      </c>
      <c r="B22" s="332">
        <v>10850</v>
      </c>
      <c r="C22" s="332">
        <f>B22</f>
        <v>10850</v>
      </c>
      <c r="D22" s="332"/>
      <c r="E22" s="342"/>
    </row>
    <row r="23" spans="1:5" s="20" customFormat="1" ht="15" customHeight="1">
      <c r="A23" s="346" t="s">
        <v>25</v>
      </c>
      <c r="B23" s="347">
        <f>B10+B15+B18+B21+B22</f>
        <v>430859</v>
      </c>
      <c r="C23" s="347">
        <f>C10+C15+C18+C21+C22</f>
        <v>394055</v>
      </c>
      <c r="D23" s="347">
        <f>D10+D15+D18+D21+D22</f>
        <v>16320</v>
      </c>
      <c r="E23" s="347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60" zoomScalePageLayoutView="0" workbookViewId="0" topLeftCell="A1">
      <selection activeCell="A3" sqref="A3:I3"/>
    </sheetView>
  </sheetViews>
  <sheetFormatPr defaultColWidth="9.140625" defaultRowHeight="12.75"/>
  <cols>
    <col min="2" max="2" width="67.57421875" style="0" customWidth="1"/>
    <col min="3" max="5" width="14.7109375" style="0" bestFit="1" customWidth="1"/>
    <col min="6" max="9" width="17.28125" style="0" customWidth="1"/>
    <col min="11" max="11" width="14.7109375" style="0" bestFit="1" customWidth="1"/>
  </cols>
  <sheetData>
    <row r="1" spans="1:8" ht="15">
      <c r="A1" s="1609" t="s">
        <v>572</v>
      </c>
      <c r="B1" s="1609"/>
      <c r="C1" s="1609"/>
      <c r="D1" s="1609"/>
      <c r="E1" s="1609"/>
      <c r="F1" s="1609"/>
      <c r="G1" s="1609"/>
      <c r="H1" s="1609"/>
    </row>
    <row r="2" spans="1:2" ht="19.5">
      <c r="A2" s="222"/>
      <c r="B2" s="222"/>
    </row>
    <row r="3" spans="1:9" ht="15">
      <c r="A3" s="1884" t="s">
        <v>1226</v>
      </c>
      <c r="B3" s="1884"/>
      <c r="C3" s="1884"/>
      <c r="D3" s="1884"/>
      <c r="E3" s="1884"/>
      <c r="F3" s="1884"/>
      <c r="G3" s="1884"/>
      <c r="H3" s="1884"/>
      <c r="I3" s="1884"/>
    </row>
    <row r="4" spans="1:9" ht="19.5" customHeight="1">
      <c r="A4" s="1883" t="s">
        <v>1039</v>
      </c>
      <c r="B4" s="1883"/>
      <c r="C4" s="1883"/>
      <c r="D4" s="1883"/>
      <c r="E4" s="1883"/>
      <c r="F4" s="1883"/>
      <c r="G4" s="1883"/>
      <c r="H4" s="1883"/>
      <c r="I4" s="1883"/>
    </row>
    <row r="5" spans="1:5" ht="19.5" customHeight="1">
      <c r="A5" s="993"/>
      <c r="B5" s="993"/>
      <c r="C5" s="993"/>
      <c r="D5" s="993"/>
      <c r="E5" s="993"/>
    </row>
    <row r="6" spans="2:9" ht="12.75">
      <c r="B6" s="1882" t="s">
        <v>155</v>
      </c>
      <c r="C6" s="1882"/>
      <c r="D6" s="1882"/>
      <c r="E6" s="1882"/>
      <c r="F6" s="1882"/>
      <c r="G6" s="1882"/>
      <c r="H6" s="1882"/>
      <c r="I6" s="1882"/>
    </row>
    <row r="7" spans="1:9" ht="25.5">
      <c r="A7" s="1880" t="s">
        <v>156</v>
      </c>
      <c r="B7" s="1203" t="s">
        <v>24</v>
      </c>
      <c r="C7" s="7" t="s">
        <v>1002</v>
      </c>
      <c r="D7" s="7" t="s">
        <v>1070</v>
      </c>
      <c r="E7" s="7" t="s">
        <v>1131</v>
      </c>
      <c r="F7" s="7" t="s">
        <v>1141</v>
      </c>
      <c r="G7" s="7" t="s">
        <v>1148</v>
      </c>
      <c r="H7" s="7" t="s">
        <v>1158</v>
      </c>
      <c r="I7" s="7" t="s">
        <v>1181</v>
      </c>
    </row>
    <row r="8" spans="1:11" ht="12.75">
      <c r="A8" s="1880"/>
      <c r="B8" s="316" t="s">
        <v>159</v>
      </c>
      <c r="C8" s="317" t="s">
        <v>160</v>
      </c>
      <c r="D8" s="317" t="s">
        <v>161</v>
      </c>
      <c r="E8" s="317" t="s">
        <v>162</v>
      </c>
      <c r="F8" s="317" t="s">
        <v>479</v>
      </c>
      <c r="G8" s="317" t="s">
        <v>499</v>
      </c>
      <c r="H8" s="317" t="s">
        <v>745</v>
      </c>
      <c r="I8" s="317" t="s">
        <v>826</v>
      </c>
      <c r="K8" s="205"/>
    </row>
    <row r="9" spans="1:9" ht="12.75">
      <c r="A9" s="318" t="s">
        <v>38</v>
      </c>
      <c r="B9" s="319" t="s">
        <v>565</v>
      </c>
      <c r="C9" s="320"/>
      <c r="D9" s="320"/>
      <c r="E9" s="320"/>
      <c r="F9" s="320"/>
      <c r="G9" s="320"/>
      <c r="H9" s="1436"/>
      <c r="I9" s="1436"/>
    </row>
    <row r="10" spans="1:9" s="860" customFormat="1" ht="15">
      <c r="A10" s="1382" t="s">
        <v>40</v>
      </c>
      <c r="B10" s="1386" t="s">
        <v>1041</v>
      </c>
      <c r="C10" s="1387">
        <v>15176500</v>
      </c>
      <c r="D10" s="1387">
        <v>21576500</v>
      </c>
      <c r="E10" s="1387">
        <v>21576500</v>
      </c>
      <c r="F10" s="1387">
        <v>21576500</v>
      </c>
      <c r="G10" s="1387">
        <v>21576500</v>
      </c>
      <c r="H10" s="1437">
        <v>15176500</v>
      </c>
      <c r="I10" s="1437">
        <v>15176500</v>
      </c>
    </row>
    <row r="11" spans="1:9" s="860" customFormat="1" ht="15">
      <c r="A11" s="1382" t="s">
        <v>47</v>
      </c>
      <c r="B11" s="1386" t="s">
        <v>1161</v>
      </c>
      <c r="C11" s="1387">
        <v>318334729</v>
      </c>
      <c r="D11" s="1387">
        <v>318334729</v>
      </c>
      <c r="E11" s="1387">
        <v>311334729</v>
      </c>
      <c r="F11" s="1387">
        <v>311334729</v>
      </c>
      <c r="G11" s="1410">
        <v>311264729</v>
      </c>
      <c r="H11" s="1420">
        <v>308942153</v>
      </c>
      <c r="I11" s="1420">
        <v>308942153</v>
      </c>
    </row>
    <row r="12" spans="1:11" ht="12.75">
      <c r="A12" s="321" t="s">
        <v>49</v>
      </c>
      <c r="B12" s="224" t="s">
        <v>1056</v>
      </c>
      <c r="C12" s="1204">
        <v>0</v>
      </c>
      <c r="D12" s="1204">
        <v>0</v>
      </c>
      <c r="E12" s="1204">
        <v>0</v>
      </c>
      <c r="F12" s="1204">
        <v>0</v>
      </c>
      <c r="G12" s="1411">
        <v>0</v>
      </c>
      <c r="H12" s="1438">
        <v>0</v>
      </c>
      <c r="I12" s="1438">
        <v>0</v>
      </c>
      <c r="K12" s="205"/>
    </row>
    <row r="13" spans="1:9" ht="12.75">
      <c r="A13" s="321" t="s">
        <v>51</v>
      </c>
      <c r="B13" s="1205" t="s">
        <v>1057</v>
      </c>
      <c r="C13" s="1204">
        <v>0</v>
      </c>
      <c r="D13" s="1204">
        <v>0</v>
      </c>
      <c r="E13" s="1204">
        <v>0</v>
      </c>
      <c r="F13" s="1204">
        <v>0</v>
      </c>
      <c r="G13" s="1411">
        <v>0</v>
      </c>
      <c r="H13" s="1438">
        <v>0</v>
      </c>
      <c r="I13" s="1438">
        <v>0</v>
      </c>
    </row>
    <row r="14" spans="1:9" ht="12.75">
      <c r="A14" s="321" t="s">
        <v>53</v>
      </c>
      <c r="B14" s="323" t="s">
        <v>1042</v>
      </c>
      <c r="C14" s="322">
        <v>3100000</v>
      </c>
      <c r="D14" s="322">
        <v>3100000</v>
      </c>
      <c r="E14" s="322">
        <v>3100000</v>
      </c>
      <c r="F14" s="322">
        <v>3100000</v>
      </c>
      <c r="G14" s="1412">
        <v>3100000</v>
      </c>
      <c r="H14" s="1439">
        <v>3100000</v>
      </c>
      <c r="I14" s="1439">
        <v>3100000</v>
      </c>
    </row>
    <row r="15" spans="1:9" ht="25.5">
      <c r="A15" s="321" t="s">
        <v>55</v>
      </c>
      <c r="B15" s="323" t="s">
        <v>1043</v>
      </c>
      <c r="C15" s="1389">
        <v>1700000</v>
      </c>
      <c r="D15" s="1389">
        <v>1700000</v>
      </c>
      <c r="E15" s="1389">
        <v>1700000</v>
      </c>
      <c r="F15" s="1389">
        <v>1700000</v>
      </c>
      <c r="G15" s="1413">
        <v>1700000</v>
      </c>
      <c r="H15" s="1439">
        <v>1700000</v>
      </c>
      <c r="I15" s="1439">
        <v>1700000</v>
      </c>
    </row>
    <row r="16" spans="1:9" s="1424" customFormat="1" ht="25.5">
      <c r="A16" s="1421" t="s">
        <v>57</v>
      </c>
      <c r="B16" s="1422" t="s">
        <v>1040</v>
      </c>
      <c r="C16" s="1423">
        <v>4959340</v>
      </c>
      <c r="D16" s="1423">
        <v>3604007</v>
      </c>
      <c r="E16" s="1423">
        <v>3604007</v>
      </c>
      <c r="F16" s="1423">
        <v>3604007</v>
      </c>
      <c r="G16" s="1423">
        <v>3754532</v>
      </c>
      <c r="H16" s="1439">
        <v>3754532</v>
      </c>
      <c r="I16" s="1439">
        <v>3754532</v>
      </c>
    </row>
    <row r="17" spans="1:9" ht="25.5">
      <c r="A17" s="1237" t="s">
        <v>86</v>
      </c>
      <c r="B17" s="323" t="s">
        <v>568</v>
      </c>
      <c r="C17" s="1206">
        <v>6324980</v>
      </c>
      <c r="D17" s="1206">
        <v>0</v>
      </c>
      <c r="E17" s="1206">
        <v>0</v>
      </c>
      <c r="F17" s="1206">
        <v>0</v>
      </c>
      <c r="G17" s="1414">
        <v>0</v>
      </c>
      <c r="H17" s="1440">
        <v>0</v>
      </c>
      <c r="I17" s="1440">
        <v>0</v>
      </c>
    </row>
    <row r="18" spans="1:9" ht="25.5">
      <c r="A18" s="1239" t="s">
        <v>59</v>
      </c>
      <c r="B18" s="1169" t="s">
        <v>1128</v>
      </c>
      <c r="C18" s="1307">
        <v>0</v>
      </c>
      <c r="D18" s="1307">
        <v>2030000</v>
      </c>
      <c r="E18" s="1307">
        <v>2030000</v>
      </c>
      <c r="F18" s="1371">
        <v>2071643</v>
      </c>
      <c r="G18" s="1371">
        <v>0</v>
      </c>
      <c r="H18" s="1441">
        <v>0</v>
      </c>
      <c r="I18" s="1441">
        <v>0</v>
      </c>
    </row>
    <row r="19" spans="1:9" s="1424" customFormat="1" ht="12.75">
      <c r="A19" s="1432" t="s">
        <v>61</v>
      </c>
      <c r="B19" s="1433" t="s">
        <v>1044</v>
      </c>
      <c r="C19" s="1434">
        <v>242000000</v>
      </c>
      <c r="D19" s="1434">
        <v>242000000</v>
      </c>
      <c r="E19" s="1435">
        <v>242000000</v>
      </c>
      <c r="F19" s="1435">
        <v>242000000</v>
      </c>
      <c r="G19" s="1435">
        <v>242000000</v>
      </c>
      <c r="H19" s="1442">
        <v>232804751</v>
      </c>
      <c r="I19" s="1442">
        <v>232804751</v>
      </c>
    </row>
    <row r="20" spans="1:9" ht="25.5">
      <c r="A20" s="1239" t="s">
        <v>63</v>
      </c>
      <c r="B20" s="1312" t="s">
        <v>1133</v>
      </c>
      <c r="C20" s="1307"/>
      <c r="D20" s="1384"/>
      <c r="E20" s="1319">
        <v>2327408</v>
      </c>
      <c r="F20" s="1385">
        <v>2327408</v>
      </c>
      <c r="G20" s="1385">
        <v>1729481</v>
      </c>
      <c r="H20" s="1443">
        <v>0</v>
      </c>
      <c r="I20" s="1443">
        <v>0</v>
      </c>
    </row>
    <row r="21" spans="1:9" ht="12.75">
      <c r="A21" s="1313" t="s">
        <v>65</v>
      </c>
      <c r="B21" s="1383" t="s">
        <v>1159</v>
      </c>
      <c r="C21" s="1384"/>
      <c r="D21" s="1307"/>
      <c r="E21" s="1307"/>
      <c r="F21" s="1371"/>
      <c r="G21" s="1371"/>
      <c r="H21" s="1441">
        <v>0</v>
      </c>
      <c r="I21" s="1441">
        <v>0</v>
      </c>
    </row>
    <row r="22" spans="1:9" ht="12.75">
      <c r="A22" s="1313" t="s">
        <v>92</v>
      </c>
      <c r="B22" s="1383" t="s">
        <v>1144</v>
      </c>
      <c r="C22" s="1384"/>
      <c r="D22" s="1419"/>
      <c r="E22" s="1319"/>
      <c r="F22" s="1385">
        <v>1920783</v>
      </c>
      <c r="G22" s="1385">
        <v>1920783</v>
      </c>
      <c r="H22" s="1443">
        <v>1920783</v>
      </c>
      <c r="I22" s="1443">
        <v>1920783</v>
      </c>
    </row>
    <row r="23" spans="1:9" ht="12.75">
      <c r="A23" s="1239" t="s">
        <v>66</v>
      </c>
      <c r="B23" s="1312" t="s">
        <v>1144</v>
      </c>
      <c r="C23" s="1307"/>
      <c r="D23" s="1307"/>
      <c r="E23" s="1307"/>
      <c r="F23" s="1371"/>
      <c r="G23" s="1371">
        <v>2002460</v>
      </c>
      <c r="H23" s="1441">
        <v>2002460</v>
      </c>
      <c r="I23" s="1441">
        <v>2002460</v>
      </c>
    </row>
    <row r="24" spans="1:9" ht="12.75">
      <c r="A24" s="321" t="s">
        <v>67</v>
      </c>
      <c r="B24" s="1238" t="s">
        <v>569</v>
      </c>
      <c r="C24" s="1314">
        <f>SUM(C10:C19)</f>
        <v>591595549</v>
      </c>
      <c r="D24" s="1314">
        <f>SUM(D10:D19)</f>
        <v>592345236</v>
      </c>
      <c r="E24" s="1314">
        <f>SUM(E10:E20)</f>
        <v>587672644</v>
      </c>
      <c r="F24" s="1314">
        <f>SUM(F10:F22)</f>
        <v>589635070</v>
      </c>
      <c r="G24" s="1415">
        <f>SUM(G10:G23)</f>
        <v>589048485</v>
      </c>
      <c r="H24" s="1442">
        <f>SUM(H10:H23)</f>
        <v>569401179</v>
      </c>
      <c r="I24" s="1442">
        <f>SUM(I10:I23)</f>
        <v>569401179</v>
      </c>
    </row>
    <row r="25" spans="1:9" ht="12.75">
      <c r="A25" s="325" t="s">
        <v>68</v>
      </c>
      <c r="B25" s="65" t="s">
        <v>570</v>
      </c>
      <c r="C25" s="326"/>
      <c r="D25" s="326"/>
      <c r="E25" s="326"/>
      <c r="F25" s="326"/>
      <c r="G25" s="889"/>
      <c r="H25" s="1444"/>
      <c r="I25" s="1444"/>
    </row>
    <row r="26" spans="1:9" ht="12.75">
      <c r="A26" s="321" t="s">
        <v>70</v>
      </c>
      <c r="B26" s="17"/>
      <c r="C26" s="326"/>
      <c r="D26" s="326"/>
      <c r="E26" s="326"/>
      <c r="F26" s="326"/>
      <c r="G26" s="889"/>
      <c r="H26" s="1444"/>
      <c r="I26" s="1444"/>
    </row>
    <row r="27" spans="1:9" ht="12.75">
      <c r="A27" s="321" t="s">
        <v>97</v>
      </c>
      <c r="B27" s="17" t="s">
        <v>1058</v>
      </c>
      <c r="C27" s="889">
        <v>0</v>
      </c>
      <c r="D27" s="889">
        <v>0</v>
      </c>
      <c r="E27" s="889">
        <v>0</v>
      </c>
      <c r="F27" s="889">
        <v>0</v>
      </c>
      <c r="G27" s="889">
        <v>0</v>
      </c>
      <c r="H27" s="1444">
        <v>0</v>
      </c>
      <c r="I27" s="1444">
        <v>0</v>
      </c>
    </row>
    <row r="28" spans="1:9" ht="25.5">
      <c r="A28" s="321" t="s">
        <v>99</v>
      </c>
      <c r="B28" s="123" t="s">
        <v>1045</v>
      </c>
      <c r="C28" s="326">
        <v>3288618</v>
      </c>
      <c r="D28" s="326">
        <v>3288618</v>
      </c>
      <c r="E28" s="326">
        <v>3288618</v>
      </c>
      <c r="F28" s="326">
        <v>3288618</v>
      </c>
      <c r="G28" s="889">
        <v>3288618</v>
      </c>
      <c r="H28" s="1444">
        <v>3700572</v>
      </c>
      <c r="I28" s="1444">
        <v>3700572</v>
      </c>
    </row>
    <row r="29" spans="1:9" ht="12.75">
      <c r="A29" s="325" t="s">
        <v>101</v>
      </c>
      <c r="B29" s="324" t="s">
        <v>569</v>
      </c>
      <c r="C29" s="429">
        <f aca="true" t="shared" si="0" ref="C29:H29">SUM(C27:C28)</f>
        <v>3288618</v>
      </c>
      <c r="D29" s="429">
        <f t="shared" si="0"/>
        <v>3288618</v>
      </c>
      <c r="E29" s="429">
        <f t="shared" si="0"/>
        <v>3288618</v>
      </c>
      <c r="F29" s="429">
        <f t="shared" si="0"/>
        <v>3288618</v>
      </c>
      <c r="G29" s="1416">
        <f t="shared" si="0"/>
        <v>3288618</v>
      </c>
      <c r="H29" s="1444">
        <f t="shared" si="0"/>
        <v>3700572</v>
      </c>
      <c r="I29" s="1444">
        <f>SUM(I27:I28)</f>
        <v>3700572</v>
      </c>
    </row>
    <row r="30" spans="1:9" ht="12.75">
      <c r="A30" s="325" t="s">
        <v>103</v>
      </c>
      <c r="B30" s="9" t="s">
        <v>1059</v>
      </c>
      <c r="C30" s="326"/>
      <c r="D30" s="326"/>
      <c r="E30" s="326"/>
      <c r="F30" s="326"/>
      <c r="G30" s="889"/>
      <c r="H30" s="1444"/>
      <c r="I30" s="1444"/>
    </row>
    <row r="31" spans="1:9" ht="12.75">
      <c r="A31" s="210" t="s">
        <v>105</v>
      </c>
      <c r="B31" s="104" t="s">
        <v>1138</v>
      </c>
      <c r="C31" s="87">
        <v>0</v>
      </c>
      <c r="D31" s="87">
        <v>0</v>
      </c>
      <c r="E31" s="87">
        <v>4928638</v>
      </c>
      <c r="F31" s="87">
        <v>4928638</v>
      </c>
      <c r="G31" s="1214">
        <v>4928638</v>
      </c>
      <c r="H31" s="1445"/>
      <c r="I31" s="1445"/>
    </row>
    <row r="32" spans="1:9" ht="15">
      <c r="A32" s="321" t="s">
        <v>107</v>
      </c>
      <c r="B32" s="1207" t="s">
        <v>569</v>
      </c>
      <c r="C32" s="1208">
        <f aca="true" t="shared" si="1" ref="C32:H32">SUM(C31:C31)</f>
        <v>0</v>
      </c>
      <c r="D32" s="1208">
        <f t="shared" si="1"/>
        <v>0</v>
      </c>
      <c r="E32" s="1208">
        <f t="shared" si="1"/>
        <v>4928638</v>
      </c>
      <c r="F32" s="1208">
        <f t="shared" si="1"/>
        <v>4928638</v>
      </c>
      <c r="G32" s="1417">
        <f t="shared" si="1"/>
        <v>4928638</v>
      </c>
      <c r="H32" s="1446">
        <f t="shared" si="1"/>
        <v>0</v>
      </c>
      <c r="I32" s="1446">
        <f>SUM(I31:I31)</f>
        <v>0</v>
      </c>
    </row>
    <row r="33" spans="1:9" ht="15">
      <c r="A33" s="321" t="s">
        <v>109</v>
      </c>
      <c r="B33" s="1168"/>
      <c r="C33" s="326"/>
      <c r="D33" s="326"/>
      <c r="E33" s="326"/>
      <c r="F33" s="326"/>
      <c r="G33" s="889"/>
      <c r="H33" s="1444"/>
      <c r="I33" s="1444"/>
    </row>
    <row r="34" spans="1:9" s="1317" customFormat="1" ht="12.75">
      <c r="A34" s="1382" t="s">
        <v>111</v>
      </c>
      <c r="B34" s="1372" t="s">
        <v>1142</v>
      </c>
      <c r="C34" s="1373">
        <v>3004538</v>
      </c>
      <c r="D34" s="1373">
        <v>3004538</v>
      </c>
      <c r="E34" s="1373">
        <v>3004538</v>
      </c>
      <c r="F34" s="1373">
        <v>595883</v>
      </c>
      <c r="G34" s="1373">
        <v>595883</v>
      </c>
      <c r="H34" s="1444">
        <v>595883</v>
      </c>
      <c r="I34" s="1444">
        <v>595883</v>
      </c>
    </row>
    <row r="35" spans="1:9" s="1424" customFormat="1" ht="25.5">
      <c r="A35" s="1421" t="s">
        <v>113</v>
      </c>
      <c r="B35" s="426" t="s">
        <v>567</v>
      </c>
      <c r="C35" s="1388">
        <v>45984008</v>
      </c>
      <c r="D35" s="1388">
        <v>37568106</v>
      </c>
      <c r="E35" s="1388">
        <v>37568106</v>
      </c>
      <c r="F35" s="1388">
        <v>37568106</v>
      </c>
      <c r="G35" s="1388">
        <v>34753131</v>
      </c>
      <c r="H35" s="1444">
        <v>37582814</v>
      </c>
      <c r="I35" s="1444">
        <v>37582814</v>
      </c>
    </row>
    <row r="36" spans="1:9" ht="25.5">
      <c r="A36" s="321" t="s">
        <v>115</v>
      </c>
      <c r="B36" s="1374" t="s">
        <v>568</v>
      </c>
      <c r="C36" s="1373">
        <v>606664</v>
      </c>
      <c r="D36" s="1373">
        <v>0</v>
      </c>
      <c r="E36" s="1373">
        <v>0</v>
      </c>
      <c r="F36" s="1373">
        <v>0</v>
      </c>
      <c r="G36" s="1373">
        <v>0</v>
      </c>
      <c r="H36" s="1444">
        <v>0</v>
      </c>
      <c r="I36" s="1444">
        <v>0</v>
      </c>
    </row>
    <row r="37" spans="1:9" s="860" customFormat="1" ht="12.75">
      <c r="A37" s="1382" t="s">
        <v>117</v>
      </c>
      <c r="B37" s="1375" t="s">
        <v>566</v>
      </c>
      <c r="C37" s="1373">
        <v>27781710</v>
      </c>
      <c r="D37" s="1373">
        <v>27781710</v>
      </c>
      <c r="E37" s="1373">
        <v>27781710</v>
      </c>
      <c r="F37" s="1373">
        <v>12837470</v>
      </c>
      <c r="G37" s="1373">
        <v>12526470</v>
      </c>
      <c r="H37" s="1444">
        <v>13007950</v>
      </c>
      <c r="I37" s="1444">
        <v>13007950</v>
      </c>
    </row>
    <row r="38" spans="1:9" s="1424" customFormat="1" ht="12.75">
      <c r="A38" s="1432" t="s">
        <v>118</v>
      </c>
      <c r="B38" s="1433" t="s">
        <v>1044</v>
      </c>
      <c r="C38" s="1388">
        <v>28000000</v>
      </c>
      <c r="D38" s="1388">
        <v>26487280</v>
      </c>
      <c r="E38" s="1388">
        <v>26487280</v>
      </c>
      <c r="F38" s="1388">
        <v>17870180</v>
      </c>
      <c r="G38" s="1388">
        <v>14631640</v>
      </c>
      <c r="H38" s="1444">
        <v>9134363</v>
      </c>
      <c r="I38" s="1444">
        <v>9134363</v>
      </c>
    </row>
    <row r="39" spans="1:9" ht="12.75">
      <c r="A39" s="1239" t="s">
        <v>120</v>
      </c>
      <c r="B39" s="1381" t="s">
        <v>1085</v>
      </c>
      <c r="C39" s="1376"/>
      <c r="D39" s="1376">
        <v>620800</v>
      </c>
      <c r="E39" s="1376">
        <v>620800</v>
      </c>
      <c r="F39" s="1376">
        <v>620800</v>
      </c>
      <c r="G39" s="1376">
        <v>620800</v>
      </c>
      <c r="H39" s="1447">
        <v>0</v>
      </c>
      <c r="I39" s="1447">
        <v>0</v>
      </c>
    </row>
    <row r="40" spans="1:9" ht="25.5">
      <c r="A40" s="1313" t="s">
        <v>122</v>
      </c>
      <c r="B40" s="1377" t="s">
        <v>1134</v>
      </c>
      <c r="C40" s="1378"/>
      <c r="D40" s="1378"/>
      <c r="E40" s="1378">
        <v>1000000</v>
      </c>
      <c r="F40" s="1378">
        <v>1000000</v>
      </c>
      <c r="G40" s="1378">
        <v>1000000</v>
      </c>
      <c r="H40" s="1448"/>
      <c r="I40" s="1448"/>
    </row>
    <row r="41" spans="1:9" ht="25.5">
      <c r="A41" s="1313" t="s">
        <v>124</v>
      </c>
      <c r="B41" s="1377" t="s">
        <v>1149</v>
      </c>
      <c r="C41" s="1378"/>
      <c r="D41" s="1378"/>
      <c r="E41" s="1378"/>
      <c r="F41" s="1378"/>
      <c r="G41" s="1378">
        <v>2500000</v>
      </c>
      <c r="H41" s="1448">
        <v>2500000</v>
      </c>
      <c r="I41" s="1448">
        <v>2500000</v>
      </c>
    </row>
    <row r="42" spans="1:9" ht="25.5">
      <c r="A42" s="1239" t="s">
        <v>126</v>
      </c>
      <c r="B42" s="1377" t="s">
        <v>1137</v>
      </c>
      <c r="C42" s="1378"/>
      <c r="D42" s="1378"/>
      <c r="E42" s="1378">
        <v>350000</v>
      </c>
      <c r="F42" s="1378">
        <v>350000</v>
      </c>
      <c r="G42" s="1378">
        <v>350000</v>
      </c>
      <c r="H42" s="1448">
        <v>350000</v>
      </c>
      <c r="I42" s="1448">
        <v>350000</v>
      </c>
    </row>
    <row r="43" spans="1:9" ht="25.5">
      <c r="A43" s="1239" t="s">
        <v>128</v>
      </c>
      <c r="B43" s="1377" t="s">
        <v>1140</v>
      </c>
      <c r="C43" s="1378"/>
      <c r="D43" s="1378"/>
      <c r="E43" s="1378">
        <v>994325</v>
      </c>
      <c r="F43" s="1378">
        <v>994325</v>
      </c>
      <c r="G43" s="1378">
        <v>994325</v>
      </c>
      <c r="H43" s="1448">
        <v>994325</v>
      </c>
      <c r="I43" s="1448">
        <v>994325</v>
      </c>
    </row>
    <row r="44" spans="1:9" ht="12.75">
      <c r="A44" s="1239" t="s">
        <v>130</v>
      </c>
      <c r="B44" s="1312" t="s">
        <v>1139</v>
      </c>
      <c r="C44" s="1315"/>
      <c r="D44" s="1315"/>
      <c r="E44" s="1315">
        <v>50000</v>
      </c>
      <c r="F44" s="1315">
        <v>50000</v>
      </c>
      <c r="G44" s="1315">
        <v>50000</v>
      </c>
      <c r="H44" s="1448"/>
      <c r="I44" s="1448"/>
    </row>
    <row r="45" spans="1:9" ht="12.75">
      <c r="A45" s="1239" t="s">
        <v>131</v>
      </c>
      <c r="B45" s="1312" t="s">
        <v>1150</v>
      </c>
      <c r="C45" s="1315"/>
      <c r="D45" s="1315"/>
      <c r="E45" s="1315"/>
      <c r="F45" s="1315"/>
      <c r="G45" s="1315">
        <v>750000</v>
      </c>
      <c r="H45" s="1448"/>
      <c r="I45" s="1448"/>
    </row>
    <row r="46" spans="1:9" ht="12.75">
      <c r="A46" s="1239" t="s">
        <v>133</v>
      </c>
      <c r="B46" s="1312"/>
      <c r="C46" s="1315"/>
      <c r="D46" s="1315"/>
      <c r="E46" s="1315"/>
      <c r="F46" s="1315"/>
      <c r="G46" s="1315"/>
      <c r="H46" s="1448"/>
      <c r="I46" s="1448"/>
    </row>
    <row r="47" spans="1:9" ht="12.75">
      <c r="A47" s="321" t="s">
        <v>135</v>
      </c>
      <c r="B47" s="1238" t="s">
        <v>569</v>
      </c>
      <c r="C47" s="1314">
        <f>SUM(C34:C39)</f>
        <v>105376920</v>
      </c>
      <c r="D47" s="1314">
        <f>SUM(D34:D39)</f>
        <v>95462434</v>
      </c>
      <c r="E47" s="1314">
        <f>SUM(E34:E44)</f>
        <v>97856759</v>
      </c>
      <c r="F47" s="1314">
        <f>SUM(F34:F44)</f>
        <v>71886764</v>
      </c>
      <c r="G47" s="1314">
        <f>SUM(G34:G45)</f>
        <v>68772249</v>
      </c>
      <c r="H47" s="1442">
        <f>SUM(H34:H45)</f>
        <v>64165335</v>
      </c>
      <c r="I47" s="1442">
        <f>SUM(I34:I45)</f>
        <v>64165335</v>
      </c>
    </row>
    <row r="48" spans="1:9" ht="12.75">
      <c r="A48" s="321" t="s">
        <v>137</v>
      </c>
      <c r="B48" s="225"/>
      <c r="C48" s="131"/>
      <c r="D48" s="131"/>
      <c r="E48" s="131"/>
      <c r="F48" s="131"/>
      <c r="G48" s="131"/>
      <c r="H48" s="312"/>
      <c r="I48" s="312"/>
    </row>
    <row r="49" spans="1:9" ht="12.75">
      <c r="A49" s="321" t="s">
        <v>139</v>
      </c>
      <c r="B49" s="324"/>
      <c r="C49" s="67"/>
      <c r="D49" s="67"/>
      <c r="E49" s="67"/>
      <c r="F49" s="67"/>
      <c r="G49" s="67"/>
      <c r="H49" s="86"/>
      <c r="I49" s="86"/>
    </row>
    <row r="50" spans="1:9" ht="12.75">
      <c r="A50" s="321" t="s">
        <v>141</v>
      </c>
      <c r="B50" s="327"/>
      <c r="C50" s="326"/>
      <c r="D50" s="326"/>
      <c r="E50" s="326"/>
      <c r="F50" s="326"/>
      <c r="G50" s="326"/>
      <c r="H50" s="1449"/>
      <c r="I50" s="1449"/>
    </row>
    <row r="51" spans="1:9" ht="12.75">
      <c r="A51" s="325" t="s">
        <v>143</v>
      </c>
      <c r="B51" s="324" t="s">
        <v>571</v>
      </c>
      <c r="C51" s="67">
        <f aca="true" t="shared" si="2" ref="C51:H51">C24+C47+C49+C29+C32</f>
        <v>700261087</v>
      </c>
      <c r="D51" s="67">
        <f t="shared" si="2"/>
        <v>691096288</v>
      </c>
      <c r="E51" s="67">
        <f t="shared" si="2"/>
        <v>693746659</v>
      </c>
      <c r="F51" s="67">
        <f t="shared" si="2"/>
        <v>669739090</v>
      </c>
      <c r="G51" s="67">
        <f t="shared" si="2"/>
        <v>666037990</v>
      </c>
      <c r="H51" s="86">
        <f t="shared" si="2"/>
        <v>637267086</v>
      </c>
      <c r="I51" s="86">
        <f>I24+I47+I49+I29+I32</f>
        <v>637267086</v>
      </c>
    </row>
    <row r="52" spans="3:5" ht="12.75">
      <c r="C52" s="52"/>
      <c r="D52" s="52"/>
      <c r="E52" s="52"/>
    </row>
    <row r="53" spans="1:5" ht="15.75">
      <c r="A53" s="1881" t="s">
        <v>833</v>
      </c>
      <c r="B53" s="1881"/>
      <c r="C53" s="52"/>
      <c r="D53" s="52"/>
      <c r="E53" s="52"/>
    </row>
    <row r="54" spans="3:5" ht="12.75">
      <c r="C54" s="52"/>
      <c r="D54" s="52"/>
      <c r="E54" s="52"/>
    </row>
    <row r="55" spans="1:9" ht="12.75">
      <c r="A55" s="503" t="s">
        <v>145</v>
      </c>
      <c r="B55" s="503" t="s">
        <v>824</v>
      </c>
      <c r="C55" s="504">
        <v>15000000</v>
      </c>
      <c r="D55" s="504">
        <v>8600000</v>
      </c>
      <c r="E55" s="504">
        <v>8600000</v>
      </c>
      <c r="F55" s="504">
        <v>8600000</v>
      </c>
      <c r="G55" s="504">
        <v>8600000</v>
      </c>
      <c r="H55" s="1450">
        <v>27360265</v>
      </c>
      <c r="I55" s="1450">
        <v>27360265</v>
      </c>
    </row>
    <row r="56" spans="3:5" ht="12.75">
      <c r="C56" s="52"/>
      <c r="D56" s="52"/>
      <c r="E56" s="52"/>
    </row>
    <row r="57" spans="3:5" ht="12.75">
      <c r="C57" s="52"/>
      <c r="D57" s="52"/>
      <c r="E57" s="52"/>
    </row>
    <row r="58" spans="3:5" ht="12.75">
      <c r="C58" s="52"/>
      <c r="D58" s="52"/>
      <c r="E58" s="52"/>
    </row>
    <row r="59" spans="1:9" ht="12.75">
      <c r="A59" s="1544" t="s">
        <v>825</v>
      </c>
      <c r="B59" s="1544"/>
      <c r="C59" s="1046">
        <f aca="true" t="shared" si="3" ref="C59:H59">SUM(C51+C55)</f>
        <v>715261087</v>
      </c>
      <c r="D59" s="1046">
        <f t="shared" si="3"/>
        <v>699696288</v>
      </c>
      <c r="E59" s="1046">
        <f t="shared" si="3"/>
        <v>702346659</v>
      </c>
      <c r="F59" s="1046">
        <f t="shared" si="3"/>
        <v>678339090</v>
      </c>
      <c r="G59" s="1046">
        <f t="shared" si="3"/>
        <v>674637990</v>
      </c>
      <c r="H59" s="137">
        <f t="shared" si="3"/>
        <v>664627351</v>
      </c>
      <c r="I59" s="137">
        <f>SUM(I51+I55)</f>
        <v>664627351</v>
      </c>
    </row>
    <row r="60" spans="3:5" ht="12.75">
      <c r="C60" s="52"/>
      <c r="D60" s="52"/>
      <c r="E60" s="52"/>
    </row>
    <row r="61" spans="3:5" ht="12.75">
      <c r="C61" s="52"/>
      <c r="D61" s="52"/>
      <c r="E61" s="52"/>
    </row>
  </sheetData>
  <sheetProtection/>
  <mergeCells count="7">
    <mergeCell ref="A1:H1"/>
    <mergeCell ref="A59:B59"/>
    <mergeCell ref="A7:A8"/>
    <mergeCell ref="A53:B53"/>
    <mergeCell ref="B6:I6"/>
    <mergeCell ref="A4:I4"/>
    <mergeCell ref="A3:I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18" customWidth="1"/>
    <col min="2" max="2" width="37.57421875" style="18" customWidth="1"/>
    <col min="3" max="7" width="8.7109375" style="25" customWidth="1"/>
    <col min="8" max="16384" width="11.57421875" style="18" customWidth="1"/>
  </cols>
  <sheetData>
    <row r="1" ht="12.75" customHeight="1">
      <c r="F1" s="26" t="s">
        <v>30</v>
      </c>
    </row>
    <row r="2" ht="12.75" customHeight="1">
      <c r="E2" s="25" t="s">
        <v>1</v>
      </c>
    </row>
    <row r="3" ht="12.75" customHeight="1">
      <c r="C3" s="26"/>
    </row>
    <row r="4" spans="2:6" ht="22.5" customHeight="1">
      <c r="B4" s="1501" t="s">
        <v>31</v>
      </c>
      <c r="C4" s="1501"/>
      <c r="D4" s="1501"/>
      <c r="E4" s="1501"/>
      <c r="F4" s="1501"/>
    </row>
    <row r="5" spans="2:6" ht="14.25" customHeight="1">
      <c r="B5" s="27"/>
      <c r="C5" s="27"/>
      <c r="D5" s="27"/>
      <c r="E5" s="27"/>
      <c r="F5" s="27"/>
    </row>
    <row r="6" spans="2:7" ht="58.5" customHeight="1">
      <c r="B6" s="1502" t="s">
        <v>32</v>
      </c>
      <c r="C6" s="1502"/>
      <c r="D6" s="1502"/>
      <c r="E6" s="1502"/>
      <c r="F6" s="1502"/>
      <c r="G6" s="1502"/>
    </row>
    <row r="7" spans="2:3" ht="12.75" customHeight="1">
      <c r="B7" s="28"/>
      <c r="C7" s="29"/>
    </row>
    <row r="8" ht="12.75" customHeight="1">
      <c r="G8" s="30" t="s">
        <v>5</v>
      </c>
    </row>
    <row r="9" spans="1:7" ht="50.25" customHeight="1">
      <c r="A9" s="31" t="s">
        <v>33</v>
      </c>
      <c r="B9" s="32" t="s">
        <v>24</v>
      </c>
      <c r="C9" s="33" t="s">
        <v>34</v>
      </c>
      <c r="D9" s="33" t="s">
        <v>35</v>
      </c>
      <c r="E9" s="33" t="s">
        <v>36</v>
      </c>
      <c r="F9" s="33" t="s">
        <v>37</v>
      </c>
      <c r="G9" s="34" t="s">
        <v>25</v>
      </c>
    </row>
    <row r="10" spans="1:7" s="20" customFormat="1" ht="27.75" customHeight="1">
      <c r="A10" s="35" t="s">
        <v>38</v>
      </c>
      <c r="B10" s="36" t="s">
        <v>39</v>
      </c>
      <c r="C10" s="37">
        <v>132230</v>
      </c>
      <c r="D10" s="37">
        <v>137916</v>
      </c>
      <c r="E10" s="37">
        <v>143846</v>
      </c>
      <c r="F10" s="37">
        <v>150031</v>
      </c>
      <c r="G10" s="37">
        <f aca="true" t="shared" si="0" ref="G10:G18">SUM(C10:F10)</f>
        <v>564023</v>
      </c>
    </row>
    <row r="11" spans="1:7" s="20" customFormat="1" ht="27.75" customHeight="1">
      <c r="A11" s="38" t="s">
        <v>40</v>
      </c>
      <c r="B11" s="39" t="s">
        <v>41</v>
      </c>
      <c r="C11" s="40"/>
      <c r="D11" s="40"/>
      <c r="E11" s="40"/>
      <c r="F11" s="40"/>
      <c r="G11" s="37">
        <f t="shared" si="0"/>
        <v>0</v>
      </c>
    </row>
    <row r="12" spans="1:7" ht="15" customHeight="1">
      <c r="A12" s="24"/>
      <c r="B12" s="41" t="s">
        <v>42</v>
      </c>
      <c r="C12" s="42">
        <v>100</v>
      </c>
      <c r="D12" s="42">
        <v>105</v>
      </c>
      <c r="E12" s="42">
        <v>110</v>
      </c>
      <c r="F12" s="42">
        <v>115</v>
      </c>
      <c r="G12" s="37">
        <f t="shared" si="0"/>
        <v>430</v>
      </c>
    </row>
    <row r="13" spans="1:7" ht="15" customHeight="1">
      <c r="A13" s="24"/>
      <c r="B13" s="41" t="s">
        <v>43</v>
      </c>
      <c r="C13" s="42"/>
      <c r="D13" s="42"/>
      <c r="E13" s="42"/>
      <c r="F13" s="42"/>
      <c r="G13" s="37">
        <f t="shared" si="0"/>
        <v>0</v>
      </c>
    </row>
    <row r="14" spans="1:7" ht="15" customHeight="1">
      <c r="A14" s="24"/>
      <c r="B14" s="41" t="s">
        <v>44</v>
      </c>
      <c r="C14" s="42">
        <v>4385</v>
      </c>
      <c r="D14" s="42">
        <v>4574</v>
      </c>
      <c r="E14" s="42">
        <v>4770</v>
      </c>
      <c r="F14" s="42">
        <v>4980</v>
      </c>
      <c r="G14" s="37">
        <f t="shared" si="0"/>
        <v>18709</v>
      </c>
    </row>
    <row r="15" spans="1:7" ht="15" customHeight="1">
      <c r="A15" s="24"/>
      <c r="B15" s="41" t="s">
        <v>45</v>
      </c>
      <c r="C15" s="42">
        <v>1240</v>
      </c>
      <c r="D15" s="42">
        <v>1300</v>
      </c>
      <c r="E15" s="42">
        <v>1360</v>
      </c>
      <c r="F15" s="42">
        <v>1420</v>
      </c>
      <c r="G15" s="37">
        <f t="shared" si="0"/>
        <v>5320</v>
      </c>
    </row>
    <row r="16" spans="1:7" ht="15" customHeight="1">
      <c r="A16" s="24"/>
      <c r="B16" s="41" t="s">
        <v>46</v>
      </c>
      <c r="C16" s="42"/>
      <c r="D16" s="42"/>
      <c r="E16" s="42"/>
      <c r="F16" s="42"/>
      <c r="G16" s="37">
        <f t="shared" si="0"/>
        <v>0</v>
      </c>
    </row>
    <row r="17" spans="1:7" ht="27.75" customHeight="1">
      <c r="A17" s="24" t="s">
        <v>47</v>
      </c>
      <c r="B17" s="41" t="s">
        <v>48</v>
      </c>
      <c r="C17" s="42"/>
      <c r="D17" s="42"/>
      <c r="E17" s="42"/>
      <c r="F17" s="42"/>
      <c r="G17" s="37">
        <f t="shared" si="0"/>
        <v>0</v>
      </c>
    </row>
    <row r="18" spans="1:7" ht="27.75" customHeight="1">
      <c r="A18" s="24" t="s">
        <v>49</v>
      </c>
      <c r="B18" s="41" t="s">
        <v>50</v>
      </c>
      <c r="C18" s="42"/>
      <c r="D18" s="42"/>
      <c r="E18" s="42"/>
      <c r="F18" s="42"/>
      <c r="G18" s="37">
        <f t="shared" si="0"/>
        <v>0</v>
      </c>
    </row>
    <row r="19" spans="1:7" s="20" customFormat="1" ht="27.75" customHeight="1">
      <c r="A19" s="24" t="s">
        <v>51</v>
      </c>
      <c r="B19" s="39" t="s">
        <v>52</v>
      </c>
      <c r="C19" s="40">
        <f>SUM(C10:C18)</f>
        <v>137955</v>
      </c>
      <c r="D19" s="40">
        <f>SUM(D10:D18)</f>
        <v>143895</v>
      </c>
      <c r="E19" s="40">
        <f>SUM(E10:E18)</f>
        <v>150086</v>
      </c>
      <c r="F19" s="40">
        <f>SUM(F10:F18)</f>
        <v>156546</v>
      </c>
      <c r="G19" s="40">
        <f>SUM(G10:G18)</f>
        <v>588482</v>
      </c>
    </row>
    <row r="20" spans="1:7" s="20" customFormat="1" ht="27.75" customHeight="1">
      <c r="A20" s="24" t="s">
        <v>53</v>
      </c>
      <c r="B20" s="39" t="s">
        <v>54</v>
      </c>
      <c r="C20" s="43">
        <f>C19/2</f>
        <v>68977.5</v>
      </c>
      <c r="D20" s="43">
        <f>D19/2</f>
        <v>71947.5</v>
      </c>
      <c r="E20" s="40">
        <f>E19/2</f>
        <v>75043</v>
      </c>
      <c r="F20" s="40">
        <f>F19/2</f>
        <v>78273</v>
      </c>
      <c r="G20" s="40">
        <f>G19/2</f>
        <v>294241</v>
      </c>
    </row>
    <row r="21" spans="1:7" s="20" customFormat="1" ht="27.75" customHeight="1">
      <c r="A21" s="24" t="s">
        <v>55</v>
      </c>
      <c r="B21" s="39" t="s">
        <v>56</v>
      </c>
      <c r="C21" s="40">
        <f>SUM(C22:C24)</f>
        <v>0</v>
      </c>
      <c r="D21" s="40">
        <f>SUM(D22:D24)</f>
        <v>0</v>
      </c>
      <c r="E21" s="40">
        <f>SUM(E22:E24)</f>
        <v>0</v>
      </c>
      <c r="F21" s="40">
        <f>SUM(F22:F24)</f>
        <v>0</v>
      </c>
      <c r="G21" s="40">
        <f>SUM(G22:G24)</f>
        <v>0</v>
      </c>
    </row>
    <row r="22" spans="1:7" ht="27.75" customHeight="1">
      <c r="A22" s="24" t="s">
        <v>57</v>
      </c>
      <c r="B22" s="41" t="s">
        <v>58</v>
      </c>
      <c r="C22" s="42"/>
      <c r="D22" s="42"/>
      <c r="E22" s="42"/>
      <c r="F22" s="42"/>
      <c r="G22" s="44">
        <f>SUM(C22:F22)</f>
        <v>0</v>
      </c>
    </row>
    <row r="23" spans="1:7" ht="27.75" customHeight="1">
      <c r="A23" s="24" t="s">
        <v>59</v>
      </c>
      <c r="B23" s="41" t="s">
        <v>60</v>
      </c>
      <c r="C23" s="42"/>
      <c r="D23" s="42"/>
      <c r="E23" s="42"/>
      <c r="F23" s="42"/>
      <c r="G23" s="44">
        <f>SUM(C23:F23)</f>
        <v>0</v>
      </c>
    </row>
    <row r="24" spans="1:7" ht="26.25" customHeight="1">
      <c r="A24" s="24" t="s">
        <v>61</v>
      </c>
      <c r="B24" s="41" t="s">
        <v>62</v>
      </c>
      <c r="C24" s="42"/>
      <c r="D24" s="42"/>
      <c r="E24" s="42"/>
      <c r="F24" s="42"/>
      <c r="G24" s="44">
        <f>SUM(C24:F24)</f>
        <v>0</v>
      </c>
    </row>
    <row r="25" spans="1:7" ht="26.25" customHeight="1">
      <c r="A25" s="24" t="s">
        <v>63</v>
      </c>
      <c r="B25" s="39" t="s">
        <v>64</v>
      </c>
      <c r="C25" s="40">
        <f>SUM(C26:C28)</f>
        <v>0</v>
      </c>
      <c r="D25" s="40">
        <f>SUM(D26:D28)</f>
        <v>0</v>
      </c>
      <c r="E25" s="40">
        <f>SUM(E26:E28)</f>
        <v>0</v>
      </c>
      <c r="F25" s="40">
        <f>SUM(F26:F28)</f>
        <v>0</v>
      </c>
      <c r="G25" s="40">
        <f>SUM(G26:G28)</f>
        <v>0</v>
      </c>
    </row>
    <row r="26" spans="1:7" ht="12.75" customHeight="1">
      <c r="A26" s="24" t="s">
        <v>65</v>
      </c>
      <c r="B26" s="41" t="s">
        <v>58</v>
      </c>
      <c r="C26" s="42"/>
      <c r="D26" s="42"/>
      <c r="E26" s="42"/>
      <c r="F26" s="42"/>
      <c r="G26" s="44">
        <f>SUM(C26:F26)</f>
        <v>0</v>
      </c>
    </row>
    <row r="27" spans="1:7" ht="12.75" customHeight="1">
      <c r="A27" s="24" t="s">
        <v>66</v>
      </c>
      <c r="B27" s="41" t="s">
        <v>60</v>
      </c>
      <c r="C27" s="42"/>
      <c r="D27" s="42"/>
      <c r="E27" s="42"/>
      <c r="F27" s="42"/>
      <c r="G27" s="44">
        <f>SUM(C27:F27)</f>
        <v>0</v>
      </c>
    </row>
    <row r="28" spans="1:7" ht="26.25" customHeight="1">
      <c r="A28" s="24" t="s">
        <v>67</v>
      </c>
      <c r="B28" s="41" t="s">
        <v>62</v>
      </c>
      <c r="C28" s="42"/>
      <c r="D28" s="42"/>
      <c r="E28" s="42"/>
      <c r="F28" s="42"/>
      <c r="G28" s="44">
        <f>SUM(C28:F28)</f>
        <v>0</v>
      </c>
    </row>
    <row r="29" spans="1:7" s="20" customFormat="1" ht="12.75" customHeight="1">
      <c r="A29" s="24" t="s">
        <v>68</v>
      </c>
      <c r="B29" s="39" t="s">
        <v>69</v>
      </c>
      <c r="C29" s="40">
        <f>C21+C25</f>
        <v>0</v>
      </c>
      <c r="D29" s="40">
        <f>D21+D25</f>
        <v>0</v>
      </c>
      <c r="E29" s="40">
        <f>E21+E25</f>
        <v>0</v>
      </c>
      <c r="F29" s="40">
        <f>F21+F25</f>
        <v>0</v>
      </c>
      <c r="G29" s="40">
        <f>G21+G25</f>
        <v>0</v>
      </c>
    </row>
    <row r="30" spans="1:7" ht="26.25" customHeight="1">
      <c r="A30" s="24" t="s">
        <v>70</v>
      </c>
      <c r="B30" s="39" t="s">
        <v>71</v>
      </c>
      <c r="C30" s="43">
        <f>C20-C29</f>
        <v>68977.5</v>
      </c>
      <c r="D30" s="43">
        <f>D20-D29</f>
        <v>71947.5</v>
      </c>
      <c r="E30" s="40">
        <f>E20-E29</f>
        <v>75043</v>
      </c>
      <c r="F30" s="40">
        <f>F20-F29</f>
        <v>78273</v>
      </c>
      <c r="G30" s="40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4"/>
  <sheetViews>
    <sheetView view="pageBreakPreview" zoomScaleSheetLayoutView="100" zoomScalePageLayoutView="0" workbookViewId="0" topLeftCell="A169">
      <selection activeCell="B173" sqref="B173"/>
    </sheetView>
  </sheetViews>
  <sheetFormatPr defaultColWidth="9.140625" defaultRowHeight="12.75"/>
  <cols>
    <col min="1" max="1" width="26.140625" style="1277" customWidth="1"/>
    <col min="2" max="5" width="15.57421875" style="1277" customWidth="1"/>
    <col min="6" max="16384" width="9.140625" style="1277" customWidth="1"/>
  </cols>
  <sheetData>
    <row r="1" s="1269" customFormat="1" ht="12">
      <c r="E1" s="1269" t="s">
        <v>1123</v>
      </c>
    </row>
    <row r="2" s="1269" customFormat="1" ht="12"/>
    <row r="3" spans="1:5" s="1269" customFormat="1" ht="12.75">
      <c r="A3" s="1891" t="s">
        <v>1226</v>
      </c>
      <c r="B3" s="1891"/>
      <c r="C3" s="1891"/>
      <c r="D3" s="1891"/>
      <c r="E3" s="1891"/>
    </row>
    <row r="4" s="1269" customFormat="1" ht="12"/>
    <row r="5" spans="1:14" s="1271" customFormat="1" ht="15.75">
      <c r="A5" s="1892" t="s">
        <v>1103</v>
      </c>
      <c r="B5" s="1892"/>
      <c r="C5" s="1892"/>
      <c r="D5" s="1892"/>
      <c r="E5" s="1892"/>
      <c r="F5" s="1270"/>
      <c r="G5" s="1270"/>
      <c r="H5" s="1270"/>
      <c r="I5" s="1270"/>
      <c r="J5" s="1270"/>
      <c r="K5" s="1270"/>
      <c r="L5" s="1270"/>
      <c r="M5" s="1270"/>
      <c r="N5" s="1270"/>
    </row>
    <row r="6" spans="1:14" s="1274" customFormat="1" ht="30.75" customHeight="1">
      <c r="A6" s="1893" t="s">
        <v>1104</v>
      </c>
      <c r="B6" s="1893"/>
      <c r="C6" s="1893"/>
      <c r="D6" s="1893"/>
      <c r="E6" s="1893"/>
      <c r="F6" s="1273"/>
      <c r="G6" s="1273"/>
      <c r="H6" s="1273"/>
      <c r="I6" s="1273"/>
      <c r="J6" s="1273"/>
      <c r="K6" s="1273"/>
      <c r="L6" s="1273"/>
      <c r="M6" s="1273"/>
      <c r="N6" s="1273"/>
    </row>
    <row r="7" spans="1:14" s="1274" customFormat="1" ht="30.75" customHeight="1">
      <c r="A7" s="1272"/>
      <c r="B7" s="1272"/>
      <c r="C7" s="1272"/>
      <c r="D7" s="1272"/>
      <c r="E7" s="1272"/>
      <c r="F7" s="1273"/>
      <c r="G7" s="1273"/>
      <c r="H7" s="1273"/>
      <c r="I7" s="1273"/>
      <c r="J7" s="1273"/>
      <c r="K7" s="1273"/>
      <c r="L7" s="1273"/>
      <c r="M7" s="1273"/>
      <c r="N7" s="1273"/>
    </row>
    <row r="8" spans="1:5" ht="37.5" customHeight="1">
      <c r="A8" s="1304" t="s">
        <v>1105</v>
      </c>
      <c r="B8" s="1901" t="s">
        <v>1124</v>
      </c>
      <c r="C8" s="1902"/>
      <c r="D8" s="1902"/>
      <c r="E8" s="1305" t="s">
        <v>216</v>
      </c>
    </row>
    <row r="9" spans="1:5" ht="15" thickBot="1">
      <c r="A9" s="1301" t="s">
        <v>1106</v>
      </c>
      <c r="B9" s="1302">
        <v>2018</v>
      </c>
      <c r="C9" s="1302">
        <v>2019</v>
      </c>
      <c r="D9" s="1302" t="s">
        <v>1107</v>
      </c>
      <c r="E9" s="1303" t="s">
        <v>25</v>
      </c>
    </row>
    <row r="10" spans="1:5" ht="14.25">
      <c r="A10" s="1281" t="s">
        <v>1108</v>
      </c>
      <c r="B10" s="1282"/>
      <c r="C10" s="1282"/>
      <c r="D10" s="1282"/>
      <c r="E10" s="1283">
        <f aca="true" t="shared" si="0" ref="E10:E15">SUM(B10:D10)</f>
        <v>0</v>
      </c>
    </row>
    <row r="11" spans="1:5" ht="14.25">
      <c r="A11" s="1284" t="s">
        <v>1109</v>
      </c>
      <c r="B11" s="1285">
        <v>270000000</v>
      </c>
      <c r="C11" s="1285"/>
      <c r="D11" s="1285"/>
      <c r="E11" s="1286">
        <f t="shared" si="0"/>
        <v>270000000</v>
      </c>
    </row>
    <row r="12" spans="1:5" ht="14.25">
      <c r="A12" s="1284" t="s">
        <v>1110</v>
      </c>
      <c r="B12" s="1285"/>
      <c r="C12" s="1285"/>
      <c r="D12" s="1285"/>
      <c r="E12" s="1286">
        <f t="shared" si="0"/>
        <v>0</v>
      </c>
    </row>
    <row r="13" spans="1:5" ht="14.25">
      <c r="A13" s="1284" t="s">
        <v>1111</v>
      </c>
      <c r="B13" s="1285"/>
      <c r="C13" s="1285"/>
      <c r="D13" s="1285"/>
      <c r="E13" s="1286">
        <f t="shared" si="0"/>
        <v>0</v>
      </c>
    </row>
    <row r="14" spans="1:5" ht="14.25">
      <c r="A14" s="1284" t="s">
        <v>1112</v>
      </c>
      <c r="B14" s="1285"/>
      <c r="C14" s="1285"/>
      <c r="D14" s="1285"/>
      <c r="E14" s="1286">
        <f t="shared" si="0"/>
        <v>0</v>
      </c>
    </row>
    <row r="15" spans="1:5" ht="15" thickBot="1">
      <c r="A15" s="1287"/>
      <c r="B15" s="1288"/>
      <c r="C15" s="1288"/>
      <c r="D15" s="1288"/>
      <c r="E15" s="1286">
        <f t="shared" si="0"/>
        <v>0</v>
      </c>
    </row>
    <row r="16" spans="1:5" ht="15" thickBot="1">
      <c r="A16" s="1289" t="s">
        <v>1106</v>
      </c>
      <c r="B16" s="1290">
        <f>B10+SUM(B11:B15)</f>
        <v>270000000</v>
      </c>
      <c r="C16" s="1290">
        <f>C10+SUM(C11:C15)</f>
        <v>0</v>
      </c>
      <c r="D16" s="1290">
        <f>D10+SUM(D11:D15)</f>
        <v>0</v>
      </c>
      <c r="E16" s="1291">
        <f>E10+SUM(E11:E15)</f>
        <v>270000000</v>
      </c>
    </row>
    <row r="17" spans="1:5" ht="15" thickBot="1">
      <c r="A17" s="1292"/>
      <c r="B17" s="1292"/>
      <c r="C17" s="1292"/>
      <c r="D17" s="1292"/>
      <c r="E17" s="1292"/>
    </row>
    <row r="18" spans="1:5" ht="15" thickBot="1">
      <c r="A18" s="1278" t="s">
        <v>1113</v>
      </c>
      <c r="B18" s="1279">
        <v>2018</v>
      </c>
      <c r="C18" s="1279">
        <v>2019</v>
      </c>
      <c r="D18" s="1279" t="s">
        <v>1107</v>
      </c>
      <c r="E18" s="1280" t="s">
        <v>25</v>
      </c>
    </row>
    <row r="19" spans="1:5" ht="14.25">
      <c r="A19" s="1281" t="s">
        <v>1114</v>
      </c>
      <c r="B19" s="1282">
        <v>3596417</v>
      </c>
      <c r="C19" s="1282">
        <v>2734363</v>
      </c>
      <c r="D19" s="1282"/>
      <c r="E19" s="1283">
        <f aca="true" t="shared" si="1" ref="E19:E25">SUM(B19:D19)</f>
        <v>6330780</v>
      </c>
    </row>
    <row r="20" spans="1:5" ht="14.25">
      <c r="A20" s="1293" t="s">
        <v>1115</v>
      </c>
      <c r="B20" s="1285">
        <v>9195249</v>
      </c>
      <c r="C20" s="1285">
        <v>232804751</v>
      </c>
      <c r="D20" s="1285"/>
      <c r="E20" s="1286">
        <f t="shared" si="1"/>
        <v>242000000</v>
      </c>
    </row>
    <row r="21" spans="1:5" ht="14.25">
      <c r="A21" s="1284" t="s">
        <v>1116</v>
      </c>
      <c r="B21" s="1285">
        <v>15269220</v>
      </c>
      <c r="C21" s="1285">
        <v>6400000</v>
      </c>
      <c r="D21" s="1285"/>
      <c r="E21" s="1286">
        <f t="shared" si="1"/>
        <v>21669220</v>
      </c>
    </row>
    <row r="22" spans="1:5" ht="14.25">
      <c r="A22" s="1284" t="s">
        <v>1117</v>
      </c>
      <c r="B22" s="1285"/>
      <c r="C22" s="1285"/>
      <c r="D22" s="1285"/>
      <c r="E22" s="1286">
        <f t="shared" si="1"/>
        <v>0</v>
      </c>
    </row>
    <row r="23" spans="1:5" ht="14.25">
      <c r="A23" s="1294"/>
      <c r="B23" s="1285"/>
      <c r="C23" s="1285"/>
      <c r="D23" s="1285"/>
      <c r="E23" s="1286">
        <f t="shared" si="1"/>
        <v>0</v>
      </c>
    </row>
    <row r="24" spans="1:5" ht="14.25">
      <c r="A24" s="1294"/>
      <c r="B24" s="1285"/>
      <c r="C24" s="1285"/>
      <c r="D24" s="1285"/>
      <c r="E24" s="1286">
        <f t="shared" si="1"/>
        <v>0</v>
      </c>
    </row>
    <row r="25" spans="1:5" ht="15" thickBot="1">
      <c r="A25" s="1287"/>
      <c r="B25" s="1295"/>
      <c r="C25" s="1295"/>
      <c r="D25" s="1295"/>
      <c r="E25" s="1296">
        <f t="shared" si="1"/>
        <v>0</v>
      </c>
    </row>
    <row r="26" spans="1:5" ht="15" thickBot="1">
      <c r="A26" s="1289" t="s">
        <v>467</v>
      </c>
      <c r="B26" s="1290">
        <f>SUM(B19:B25)</f>
        <v>28060886</v>
      </c>
      <c r="C26" s="1290">
        <f>SUM(C19:C25)</f>
        <v>241939114</v>
      </c>
      <c r="D26" s="1290">
        <f>SUM(D19:D25)</f>
        <v>0</v>
      </c>
      <c r="E26" s="1291">
        <f>SUM(E19:E25)</f>
        <v>270000000</v>
      </c>
    </row>
    <row r="27" spans="1:5" ht="14.25">
      <c r="A27" s="1297"/>
      <c r="B27" s="1297"/>
      <c r="C27" s="1297"/>
      <c r="D27" s="1297"/>
      <c r="E27" s="1297"/>
    </row>
    <row r="28" spans="1:5" ht="14.25">
      <c r="A28" s="1896" t="s">
        <v>1118</v>
      </c>
      <c r="B28" s="1896"/>
      <c r="C28" s="1896"/>
      <c r="D28" s="1896"/>
      <c r="E28" s="1896"/>
    </row>
    <row r="29" spans="1:5" ht="15" thickBot="1">
      <c r="A29" s="1297"/>
      <c r="B29" s="1297"/>
      <c r="C29" s="1297"/>
      <c r="D29" s="1297"/>
      <c r="E29" s="1297"/>
    </row>
    <row r="30" spans="1:5" ht="15" thickBot="1">
      <c r="A30" s="1897" t="s">
        <v>1119</v>
      </c>
      <c r="B30" s="1897"/>
      <c r="C30" s="1897"/>
      <c r="D30" s="1898" t="s">
        <v>1129</v>
      </c>
      <c r="E30" s="1898"/>
    </row>
    <row r="31" spans="1:5" ht="14.25">
      <c r="A31" s="1885"/>
      <c r="B31" s="1885"/>
      <c r="C31" s="1885"/>
      <c r="D31" s="1886"/>
      <c r="E31" s="1886"/>
    </row>
    <row r="32" spans="1:5" ht="15" thickBot="1">
      <c r="A32" s="1887"/>
      <c r="B32" s="1887"/>
      <c r="C32" s="1887"/>
      <c r="D32" s="1888"/>
      <c r="E32" s="1888"/>
    </row>
    <row r="33" spans="1:5" ht="15" thickBot="1">
      <c r="A33" s="1889" t="s">
        <v>467</v>
      </c>
      <c r="B33" s="1889"/>
      <c r="C33" s="1889"/>
      <c r="D33" s="1890">
        <f>SUM(D31:E32)</f>
        <v>0</v>
      </c>
      <c r="E33" s="1890"/>
    </row>
    <row r="34" spans="1:5" ht="14.25">
      <c r="A34" s="1298"/>
      <c r="B34" s="1298"/>
      <c r="C34" s="1298"/>
      <c r="D34" s="1299"/>
      <c r="E34" s="1299"/>
    </row>
    <row r="35" spans="1:5" ht="14.25">
      <c r="A35" s="1269"/>
      <c r="B35" s="1269"/>
      <c r="C35" s="1269"/>
      <c r="D35" s="1269"/>
      <c r="E35" s="1269" t="s">
        <v>1123</v>
      </c>
    </row>
    <row r="36" spans="1:5" ht="14.25">
      <c r="A36" s="1269"/>
      <c r="B36" s="1269"/>
      <c r="C36" s="1269"/>
      <c r="D36" s="1269"/>
      <c r="E36" s="1269"/>
    </row>
    <row r="37" spans="1:5" ht="14.25">
      <c r="A37" s="1891" t="s">
        <v>1226</v>
      </c>
      <c r="B37" s="1891"/>
      <c r="C37" s="1891"/>
      <c r="D37" s="1891"/>
      <c r="E37" s="1891"/>
    </row>
    <row r="38" spans="1:5" ht="15.75">
      <c r="A38" s="1892" t="s">
        <v>1103</v>
      </c>
      <c r="B38" s="1892"/>
      <c r="C38" s="1892"/>
      <c r="D38" s="1892"/>
      <c r="E38" s="1892"/>
    </row>
    <row r="39" spans="1:5" ht="30.75" customHeight="1">
      <c r="A39" s="1893" t="s">
        <v>1104</v>
      </c>
      <c r="B39" s="1893"/>
      <c r="C39" s="1893"/>
      <c r="D39" s="1893"/>
      <c r="E39" s="1893"/>
    </row>
    <row r="40" spans="1:5" ht="30.75" customHeight="1">
      <c r="A40" s="1272"/>
      <c r="B40" s="1272"/>
      <c r="C40" s="1272"/>
      <c r="D40" s="1272"/>
      <c r="E40" s="1272"/>
    </row>
    <row r="41" spans="1:5" ht="37.5" customHeight="1">
      <c r="A41" s="1306" t="s">
        <v>1105</v>
      </c>
      <c r="B41" s="1899" t="s">
        <v>1125</v>
      </c>
      <c r="C41" s="1900"/>
      <c r="D41" s="1900"/>
      <c r="E41" s="1305" t="s">
        <v>216</v>
      </c>
    </row>
    <row r="42" spans="1:5" ht="15" thickBot="1">
      <c r="A42" s="1301" t="s">
        <v>1106</v>
      </c>
      <c r="B42" s="1302">
        <v>2018</v>
      </c>
      <c r="C42" s="1302">
        <v>2019</v>
      </c>
      <c r="D42" s="1302" t="s">
        <v>1107</v>
      </c>
      <c r="E42" s="1303" t="s">
        <v>25</v>
      </c>
    </row>
    <row r="43" spans="1:5" ht="14.25">
      <c r="A43" s="1281" t="s">
        <v>1108</v>
      </c>
      <c r="B43" s="1282">
        <v>2071643</v>
      </c>
      <c r="C43" s="1282"/>
      <c r="D43" s="1282"/>
      <c r="E43" s="1283">
        <f aca="true" t="shared" si="2" ref="E43:E48">SUM(B43:D43)</f>
        <v>2071643</v>
      </c>
    </row>
    <row r="44" spans="1:5" ht="14.25">
      <c r="A44" s="1284" t="s">
        <v>1109</v>
      </c>
      <c r="B44" s="1285">
        <v>7920070</v>
      </c>
      <c r="C44" s="1285"/>
      <c r="D44" s="1285"/>
      <c r="E44" s="1286">
        <f t="shared" si="2"/>
        <v>7920070</v>
      </c>
    </row>
    <row r="45" spans="1:5" ht="14.25">
      <c r="A45" s="1284" t="s">
        <v>1110</v>
      </c>
      <c r="B45" s="1285"/>
      <c r="C45" s="1285"/>
      <c r="D45" s="1285"/>
      <c r="E45" s="1286">
        <f t="shared" si="2"/>
        <v>0</v>
      </c>
    </row>
    <row r="46" spans="1:5" ht="14.25">
      <c r="A46" s="1284" t="s">
        <v>1111</v>
      </c>
      <c r="B46" s="1285"/>
      <c r="C46" s="1285"/>
      <c r="D46" s="1285"/>
      <c r="E46" s="1286">
        <f t="shared" si="2"/>
        <v>0</v>
      </c>
    </row>
    <row r="47" spans="1:5" ht="14.25">
      <c r="A47" s="1284" t="s">
        <v>1112</v>
      </c>
      <c r="B47" s="1285"/>
      <c r="C47" s="1285"/>
      <c r="D47" s="1285"/>
      <c r="E47" s="1286">
        <f t="shared" si="2"/>
        <v>0</v>
      </c>
    </row>
    <row r="48" spans="1:5" ht="15" thickBot="1">
      <c r="A48" s="1287"/>
      <c r="B48" s="1288"/>
      <c r="C48" s="1288"/>
      <c r="D48" s="1288"/>
      <c r="E48" s="1286">
        <f t="shared" si="2"/>
        <v>0</v>
      </c>
    </row>
    <row r="49" spans="1:5" ht="15" thickBot="1">
      <c r="A49" s="1289" t="s">
        <v>1106</v>
      </c>
      <c r="B49" s="1290">
        <f>B43+SUM(B44:B48)</f>
        <v>9991713</v>
      </c>
      <c r="C49" s="1290">
        <f>C43+SUM(C44:C48)</f>
        <v>0</v>
      </c>
      <c r="D49" s="1290">
        <f>D43+SUM(D44:D48)</f>
        <v>0</v>
      </c>
      <c r="E49" s="1291">
        <f>E43+SUM(E44:E48)</f>
        <v>9991713</v>
      </c>
    </row>
    <row r="50" spans="1:5" ht="15" thickBot="1">
      <c r="A50" s="1292"/>
      <c r="B50" s="1292"/>
      <c r="C50" s="1292"/>
      <c r="D50" s="1292"/>
      <c r="E50" s="1292"/>
    </row>
    <row r="51" spans="1:5" ht="15" thickBot="1">
      <c r="A51" s="1278" t="s">
        <v>1113</v>
      </c>
      <c r="B51" s="1279">
        <v>2018</v>
      </c>
      <c r="C51" s="1279">
        <v>2019</v>
      </c>
      <c r="D51" s="1279" t="s">
        <v>1107</v>
      </c>
      <c r="E51" s="1280" t="s">
        <v>25</v>
      </c>
    </row>
    <row r="52" spans="1:5" ht="14.25">
      <c r="A52" s="1281" t="s">
        <v>1114</v>
      </c>
      <c r="B52" s="1282">
        <v>267864</v>
      </c>
      <c r="C52" s="1282"/>
      <c r="D52" s="1282"/>
      <c r="E52" s="1283">
        <f aca="true" t="shared" si="3" ref="E52:E58">SUM(B52:D52)</f>
        <v>267864</v>
      </c>
    </row>
    <row r="53" spans="1:5" ht="14.25">
      <c r="A53" s="1293" t="s">
        <v>1115</v>
      </c>
      <c r="B53" s="1285">
        <v>9723849</v>
      </c>
      <c r="C53" s="1285"/>
      <c r="D53" s="1285"/>
      <c r="E53" s="1286">
        <f t="shared" si="3"/>
        <v>9723849</v>
      </c>
    </row>
    <row r="54" spans="1:5" ht="14.25">
      <c r="A54" s="1284" t="s">
        <v>1116</v>
      </c>
      <c r="B54" s="1285">
        <v>0</v>
      </c>
      <c r="C54" s="1285"/>
      <c r="D54" s="1285"/>
      <c r="E54" s="1286">
        <f t="shared" si="3"/>
        <v>0</v>
      </c>
    </row>
    <row r="55" spans="1:5" ht="14.25">
      <c r="A55" s="1284" t="s">
        <v>1117</v>
      </c>
      <c r="B55" s="1285">
        <v>0</v>
      </c>
      <c r="C55" s="1285"/>
      <c r="D55" s="1285"/>
      <c r="E55" s="1286">
        <f t="shared" si="3"/>
        <v>0</v>
      </c>
    </row>
    <row r="56" spans="1:5" ht="14.25">
      <c r="A56" s="1294"/>
      <c r="B56" s="1285"/>
      <c r="C56" s="1285"/>
      <c r="D56" s="1285"/>
      <c r="E56" s="1286">
        <f t="shared" si="3"/>
        <v>0</v>
      </c>
    </row>
    <row r="57" spans="1:5" ht="14.25">
      <c r="A57" s="1294"/>
      <c r="B57" s="1285"/>
      <c r="C57" s="1285"/>
      <c r="D57" s="1285"/>
      <c r="E57" s="1286">
        <f t="shared" si="3"/>
        <v>0</v>
      </c>
    </row>
    <row r="58" spans="1:5" ht="15" thickBot="1">
      <c r="A58" s="1287"/>
      <c r="B58" s="1295"/>
      <c r="C58" s="1295"/>
      <c r="D58" s="1295"/>
      <c r="E58" s="1296">
        <f t="shared" si="3"/>
        <v>0</v>
      </c>
    </row>
    <row r="59" spans="1:5" ht="15" thickBot="1">
      <c r="A59" s="1289" t="s">
        <v>467</v>
      </c>
      <c r="B59" s="1290">
        <f>SUM(B52:B58)</f>
        <v>9991713</v>
      </c>
      <c r="C59" s="1290">
        <f>SUM(C52:C58)</f>
        <v>0</v>
      </c>
      <c r="D59" s="1290">
        <f>SUM(D52:D58)</f>
        <v>0</v>
      </c>
      <c r="E59" s="1291">
        <f>SUM(E52:E58)</f>
        <v>9991713</v>
      </c>
    </row>
    <row r="60" spans="1:5" ht="14.25">
      <c r="A60" s="1297"/>
      <c r="B60" s="1297"/>
      <c r="C60" s="1297"/>
      <c r="D60" s="1297"/>
      <c r="E60" s="1297"/>
    </row>
    <row r="61" spans="1:5" ht="14.25">
      <c r="A61" s="1896" t="s">
        <v>1118</v>
      </c>
      <c r="B61" s="1896"/>
      <c r="C61" s="1896"/>
      <c r="D61" s="1896"/>
      <c r="E61" s="1896"/>
    </row>
    <row r="62" spans="1:5" ht="15" thickBot="1">
      <c r="A62" s="1297"/>
      <c r="B62" s="1297"/>
      <c r="C62" s="1297"/>
      <c r="D62" s="1297"/>
      <c r="E62" s="1297"/>
    </row>
    <row r="63" spans="1:5" ht="15" thickBot="1">
      <c r="A63" s="1897" t="s">
        <v>1119</v>
      </c>
      <c r="B63" s="1897"/>
      <c r="C63" s="1897"/>
      <c r="D63" s="1898" t="s">
        <v>1129</v>
      </c>
      <c r="E63" s="1898"/>
    </row>
    <row r="64" spans="1:5" ht="14.25">
      <c r="A64" s="1885"/>
      <c r="B64" s="1885"/>
      <c r="C64" s="1885"/>
      <c r="D64" s="1886"/>
      <c r="E64" s="1886"/>
    </row>
    <row r="65" spans="1:5" ht="15" thickBot="1">
      <c r="A65" s="1887"/>
      <c r="B65" s="1887"/>
      <c r="C65" s="1887"/>
      <c r="D65" s="1888"/>
      <c r="E65" s="1888"/>
    </row>
    <row r="66" spans="1:5" ht="15" thickBot="1">
      <c r="A66" s="1889" t="s">
        <v>467</v>
      </c>
      <c r="B66" s="1889"/>
      <c r="C66" s="1889"/>
      <c r="D66" s="1890">
        <f>SUM(D64:E65)</f>
        <v>0</v>
      </c>
      <c r="E66" s="1890"/>
    </row>
    <row r="67" spans="1:5" ht="14.25">
      <c r="A67" s="1298"/>
      <c r="B67" s="1298"/>
      <c r="C67" s="1298"/>
      <c r="D67" s="1299"/>
      <c r="E67" s="1299"/>
    </row>
    <row r="68" spans="1:5" ht="14.25">
      <c r="A68" s="1269"/>
      <c r="B68" s="1269"/>
      <c r="C68" s="1269"/>
      <c r="D68" s="1269"/>
      <c r="E68" s="1269" t="s">
        <v>1123</v>
      </c>
    </row>
    <row r="69" spans="1:5" ht="14.25">
      <c r="A69" s="1269"/>
      <c r="B69" s="1269"/>
      <c r="C69" s="1269"/>
      <c r="D69" s="1269"/>
      <c r="E69" s="1269"/>
    </row>
    <row r="70" spans="1:5" ht="14.25">
      <c r="A70" s="1891" t="s">
        <v>1226</v>
      </c>
      <c r="B70" s="1891"/>
      <c r="C70" s="1891"/>
      <c r="D70" s="1891"/>
      <c r="E70" s="1891"/>
    </row>
    <row r="71" spans="1:5" ht="14.25">
      <c r="A71" s="1131"/>
      <c r="B71" s="1131"/>
      <c r="C71" s="1131"/>
      <c r="D71" s="1131"/>
      <c r="E71" s="1131"/>
    </row>
    <row r="72" spans="1:5" ht="15.75">
      <c r="A72" s="1892" t="s">
        <v>1103</v>
      </c>
      <c r="B72" s="1892"/>
      <c r="C72" s="1892"/>
      <c r="D72" s="1892"/>
      <c r="E72" s="1892"/>
    </row>
    <row r="73" spans="1:5" ht="40.5" customHeight="1">
      <c r="A73" s="1893" t="s">
        <v>1104</v>
      </c>
      <c r="B73" s="1893"/>
      <c r="C73" s="1893"/>
      <c r="D73" s="1893"/>
      <c r="E73" s="1893"/>
    </row>
    <row r="74" spans="1:5" ht="40.5" customHeight="1">
      <c r="A74" s="1272"/>
      <c r="B74" s="1272"/>
      <c r="C74" s="1272"/>
      <c r="D74" s="1272"/>
      <c r="E74" s="1272"/>
    </row>
    <row r="75" spans="1:5" ht="36.75" customHeight="1">
      <c r="A75" s="1304" t="s">
        <v>1105</v>
      </c>
      <c r="B75" s="1901" t="s">
        <v>1126</v>
      </c>
      <c r="C75" s="1902"/>
      <c r="D75" s="1902"/>
      <c r="E75" s="1305" t="s">
        <v>216</v>
      </c>
    </row>
    <row r="76" spans="1:5" ht="15" thickBot="1">
      <c r="A76" s="1301" t="s">
        <v>1106</v>
      </c>
      <c r="B76" s="1302">
        <v>2018</v>
      </c>
      <c r="C76" s="1302">
        <v>2019</v>
      </c>
      <c r="D76" s="1302" t="s">
        <v>1107</v>
      </c>
      <c r="E76" s="1303" t="s">
        <v>25</v>
      </c>
    </row>
    <row r="77" spans="1:5" ht="14.25">
      <c r="A77" s="1281" t="s">
        <v>1108</v>
      </c>
      <c r="B77" s="1282">
        <v>15176500</v>
      </c>
      <c r="C77" s="1282"/>
      <c r="D77" s="1282"/>
      <c r="E77" s="1283">
        <f aca="true" t="shared" si="4" ref="E77:E82">SUM(B77:D77)</f>
        <v>15176500</v>
      </c>
    </row>
    <row r="78" spans="1:5" ht="14.25">
      <c r="A78" s="1284" t="s">
        <v>1109</v>
      </c>
      <c r="B78" s="1285">
        <v>335209679</v>
      </c>
      <c r="C78" s="1285"/>
      <c r="D78" s="1285"/>
      <c r="E78" s="1286">
        <f t="shared" si="4"/>
        <v>335209679</v>
      </c>
    </row>
    <row r="79" spans="1:5" ht="14.25">
      <c r="A79" s="1284" t="s">
        <v>1110</v>
      </c>
      <c r="B79" s="1285"/>
      <c r="C79" s="1285"/>
      <c r="D79" s="1285"/>
      <c r="E79" s="1286">
        <f t="shared" si="4"/>
        <v>0</v>
      </c>
    </row>
    <row r="80" spans="1:5" ht="14.25">
      <c r="A80" s="1284" t="s">
        <v>1111</v>
      </c>
      <c r="B80" s="1285"/>
      <c r="C80" s="1285"/>
      <c r="D80" s="1285"/>
      <c r="E80" s="1286">
        <f t="shared" si="4"/>
        <v>0</v>
      </c>
    </row>
    <row r="81" spans="1:5" ht="14.25">
      <c r="A81" s="1284" t="s">
        <v>1112</v>
      </c>
      <c r="B81" s="1285"/>
      <c r="C81" s="1285"/>
      <c r="D81" s="1285"/>
      <c r="E81" s="1286">
        <f t="shared" si="4"/>
        <v>0</v>
      </c>
    </row>
    <row r="82" spans="1:5" ht="15" thickBot="1">
      <c r="A82" s="1287"/>
      <c r="B82" s="1288"/>
      <c r="C82" s="1288"/>
      <c r="D82" s="1288"/>
      <c r="E82" s="1286">
        <f t="shared" si="4"/>
        <v>0</v>
      </c>
    </row>
    <row r="83" spans="1:5" ht="15" thickBot="1">
      <c r="A83" s="1289" t="s">
        <v>1106</v>
      </c>
      <c r="B83" s="1290">
        <f>B77+SUM(B78:B82)</f>
        <v>350386179</v>
      </c>
      <c r="C83" s="1290">
        <f>C77+SUM(C78:C82)</f>
        <v>0</v>
      </c>
      <c r="D83" s="1290">
        <f>D77+SUM(D78:D82)</f>
        <v>0</v>
      </c>
      <c r="E83" s="1291">
        <f>E77+SUM(E78:E82)</f>
        <v>350386179</v>
      </c>
    </row>
    <row r="84" spans="1:5" ht="15" thickBot="1">
      <c r="A84" s="1292"/>
      <c r="B84" s="1292"/>
      <c r="C84" s="1292"/>
      <c r="D84" s="1292"/>
      <c r="E84" s="1292"/>
    </row>
    <row r="85" spans="1:5" ht="15" thickBot="1">
      <c r="A85" s="1278" t="s">
        <v>1113</v>
      </c>
      <c r="B85" s="1279">
        <v>2018</v>
      </c>
      <c r="C85" s="1279">
        <v>2019</v>
      </c>
      <c r="D85" s="1279" t="s">
        <v>1107</v>
      </c>
      <c r="E85" s="1280" t="s">
        <v>25</v>
      </c>
    </row>
    <row r="86" spans="1:5" ht="14.25">
      <c r="A86" s="1281" t="s">
        <v>1114</v>
      </c>
      <c r="B86" s="1282"/>
      <c r="C86" s="1282"/>
      <c r="D86" s="1282"/>
      <c r="E86" s="1283">
        <f aca="true" t="shared" si="5" ref="E86:E92">SUM(B86:D86)</f>
        <v>0</v>
      </c>
    </row>
    <row r="87" spans="1:5" ht="14.25">
      <c r="A87" s="1293" t="s">
        <v>1115</v>
      </c>
      <c r="B87" s="1285">
        <v>9392185</v>
      </c>
      <c r="C87" s="1285">
        <v>308942544</v>
      </c>
      <c r="D87" s="1285"/>
      <c r="E87" s="1286">
        <f t="shared" si="5"/>
        <v>318334729</v>
      </c>
    </row>
    <row r="88" spans="1:5" ht="14.25">
      <c r="A88" s="1284" t="s">
        <v>1116</v>
      </c>
      <c r="B88" s="1285">
        <v>16503500</v>
      </c>
      <c r="C88" s="1285">
        <v>13007950</v>
      </c>
      <c r="D88" s="1285"/>
      <c r="E88" s="1286">
        <f t="shared" si="5"/>
        <v>29511450</v>
      </c>
    </row>
    <row r="89" spans="1:5" ht="14.25">
      <c r="A89" s="1284" t="s">
        <v>134</v>
      </c>
      <c r="B89" s="1285"/>
      <c r="C89" s="1285"/>
      <c r="D89" s="1285"/>
      <c r="E89" s="1286">
        <f t="shared" si="5"/>
        <v>0</v>
      </c>
    </row>
    <row r="90" spans="1:5" ht="14.25">
      <c r="A90" s="1294" t="s">
        <v>1121</v>
      </c>
      <c r="B90" s="1300">
        <v>0</v>
      </c>
      <c r="C90" s="1285">
        <v>2540000</v>
      </c>
      <c r="D90" s="1285"/>
      <c r="E90" s="1286">
        <f t="shared" si="5"/>
        <v>2540000</v>
      </c>
    </row>
    <row r="91" spans="1:5" ht="14.25">
      <c r="A91" s="1294"/>
      <c r="B91" s="1285"/>
      <c r="C91" s="1285"/>
      <c r="D91" s="1285"/>
      <c r="E91" s="1286">
        <f t="shared" si="5"/>
        <v>0</v>
      </c>
    </row>
    <row r="92" spans="1:5" ht="15" thickBot="1">
      <c r="A92" s="1287"/>
      <c r="B92" s="1295"/>
      <c r="C92" s="1295"/>
      <c r="D92" s="1295"/>
      <c r="E92" s="1296">
        <f t="shared" si="5"/>
        <v>0</v>
      </c>
    </row>
    <row r="93" spans="1:5" ht="15" thickBot="1">
      <c r="A93" s="1289" t="s">
        <v>467</v>
      </c>
      <c r="B93" s="1290">
        <f>SUM(B86:B92)</f>
        <v>25895685</v>
      </c>
      <c r="C93" s="1290">
        <f>SUM(C86:C92)</f>
        <v>324490494</v>
      </c>
      <c r="D93" s="1290">
        <f>SUM(D86:D92)</f>
        <v>0</v>
      </c>
      <c r="E93" s="1291">
        <f>SUM(E86:E92)</f>
        <v>350386179</v>
      </c>
    </row>
    <row r="94" spans="1:5" ht="14.25">
      <c r="A94" s="1297"/>
      <c r="B94" s="1297"/>
      <c r="C94" s="1297"/>
      <c r="D94" s="1297"/>
      <c r="E94" s="1297"/>
    </row>
    <row r="95" spans="1:5" ht="14.25">
      <c r="A95" s="1896" t="s">
        <v>1118</v>
      </c>
      <c r="B95" s="1896"/>
      <c r="C95" s="1896"/>
      <c r="D95" s="1896"/>
      <c r="E95" s="1896"/>
    </row>
    <row r="96" spans="1:5" ht="15" thickBot="1">
      <c r="A96" s="1297"/>
      <c r="B96" s="1297"/>
      <c r="C96" s="1297"/>
      <c r="D96" s="1297"/>
      <c r="E96" s="1297"/>
    </row>
    <row r="97" spans="1:5" ht="15" thickBot="1">
      <c r="A97" s="1897" t="s">
        <v>1119</v>
      </c>
      <c r="B97" s="1897"/>
      <c r="C97" s="1897"/>
      <c r="D97" s="1898" t="s">
        <v>1120</v>
      </c>
      <c r="E97" s="1898"/>
    </row>
    <row r="98" spans="1:5" ht="14.25">
      <c r="A98" s="1885"/>
      <c r="B98" s="1885"/>
      <c r="C98" s="1885"/>
      <c r="D98" s="1886"/>
      <c r="E98" s="1886"/>
    </row>
    <row r="99" spans="1:5" ht="15" thickBot="1">
      <c r="A99" s="1887"/>
      <c r="B99" s="1887"/>
      <c r="C99" s="1887"/>
      <c r="D99" s="1888"/>
      <c r="E99" s="1888"/>
    </row>
    <row r="100" spans="1:5" ht="15" thickBot="1">
      <c r="A100" s="1889" t="s">
        <v>467</v>
      </c>
      <c r="B100" s="1889"/>
      <c r="C100" s="1889"/>
      <c r="D100" s="1890">
        <f>SUM(D98:E99)</f>
        <v>0</v>
      </c>
      <c r="E100" s="1890"/>
    </row>
    <row r="101" spans="1:5" ht="14.25">
      <c r="A101" s="1298"/>
      <c r="B101" s="1298"/>
      <c r="C101" s="1298"/>
      <c r="D101" s="1299"/>
      <c r="E101" s="1299"/>
    </row>
    <row r="102" spans="1:5" ht="14.25">
      <c r="A102" s="1269"/>
      <c r="B102" s="1269"/>
      <c r="C102" s="1269"/>
      <c r="D102" s="1269"/>
      <c r="E102" s="1269" t="s">
        <v>1123</v>
      </c>
    </row>
    <row r="103" spans="1:5" ht="14.25">
      <c r="A103" s="1269"/>
      <c r="B103" s="1269"/>
      <c r="C103" s="1269"/>
      <c r="D103" s="1269"/>
      <c r="E103" s="1269"/>
    </row>
    <row r="104" spans="1:5" ht="14.25">
      <c r="A104" s="1891" t="s">
        <v>1226</v>
      </c>
      <c r="B104" s="1891"/>
      <c r="C104" s="1891"/>
      <c r="D104" s="1891"/>
      <c r="E104" s="1891"/>
    </row>
    <row r="105" spans="1:5" ht="15.75">
      <c r="A105" s="1892" t="s">
        <v>1103</v>
      </c>
      <c r="B105" s="1892"/>
      <c r="C105" s="1892"/>
      <c r="D105" s="1892"/>
      <c r="E105" s="1892"/>
    </row>
    <row r="106" spans="1:5" ht="41.25" customHeight="1">
      <c r="A106" s="1893" t="s">
        <v>1104</v>
      </c>
      <c r="B106" s="1893"/>
      <c r="C106" s="1893"/>
      <c r="D106" s="1893"/>
      <c r="E106" s="1893"/>
    </row>
    <row r="107" spans="1:5" ht="37.5" customHeight="1">
      <c r="A107" s="1306" t="s">
        <v>1105</v>
      </c>
      <c r="B107" s="1899" t="s">
        <v>1127</v>
      </c>
      <c r="C107" s="1900"/>
      <c r="D107" s="1900"/>
      <c r="E107" s="1305" t="s">
        <v>216</v>
      </c>
    </row>
    <row r="108" spans="1:5" ht="15" thickBot="1">
      <c r="A108" s="1301" t="s">
        <v>1106</v>
      </c>
      <c r="B108" s="1302">
        <v>2018</v>
      </c>
      <c r="C108" s="1302">
        <v>2019</v>
      </c>
      <c r="D108" s="1302" t="s">
        <v>1107</v>
      </c>
      <c r="E108" s="1303" t="s">
        <v>25</v>
      </c>
    </row>
    <row r="109" spans="1:5" ht="14.25">
      <c r="A109" s="1281" t="s">
        <v>1108</v>
      </c>
      <c r="B109" s="1282">
        <v>1700000</v>
      </c>
      <c r="C109" s="1282"/>
      <c r="D109" s="1282"/>
      <c r="E109" s="1283">
        <f aca="true" t="shared" si="6" ref="E109:E114">SUM(B109:D109)</f>
        <v>1700000</v>
      </c>
    </row>
    <row r="110" spans="1:5" ht="14.25">
      <c r="A110" s="1284" t="s">
        <v>1109</v>
      </c>
      <c r="B110" s="1285">
        <v>55000048</v>
      </c>
      <c r="C110" s="1285"/>
      <c r="D110" s="1285"/>
      <c r="E110" s="1286">
        <f t="shared" si="6"/>
        <v>55000048</v>
      </c>
    </row>
    <row r="111" spans="1:5" ht="14.25">
      <c r="A111" s="1284" t="s">
        <v>1110</v>
      </c>
      <c r="B111" s="1285"/>
      <c r="C111" s="1285"/>
      <c r="D111" s="1285"/>
      <c r="E111" s="1286">
        <f t="shared" si="6"/>
        <v>0</v>
      </c>
    </row>
    <row r="112" spans="1:5" ht="14.25">
      <c r="A112" s="1284" t="s">
        <v>1111</v>
      </c>
      <c r="B112" s="1285"/>
      <c r="C112" s="1285"/>
      <c r="D112" s="1285"/>
      <c r="E112" s="1286">
        <f t="shared" si="6"/>
        <v>0</v>
      </c>
    </row>
    <row r="113" spans="1:5" ht="14.25">
      <c r="A113" s="1284" t="s">
        <v>1112</v>
      </c>
      <c r="B113" s="1285"/>
      <c r="C113" s="1285"/>
      <c r="D113" s="1285"/>
      <c r="E113" s="1286">
        <f t="shared" si="6"/>
        <v>0</v>
      </c>
    </row>
    <row r="114" spans="1:5" ht="15" thickBot="1">
      <c r="A114" s="1287"/>
      <c r="B114" s="1288"/>
      <c r="C114" s="1288"/>
      <c r="D114" s="1288"/>
      <c r="E114" s="1286">
        <f t="shared" si="6"/>
        <v>0</v>
      </c>
    </row>
    <row r="115" spans="1:5" ht="15" thickBot="1">
      <c r="A115" s="1289" t="s">
        <v>1106</v>
      </c>
      <c r="B115" s="1290">
        <f>B109+SUM(B110:B114)</f>
        <v>56700048</v>
      </c>
      <c r="C115" s="1290">
        <f>C109+SUM(C110:C114)</f>
        <v>0</v>
      </c>
      <c r="D115" s="1290">
        <f>D109+SUM(D110:D114)</f>
        <v>0</v>
      </c>
      <c r="E115" s="1291">
        <f>E109+SUM(E110:E114)</f>
        <v>56700048</v>
      </c>
    </row>
    <row r="116" spans="1:5" ht="15" thickBot="1">
      <c r="A116" s="1292"/>
      <c r="B116" s="1292"/>
      <c r="C116" s="1292"/>
      <c r="D116" s="1292"/>
      <c r="E116" s="1292"/>
    </row>
    <row r="117" spans="1:5" ht="15" thickBot="1">
      <c r="A117" s="1278" t="s">
        <v>1113</v>
      </c>
      <c r="B117" s="1279">
        <v>2018</v>
      </c>
      <c r="C117" s="1279">
        <v>2019</v>
      </c>
      <c r="D117" s="1279" t="s">
        <v>1107</v>
      </c>
      <c r="E117" s="1280" t="s">
        <v>25</v>
      </c>
    </row>
    <row r="118" spans="1:5" ht="14.25">
      <c r="A118" s="1281" t="s">
        <v>1114</v>
      </c>
      <c r="B118" s="1282">
        <v>7487488</v>
      </c>
      <c r="C118" s="1282">
        <v>8231088</v>
      </c>
      <c r="D118" s="1282">
        <v>6704332</v>
      </c>
      <c r="E118" s="1283">
        <f aca="true" t="shared" si="7" ref="E118:E124">SUM(B118:D118)</f>
        <v>22422908</v>
      </c>
    </row>
    <row r="119" spans="1:5" ht="14.25">
      <c r="A119" s="1293" t="s">
        <v>1115</v>
      </c>
      <c r="B119" s="1285">
        <v>1204808</v>
      </c>
      <c r="C119" s="1285">
        <v>1606480</v>
      </c>
      <c r="D119" s="1285">
        <v>672458</v>
      </c>
      <c r="E119" s="1286">
        <f t="shared" si="7"/>
        <v>3483746</v>
      </c>
    </row>
    <row r="120" spans="1:5" ht="14.25">
      <c r="A120" s="1284" t="s">
        <v>1116</v>
      </c>
      <c r="B120" s="1285">
        <v>913706</v>
      </c>
      <c r="C120" s="1285">
        <v>6630508</v>
      </c>
      <c r="D120" s="1285">
        <v>7886478</v>
      </c>
      <c r="E120" s="1286">
        <f t="shared" si="7"/>
        <v>15430692</v>
      </c>
    </row>
    <row r="121" spans="1:5" ht="14.25">
      <c r="A121" s="1284" t="s">
        <v>1117</v>
      </c>
      <c r="B121" s="1285"/>
      <c r="C121" s="1285"/>
      <c r="D121" s="1285"/>
      <c r="E121" s="1286">
        <f t="shared" si="7"/>
        <v>0</v>
      </c>
    </row>
    <row r="122" spans="1:5" ht="14.25">
      <c r="A122" s="1294" t="s">
        <v>1121</v>
      </c>
      <c r="B122" s="1300"/>
      <c r="C122" s="1285"/>
      <c r="D122" s="1285"/>
      <c r="E122" s="1286">
        <f t="shared" si="7"/>
        <v>0</v>
      </c>
    </row>
    <row r="123" spans="1:5" ht="14.25">
      <c r="A123" s="1294"/>
      <c r="B123" s="1285"/>
      <c r="C123" s="1285"/>
      <c r="D123" s="1285"/>
      <c r="E123" s="1286">
        <f t="shared" si="7"/>
        <v>0</v>
      </c>
    </row>
    <row r="124" spans="1:5" ht="15" thickBot="1">
      <c r="A124" s="1287"/>
      <c r="B124" s="1295"/>
      <c r="C124" s="1295"/>
      <c r="D124" s="1295"/>
      <c r="E124" s="1296">
        <f t="shared" si="7"/>
        <v>0</v>
      </c>
    </row>
    <row r="125" spans="1:5" ht="15" thickBot="1">
      <c r="A125" s="1289" t="s">
        <v>467</v>
      </c>
      <c r="B125" s="1290">
        <f>SUM(B118:B124)</f>
        <v>9606002</v>
      </c>
      <c r="C125" s="1290">
        <f>SUM(C118:C124)</f>
        <v>16468076</v>
      </c>
      <c r="D125" s="1290">
        <f>SUM(D118:D124)</f>
        <v>15263268</v>
      </c>
      <c r="E125" s="1291">
        <f>SUM(E118:E124)</f>
        <v>41337346</v>
      </c>
    </row>
    <row r="126" spans="1:5" ht="14.25">
      <c r="A126" s="1297"/>
      <c r="B126" s="1297"/>
      <c r="C126" s="1297"/>
      <c r="D126" s="1297"/>
      <c r="E126" s="1297"/>
    </row>
    <row r="127" spans="1:5" ht="14.25">
      <c r="A127" s="1896" t="s">
        <v>1118</v>
      </c>
      <c r="B127" s="1896"/>
      <c r="C127" s="1896"/>
      <c r="D127" s="1896"/>
      <c r="E127" s="1896"/>
    </row>
    <row r="128" spans="1:5" ht="15" thickBot="1">
      <c r="A128" s="1297"/>
      <c r="B128" s="1297"/>
      <c r="C128" s="1297"/>
      <c r="D128" s="1297"/>
      <c r="E128" s="1297"/>
    </row>
    <row r="129" spans="1:5" ht="15" thickBot="1">
      <c r="A129" s="1897" t="s">
        <v>1119</v>
      </c>
      <c r="B129" s="1897"/>
      <c r="C129" s="1897"/>
      <c r="D129" s="1898" t="s">
        <v>1120</v>
      </c>
      <c r="E129" s="1898"/>
    </row>
    <row r="130" spans="1:5" ht="14.25">
      <c r="A130" s="1885"/>
      <c r="B130" s="1885"/>
      <c r="C130" s="1885"/>
      <c r="D130" s="1886"/>
      <c r="E130" s="1886"/>
    </row>
    <row r="131" spans="1:5" ht="15" thickBot="1">
      <c r="A131" s="1887"/>
      <c r="B131" s="1887"/>
      <c r="C131" s="1887"/>
      <c r="D131" s="1888"/>
      <c r="E131" s="1888"/>
    </row>
    <row r="132" spans="1:5" ht="15" thickBot="1">
      <c r="A132" s="1889" t="s">
        <v>467</v>
      </c>
      <c r="B132" s="1889"/>
      <c r="C132" s="1889"/>
      <c r="D132" s="1890">
        <f>SUM(D130:E131)</f>
        <v>0</v>
      </c>
      <c r="E132" s="1890"/>
    </row>
    <row r="133" spans="1:5" ht="14.25">
      <c r="A133" s="1269"/>
      <c r="B133" s="1269"/>
      <c r="C133" s="1269"/>
      <c r="D133" s="1269"/>
      <c r="E133" s="1269" t="s">
        <v>1123</v>
      </c>
    </row>
    <row r="134" spans="1:5" ht="14.25">
      <c r="A134" s="1269"/>
      <c r="B134" s="1269"/>
      <c r="C134" s="1269"/>
      <c r="D134" s="1269"/>
      <c r="E134" s="1269"/>
    </row>
    <row r="135" spans="1:5" ht="14.25">
      <c r="A135" s="1891" t="s">
        <v>1166</v>
      </c>
      <c r="B135" s="1891"/>
      <c r="C135" s="1891"/>
      <c r="D135" s="1891"/>
      <c r="E135" s="1891"/>
    </row>
    <row r="136" spans="1:5" ht="15.75">
      <c r="A136" s="1892" t="s">
        <v>1103</v>
      </c>
      <c r="B136" s="1892"/>
      <c r="C136" s="1892"/>
      <c r="D136" s="1892"/>
      <c r="E136" s="1892"/>
    </row>
    <row r="137" spans="1:5" ht="36" customHeight="1">
      <c r="A137" s="1893" t="s">
        <v>1104</v>
      </c>
      <c r="B137" s="1893"/>
      <c r="C137" s="1893"/>
      <c r="D137" s="1893"/>
      <c r="E137" s="1893"/>
    </row>
    <row r="138" spans="1:5" ht="43.5" customHeight="1" thickBot="1">
      <c r="A138" s="1275" t="s">
        <v>1105</v>
      </c>
      <c r="B138" s="1894" t="s">
        <v>1122</v>
      </c>
      <c r="C138" s="1895"/>
      <c r="D138" s="1895"/>
      <c r="E138" s="1276" t="s">
        <v>216</v>
      </c>
    </row>
    <row r="139" spans="1:5" ht="15" thickBot="1">
      <c r="A139" s="1278" t="s">
        <v>1106</v>
      </c>
      <c r="B139" s="1279">
        <v>2018</v>
      </c>
      <c r="C139" s="1279">
        <v>2019</v>
      </c>
      <c r="D139" s="1279" t="s">
        <v>1107</v>
      </c>
      <c r="E139" s="1280" t="s">
        <v>25</v>
      </c>
    </row>
    <row r="140" spans="1:5" ht="14.25">
      <c r="A140" s="1281" t="s">
        <v>1108</v>
      </c>
      <c r="B140" s="1282"/>
      <c r="C140" s="1282"/>
      <c r="D140" s="1282"/>
      <c r="E140" s="1283">
        <f aca="true" t="shared" si="8" ref="E140:E145">SUM(B140:D140)</f>
        <v>0</v>
      </c>
    </row>
    <row r="141" spans="1:5" ht="14.25">
      <c r="A141" s="1284" t="s">
        <v>1109</v>
      </c>
      <c r="B141" s="1285">
        <v>3004538</v>
      </c>
      <c r="C141" s="1285"/>
      <c r="D141" s="1285"/>
      <c r="E141" s="1286">
        <f t="shared" si="8"/>
        <v>3004538</v>
      </c>
    </row>
    <row r="142" spans="1:5" ht="14.25">
      <c r="A142" s="1284" t="s">
        <v>1110</v>
      </c>
      <c r="B142" s="1285"/>
      <c r="C142" s="1285"/>
      <c r="D142" s="1285"/>
      <c r="E142" s="1286">
        <f t="shared" si="8"/>
        <v>0</v>
      </c>
    </row>
    <row r="143" spans="1:5" ht="14.25">
      <c r="A143" s="1284" t="s">
        <v>1111</v>
      </c>
      <c r="B143" s="1285"/>
      <c r="C143" s="1285"/>
      <c r="D143" s="1285"/>
      <c r="E143" s="1286">
        <f t="shared" si="8"/>
        <v>0</v>
      </c>
    </row>
    <row r="144" spans="1:5" ht="14.25">
      <c r="A144" s="1284" t="s">
        <v>1112</v>
      </c>
      <c r="B144" s="1285"/>
      <c r="C144" s="1285"/>
      <c r="D144" s="1285"/>
      <c r="E144" s="1286">
        <f t="shared" si="8"/>
        <v>0</v>
      </c>
    </row>
    <row r="145" spans="1:5" ht="15" thickBot="1">
      <c r="A145" s="1287"/>
      <c r="B145" s="1288"/>
      <c r="C145" s="1288"/>
      <c r="D145" s="1288"/>
      <c r="E145" s="1286">
        <f t="shared" si="8"/>
        <v>0</v>
      </c>
    </row>
    <row r="146" spans="1:5" ht="15" thickBot="1">
      <c r="A146" s="1289" t="s">
        <v>1106</v>
      </c>
      <c r="B146" s="1290">
        <f>B140+SUM(B141:B145)</f>
        <v>3004538</v>
      </c>
      <c r="C146" s="1290">
        <f>C140+SUM(C141:C145)</f>
        <v>0</v>
      </c>
      <c r="D146" s="1290">
        <f>D140+SUM(D141:D145)</f>
        <v>0</v>
      </c>
      <c r="E146" s="1291">
        <f>E140+SUM(E141:E145)</f>
        <v>3004538</v>
      </c>
    </row>
    <row r="147" spans="1:5" ht="15" thickBot="1">
      <c r="A147" s="1292"/>
      <c r="B147" s="1292"/>
      <c r="C147" s="1292"/>
      <c r="D147" s="1292"/>
      <c r="E147" s="1292"/>
    </row>
    <row r="148" spans="1:5" ht="15" thickBot="1">
      <c r="A148" s="1278" t="s">
        <v>1113</v>
      </c>
      <c r="B148" s="1279">
        <v>2018</v>
      </c>
      <c r="C148" s="1279">
        <v>2019</v>
      </c>
      <c r="D148" s="1279" t="s">
        <v>1107</v>
      </c>
      <c r="E148" s="1280" t="s">
        <v>25</v>
      </c>
    </row>
    <row r="149" spans="1:5" ht="14.25">
      <c r="A149" s="1281" t="s">
        <v>1114</v>
      </c>
      <c r="B149" s="1282"/>
      <c r="C149" s="1282"/>
      <c r="D149" s="1282"/>
      <c r="E149" s="1283">
        <f aca="true" t="shared" si="9" ref="E149:E155">SUM(B149:D149)</f>
        <v>0</v>
      </c>
    </row>
    <row r="150" spans="1:5" ht="14.25">
      <c r="A150" s="1293" t="s">
        <v>1115</v>
      </c>
      <c r="B150" s="1285"/>
      <c r="C150" s="1285"/>
      <c r="D150" s="1285"/>
      <c r="E150" s="1286">
        <f t="shared" si="9"/>
        <v>0</v>
      </c>
    </row>
    <row r="151" spans="1:5" ht="14.25">
      <c r="A151" s="1284" t="s">
        <v>1116</v>
      </c>
      <c r="B151" s="1285">
        <v>2408655</v>
      </c>
      <c r="C151" s="1285"/>
      <c r="D151" s="1285"/>
      <c r="E151" s="1286">
        <f t="shared" si="9"/>
        <v>2408655</v>
      </c>
    </row>
    <row r="152" spans="1:5" ht="14.25">
      <c r="A152" s="1284" t="s">
        <v>1117</v>
      </c>
      <c r="B152" s="1285"/>
      <c r="C152" s="1285"/>
      <c r="D152" s="1285"/>
      <c r="E152" s="1286">
        <f t="shared" si="9"/>
        <v>0</v>
      </c>
    </row>
    <row r="153" spans="1:5" ht="14.25">
      <c r="A153" s="1294" t="s">
        <v>1121</v>
      </c>
      <c r="B153" s="1300"/>
      <c r="C153" s="1285"/>
      <c r="D153" s="1285"/>
      <c r="E153" s="1286">
        <f t="shared" si="9"/>
        <v>0</v>
      </c>
    </row>
    <row r="154" spans="1:5" ht="14.25">
      <c r="A154" s="1294"/>
      <c r="B154" s="1285"/>
      <c r="C154" s="1285"/>
      <c r="D154" s="1285"/>
      <c r="E154" s="1286">
        <f t="shared" si="9"/>
        <v>0</v>
      </c>
    </row>
    <row r="155" spans="1:5" ht="15" thickBot="1">
      <c r="A155" s="1287"/>
      <c r="B155" s="1295"/>
      <c r="C155" s="1295"/>
      <c r="D155" s="1295"/>
      <c r="E155" s="1296">
        <f t="shared" si="9"/>
        <v>0</v>
      </c>
    </row>
    <row r="156" spans="1:5" ht="15" thickBot="1">
      <c r="A156" s="1289" t="s">
        <v>467</v>
      </c>
      <c r="B156" s="1290">
        <f>SUM(B149:B155)</f>
        <v>2408655</v>
      </c>
      <c r="C156" s="1290">
        <f>SUM(C149:C155)</f>
        <v>0</v>
      </c>
      <c r="D156" s="1290">
        <f>SUM(D149:D155)</f>
        <v>0</v>
      </c>
      <c r="E156" s="1291">
        <f>SUM(E149:E155)</f>
        <v>2408655</v>
      </c>
    </row>
    <row r="157" spans="1:5" ht="14.25">
      <c r="A157" s="1297"/>
      <c r="B157" s="1297"/>
      <c r="C157" s="1297"/>
      <c r="D157" s="1297"/>
      <c r="E157" s="1297"/>
    </row>
    <row r="158" spans="1:5" ht="14.25">
      <c r="A158" s="1896" t="s">
        <v>1118</v>
      </c>
      <c r="B158" s="1896"/>
      <c r="C158" s="1896"/>
      <c r="D158" s="1896"/>
      <c r="E158" s="1896"/>
    </row>
    <row r="159" spans="1:5" ht="15" thickBot="1">
      <c r="A159" s="1297"/>
      <c r="B159" s="1297"/>
      <c r="C159" s="1297"/>
      <c r="D159" s="1297"/>
      <c r="E159" s="1297"/>
    </row>
    <row r="160" spans="1:5" ht="15" thickBot="1">
      <c r="A160" s="1897" t="s">
        <v>1119</v>
      </c>
      <c r="B160" s="1897"/>
      <c r="C160" s="1897"/>
      <c r="D160" s="1898" t="s">
        <v>1129</v>
      </c>
      <c r="E160" s="1898"/>
    </row>
    <row r="161" spans="1:5" ht="14.25">
      <c r="A161" s="1885"/>
      <c r="B161" s="1885"/>
      <c r="C161" s="1885"/>
      <c r="D161" s="1886"/>
      <c r="E161" s="1886"/>
    </row>
    <row r="162" spans="1:5" ht="15" thickBot="1">
      <c r="A162" s="1887"/>
      <c r="B162" s="1887"/>
      <c r="C162" s="1887"/>
      <c r="D162" s="1888"/>
      <c r="E162" s="1888"/>
    </row>
    <row r="163" spans="1:5" ht="15" thickBot="1">
      <c r="A163" s="1889" t="s">
        <v>467</v>
      </c>
      <c r="B163" s="1889"/>
      <c r="C163" s="1889"/>
      <c r="D163" s="1890">
        <f>SUM(D161:E162)</f>
        <v>0</v>
      </c>
      <c r="E163" s="1890"/>
    </row>
    <row r="164" spans="1:5" ht="14.25">
      <c r="A164" s="1269"/>
      <c r="B164" s="1269"/>
      <c r="C164" s="1269"/>
      <c r="D164" s="1269"/>
      <c r="E164" s="1269" t="s">
        <v>1123</v>
      </c>
    </row>
    <row r="165" spans="1:5" ht="14.25">
      <c r="A165" s="1269"/>
      <c r="B165" s="1269"/>
      <c r="C165" s="1269"/>
      <c r="D165" s="1269"/>
      <c r="E165" s="1269"/>
    </row>
    <row r="166" spans="1:5" ht="14.25">
      <c r="A166" s="1891" t="s">
        <v>1226</v>
      </c>
      <c r="B166" s="1891"/>
      <c r="C166" s="1891"/>
      <c r="D166" s="1891"/>
      <c r="E166" s="1891"/>
    </row>
    <row r="167" spans="1:5" ht="15.75">
      <c r="A167" s="1892" t="s">
        <v>1103</v>
      </c>
      <c r="B167" s="1892"/>
      <c r="C167" s="1892"/>
      <c r="D167" s="1892"/>
      <c r="E167" s="1892"/>
    </row>
    <row r="168" spans="1:5" ht="33.75" customHeight="1">
      <c r="A168" s="1893" t="s">
        <v>1104</v>
      </c>
      <c r="B168" s="1893"/>
      <c r="C168" s="1893"/>
      <c r="D168" s="1893"/>
      <c r="E168" s="1893"/>
    </row>
    <row r="169" spans="1:5" ht="42.75" customHeight="1" thickBot="1">
      <c r="A169" s="1275" t="s">
        <v>1105</v>
      </c>
      <c r="B169" s="1894" t="s">
        <v>1167</v>
      </c>
      <c r="C169" s="1895"/>
      <c r="D169" s="1895"/>
      <c r="E169" s="1276" t="s">
        <v>216</v>
      </c>
    </row>
    <row r="170" spans="1:5" ht="15" thickBot="1">
      <c r="A170" s="1278" t="s">
        <v>1106</v>
      </c>
      <c r="B170" s="1279">
        <v>2018</v>
      </c>
      <c r="C170" s="1279">
        <v>2019</v>
      </c>
      <c r="D170" s="1279" t="s">
        <v>1107</v>
      </c>
      <c r="E170" s="1280" t="s">
        <v>25</v>
      </c>
    </row>
    <row r="171" spans="1:5" ht="14.25">
      <c r="A171" s="1281" t="s">
        <v>1108</v>
      </c>
      <c r="B171" s="1282">
        <v>3700572</v>
      </c>
      <c r="C171" s="1282"/>
      <c r="D171" s="1282"/>
      <c r="E171" s="1283">
        <f aca="true" t="shared" si="10" ref="E171:E176">SUM(B171:D171)</f>
        <v>3700572</v>
      </c>
    </row>
    <row r="172" spans="1:5" ht="14.25">
      <c r="A172" s="1284" t="s">
        <v>1109</v>
      </c>
      <c r="B172" s="1285">
        <v>9481010</v>
      </c>
      <c r="C172" s="1285"/>
      <c r="D172" s="1285"/>
      <c r="E172" s="1286">
        <f t="shared" si="10"/>
        <v>9481010</v>
      </c>
    </row>
    <row r="173" spans="1:5" ht="14.25">
      <c r="A173" s="1284" t="s">
        <v>1110</v>
      </c>
      <c r="B173" s="1285"/>
      <c r="C173" s="1285"/>
      <c r="D173" s="1285"/>
      <c r="E173" s="1286">
        <f t="shared" si="10"/>
        <v>0</v>
      </c>
    </row>
    <row r="174" spans="1:5" ht="14.25">
      <c r="A174" s="1284" t="s">
        <v>1111</v>
      </c>
      <c r="B174" s="1285"/>
      <c r="C174" s="1285"/>
      <c r="D174" s="1285"/>
      <c r="E174" s="1286">
        <f t="shared" si="10"/>
        <v>0</v>
      </c>
    </row>
    <row r="175" spans="1:5" ht="14.25">
      <c r="A175" s="1284" t="s">
        <v>1112</v>
      </c>
      <c r="B175" s="1285"/>
      <c r="C175" s="1285"/>
      <c r="D175" s="1285"/>
      <c r="E175" s="1286">
        <f t="shared" si="10"/>
        <v>0</v>
      </c>
    </row>
    <row r="176" spans="1:5" ht="15" thickBot="1">
      <c r="A176" s="1287"/>
      <c r="B176" s="1288"/>
      <c r="C176" s="1288"/>
      <c r="D176" s="1288"/>
      <c r="E176" s="1286">
        <f t="shared" si="10"/>
        <v>0</v>
      </c>
    </row>
    <row r="177" spans="1:5" ht="15" thickBot="1">
      <c r="A177" s="1289" t="s">
        <v>1106</v>
      </c>
      <c r="B177" s="1290">
        <f>B171+SUM(B172:B176)</f>
        <v>13181582</v>
      </c>
      <c r="C177" s="1290">
        <f>C171+SUM(C172:C176)</f>
        <v>0</v>
      </c>
      <c r="D177" s="1290">
        <f>D171+SUM(D172:D176)</f>
        <v>0</v>
      </c>
      <c r="E177" s="1291">
        <f>E171+SUM(E172:E176)</f>
        <v>13181582</v>
      </c>
    </row>
    <row r="178" spans="1:5" ht="15" thickBot="1">
      <c r="A178" s="1292"/>
      <c r="B178" s="1292"/>
      <c r="C178" s="1292"/>
      <c r="D178" s="1292"/>
      <c r="E178" s="1292"/>
    </row>
    <row r="179" spans="1:5" ht="15" thickBot="1">
      <c r="A179" s="1278" t="s">
        <v>1113</v>
      </c>
      <c r="B179" s="1279">
        <v>2018</v>
      </c>
      <c r="C179" s="1279">
        <v>2019</v>
      </c>
      <c r="D179" s="1279" t="s">
        <v>1107</v>
      </c>
      <c r="E179" s="1280" t="s">
        <v>25</v>
      </c>
    </row>
    <row r="180" spans="1:5" ht="14.25">
      <c r="A180" s="1281" t="s">
        <v>1114</v>
      </c>
      <c r="B180" s="1282"/>
      <c r="C180" s="1282"/>
      <c r="D180" s="1282"/>
      <c r="E180" s="1283">
        <f aca="true" t="shared" si="11" ref="E180:E186">SUM(B180:D180)</f>
        <v>0</v>
      </c>
    </row>
    <row r="181" spans="1:5" ht="14.25">
      <c r="A181" s="1293" t="s">
        <v>1115</v>
      </c>
      <c r="B181" s="1285">
        <v>6245035</v>
      </c>
      <c r="C181" s="1285">
        <v>6936547</v>
      </c>
      <c r="D181" s="1285"/>
      <c r="E181" s="1286">
        <f t="shared" si="11"/>
        <v>13181582</v>
      </c>
    </row>
    <row r="182" spans="1:5" ht="14.25">
      <c r="A182" s="1284" t="s">
        <v>1116</v>
      </c>
      <c r="B182" s="1285"/>
      <c r="C182" s="1285"/>
      <c r="D182" s="1285"/>
      <c r="E182" s="1286">
        <f t="shared" si="11"/>
        <v>0</v>
      </c>
    </row>
    <row r="183" spans="1:5" ht="14.25">
      <c r="A183" s="1284" t="s">
        <v>1117</v>
      </c>
      <c r="B183" s="1285"/>
      <c r="C183" s="1285"/>
      <c r="D183" s="1285"/>
      <c r="E183" s="1286">
        <f t="shared" si="11"/>
        <v>0</v>
      </c>
    </row>
    <row r="184" spans="1:5" ht="14.25">
      <c r="A184" s="1294" t="s">
        <v>1121</v>
      </c>
      <c r="B184" s="1300"/>
      <c r="C184" s="1285"/>
      <c r="D184" s="1285"/>
      <c r="E184" s="1286">
        <f t="shared" si="11"/>
        <v>0</v>
      </c>
    </row>
    <row r="185" spans="1:5" ht="14.25">
      <c r="A185" s="1294"/>
      <c r="B185" s="1285"/>
      <c r="C185" s="1285"/>
      <c r="D185" s="1285"/>
      <c r="E185" s="1286">
        <f t="shared" si="11"/>
        <v>0</v>
      </c>
    </row>
    <row r="186" spans="1:5" ht="15" thickBot="1">
      <c r="A186" s="1287"/>
      <c r="B186" s="1295"/>
      <c r="C186" s="1295"/>
      <c r="D186" s="1295"/>
      <c r="E186" s="1296">
        <f t="shared" si="11"/>
        <v>0</v>
      </c>
    </row>
    <row r="187" spans="1:5" ht="15" thickBot="1">
      <c r="A187" s="1289" t="s">
        <v>467</v>
      </c>
      <c r="B187" s="1290">
        <f>SUM(B180:B186)</f>
        <v>6245035</v>
      </c>
      <c r="C187" s="1290">
        <f>SUM(C180:C186)</f>
        <v>6936547</v>
      </c>
      <c r="D187" s="1290">
        <f>SUM(D180:D186)</f>
        <v>0</v>
      </c>
      <c r="E187" s="1291">
        <f>SUM(E180:E186)</f>
        <v>13181582</v>
      </c>
    </row>
    <row r="188" spans="1:5" ht="14.25">
      <c r="A188" s="1297"/>
      <c r="B188" s="1297"/>
      <c r="C188" s="1297"/>
      <c r="D188" s="1297"/>
      <c r="E188" s="1297"/>
    </row>
    <row r="189" spans="1:5" ht="14.25">
      <c r="A189" s="1896" t="s">
        <v>1118</v>
      </c>
      <c r="B189" s="1896"/>
      <c r="C189" s="1896"/>
      <c r="D189" s="1896"/>
      <c r="E189" s="1896"/>
    </row>
    <row r="190" spans="1:5" ht="15" thickBot="1">
      <c r="A190" s="1297"/>
      <c r="B190" s="1297"/>
      <c r="C190" s="1297"/>
      <c r="D190" s="1297"/>
      <c r="E190" s="1297"/>
    </row>
    <row r="191" spans="1:5" ht="15" thickBot="1">
      <c r="A191" s="1897" t="s">
        <v>1119</v>
      </c>
      <c r="B191" s="1897"/>
      <c r="C191" s="1897"/>
      <c r="D191" s="1898" t="s">
        <v>1129</v>
      </c>
      <c r="E191" s="1898"/>
    </row>
    <row r="192" spans="1:5" ht="14.25">
      <c r="A192" s="1885"/>
      <c r="B192" s="1885"/>
      <c r="C192" s="1885"/>
      <c r="D192" s="1886"/>
      <c r="E192" s="1886"/>
    </row>
    <row r="193" spans="1:5" ht="15" thickBot="1">
      <c r="A193" s="1887"/>
      <c r="B193" s="1887"/>
      <c r="C193" s="1887"/>
      <c r="D193" s="1888"/>
      <c r="E193" s="1888"/>
    </row>
    <row r="194" spans="1:5" ht="15" thickBot="1">
      <c r="A194" s="1889" t="s">
        <v>467</v>
      </c>
      <c r="B194" s="1889"/>
      <c r="C194" s="1889"/>
      <c r="D194" s="1890">
        <f>SUM(D192:E193)</f>
        <v>0</v>
      </c>
      <c r="E194" s="1890"/>
    </row>
  </sheetData>
  <sheetProtection selectLockedCells="1" selectUnlockedCells="1"/>
  <mergeCells count="78">
    <mergeCell ref="A5:E5"/>
    <mergeCell ref="A6:E6"/>
    <mergeCell ref="B8:D8"/>
    <mergeCell ref="A28:E28"/>
    <mergeCell ref="A30:C30"/>
    <mergeCell ref="D30:E30"/>
    <mergeCell ref="A31:C31"/>
    <mergeCell ref="D31:E31"/>
    <mergeCell ref="A32:C32"/>
    <mergeCell ref="D32:E32"/>
    <mergeCell ref="A33:C33"/>
    <mergeCell ref="D33:E33"/>
    <mergeCell ref="A38:E38"/>
    <mergeCell ref="A39:E39"/>
    <mergeCell ref="B41:D41"/>
    <mergeCell ref="A61:E61"/>
    <mergeCell ref="A63:C63"/>
    <mergeCell ref="D63:E63"/>
    <mergeCell ref="A64:C64"/>
    <mergeCell ref="D64:E64"/>
    <mergeCell ref="A65:C65"/>
    <mergeCell ref="D65:E65"/>
    <mergeCell ref="A66:C66"/>
    <mergeCell ref="D66:E66"/>
    <mergeCell ref="A72:E72"/>
    <mergeCell ref="A73:E73"/>
    <mergeCell ref="B75:D75"/>
    <mergeCell ref="A95:E95"/>
    <mergeCell ref="A97:C97"/>
    <mergeCell ref="D97:E97"/>
    <mergeCell ref="A98:C98"/>
    <mergeCell ref="D98:E98"/>
    <mergeCell ref="A99:C99"/>
    <mergeCell ref="D99:E99"/>
    <mergeCell ref="A100:C100"/>
    <mergeCell ref="D100:E100"/>
    <mergeCell ref="D131:E131"/>
    <mergeCell ref="A132:C132"/>
    <mergeCell ref="D132:E132"/>
    <mergeCell ref="A105:E105"/>
    <mergeCell ref="A106:E106"/>
    <mergeCell ref="B107:D107"/>
    <mergeCell ref="A127:E127"/>
    <mergeCell ref="A129:C129"/>
    <mergeCell ref="D129:E129"/>
    <mergeCell ref="A162:C162"/>
    <mergeCell ref="D162:E162"/>
    <mergeCell ref="A163:C163"/>
    <mergeCell ref="D163:E163"/>
    <mergeCell ref="A136:E136"/>
    <mergeCell ref="A137:E137"/>
    <mergeCell ref="B138:D138"/>
    <mergeCell ref="A158:E158"/>
    <mergeCell ref="A160:C160"/>
    <mergeCell ref="D160:E160"/>
    <mergeCell ref="A3:E3"/>
    <mergeCell ref="A37:E37"/>
    <mergeCell ref="A70:E70"/>
    <mergeCell ref="A104:E104"/>
    <mergeCell ref="A161:C161"/>
    <mergeCell ref="D161:E161"/>
    <mergeCell ref="A135:E135"/>
    <mergeCell ref="A130:C130"/>
    <mergeCell ref="D130:E130"/>
    <mergeCell ref="A131:C131"/>
    <mergeCell ref="A166:E166"/>
    <mergeCell ref="A167:E167"/>
    <mergeCell ref="A168:E168"/>
    <mergeCell ref="B169:D169"/>
    <mergeCell ref="A189:E189"/>
    <mergeCell ref="A191:C191"/>
    <mergeCell ref="D191:E191"/>
    <mergeCell ref="A192:C192"/>
    <mergeCell ref="D192:E192"/>
    <mergeCell ref="A193:C193"/>
    <mergeCell ref="D193:E193"/>
    <mergeCell ref="A194:C194"/>
    <mergeCell ref="D194:E194"/>
  </mergeCells>
  <conditionalFormatting sqref="B16:D16 E19:E26 B26:D26 D33:E34 E10:E16">
    <cfRule type="cellIs" priority="10" dxfId="0" operator="equal" stopIfTrue="1">
      <formula>0</formula>
    </cfRule>
  </conditionalFormatting>
  <conditionalFormatting sqref="B49:D49 E52:E59 B59:D59 D66:E67 E43:E49">
    <cfRule type="cellIs" priority="8" dxfId="0" operator="equal" stopIfTrue="1">
      <formula>0</formula>
    </cfRule>
  </conditionalFormatting>
  <conditionalFormatting sqref="B83:D83 E86:E93 B93:D93 D100:E101 E77:E83">
    <cfRule type="cellIs" priority="7" dxfId="0" operator="equal" stopIfTrue="1">
      <formula>0</formula>
    </cfRule>
  </conditionalFormatting>
  <conditionalFormatting sqref="B115:D115 E118:E125 B125:D125 D132:E132 E109:E115">
    <cfRule type="cellIs" priority="6" dxfId="0" operator="equal" stopIfTrue="1">
      <formula>0</formula>
    </cfRule>
  </conditionalFormatting>
  <conditionalFormatting sqref="B146:D146 E149:E156 B156:D156 D163:E163 E140:E146">
    <cfRule type="cellIs" priority="3" dxfId="0" operator="equal" stopIfTrue="1">
      <formula>0</formula>
    </cfRule>
  </conditionalFormatting>
  <conditionalFormatting sqref="B177:D177 E180:E187 B187:D187 D194:E194 E171:E177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portrait" paperSize="9" r:id="rId1"/>
  <rowBreaks count="5" manualBreakCount="5">
    <brk id="34" max="4" man="1"/>
    <brk id="67" max="4" man="1"/>
    <brk id="101" max="4" man="1"/>
    <brk id="132" max="4" man="1"/>
    <brk id="163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view="pageBreakPreview" zoomScale="130" zoomScaleSheetLayoutView="130" zoomScalePageLayoutView="0" workbookViewId="0" topLeftCell="A4">
      <pane xSplit="4" ySplit="1" topLeftCell="E77" activePane="bottomRight" state="frozen"/>
      <selection pane="topLeft" activeCell="A4" sqref="A4"/>
      <selection pane="topRight" activeCell="E4" sqref="E4"/>
      <selection pane="bottomLeft" activeCell="A5" sqref="A5"/>
      <selection pane="bottomRight" activeCell="H5" sqref="H5"/>
    </sheetView>
  </sheetViews>
  <sheetFormatPr defaultColWidth="11.57421875" defaultRowHeight="12.75" customHeight="1"/>
  <cols>
    <col min="1" max="1" width="4.00390625" style="0" customWidth="1"/>
    <col min="2" max="2" width="3.28125" style="0" customWidth="1"/>
    <col min="3" max="3" width="46.57421875" style="0" customWidth="1"/>
    <col min="4" max="4" width="12.57421875" style="0" hidden="1" customWidth="1"/>
    <col min="5" max="12" width="18.00390625" style="52" customWidth="1"/>
    <col min="13" max="13" width="14.7109375" style="0" bestFit="1" customWidth="1"/>
  </cols>
  <sheetData>
    <row r="1" spans="1:12" ht="16.5" customHeight="1">
      <c r="A1" s="1922" t="s">
        <v>1046</v>
      </c>
      <c r="B1" s="1922"/>
      <c r="C1" s="1922"/>
      <c r="D1" s="1922"/>
      <c r="E1" s="1922"/>
      <c r="F1" s="1922"/>
      <c r="G1" s="1922"/>
      <c r="H1" s="1922"/>
      <c r="I1" s="1922"/>
      <c r="J1" s="1922"/>
      <c r="K1"/>
      <c r="L1"/>
    </row>
    <row r="2" spans="1:12" ht="12.75" customHeight="1">
      <c r="A2" s="1891"/>
      <c r="B2" s="1891"/>
      <c r="C2" s="1891"/>
      <c r="D2" s="1891"/>
      <c r="E2"/>
      <c r="F2"/>
      <c r="G2"/>
      <c r="H2"/>
      <c r="I2"/>
      <c r="J2"/>
      <c r="K2"/>
      <c r="L2"/>
    </row>
    <row r="3" spans="1:12" ht="18" customHeight="1">
      <c r="A3" s="1675" t="s">
        <v>586</v>
      </c>
      <c r="B3" s="1675"/>
      <c r="C3" s="1675"/>
      <c r="D3" s="1675"/>
      <c r="E3" s="1675"/>
      <c r="F3" s="1675"/>
      <c r="G3" s="1675"/>
      <c r="H3" s="1675"/>
      <c r="I3" s="1675"/>
      <c r="J3" s="1675"/>
      <c r="K3"/>
      <c r="L3"/>
    </row>
    <row r="4" spans="1:12" ht="24.75" customHeight="1">
      <c r="A4" s="1891" t="s">
        <v>587</v>
      </c>
      <c r="B4" s="1891"/>
      <c r="C4" s="1891"/>
      <c r="D4" s="1891"/>
      <c r="E4" s="1891"/>
      <c r="F4" s="1891"/>
      <c r="G4" s="1891"/>
      <c r="H4" s="1891"/>
      <c r="I4" s="1891"/>
      <c r="J4" s="1891"/>
      <c r="K4" s="1891"/>
      <c r="L4" s="1891"/>
    </row>
    <row r="5" spans="1:12" ht="24.75" customHeight="1">
      <c r="A5" s="1891"/>
      <c r="B5" s="1891"/>
      <c r="C5" s="1891"/>
      <c r="D5" s="1891"/>
      <c r="E5"/>
      <c r="F5"/>
      <c r="G5"/>
      <c r="H5"/>
      <c r="I5"/>
      <c r="J5"/>
      <c r="K5"/>
      <c r="L5"/>
    </row>
    <row r="6" spans="1:12" ht="12.75" customHeight="1" thickBot="1">
      <c r="A6" s="1544"/>
      <c r="B6" s="1544"/>
      <c r="C6" s="1544"/>
      <c r="D6" s="3"/>
      <c r="E6"/>
      <c r="F6"/>
      <c r="G6"/>
      <c r="H6"/>
      <c r="I6"/>
      <c r="J6"/>
      <c r="K6"/>
      <c r="L6" t="s">
        <v>216</v>
      </c>
    </row>
    <row r="7" spans="1:12" ht="39" customHeight="1">
      <c r="A7" s="1705" t="s">
        <v>156</v>
      </c>
      <c r="B7" s="1919"/>
      <c r="C7" s="1708" t="s">
        <v>157</v>
      </c>
      <c r="D7" s="1708"/>
      <c r="E7" s="721" t="s">
        <v>158</v>
      </c>
      <c r="F7" s="721" t="s">
        <v>1002</v>
      </c>
      <c r="G7" s="721" t="s">
        <v>1070</v>
      </c>
      <c r="H7" s="721" t="s">
        <v>1131</v>
      </c>
      <c r="I7" s="721" t="s">
        <v>1141</v>
      </c>
      <c r="J7" s="721" t="s">
        <v>1148</v>
      </c>
      <c r="K7" s="721" t="s">
        <v>1158</v>
      </c>
      <c r="L7" s="721" t="s">
        <v>1181</v>
      </c>
    </row>
    <row r="8" spans="1:12" ht="12.75" customHeight="1" thickBot="1">
      <c r="A8" s="1693"/>
      <c r="B8" s="1920"/>
      <c r="C8" s="1921" t="s">
        <v>159</v>
      </c>
      <c r="D8" s="1921"/>
      <c r="E8" s="722" t="s">
        <v>160</v>
      </c>
      <c r="F8" s="722" t="s">
        <v>161</v>
      </c>
      <c r="G8" s="722" t="s">
        <v>162</v>
      </c>
      <c r="H8" s="722" t="s">
        <v>479</v>
      </c>
      <c r="I8" s="722" t="s">
        <v>499</v>
      </c>
      <c r="J8" s="722" t="s">
        <v>745</v>
      </c>
      <c r="K8" s="722" t="s">
        <v>826</v>
      </c>
      <c r="L8" s="722" t="s">
        <v>830</v>
      </c>
    </row>
    <row r="9" spans="1:12" s="10" customFormat="1" ht="12.75" customHeight="1">
      <c r="A9" s="719" t="s">
        <v>38</v>
      </c>
      <c r="B9" s="719" t="s">
        <v>165</v>
      </c>
      <c r="C9" s="720" t="s">
        <v>588</v>
      </c>
      <c r="D9" s="720"/>
      <c r="E9" s="549">
        <f aca="true" t="shared" si="0" ref="E9:J9">SUM(E10:E16)</f>
        <v>117803298</v>
      </c>
      <c r="F9" s="549">
        <f t="shared" si="0"/>
        <v>115839992</v>
      </c>
      <c r="G9" s="549">
        <f t="shared" si="0"/>
        <v>117006769</v>
      </c>
      <c r="H9" s="549">
        <f t="shared" si="0"/>
        <v>117036010</v>
      </c>
      <c r="I9" s="549">
        <f t="shared" si="0"/>
        <v>117070189</v>
      </c>
      <c r="J9" s="549">
        <f t="shared" si="0"/>
        <v>118209957</v>
      </c>
      <c r="K9" s="549">
        <f>SUM(K10:K16)</f>
        <v>117182205</v>
      </c>
      <c r="L9" s="549">
        <f>SUM(L10:L16)</f>
        <v>117182205</v>
      </c>
    </row>
    <row r="10" spans="1:12" ht="12.75" customHeight="1">
      <c r="A10" s="384" t="s">
        <v>40</v>
      </c>
      <c r="B10" s="384"/>
      <c r="C10" s="1912" t="s">
        <v>166</v>
      </c>
      <c r="D10" s="1912"/>
      <c r="E10" s="504">
        <f>SUM('15. Óvoda'!E9)</f>
        <v>65000</v>
      </c>
      <c r="F10" s="504">
        <f>SUM('15. Óvoda'!F9)</f>
        <v>0</v>
      </c>
      <c r="G10" s="504">
        <f>SUM('15. Óvoda'!G9)</f>
        <v>50000</v>
      </c>
      <c r="H10" s="504">
        <f>SUM('15. Óvoda'!H9)</f>
        <v>50000</v>
      </c>
      <c r="I10" s="504">
        <f>SUM('15. Óvoda'!I9)</f>
        <v>50000</v>
      </c>
      <c r="J10" s="504">
        <f>SUM('15. Óvoda'!J9)</f>
        <v>50000</v>
      </c>
      <c r="K10" s="504">
        <f>SUM('15. Óvoda'!K9)</f>
        <v>130000</v>
      </c>
      <c r="L10" s="504">
        <f>SUM('15. Óvoda'!L9)</f>
        <v>130000</v>
      </c>
    </row>
    <row r="11" spans="1:12" ht="12.75" customHeight="1">
      <c r="A11" s="384" t="s">
        <v>47</v>
      </c>
      <c r="B11" s="384"/>
      <c r="C11" s="1912" t="s">
        <v>78</v>
      </c>
      <c r="D11" s="1912"/>
      <c r="E11" s="504">
        <f>SUM('15. Óvoda'!E10)</f>
        <v>1410114</v>
      </c>
      <c r="F11" s="504">
        <f>SUM('15. Óvoda'!F10)</f>
        <v>1400000</v>
      </c>
      <c r="G11" s="504">
        <f>SUM('15. Óvoda'!G10)</f>
        <v>1685000</v>
      </c>
      <c r="H11" s="504">
        <f>SUM('15. Óvoda'!H10)</f>
        <v>1685000</v>
      </c>
      <c r="I11" s="504">
        <f>SUM('15. Óvoda'!I10)</f>
        <v>1685000</v>
      </c>
      <c r="J11" s="504">
        <f>SUM('15. Óvoda'!J10)</f>
        <v>1685000</v>
      </c>
      <c r="K11" s="504">
        <f>SUM('15. Óvoda'!K10)</f>
        <v>1869838</v>
      </c>
      <c r="L11" s="504">
        <f>SUM('15. Óvoda'!L10)</f>
        <v>1869838</v>
      </c>
    </row>
    <row r="12" spans="1:12" ht="12.75" customHeight="1">
      <c r="A12" s="384" t="s">
        <v>49</v>
      </c>
      <c r="B12" s="384"/>
      <c r="C12" s="1198" t="s">
        <v>1065</v>
      </c>
      <c r="D12" s="1198"/>
      <c r="E12" s="504">
        <v>186267</v>
      </c>
      <c r="F12" s="504"/>
      <c r="G12" s="504"/>
      <c r="H12" s="504"/>
      <c r="I12" s="504"/>
      <c r="J12" s="504"/>
      <c r="K12" s="504"/>
      <c r="L12" s="504"/>
    </row>
    <row r="13" spans="1:12" ht="12.75" customHeight="1">
      <c r="A13" s="384">
        <v>5</v>
      </c>
      <c r="B13" s="384"/>
      <c r="C13" s="1916" t="s">
        <v>227</v>
      </c>
      <c r="D13" s="1916"/>
      <c r="E13" s="504">
        <f>SUM('15. Óvoda'!E19)</f>
        <v>800000</v>
      </c>
      <c r="F13" s="504">
        <f>SUM('15. Óvoda'!F19)</f>
        <v>0</v>
      </c>
      <c r="G13" s="504">
        <f>SUM('15. Óvoda'!G19)</f>
        <v>0</v>
      </c>
      <c r="H13" s="504">
        <f>SUM('15. Óvoda'!H19)</f>
        <v>0</v>
      </c>
      <c r="I13" s="504">
        <f>SUM('15. Óvoda'!I19)</f>
        <v>0</v>
      </c>
      <c r="J13" s="504">
        <f>SUM('15. Óvoda'!J19)</f>
        <v>0</v>
      </c>
      <c r="K13" s="504">
        <f>SUM('15. Óvoda'!K19)</f>
        <v>0</v>
      </c>
      <c r="L13" s="504">
        <f>SUM('15. Óvoda'!L19)</f>
        <v>0</v>
      </c>
    </row>
    <row r="14" spans="1:12" ht="12.75" customHeight="1">
      <c r="A14" s="384" t="s">
        <v>53</v>
      </c>
      <c r="B14" s="384"/>
      <c r="C14" s="1907" t="s">
        <v>506</v>
      </c>
      <c r="D14" s="1908"/>
      <c r="E14" s="504">
        <f>SUM('15. Óvoda'!E22)</f>
        <v>114886187</v>
      </c>
      <c r="F14" s="504">
        <f>SUM('15. Óvoda'!F22)</f>
        <v>113917648</v>
      </c>
      <c r="G14" s="504">
        <f>SUM('15. Óvoda'!G22)</f>
        <v>114749425</v>
      </c>
      <c r="H14" s="504">
        <f>SUM('15. Óvoda'!H22)</f>
        <v>114778666</v>
      </c>
      <c r="I14" s="504">
        <f>SUM('15. Óvoda'!I22)</f>
        <v>114812845</v>
      </c>
      <c r="J14" s="504">
        <f>SUM('15. Óvoda'!J22)</f>
        <v>115952613</v>
      </c>
      <c r="K14" s="504">
        <f>SUM('15. Óvoda'!K22)</f>
        <v>114660023</v>
      </c>
      <c r="L14" s="504">
        <f>SUM('15. Óvoda'!L22)</f>
        <v>114660023</v>
      </c>
    </row>
    <row r="15" spans="1:12" ht="12.75" customHeight="1">
      <c r="A15" s="384" t="s">
        <v>55</v>
      </c>
      <c r="B15" s="384"/>
      <c r="C15" s="1916" t="s">
        <v>237</v>
      </c>
      <c r="D15" s="1916"/>
      <c r="E15" s="504">
        <f>SUM('15. Óvoda'!E25)</f>
        <v>455730</v>
      </c>
      <c r="F15" s="504">
        <f>SUM('15. Óvoda'!F25)</f>
        <v>522344</v>
      </c>
      <c r="G15" s="504">
        <f>SUM('15. Óvoda'!G25)</f>
        <v>522344</v>
      </c>
      <c r="H15" s="504">
        <f>SUM('15. Óvoda'!H25)</f>
        <v>522344</v>
      </c>
      <c r="I15" s="504">
        <f>SUM('15. Óvoda'!I25)</f>
        <v>522344</v>
      </c>
      <c r="J15" s="504">
        <f>SUM('15. Óvoda'!J25)</f>
        <v>522344</v>
      </c>
      <c r="K15" s="504">
        <f>SUM('15. Óvoda'!K25)</f>
        <v>522344</v>
      </c>
      <c r="L15" s="504">
        <f>SUM('15. Óvoda'!L25)</f>
        <v>522344</v>
      </c>
    </row>
    <row r="16" spans="1:12" ht="12.75" customHeight="1">
      <c r="A16" s="384" t="s">
        <v>57</v>
      </c>
      <c r="B16" s="384"/>
      <c r="C16" s="1907"/>
      <c r="D16" s="1908"/>
      <c r="E16" s="504"/>
      <c r="F16" s="504"/>
      <c r="G16" s="504"/>
      <c r="H16" s="504"/>
      <c r="I16" s="504"/>
      <c r="J16" s="504"/>
      <c r="K16" s="504"/>
      <c r="L16" s="504"/>
    </row>
    <row r="17" spans="1:12" s="289" customFormat="1" ht="12.75" customHeight="1">
      <c r="A17" s="499" t="s">
        <v>86</v>
      </c>
      <c r="B17" s="717" t="s">
        <v>167</v>
      </c>
      <c r="C17" s="654" t="s">
        <v>1047</v>
      </c>
      <c r="D17" s="654"/>
      <c r="E17" s="718">
        <f aca="true" t="shared" si="1" ref="E17:J17">SUM(E18:E20)</f>
        <v>15216808</v>
      </c>
      <c r="F17" s="718">
        <f t="shared" si="1"/>
        <v>16729452</v>
      </c>
      <c r="G17" s="718">
        <f t="shared" si="1"/>
        <v>16729452</v>
      </c>
      <c r="H17" s="718">
        <f t="shared" si="1"/>
        <v>16902933</v>
      </c>
      <c r="I17" s="718">
        <f t="shared" si="1"/>
        <v>16970549</v>
      </c>
      <c r="J17" s="718">
        <f t="shared" si="1"/>
        <v>17118024</v>
      </c>
      <c r="K17" s="718">
        <f>SUM(K18:K20)</f>
        <v>14325698</v>
      </c>
      <c r="L17" s="718">
        <f>SUM(L18:L20)</f>
        <v>14325698</v>
      </c>
    </row>
    <row r="18" spans="1:12" ht="12.75" customHeight="1">
      <c r="A18" s="384" t="s">
        <v>86</v>
      </c>
      <c r="B18" s="384"/>
      <c r="C18" s="1912" t="s">
        <v>589</v>
      </c>
      <c r="D18" s="1912"/>
      <c r="E18" s="504">
        <f>SUM('16. Műv. ház'!E9)</f>
        <v>508048</v>
      </c>
      <c r="F18" s="504">
        <f>SUM('16. Műv. ház'!F9)</f>
        <v>500000</v>
      </c>
      <c r="G18" s="504">
        <f>SUM('16. Műv. ház'!G9)</f>
        <v>500000</v>
      </c>
      <c r="H18" s="504">
        <f>SUM('16. Műv. ház'!H9)</f>
        <v>500000</v>
      </c>
      <c r="I18" s="504">
        <f>SUM('16. Műv. ház'!I9)</f>
        <v>500000</v>
      </c>
      <c r="J18" s="504">
        <f>SUM('16. Műv. ház'!J9)</f>
        <v>500010</v>
      </c>
      <c r="K18" s="504">
        <f>SUM('16. Műv. ház'!K9)</f>
        <v>617003</v>
      </c>
      <c r="L18" s="504">
        <f>SUM('16. Műv. ház'!L9)</f>
        <v>617003</v>
      </c>
    </row>
    <row r="19" spans="1:12" ht="12.75" customHeight="1">
      <c r="A19" s="384" t="s">
        <v>59</v>
      </c>
      <c r="B19" s="384"/>
      <c r="C19" s="1916" t="s">
        <v>506</v>
      </c>
      <c r="D19" s="1916"/>
      <c r="E19" s="504">
        <f>SUM('16. Műv. ház'!E14)</f>
        <v>14383753</v>
      </c>
      <c r="F19" s="504">
        <f>SUM('16. Műv. ház'!F14)</f>
        <v>16055226</v>
      </c>
      <c r="G19" s="504">
        <f>SUM('16. Műv. ház'!G14)</f>
        <v>16055226</v>
      </c>
      <c r="H19" s="504">
        <f>SUM('16. Műv. ház'!H14)</f>
        <v>16228707</v>
      </c>
      <c r="I19" s="504">
        <f>SUM('16. Műv. ház'!I14)</f>
        <v>16296323</v>
      </c>
      <c r="J19" s="504">
        <f>SUM('16. Műv. ház'!J14)</f>
        <v>16443788</v>
      </c>
      <c r="K19" s="504">
        <f>SUM('16. Műv. ház'!K14)</f>
        <v>13534469</v>
      </c>
      <c r="L19" s="504">
        <f>SUM('16. Műv. ház'!L14)</f>
        <v>13534469</v>
      </c>
    </row>
    <row r="20" spans="1:12" ht="12.75" customHeight="1">
      <c r="A20" s="384" t="s">
        <v>61</v>
      </c>
      <c r="B20" s="384"/>
      <c r="C20" s="1916" t="s">
        <v>237</v>
      </c>
      <c r="D20" s="1916"/>
      <c r="E20" s="504">
        <f>SUM('16. Műv. ház'!E17)</f>
        <v>325007</v>
      </c>
      <c r="F20" s="504">
        <f>SUM('16. Műv. ház'!F17)</f>
        <v>174226</v>
      </c>
      <c r="G20" s="504">
        <f>SUM('16. Műv. ház'!G17)</f>
        <v>174226</v>
      </c>
      <c r="H20" s="504">
        <f>SUM('16. Műv. ház'!H17)</f>
        <v>174226</v>
      </c>
      <c r="I20" s="504">
        <f>SUM('16. Műv. ház'!I17)</f>
        <v>174226</v>
      </c>
      <c r="J20" s="504">
        <f>SUM('16. Műv. ház'!J17)</f>
        <v>174226</v>
      </c>
      <c r="K20" s="504">
        <f>SUM('16. Műv. ház'!K17)</f>
        <v>174226</v>
      </c>
      <c r="L20" s="504">
        <f>SUM('16. Műv. ház'!L17)</f>
        <v>174226</v>
      </c>
    </row>
    <row r="21" spans="1:12" ht="12.75" customHeight="1">
      <c r="A21" s="384" t="s">
        <v>63</v>
      </c>
      <c r="B21" s="384"/>
      <c r="C21" s="1907"/>
      <c r="D21" s="1908"/>
      <c r="E21" s="504"/>
      <c r="F21" s="504"/>
      <c r="G21" s="504"/>
      <c r="H21" s="504"/>
      <c r="I21" s="504"/>
      <c r="J21" s="504"/>
      <c r="K21" s="504"/>
      <c r="L21" s="504"/>
    </row>
    <row r="22" spans="1:12" s="289" customFormat="1" ht="12.75" customHeight="1">
      <c r="A22" s="499" t="s">
        <v>65</v>
      </c>
      <c r="B22" s="717" t="s">
        <v>174</v>
      </c>
      <c r="C22" s="1909" t="s">
        <v>313</v>
      </c>
      <c r="D22" s="1910"/>
      <c r="E22" s="718">
        <f aca="true" t="shared" si="2" ref="E22:J22">SUM(E23:E26)</f>
        <v>80440449</v>
      </c>
      <c r="F22" s="718">
        <f t="shared" si="2"/>
        <v>80284856</v>
      </c>
      <c r="G22" s="718">
        <f t="shared" si="2"/>
        <v>81971115</v>
      </c>
      <c r="H22" s="718">
        <f t="shared" si="2"/>
        <v>81971115</v>
      </c>
      <c r="I22" s="718">
        <f t="shared" si="2"/>
        <v>82486317</v>
      </c>
      <c r="J22" s="718">
        <f t="shared" si="2"/>
        <v>82736317</v>
      </c>
      <c r="K22" s="718">
        <f>SUM(K23:K26)</f>
        <v>82951167</v>
      </c>
      <c r="L22" s="718">
        <f>SUM(L23:L26)</f>
        <v>82951167</v>
      </c>
    </row>
    <row r="23" spans="1:12" ht="12.75" customHeight="1">
      <c r="A23" s="384" t="s">
        <v>92</v>
      </c>
      <c r="B23" s="384"/>
      <c r="C23" s="1912" t="s">
        <v>589</v>
      </c>
      <c r="D23" s="1912"/>
      <c r="E23" s="504">
        <f>SUM('17. Hivatal'!E10)</f>
        <v>1057836</v>
      </c>
      <c r="F23" s="504">
        <f>SUM('17. Hivatal'!F10)</f>
        <v>460000</v>
      </c>
      <c r="G23" s="504">
        <f>SUM('17. Hivatal'!G10)</f>
        <v>993000</v>
      </c>
      <c r="H23" s="504">
        <f>SUM('17. Hivatal'!H10)</f>
        <v>993000</v>
      </c>
      <c r="I23" s="504">
        <f>SUM('17. Hivatal'!I10)</f>
        <v>1313000</v>
      </c>
      <c r="J23" s="504">
        <f>SUM('17. Hivatal'!J10)</f>
        <v>1563000</v>
      </c>
      <c r="K23" s="504">
        <f>SUM('17. Hivatal'!K10)</f>
        <v>1738790</v>
      </c>
      <c r="L23" s="504">
        <f>SUM('17. Hivatal'!L10)</f>
        <v>1738790</v>
      </c>
    </row>
    <row r="24" spans="1:12" ht="12.75" customHeight="1">
      <c r="A24" s="384" t="s">
        <v>66</v>
      </c>
      <c r="B24" s="384"/>
      <c r="C24" s="1912" t="s">
        <v>187</v>
      </c>
      <c r="D24" s="1912"/>
      <c r="E24" s="504">
        <v>0</v>
      </c>
      <c r="F24" s="504">
        <v>0</v>
      </c>
      <c r="G24" s="504">
        <f>SUM('17. Hivatal'!G17)</f>
        <v>1153259</v>
      </c>
      <c r="H24" s="504">
        <f>SUM('17. Hivatal'!H17)</f>
        <v>1153259</v>
      </c>
      <c r="I24" s="504">
        <f>SUM('17. Hivatal'!I17)</f>
        <v>1348461</v>
      </c>
      <c r="J24" s="504">
        <f>SUM('17. Hivatal'!J17)</f>
        <v>1348461</v>
      </c>
      <c r="K24" s="504">
        <f>SUM('17. Hivatal'!K17)</f>
        <v>1348461</v>
      </c>
      <c r="L24" s="504">
        <f>SUM('17. Hivatal'!L17)</f>
        <v>1348461</v>
      </c>
    </row>
    <row r="25" spans="1:12" ht="12.75" customHeight="1">
      <c r="A25" s="384" t="s">
        <v>67</v>
      </c>
      <c r="B25" s="384"/>
      <c r="C25" s="1916" t="s">
        <v>506</v>
      </c>
      <c r="D25" s="1916"/>
      <c r="E25" s="504">
        <f>SUM('17. Hivatal'!E20)</f>
        <v>77422982</v>
      </c>
      <c r="F25" s="504">
        <f>SUM('17. Hivatal'!F20)</f>
        <v>79034645</v>
      </c>
      <c r="G25" s="504">
        <f>SUM('17. Hivatal'!G20)</f>
        <v>79034645</v>
      </c>
      <c r="H25" s="504">
        <f>SUM('17. Hivatal'!H20)</f>
        <v>79034645</v>
      </c>
      <c r="I25" s="504">
        <f>SUM('17. Hivatal'!I20)</f>
        <v>79034645</v>
      </c>
      <c r="J25" s="504">
        <f>SUM('17. Hivatal'!J20)</f>
        <v>79034645</v>
      </c>
      <c r="K25" s="504">
        <f>SUM('17. Hivatal'!K20)</f>
        <v>79073705</v>
      </c>
      <c r="L25" s="504">
        <f>SUM('17. Hivatal'!L20)</f>
        <v>79073705</v>
      </c>
    </row>
    <row r="26" spans="1:12" ht="12.75" customHeight="1">
      <c r="A26" s="384" t="s">
        <v>68</v>
      </c>
      <c r="B26" s="384"/>
      <c r="C26" s="1916" t="s">
        <v>237</v>
      </c>
      <c r="D26" s="1916"/>
      <c r="E26" s="504">
        <f>SUM('17. Hivatal'!E19)</f>
        <v>1959631</v>
      </c>
      <c r="F26" s="504">
        <f>SUM('17. Hivatal'!F19)</f>
        <v>790211</v>
      </c>
      <c r="G26" s="504">
        <f>SUM('17. Hivatal'!G19)</f>
        <v>790211</v>
      </c>
      <c r="H26" s="504">
        <f>SUM('17. Hivatal'!H19)</f>
        <v>790211</v>
      </c>
      <c r="I26" s="504">
        <f>SUM('17. Hivatal'!I19)</f>
        <v>790211</v>
      </c>
      <c r="J26" s="504">
        <f>SUM('17. Hivatal'!J19)</f>
        <v>790211</v>
      </c>
      <c r="K26" s="504">
        <f>SUM('17. Hivatal'!K19)</f>
        <v>790211</v>
      </c>
      <c r="L26" s="504">
        <f>SUM('17. Hivatal'!L19)</f>
        <v>790211</v>
      </c>
    </row>
    <row r="27" spans="1:12" ht="12.75" customHeight="1">
      <c r="A27" s="384" t="s">
        <v>70</v>
      </c>
      <c r="B27" s="384"/>
      <c r="C27" s="1907"/>
      <c r="D27" s="1908"/>
      <c r="E27" s="504"/>
      <c r="F27" s="504"/>
      <c r="G27" s="504"/>
      <c r="H27" s="504"/>
      <c r="I27" s="504"/>
      <c r="J27" s="504"/>
      <c r="K27" s="504"/>
      <c r="L27" s="504"/>
    </row>
    <row r="28" spans="1:12" s="10" customFormat="1" ht="12.75" customHeight="1">
      <c r="A28" s="499" t="s">
        <v>97</v>
      </c>
      <c r="B28" s="499" t="s">
        <v>184</v>
      </c>
      <c r="C28" s="1630" t="s">
        <v>1048</v>
      </c>
      <c r="D28" s="1631"/>
      <c r="E28" s="519">
        <f aca="true" t="shared" si="3" ref="E28:J28">SUM(E29:E32)</f>
        <v>88180563</v>
      </c>
      <c r="F28" s="519">
        <f t="shared" si="3"/>
        <v>88766565</v>
      </c>
      <c r="G28" s="519">
        <f t="shared" si="3"/>
        <v>88766565</v>
      </c>
      <c r="H28" s="519">
        <f t="shared" si="3"/>
        <v>88766565</v>
      </c>
      <c r="I28" s="519">
        <f t="shared" si="3"/>
        <v>88780666</v>
      </c>
      <c r="J28" s="519">
        <f t="shared" si="3"/>
        <v>89894422</v>
      </c>
      <c r="K28" s="519">
        <f>SUM(K29:K32)</f>
        <v>92965316</v>
      </c>
      <c r="L28" s="519">
        <f>SUM(L29:L32)</f>
        <v>92965316</v>
      </c>
    </row>
    <row r="29" spans="1:12" ht="12.75" customHeight="1">
      <c r="A29" s="384" t="s">
        <v>99</v>
      </c>
      <c r="B29" s="384"/>
      <c r="C29" s="1044" t="s">
        <v>166</v>
      </c>
      <c r="D29" s="1045"/>
      <c r="E29" s="504">
        <v>907459</v>
      </c>
      <c r="F29" s="504">
        <v>0</v>
      </c>
      <c r="G29" s="504">
        <v>0</v>
      </c>
      <c r="H29" s="504">
        <v>0</v>
      </c>
      <c r="I29" s="504">
        <v>0</v>
      </c>
      <c r="J29" s="504">
        <v>984913</v>
      </c>
      <c r="K29" s="504">
        <v>984913</v>
      </c>
      <c r="L29" s="504">
        <v>984913</v>
      </c>
    </row>
    <row r="30" spans="1:12" ht="12.75" customHeight="1">
      <c r="A30" s="384" t="s">
        <v>101</v>
      </c>
      <c r="B30" s="384"/>
      <c r="C30" s="1912" t="s">
        <v>589</v>
      </c>
      <c r="D30" s="1912"/>
      <c r="E30" s="504">
        <f>SUM('18. VÜKI'!E12)</f>
        <v>20650698</v>
      </c>
      <c r="F30" s="504">
        <f>SUM('18. VÜKI'!F12)</f>
        <v>20174000</v>
      </c>
      <c r="G30" s="504">
        <f>SUM('18. VÜKI'!G12)</f>
        <v>20174000</v>
      </c>
      <c r="H30" s="504">
        <f>SUM('18. VÜKI'!H12)</f>
        <v>20174000</v>
      </c>
      <c r="I30" s="504">
        <f>SUM('18. VÜKI'!I12)</f>
        <v>20174000</v>
      </c>
      <c r="J30" s="504">
        <f>SUM('18. VÜKI'!J12)</f>
        <v>20211010</v>
      </c>
      <c r="K30" s="504">
        <f>SUM('18. VÜKI'!K12)</f>
        <v>23409857</v>
      </c>
      <c r="L30" s="504">
        <f>SUM('18. VÜKI'!L12)</f>
        <v>23409857</v>
      </c>
    </row>
    <row r="31" spans="1:12" ht="12.75" customHeight="1">
      <c r="A31" s="384" t="s">
        <v>103</v>
      </c>
      <c r="B31" s="384"/>
      <c r="C31" s="1914" t="s">
        <v>506</v>
      </c>
      <c r="D31" s="1915"/>
      <c r="E31" s="504">
        <f>SUM('18. VÜKI'!E21)</f>
        <v>63523333</v>
      </c>
      <c r="F31" s="504">
        <f>SUM('18. VÜKI'!F21)</f>
        <v>67562557</v>
      </c>
      <c r="G31" s="504">
        <f>SUM('18. VÜKI'!G21)</f>
        <v>67562557</v>
      </c>
      <c r="H31" s="504">
        <f>SUM('18. VÜKI'!H21)</f>
        <v>67562557</v>
      </c>
      <c r="I31" s="504">
        <f>SUM('18. VÜKI'!I21)</f>
        <v>67576658</v>
      </c>
      <c r="J31" s="504">
        <f>SUM('18. VÜKI'!J21)</f>
        <v>67668491</v>
      </c>
      <c r="K31" s="504">
        <f>SUM('18. VÜKI'!K21)</f>
        <v>67540538</v>
      </c>
      <c r="L31" s="504">
        <f>SUM('18. VÜKI'!L21)</f>
        <v>67540538</v>
      </c>
    </row>
    <row r="32" spans="1:12" ht="12.75" customHeight="1">
      <c r="A32" s="384" t="s">
        <v>105</v>
      </c>
      <c r="B32" s="384"/>
      <c r="C32" s="1907" t="s">
        <v>237</v>
      </c>
      <c r="D32" s="1908"/>
      <c r="E32" s="504">
        <f>SUM('18. VÜKI'!E20)</f>
        <v>3099073</v>
      </c>
      <c r="F32" s="504">
        <f>SUM('18. VÜKI'!F20)</f>
        <v>1030008</v>
      </c>
      <c r="G32" s="504">
        <f>SUM('18. VÜKI'!G20)</f>
        <v>1030008</v>
      </c>
      <c r="H32" s="504">
        <f>SUM('18. VÜKI'!H20)</f>
        <v>1030008</v>
      </c>
      <c r="I32" s="504">
        <f>SUM('18. VÜKI'!I20)</f>
        <v>1030008</v>
      </c>
      <c r="J32" s="504">
        <f>SUM('18. VÜKI'!J20)</f>
        <v>1030008</v>
      </c>
      <c r="K32" s="504">
        <f>SUM('18. VÜKI'!K20)</f>
        <v>1030008</v>
      </c>
      <c r="L32" s="504">
        <f>SUM('18. VÜKI'!L20)</f>
        <v>1030008</v>
      </c>
    </row>
    <row r="33" spans="1:12" ht="12.75" customHeight="1">
      <c r="A33" s="384" t="s">
        <v>107</v>
      </c>
      <c r="B33" s="384"/>
      <c r="C33" s="1907"/>
      <c r="D33" s="1908"/>
      <c r="E33" s="504"/>
      <c r="F33" s="504"/>
      <c r="G33" s="504"/>
      <c r="H33" s="504"/>
      <c r="I33" s="504"/>
      <c r="J33" s="504"/>
      <c r="K33" s="504"/>
      <c r="L33" s="504"/>
    </row>
    <row r="34" spans="1:12" ht="12.75" customHeight="1">
      <c r="A34" s="499" t="s">
        <v>109</v>
      </c>
      <c r="B34" s="499" t="s">
        <v>185</v>
      </c>
      <c r="C34" s="1630" t="s">
        <v>1049</v>
      </c>
      <c r="D34" s="1631"/>
      <c r="E34" s="519">
        <f aca="true" t="shared" si="4" ref="E34:J34">SUM(E35:E44)</f>
        <v>1168351032</v>
      </c>
      <c r="F34" s="519">
        <f t="shared" si="4"/>
        <v>1131018636</v>
      </c>
      <c r="G34" s="519">
        <f t="shared" si="4"/>
        <v>1141108095</v>
      </c>
      <c r="H34" s="519">
        <f t="shared" si="4"/>
        <v>1142429255</v>
      </c>
      <c r="I34" s="519">
        <f t="shared" si="4"/>
        <v>1145393275</v>
      </c>
      <c r="J34" s="519">
        <f t="shared" si="4"/>
        <v>1151699580</v>
      </c>
      <c r="K34" s="519">
        <f>SUM(K35:K44)</f>
        <v>1184701944</v>
      </c>
      <c r="L34" s="519">
        <f>SUM(L35:L44)</f>
        <v>1184707938</v>
      </c>
    </row>
    <row r="35" spans="1:13" ht="29.25" customHeight="1">
      <c r="A35" s="384" t="s">
        <v>111</v>
      </c>
      <c r="B35" s="384"/>
      <c r="C35" s="1913" t="s">
        <v>166</v>
      </c>
      <c r="D35" s="1913"/>
      <c r="E35" s="504">
        <f>SUM('19 önkormányzat'!E21)</f>
        <v>330561724</v>
      </c>
      <c r="F35" s="504">
        <f>SUM('19 önkormányzat'!F21)</f>
        <v>202269524</v>
      </c>
      <c r="G35" s="504">
        <f>SUM('19 önkormányzat'!G21)</f>
        <v>204427775</v>
      </c>
      <c r="H35" s="504">
        <f>SUM('19 önkormányzat'!H21)</f>
        <v>205033391</v>
      </c>
      <c r="I35" s="504">
        <f>SUM('19 önkormányzat'!I21)</f>
        <v>205093465</v>
      </c>
      <c r="J35" s="504">
        <f>SUM('19 önkormányzat'!J21)</f>
        <v>206149207</v>
      </c>
      <c r="K35" s="504">
        <f>SUM('19 önkormányzat'!K21)</f>
        <v>210987321</v>
      </c>
      <c r="L35" s="504">
        <f>SUM('19 önkormányzat'!L21)</f>
        <v>210987321</v>
      </c>
      <c r="M35" s="205">
        <f>SUM(K43+K32+K26+K20+K15)</f>
        <v>729615835</v>
      </c>
    </row>
    <row r="36" spans="1:12" ht="12.75" customHeight="1">
      <c r="A36" s="384" t="s">
        <v>113</v>
      </c>
      <c r="B36" s="384"/>
      <c r="C36" s="1912" t="s">
        <v>168</v>
      </c>
      <c r="D36" s="1912"/>
      <c r="E36" s="504">
        <f>SUM('19 önkormányzat'!E26)</f>
        <v>579188024</v>
      </c>
      <c r="F36" s="504">
        <f>SUM('19 önkormányzat'!F26)</f>
        <v>0</v>
      </c>
      <c r="G36" s="504">
        <f>SUM('19 önkormányzat'!G26)</f>
        <v>0</v>
      </c>
      <c r="H36" s="504">
        <f>SUM('19 önkormányzat'!H26)</f>
        <v>0</v>
      </c>
      <c r="I36" s="504">
        <f>SUM('19 önkormányzat'!I26)</f>
        <v>0</v>
      </c>
      <c r="J36" s="504">
        <f>SUM('19 önkormányzat'!J26)</f>
        <v>0</v>
      </c>
      <c r="K36" s="504">
        <f>SUM('19 önkormányzat'!K26)</f>
        <v>14182798</v>
      </c>
      <c r="L36" s="504">
        <f>SUM('19 önkormányzat'!L26)</f>
        <v>14182798</v>
      </c>
    </row>
    <row r="37" spans="1:12" ht="12.75" customHeight="1">
      <c r="A37" s="384" t="s">
        <v>115</v>
      </c>
      <c r="B37" s="384"/>
      <c r="C37" s="1912" t="s">
        <v>175</v>
      </c>
      <c r="D37" s="1912"/>
      <c r="E37" s="504">
        <f>SUM('19 önkormányzat'!E32)</f>
        <v>171345614</v>
      </c>
      <c r="F37" s="504">
        <f>SUM('19 önkormányzat'!F32)</f>
        <v>150455000</v>
      </c>
      <c r="G37" s="504">
        <f>SUM('19 önkormányzat'!G32)</f>
        <v>150455000</v>
      </c>
      <c r="H37" s="504">
        <f>SUM('19 önkormányzat'!H32)</f>
        <v>150455000</v>
      </c>
      <c r="I37" s="504">
        <f>SUM('19 önkormányzat'!I32)</f>
        <v>152596598</v>
      </c>
      <c r="J37" s="504">
        <f>SUM('19 önkormányzat'!J32)</f>
        <v>154596598</v>
      </c>
      <c r="K37" s="504">
        <f>SUM('19 önkormányzat'!K32)</f>
        <v>186676160</v>
      </c>
      <c r="L37" s="504">
        <f>SUM('19 önkormányzat'!L32)</f>
        <v>186676160</v>
      </c>
    </row>
    <row r="38" spans="1:12" ht="30" customHeight="1">
      <c r="A38" s="384" t="s">
        <v>117</v>
      </c>
      <c r="B38" s="384"/>
      <c r="C38" s="1912" t="s">
        <v>78</v>
      </c>
      <c r="D38" s="1912"/>
      <c r="E38" s="504">
        <f>SUM('19 önkormányzat'!E41)</f>
        <v>19880656</v>
      </c>
      <c r="F38" s="504">
        <f>SUM('19 önkormányzat'!F41)</f>
        <v>19858000</v>
      </c>
      <c r="G38" s="504">
        <f>SUM('19 önkormányzat'!G41)</f>
        <v>19858000</v>
      </c>
      <c r="H38" s="504">
        <f>SUM('19 önkormányzat'!H41)</f>
        <v>19858000</v>
      </c>
      <c r="I38" s="504">
        <f>SUM('19 önkormányzat'!I41)</f>
        <v>19902435</v>
      </c>
      <c r="J38" s="504">
        <f>SUM('19 önkormányzat'!J41)</f>
        <v>23405437</v>
      </c>
      <c r="K38" s="504">
        <f>SUM('19 önkormányzat'!K41)</f>
        <v>16757229</v>
      </c>
      <c r="L38" s="504">
        <f>SUM('19 önkormányzat'!L41)</f>
        <v>16757229</v>
      </c>
    </row>
    <row r="39" spans="1:12" ht="42" customHeight="1">
      <c r="A39" s="384" t="s">
        <v>118</v>
      </c>
      <c r="B39" s="384"/>
      <c r="C39" s="1912" t="s">
        <v>13</v>
      </c>
      <c r="D39" s="1912"/>
      <c r="E39" s="504">
        <f>SUM('19 önkormányzat'!E42)</f>
        <v>9136370</v>
      </c>
      <c r="F39" s="504">
        <f>SUM('19 önkormányzat'!F42)</f>
        <v>24433530</v>
      </c>
      <c r="G39" s="504">
        <f>SUM('19 önkormányzat'!G42)</f>
        <v>32364738</v>
      </c>
      <c r="H39" s="504">
        <f>SUM('19 önkormányzat'!H42)</f>
        <v>32364738</v>
      </c>
      <c r="I39" s="504">
        <f>SUM('19 önkormányzat'!I42)</f>
        <v>32127362</v>
      </c>
      <c r="J39" s="504">
        <f>SUM('19 önkormányzat'!J42)</f>
        <v>30832408</v>
      </c>
      <c r="K39" s="504">
        <f>SUM('19 önkormányzat'!K42)</f>
        <v>15566246</v>
      </c>
      <c r="L39" s="504">
        <f>SUM('19 önkormányzat'!L42)</f>
        <v>15566246</v>
      </c>
    </row>
    <row r="40" spans="1:12" ht="12.75" customHeight="1">
      <c r="A40" s="384" t="s">
        <v>120</v>
      </c>
      <c r="B40" s="384"/>
      <c r="C40" s="1912" t="s">
        <v>187</v>
      </c>
      <c r="D40" s="1912"/>
      <c r="E40" s="504">
        <f>SUM('19 önkormányzat'!E46)</f>
        <v>1320741</v>
      </c>
      <c r="F40" s="504">
        <f>SUM('19 önkormányzat'!F46)</f>
        <v>200000</v>
      </c>
      <c r="G40" s="504">
        <f>SUM('19 önkormányzat'!G46)</f>
        <v>200000</v>
      </c>
      <c r="H40" s="504">
        <f>SUM('19 önkormányzat'!H46)</f>
        <v>200000</v>
      </c>
      <c r="I40" s="504">
        <f>SUM('19 önkormányzat'!I46)</f>
        <v>478800</v>
      </c>
      <c r="J40" s="504">
        <f>SUM('19 önkormányzat'!J46)</f>
        <v>937800</v>
      </c>
      <c r="K40" s="504">
        <f>SUM('19 önkormányzat'!K46)</f>
        <v>815220</v>
      </c>
      <c r="L40" s="504">
        <f>SUM('19 önkormányzat'!L46)</f>
        <v>815220</v>
      </c>
    </row>
    <row r="41" spans="1:12" ht="12.75" customHeight="1">
      <c r="A41" s="384" t="s">
        <v>122</v>
      </c>
      <c r="B41" s="384"/>
      <c r="C41" s="1912" t="s">
        <v>189</v>
      </c>
      <c r="D41" s="1912"/>
      <c r="E41" s="504">
        <f>SUM('19 önkormányzat'!E49)</f>
        <v>0</v>
      </c>
      <c r="F41" s="504">
        <f>SUM('19 önkormányzat'!F49)</f>
        <v>0</v>
      </c>
      <c r="G41" s="504">
        <f>SUM('19 önkormányzat'!G49)</f>
        <v>0</v>
      </c>
      <c r="H41" s="504">
        <f>SUM('19 önkormányzat'!H49)</f>
        <v>0</v>
      </c>
      <c r="I41" s="504">
        <f>SUM('19 önkormányzat'!I49)</f>
        <v>0</v>
      </c>
      <c r="J41" s="504">
        <f>SUM('19 önkormányzat'!J49)</f>
        <v>0</v>
      </c>
      <c r="K41" s="504">
        <f>SUM('19 önkormányzat'!K49)</f>
        <v>3200000</v>
      </c>
      <c r="L41" s="504">
        <f>SUM('19 önkormányzat'!L49)</f>
        <v>3200000</v>
      </c>
    </row>
    <row r="42" spans="1:12" ht="12.75" customHeight="1">
      <c r="A42" s="384" t="s">
        <v>124</v>
      </c>
      <c r="B42" s="384"/>
      <c r="C42" s="1912" t="s">
        <v>681</v>
      </c>
      <c r="D42" s="1912"/>
      <c r="E42" s="504">
        <f>SUM('19 önkormányzat'!E51)</f>
        <v>0</v>
      </c>
      <c r="F42" s="504">
        <f>SUM('19 önkormányzat'!F51)</f>
        <v>0</v>
      </c>
      <c r="G42" s="504">
        <f>SUM('19 önkormányzat'!G51)</f>
        <v>0</v>
      </c>
      <c r="H42" s="504">
        <f>SUM('19 önkormányzat'!H51)</f>
        <v>0</v>
      </c>
      <c r="I42" s="504">
        <f>SUM('19 önkormányzat'!I51)</f>
        <v>0</v>
      </c>
      <c r="J42" s="504">
        <f>SUM('19 önkormányzat'!J51)</f>
        <v>0</v>
      </c>
      <c r="K42" s="504">
        <f>SUM('19 önkormányzat'!K51)</f>
        <v>0</v>
      </c>
      <c r="L42" s="504">
        <f>SUM('19 önkormányzat'!L51)</f>
        <v>0</v>
      </c>
    </row>
    <row r="43" spans="1:12" ht="12.75" customHeight="1">
      <c r="A43" s="384" t="s">
        <v>126</v>
      </c>
      <c r="B43" s="384"/>
      <c r="C43" s="1912" t="s">
        <v>222</v>
      </c>
      <c r="D43" s="1912"/>
      <c r="E43" s="504">
        <f>SUM('19 önkormányzat'!E52)</f>
        <v>46294271</v>
      </c>
      <c r="F43" s="504">
        <f>SUM('19 önkormányzat'!F52)</f>
        <v>727099046</v>
      </c>
      <c r="G43" s="504">
        <f>SUM('19 önkormányzat'!G52)</f>
        <v>727099046</v>
      </c>
      <c r="H43" s="504">
        <f>SUM('19 önkormányzat'!H52)</f>
        <v>727099046</v>
      </c>
      <c r="I43" s="504">
        <f>SUM('19 önkormányzat'!I52)</f>
        <v>727099046</v>
      </c>
      <c r="J43" s="504">
        <f>SUM('19 önkormányzat'!J52)</f>
        <v>727099046</v>
      </c>
      <c r="K43" s="504">
        <f>SUM('19 önkormányzat'!K52)</f>
        <v>727099046</v>
      </c>
      <c r="L43" s="504">
        <f>SUM('19 önkormányzat'!L52)</f>
        <v>727099046</v>
      </c>
    </row>
    <row r="44" spans="1:12" ht="12.75" customHeight="1">
      <c r="A44" s="384" t="s">
        <v>128</v>
      </c>
      <c r="B44" s="384"/>
      <c r="C44" s="1912" t="s">
        <v>225</v>
      </c>
      <c r="D44" s="1912"/>
      <c r="E44" s="504">
        <f>SUM('19 önkormányzat'!E55)</f>
        <v>10623632</v>
      </c>
      <c r="F44" s="504">
        <f>SUM('19 önkormányzat'!F55)</f>
        <v>6703536</v>
      </c>
      <c r="G44" s="504">
        <f>SUM('19 önkormányzat'!G55)</f>
        <v>6703536</v>
      </c>
      <c r="H44" s="504">
        <f>SUM('19 önkormányzat'!H55)</f>
        <v>7419080</v>
      </c>
      <c r="I44" s="504">
        <f>SUM('19 önkormányzat'!I55)</f>
        <v>8095569</v>
      </c>
      <c r="J44" s="504">
        <f>SUM('19 önkormányzat'!J55)</f>
        <v>8679084</v>
      </c>
      <c r="K44" s="504">
        <f>SUM('19 önkormányzat'!K55)</f>
        <v>9417924</v>
      </c>
      <c r="L44" s="504">
        <f>SUM('19 önkormányzat'!L55)</f>
        <v>9423918</v>
      </c>
    </row>
    <row r="45" spans="1:12" ht="12.75" customHeight="1" thickBot="1">
      <c r="A45" s="567" t="s">
        <v>130</v>
      </c>
      <c r="B45" s="567"/>
      <c r="C45" s="1911" t="s">
        <v>506</v>
      </c>
      <c r="D45" s="1911"/>
      <c r="E45" s="723">
        <f aca="true" t="shared" si="5" ref="E45:J45">SUM(-E14-E19)-E25-E31</f>
        <v>-270216255</v>
      </c>
      <c r="F45" s="723">
        <f t="shared" si="5"/>
        <v>-276570076</v>
      </c>
      <c r="G45" s="723">
        <f t="shared" si="5"/>
        <v>-277401853</v>
      </c>
      <c r="H45" s="723">
        <f t="shared" si="5"/>
        <v>-277604575</v>
      </c>
      <c r="I45" s="723">
        <f t="shared" si="5"/>
        <v>-277720471</v>
      </c>
      <c r="J45" s="723">
        <f t="shared" si="5"/>
        <v>-279099537</v>
      </c>
      <c r="K45" s="723">
        <f>SUM(-K14-K19)-K25-K31</f>
        <v>-274808735</v>
      </c>
      <c r="L45" s="723">
        <f>SUM(-L14-L19)-L25-L31</f>
        <v>-274808735</v>
      </c>
    </row>
    <row r="46" spans="1:12" s="10" customFormat="1" ht="12.75" customHeight="1" thickBot="1">
      <c r="A46" s="724" t="s">
        <v>131</v>
      </c>
      <c r="B46" s="725"/>
      <c r="C46" s="1905" t="s">
        <v>116</v>
      </c>
      <c r="D46" s="1906"/>
      <c r="E46" s="726">
        <f aca="true" t="shared" si="6" ref="E46:J46">SUM(E9+E17+E22+E28+E34)+E45</f>
        <v>1199775895</v>
      </c>
      <c r="F46" s="726">
        <f t="shared" si="6"/>
        <v>1156069425</v>
      </c>
      <c r="G46" s="726">
        <f t="shared" si="6"/>
        <v>1168180143</v>
      </c>
      <c r="H46" s="726">
        <f t="shared" si="6"/>
        <v>1169501303</v>
      </c>
      <c r="I46" s="726">
        <f t="shared" si="6"/>
        <v>1172980525</v>
      </c>
      <c r="J46" s="726">
        <f t="shared" si="6"/>
        <v>1180558763</v>
      </c>
      <c r="K46" s="726">
        <f>SUM(K9+K17+K22+K28+K34)+K45</f>
        <v>1217317595</v>
      </c>
      <c r="L46" s="726">
        <f>SUM(L9+L17+L22+L28+L34)+L45</f>
        <v>1217323589</v>
      </c>
    </row>
    <row r="47" spans="1:12" ht="12.75" customHeight="1" thickBot="1">
      <c r="A47" s="1903"/>
      <c r="B47" s="1904"/>
      <c r="C47" s="1904"/>
      <c r="D47" s="1904"/>
      <c r="E47"/>
      <c r="F47"/>
      <c r="G47"/>
      <c r="H47"/>
      <c r="I47"/>
      <c r="J47"/>
      <c r="K47"/>
      <c r="L47"/>
    </row>
    <row r="48" spans="1:12" ht="33.75" customHeight="1" thickBot="1">
      <c r="A48" s="1917" t="s">
        <v>156</v>
      </c>
      <c r="B48" s="1917"/>
      <c r="C48" s="716" t="s">
        <v>590</v>
      </c>
      <c r="D48" s="716" t="s">
        <v>520</v>
      </c>
      <c r="E48" s="721" t="s">
        <v>158</v>
      </c>
      <c r="F48" s="721" t="s">
        <v>1002</v>
      </c>
      <c r="G48" s="721" t="s">
        <v>1070</v>
      </c>
      <c r="H48" s="721" t="s">
        <v>1131</v>
      </c>
      <c r="I48" s="721" t="s">
        <v>1141</v>
      </c>
      <c r="J48" s="721" t="s">
        <v>1148</v>
      </c>
      <c r="K48" s="721" t="s">
        <v>1158</v>
      </c>
      <c r="L48" s="721" t="s">
        <v>1181</v>
      </c>
    </row>
    <row r="49" spans="1:12" ht="12.75" customHeight="1" thickBot="1" thickTop="1">
      <c r="A49" s="1918"/>
      <c r="B49" s="1918"/>
      <c r="C49" s="350" t="s">
        <v>159</v>
      </c>
      <c r="D49" s="350" t="s">
        <v>160</v>
      </c>
      <c r="E49" s="351" t="s">
        <v>160</v>
      </c>
      <c r="F49" s="351" t="s">
        <v>161</v>
      </c>
      <c r="G49" s="351" t="s">
        <v>162</v>
      </c>
      <c r="H49" s="351" t="s">
        <v>479</v>
      </c>
      <c r="I49" s="351" t="s">
        <v>499</v>
      </c>
      <c r="J49" s="351" t="s">
        <v>745</v>
      </c>
      <c r="K49" s="351" t="s">
        <v>826</v>
      </c>
      <c r="L49" s="351" t="s">
        <v>830</v>
      </c>
    </row>
    <row r="50" spans="1:12" ht="24.75" customHeight="1" thickTop="1">
      <c r="A50" s="138" t="s">
        <v>38</v>
      </c>
      <c r="B50" s="229" t="s">
        <v>165</v>
      </c>
      <c r="C50" s="92" t="s">
        <v>241</v>
      </c>
      <c r="D50" s="230">
        <f>'15. Óvoda'!D67</f>
        <v>24</v>
      </c>
      <c r="E50" s="313">
        <f aca="true" t="shared" si="7" ref="E50:J50">SUM(E51:E54)</f>
        <v>117782496</v>
      </c>
      <c r="F50" s="313">
        <f t="shared" si="7"/>
        <v>115839992</v>
      </c>
      <c r="G50" s="313">
        <f t="shared" si="7"/>
        <v>117006769</v>
      </c>
      <c r="H50" s="313">
        <f t="shared" si="7"/>
        <v>117036010</v>
      </c>
      <c r="I50" s="313">
        <f t="shared" si="7"/>
        <v>117070189</v>
      </c>
      <c r="J50" s="313">
        <f t="shared" si="7"/>
        <v>118209957</v>
      </c>
      <c r="K50" s="313">
        <f>SUM(K51:K54)</f>
        <v>117182205</v>
      </c>
      <c r="L50" s="313">
        <f>SUM(L51:L54)</f>
        <v>117182205</v>
      </c>
    </row>
    <row r="51" spans="1:12" ht="12.75" customHeight="1">
      <c r="A51" s="143" t="s">
        <v>40</v>
      </c>
      <c r="B51" s="144"/>
      <c r="C51" s="17" t="str">
        <f>'15. Óvoda'!C68</f>
        <v>Ebből: Személyi juttatás</v>
      </c>
      <c r="D51" s="17"/>
      <c r="E51" s="84">
        <f>SUM('15. Óvoda'!E68)</f>
        <v>75126605</v>
      </c>
      <c r="F51" s="84">
        <f>SUM('15. Óvoda'!F68)</f>
        <v>75991799</v>
      </c>
      <c r="G51" s="84">
        <f>SUM('15. Óvoda'!G68)</f>
        <v>76687847</v>
      </c>
      <c r="H51" s="84">
        <f>SUM('15. Óvoda'!H68)</f>
        <v>76712316</v>
      </c>
      <c r="I51" s="84">
        <f>SUM('15. Óvoda'!I68)</f>
        <v>76740918</v>
      </c>
      <c r="J51" s="84">
        <f>SUM('15. Óvoda'!J68)</f>
        <v>77363318</v>
      </c>
      <c r="K51" s="84">
        <f>SUM('15. Óvoda'!K68)</f>
        <v>71870371</v>
      </c>
      <c r="L51" s="84">
        <f>SUM('15. Óvoda'!L68)</f>
        <v>71870371</v>
      </c>
    </row>
    <row r="52" spans="1:12" ht="12.75" customHeight="1">
      <c r="A52" s="143" t="s">
        <v>47</v>
      </c>
      <c r="B52" s="144"/>
      <c r="C52" s="17" t="str">
        <f>'15. Óvoda'!C69</f>
        <v>          Járulékok</v>
      </c>
      <c r="D52" s="17"/>
      <c r="E52" s="84">
        <f>SUM('15. Óvoda'!E69)</f>
        <v>17578583</v>
      </c>
      <c r="F52" s="84">
        <f>SUM('15. Óvoda'!F69)</f>
        <v>15160193</v>
      </c>
      <c r="G52" s="84">
        <f>SUM('15. Óvoda'!G69)</f>
        <v>15295922</v>
      </c>
      <c r="H52" s="84">
        <f>SUM('15. Óvoda'!H69)</f>
        <v>15300694</v>
      </c>
      <c r="I52" s="84">
        <f>SUM('15. Óvoda'!I69)</f>
        <v>15306271</v>
      </c>
      <c r="J52" s="84">
        <f>SUM('15. Óvoda'!J69)</f>
        <v>15427639</v>
      </c>
      <c r="K52" s="84">
        <f>SUM('15. Óvoda'!K69)</f>
        <v>20607189</v>
      </c>
      <c r="L52" s="84">
        <f>SUM('15. Óvoda'!L69)</f>
        <v>20607189</v>
      </c>
    </row>
    <row r="53" spans="1:12" ht="12.75" customHeight="1">
      <c r="A53" s="143" t="s">
        <v>49</v>
      </c>
      <c r="B53" s="144"/>
      <c r="C53" s="17" t="str">
        <f>'15. Óvoda'!C70</f>
        <v>          Dologi kiadás</v>
      </c>
      <c r="D53" s="9"/>
      <c r="E53" s="84">
        <f>SUM('15. Óvoda'!E70)</f>
        <v>24182720</v>
      </c>
      <c r="F53" s="84">
        <f>SUM('15. Óvoda'!F70)</f>
        <v>24188000</v>
      </c>
      <c r="G53" s="84">
        <f>SUM('15. Óvoda'!G70)</f>
        <v>24523000</v>
      </c>
      <c r="H53" s="84">
        <f>SUM('15. Óvoda'!H70)</f>
        <v>24523000</v>
      </c>
      <c r="I53" s="84">
        <f>SUM('15. Óvoda'!I70)</f>
        <v>24523000</v>
      </c>
      <c r="J53" s="84">
        <f>SUM('15. Óvoda'!J70)</f>
        <v>24919000</v>
      </c>
      <c r="K53" s="84">
        <f>SUM('15. Óvoda'!K70)</f>
        <v>23887384</v>
      </c>
      <c r="L53" s="84">
        <f>SUM('15. Óvoda'!L70)</f>
        <v>23887384</v>
      </c>
    </row>
    <row r="54" spans="1:12" ht="12.75" customHeight="1">
      <c r="A54" s="143" t="s">
        <v>51</v>
      </c>
      <c r="B54" s="144"/>
      <c r="C54" s="17" t="s">
        <v>272</v>
      </c>
      <c r="D54" s="17"/>
      <c r="E54" s="84">
        <f>SUM('15. Óvoda'!E71)</f>
        <v>894588</v>
      </c>
      <c r="F54" s="84">
        <f>SUM('15. Óvoda'!F71)</f>
        <v>500000</v>
      </c>
      <c r="G54" s="84">
        <f>SUM('15. Óvoda'!G71)</f>
        <v>500000</v>
      </c>
      <c r="H54" s="84">
        <f>SUM('15. Óvoda'!H71)</f>
        <v>500000</v>
      </c>
      <c r="I54" s="84">
        <f>SUM('15. Óvoda'!I71)</f>
        <v>500000</v>
      </c>
      <c r="J54" s="84">
        <f>SUM('15. Óvoda'!J71)</f>
        <v>500000</v>
      </c>
      <c r="K54" s="84">
        <f>SUM('15. Óvoda'!K71)</f>
        <v>817261</v>
      </c>
      <c r="L54" s="84">
        <f>SUM('15. Óvoda'!L71)</f>
        <v>817261</v>
      </c>
    </row>
    <row r="55" spans="1:12" ht="12.75" customHeight="1">
      <c r="A55" s="138" t="s">
        <v>53</v>
      </c>
      <c r="B55" s="141" t="s">
        <v>167</v>
      </c>
      <c r="C55" s="349" t="s">
        <v>853</v>
      </c>
      <c r="D55" s="17">
        <f>'16. Műv. ház'!D43</f>
        <v>3</v>
      </c>
      <c r="E55" s="66">
        <f aca="true" t="shared" si="8" ref="E55:J55">SUM(E56:E59)</f>
        <v>15216808</v>
      </c>
      <c r="F55" s="66">
        <f t="shared" si="8"/>
        <v>16729452</v>
      </c>
      <c r="G55" s="66">
        <f t="shared" si="8"/>
        <v>16729452</v>
      </c>
      <c r="H55" s="66">
        <f t="shared" si="8"/>
        <v>16902933</v>
      </c>
      <c r="I55" s="66">
        <f t="shared" si="8"/>
        <v>16970549</v>
      </c>
      <c r="J55" s="66">
        <f t="shared" si="8"/>
        <v>17118024</v>
      </c>
      <c r="K55" s="66">
        <f>SUM(K56:K59)</f>
        <v>14325698</v>
      </c>
      <c r="L55" s="66">
        <f>SUM(L56:L59)</f>
        <v>14325698</v>
      </c>
    </row>
    <row r="56" spans="1:12" ht="12.75" customHeight="1">
      <c r="A56" s="143" t="s">
        <v>55</v>
      </c>
      <c r="B56" s="141"/>
      <c r="C56" s="130" t="str">
        <f>'16. Műv. ház'!C44</f>
        <v>Ebből: Személyi juttatás</v>
      </c>
      <c r="D56" s="130"/>
      <c r="E56" s="84">
        <f>SUM('16. Műv. ház'!E44)</f>
        <v>7688879</v>
      </c>
      <c r="F56" s="84">
        <f>SUM('16. Műv. ház'!F44)</f>
        <v>8674148</v>
      </c>
      <c r="G56" s="84">
        <f>SUM('16. Műv. ház'!G44)</f>
        <v>8674148</v>
      </c>
      <c r="H56" s="84">
        <f>SUM('16. Műv. ház'!H44)</f>
        <v>8819320</v>
      </c>
      <c r="I56" s="84">
        <f>SUM('16. Műv. ház'!I44)</f>
        <v>8875902</v>
      </c>
      <c r="J56" s="84">
        <f>SUM('16. Műv. ház'!J44)</f>
        <v>8999304</v>
      </c>
      <c r="K56" s="84">
        <f>SUM('16. Műv. ház'!K44)</f>
        <v>7693140</v>
      </c>
      <c r="L56" s="84">
        <f>SUM('16. Műv. ház'!L44)</f>
        <v>7693140</v>
      </c>
    </row>
    <row r="57" spans="1:12" ht="12.75" customHeight="1">
      <c r="A57" s="143" t="s">
        <v>57</v>
      </c>
      <c r="B57" s="141"/>
      <c r="C57" s="130" t="str">
        <f>'16. Műv. ház'!C45</f>
        <v>          Járulékok</v>
      </c>
      <c r="D57" s="17"/>
      <c r="E57" s="84">
        <f>SUM('16. Műv. ház'!E45)</f>
        <v>1729888</v>
      </c>
      <c r="F57" s="84">
        <f>SUM('16. Műv. ház'!F45)</f>
        <v>1714304</v>
      </c>
      <c r="G57" s="84">
        <f>SUM('16. Műv. ház'!G45)</f>
        <v>1714304</v>
      </c>
      <c r="H57" s="84">
        <f>SUM('16. Műv. ház'!H45)</f>
        <v>1742613</v>
      </c>
      <c r="I57" s="84">
        <f>SUM('16. Műv. ház'!I45)</f>
        <v>1753647</v>
      </c>
      <c r="J57" s="84">
        <f>SUM('16. Műv. ház'!J45)</f>
        <v>1777710</v>
      </c>
      <c r="K57" s="84">
        <f>SUM('16. Műv. ház'!K45)</f>
        <v>1553272</v>
      </c>
      <c r="L57" s="84">
        <f>SUM('16. Műv. ház'!L45)</f>
        <v>1553272</v>
      </c>
    </row>
    <row r="58" spans="1:12" ht="12.75" customHeight="1">
      <c r="A58" s="143" t="s">
        <v>86</v>
      </c>
      <c r="B58" s="141"/>
      <c r="C58" s="130" t="str">
        <f>'16. Műv. ház'!C46</f>
        <v>          Dologi kiadás</v>
      </c>
      <c r="D58" s="9"/>
      <c r="E58" s="84">
        <f>SUM('16. Műv. ház'!E46)</f>
        <v>5094264</v>
      </c>
      <c r="F58" s="84">
        <f>SUM('16. Műv. ház'!F46)</f>
        <v>5841000</v>
      </c>
      <c r="G58" s="84">
        <f>SUM('16. Műv. ház'!G46)</f>
        <v>5841000</v>
      </c>
      <c r="H58" s="84">
        <f>SUM('16. Műv. ház'!H46)</f>
        <v>5841000</v>
      </c>
      <c r="I58" s="84">
        <f>SUM('16. Műv. ház'!I46)</f>
        <v>5841000</v>
      </c>
      <c r="J58" s="84">
        <f>SUM('16. Műv. ház'!J46)</f>
        <v>5841010</v>
      </c>
      <c r="K58" s="84">
        <f>SUM('16. Műv. ház'!K46)</f>
        <v>5015296</v>
      </c>
      <c r="L58" s="84">
        <f>SUM('16. Műv. ház'!L46)</f>
        <v>5015296</v>
      </c>
    </row>
    <row r="59" spans="1:12" ht="12.75" customHeight="1">
      <c r="A59" s="143" t="s">
        <v>59</v>
      </c>
      <c r="B59" s="141"/>
      <c r="C59" s="130" t="s">
        <v>272</v>
      </c>
      <c r="D59" s="9"/>
      <c r="E59" s="84">
        <f>SUM('16. Műv. ház'!E47)</f>
        <v>703777</v>
      </c>
      <c r="F59" s="84">
        <f>SUM('16. Műv. ház'!F47)</f>
        <v>500000</v>
      </c>
      <c r="G59" s="84">
        <f>SUM('16. Műv. ház'!G47)</f>
        <v>500000</v>
      </c>
      <c r="H59" s="84">
        <f>SUM('16. Műv. ház'!H47)</f>
        <v>500000</v>
      </c>
      <c r="I59" s="84">
        <f>SUM('16. Műv. ház'!I47)</f>
        <v>500000</v>
      </c>
      <c r="J59" s="84">
        <f>SUM('16. Műv. ház'!J47)</f>
        <v>500000</v>
      </c>
      <c r="K59" s="84">
        <f>SUM('16. Műv. ház'!K47)</f>
        <v>63990</v>
      </c>
      <c r="L59" s="84">
        <f>SUM('16. Műv. ház'!L47)</f>
        <v>63990</v>
      </c>
    </row>
    <row r="60" spans="1:12" ht="12.75" customHeight="1">
      <c r="A60" s="138" t="s">
        <v>61</v>
      </c>
      <c r="B60" s="141" t="s">
        <v>174</v>
      </c>
      <c r="C60" s="9" t="s">
        <v>313</v>
      </c>
      <c r="D60" s="9">
        <f>'17. Hivatal'!D42</f>
        <v>14</v>
      </c>
      <c r="E60" s="66">
        <f aca="true" t="shared" si="9" ref="E60:J60">SUM(E61:E64)</f>
        <v>80440449</v>
      </c>
      <c r="F60" s="66">
        <f t="shared" si="9"/>
        <v>80284856</v>
      </c>
      <c r="G60" s="66">
        <f t="shared" si="9"/>
        <v>81971115</v>
      </c>
      <c r="H60" s="66">
        <f t="shared" si="9"/>
        <v>81971115</v>
      </c>
      <c r="I60" s="66">
        <f t="shared" si="9"/>
        <v>82486317</v>
      </c>
      <c r="J60" s="66">
        <f t="shared" si="9"/>
        <v>82736317</v>
      </c>
      <c r="K60" s="66">
        <f>SUM(K61:K64)</f>
        <v>82951167</v>
      </c>
      <c r="L60" s="66">
        <f>SUM(L61:L64)</f>
        <v>82951167</v>
      </c>
    </row>
    <row r="61" spans="1:12" ht="12.75" customHeight="1">
      <c r="A61" s="143" t="s">
        <v>63</v>
      </c>
      <c r="B61" s="141"/>
      <c r="C61" s="17" t="str">
        <f>'17. Hivatal'!C43</f>
        <v>Ebből: Személyi juttatás</v>
      </c>
      <c r="D61" s="17"/>
      <c r="E61" s="84">
        <f>SUM('17. Hivatal'!E43)</f>
        <v>56426973</v>
      </c>
      <c r="F61" s="84">
        <f>SUM('17. Hivatal'!F43)</f>
        <v>58349912</v>
      </c>
      <c r="G61" s="84">
        <f>SUM('17. Hivatal'!G43)</f>
        <v>59185112</v>
      </c>
      <c r="H61" s="84">
        <f>SUM('17. Hivatal'!H43)</f>
        <v>59287149</v>
      </c>
      <c r="I61" s="84">
        <f>SUM('17. Hivatal'!I43)</f>
        <v>59357149</v>
      </c>
      <c r="J61" s="84">
        <f>SUM('17. Hivatal'!J43)</f>
        <v>59357149</v>
      </c>
      <c r="K61" s="84">
        <f>SUM('17. Hivatal'!K43)</f>
        <v>60086306</v>
      </c>
      <c r="L61" s="84">
        <f>SUM('17. Hivatal'!L43)</f>
        <v>60086306</v>
      </c>
    </row>
    <row r="62" spans="1:12" ht="12.75" customHeight="1">
      <c r="A62" s="143" t="s">
        <v>65</v>
      </c>
      <c r="B62" s="141"/>
      <c r="C62" s="17" t="str">
        <f>'17. Hivatal'!C44</f>
        <v>          Járulékok</v>
      </c>
      <c r="D62" s="9"/>
      <c r="E62" s="84">
        <f>SUM('17. Hivatal'!E44)</f>
        <v>12600977</v>
      </c>
      <c r="F62" s="84">
        <f>SUM('17. Hivatal'!F44)</f>
        <v>11434944</v>
      </c>
      <c r="G62" s="84">
        <f>SUM('17. Hivatal'!G44)</f>
        <v>11605922</v>
      </c>
      <c r="H62" s="84">
        <f>SUM('17. Hivatal'!H44)</f>
        <v>11625549</v>
      </c>
      <c r="I62" s="84">
        <f>SUM('17. Hivatal'!I44)</f>
        <v>11639199</v>
      </c>
      <c r="J62" s="84">
        <f>SUM('17. Hivatal'!J44)</f>
        <v>11639199</v>
      </c>
      <c r="K62" s="84">
        <f>SUM('17. Hivatal'!K44)</f>
        <v>11807570</v>
      </c>
      <c r="L62" s="84">
        <f>SUM('17. Hivatal'!L44)</f>
        <v>11807570</v>
      </c>
    </row>
    <row r="63" spans="1:12" ht="12.75" customHeight="1">
      <c r="A63" s="143" t="s">
        <v>92</v>
      </c>
      <c r="B63" s="141"/>
      <c r="C63" s="17" t="str">
        <f>'17. Hivatal'!C45</f>
        <v>          Dologi kiadás</v>
      </c>
      <c r="D63" s="17"/>
      <c r="E63" s="84">
        <f>SUM('17. Hivatal'!E45)</f>
        <v>10127032</v>
      </c>
      <c r="F63" s="84">
        <f>SUM('17. Hivatal'!F45)</f>
        <v>10000000</v>
      </c>
      <c r="G63" s="84">
        <f>SUM('17. Hivatal'!G45)</f>
        <v>10680081</v>
      </c>
      <c r="H63" s="84">
        <f>SUM('17. Hivatal'!H45)</f>
        <v>10558417</v>
      </c>
      <c r="I63" s="84">
        <f>SUM('17. Hivatal'!I45)</f>
        <v>10989969</v>
      </c>
      <c r="J63" s="84">
        <f>SUM('17. Hivatal'!J45)</f>
        <v>11239969</v>
      </c>
      <c r="K63" s="84">
        <f>SUM('17. Hivatal'!K45)</f>
        <v>10845813</v>
      </c>
      <c r="L63" s="84">
        <f>SUM('17. Hivatal'!L45)</f>
        <v>10845813</v>
      </c>
    </row>
    <row r="64" spans="1:12" ht="12.75" customHeight="1">
      <c r="A64" s="143" t="s">
        <v>66</v>
      </c>
      <c r="B64" s="141"/>
      <c r="C64" s="17" t="s">
        <v>272</v>
      </c>
      <c r="D64" s="17"/>
      <c r="E64" s="84">
        <f>SUM('17. Hivatal'!E46)</f>
        <v>1285467</v>
      </c>
      <c r="F64" s="84">
        <f>SUM('17. Hivatal'!F46)</f>
        <v>500000</v>
      </c>
      <c r="G64" s="84">
        <f>SUM('17. Hivatal'!G46)</f>
        <v>500000</v>
      </c>
      <c r="H64" s="84">
        <f>SUM('17. Hivatal'!H46)</f>
        <v>500000</v>
      </c>
      <c r="I64" s="84">
        <f>SUM('17. Hivatal'!I46)</f>
        <v>500000</v>
      </c>
      <c r="J64" s="84">
        <f>SUM('17. Hivatal'!J46)</f>
        <v>500000</v>
      </c>
      <c r="K64" s="84">
        <f>SUM('17. Hivatal'!K46)</f>
        <v>211478</v>
      </c>
      <c r="L64" s="84">
        <f>SUM('17. Hivatal'!L46)</f>
        <v>211478</v>
      </c>
    </row>
    <row r="65" spans="1:12" s="10" customFormat="1" ht="12.75" customHeight="1">
      <c r="A65" s="138" t="s">
        <v>67</v>
      </c>
      <c r="B65" s="141" t="s">
        <v>184</v>
      </c>
      <c r="C65" s="9" t="s">
        <v>591</v>
      </c>
      <c r="D65" s="9">
        <v>18</v>
      </c>
      <c r="E65" s="66">
        <f aca="true" t="shared" si="10" ref="E65:J65">SUM(E66:E69)</f>
        <v>85930085</v>
      </c>
      <c r="F65" s="66">
        <f t="shared" si="10"/>
        <v>88766565</v>
      </c>
      <c r="G65" s="66">
        <f t="shared" si="10"/>
        <v>88766565</v>
      </c>
      <c r="H65" s="66">
        <f t="shared" si="10"/>
        <v>88766565</v>
      </c>
      <c r="I65" s="66">
        <f t="shared" si="10"/>
        <v>88780666</v>
      </c>
      <c r="J65" s="66">
        <f t="shared" si="10"/>
        <v>89894422</v>
      </c>
      <c r="K65" s="66">
        <f>SUM(K66:K69)</f>
        <v>92965316</v>
      </c>
      <c r="L65" s="66">
        <f>SUM(L66:L69)</f>
        <v>92965316</v>
      </c>
    </row>
    <row r="66" spans="1:12" ht="12.75" customHeight="1">
      <c r="A66" s="143" t="s">
        <v>68</v>
      </c>
      <c r="B66" s="141"/>
      <c r="C66" s="17" t="s">
        <v>253</v>
      </c>
      <c r="D66" s="9"/>
      <c r="E66" s="84">
        <f>SUM('18. VÜKI'!E85)</f>
        <v>41766898</v>
      </c>
      <c r="F66" s="84">
        <f>SUM('18. VÜKI'!F85)</f>
        <v>43850555</v>
      </c>
      <c r="G66" s="84">
        <f>SUM('18. VÜKI'!G85)</f>
        <v>43850555</v>
      </c>
      <c r="H66" s="84">
        <f>SUM('18. VÜKI'!H85)</f>
        <v>43850555</v>
      </c>
      <c r="I66" s="84">
        <f>SUM('18. VÜKI'!I85)</f>
        <v>43862355</v>
      </c>
      <c r="J66" s="84">
        <f>SUM('18. VÜKI'!J85)</f>
        <v>44763398</v>
      </c>
      <c r="K66" s="84">
        <f>SUM('18. VÜKI'!K85)</f>
        <v>38651192</v>
      </c>
      <c r="L66" s="84">
        <f>SUM('18. VÜKI'!L85)</f>
        <v>38651192</v>
      </c>
    </row>
    <row r="67" spans="1:12" ht="12.75" customHeight="1">
      <c r="A67" s="143" t="s">
        <v>70</v>
      </c>
      <c r="B67" s="141"/>
      <c r="C67" s="17" t="s">
        <v>592</v>
      </c>
      <c r="D67" s="9"/>
      <c r="E67" s="84">
        <f>SUM('18. VÜKI'!E86)</f>
        <v>8721382</v>
      </c>
      <c r="F67" s="84">
        <f>SUM('18. VÜKI'!F86)</f>
        <v>8626010</v>
      </c>
      <c r="G67" s="84">
        <f>SUM('18. VÜKI'!G86)</f>
        <v>8626010</v>
      </c>
      <c r="H67" s="84">
        <f>SUM('18. VÜKI'!H86)</f>
        <v>8626010</v>
      </c>
      <c r="I67" s="84">
        <f>SUM('18. VÜKI'!I86)</f>
        <v>8628311</v>
      </c>
      <c r="J67" s="84">
        <f>SUM('18. VÜKI'!J86)</f>
        <v>8804014</v>
      </c>
      <c r="K67" s="84">
        <f>SUM('18. VÜKI'!K86)</f>
        <v>10626743</v>
      </c>
      <c r="L67" s="84">
        <f>SUM('18. VÜKI'!L86)</f>
        <v>10626743</v>
      </c>
    </row>
    <row r="68" spans="1:12" ht="12.75" customHeight="1">
      <c r="A68" s="143" t="s">
        <v>97</v>
      </c>
      <c r="B68" s="141"/>
      <c r="C68" s="17" t="s">
        <v>359</v>
      </c>
      <c r="D68" s="9"/>
      <c r="E68" s="84">
        <f>SUM('18. VÜKI'!E87)</f>
        <v>34671262</v>
      </c>
      <c r="F68" s="84">
        <f>SUM('18. VÜKI'!F87)</f>
        <v>35790000</v>
      </c>
      <c r="G68" s="84">
        <f>SUM('18. VÜKI'!G87)</f>
        <v>35790000</v>
      </c>
      <c r="H68" s="84">
        <f>SUM('18. VÜKI'!H87)</f>
        <v>35790000</v>
      </c>
      <c r="I68" s="84">
        <f>SUM('18. VÜKI'!I87)</f>
        <v>35790000</v>
      </c>
      <c r="J68" s="84">
        <f>SUM('18. VÜKI'!J87)</f>
        <v>35827010</v>
      </c>
      <c r="K68" s="84">
        <f>SUM('18. VÜKI'!K87)</f>
        <v>42206364</v>
      </c>
      <c r="L68" s="84">
        <f>SUM('18. VÜKI'!L87)</f>
        <v>42206364</v>
      </c>
    </row>
    <row r="69" spans="1:12" ht="12.75" customHeight="1">
      <c r="A69" s="143" t="s">
        <v>99</v>
      </c>
      <c r="B69" s="141"/>
      <c r="C69" s="17" t="s">
        <v>272</v>
      </c>
      <c r="D69" s="9"/>
      <c r="E69" s="84">
        <f>'18. VÜKI'!E88</f>
        <v>770543</v>
      </c>
      <c r="F69" s="84">
        <f>'18. VÜKI'!F88</f>
        <v>500000</v>
      </c>
      <c r="G69" s="84">
        <f>'18. VÜKI'!G88</f>
        <v>500000</v>
      </c>
      <c r="H69" s="84">
        <f>'18. VÜKI'!H88</f>
        <v>500000</v>
      </c>
      <c r="I69" s="84">
        <f>'18. VÜKI'!I88</f>
        <v>500000</v>
      </c>
      <c r="J69" s="84">
        <f>'18. VÜKI'!J88</f>
        <v>500000</v>
      </c>
      <c r="K69" s="84">
        <f>'18. VÜKI'!K88</f>
        <v>1481017</v>
      </c>
      <c r="L69" s="84">
        <f>'18. VÜKI'!L88</f>
        <v>1481017</v>
      </c>
    </row>
    <row r="70" spans="1:12" ht="12.75" customHeight="1">
      <c r="A70" s="138" t="s">
        <v>101</v>
      </c>
      <c r="B70" s="141" t="s">
        <v>185</v>
      </c>
      <c r="C70" s="9" t="s">
        <v>2</v>
      </c>
      <c r="D70" s="9">
        <v>4</v>
      </c>
      <c r="E70" s="66">
        <f aca="true" t="shared" si="11" ref="E70:J70">SUM(E71:E83)</f>
        <v>1168351332</v>
      </c>
      <c r="F70" s="66">
        <f t="shared" si="11"/>
        <v>1131018636</v>
      </c>
      <c r="G70" s="66">
        <f t="shared" si="11"/>
        <v>1141108095</v>
      </c>
      <c r="H70" s="66">
        <f t="shared" si="11"/>
        <v>1142429255</v>
      </c>
      <c r="I70" s="66">
        <f t="shared" si="11"/>
        <v>1145393275</v>
      </c>
      <c r="J70" s="66">
        <f t="shared" si="11"/>
        <v>1151699580</v>
      </c>
      <c r="K70" s="66">
        <f>SUM(K71:K83)</f>
        <v>1180288887</v>
      </c>
      <c r="L70" s="66">
        <f>SUM(L71:L83)</f>
        <v>1184707938</v>
      </c>
    </row>
    <row r="71" spans="1:12" ht="12.75" customHeight="1">
      <c r="A71" s="143" t="s">
        <v>103</v>
      </c>
      <c r="B71" s="141"/>
      <c r="C71" s="17" t="s">
        <v>253</v>
      </c>
      <c r="D71" s="9"/>
      <c r="E71" s="84">
        <f>SUM('19 önkormányzat'!E133)</f>
        <v>26918127</v>
      </c>
      <c r="F71" s="84">
        <f>SUM('19 önkormányzat'!F133)</f>
        <v>16733537</v>
      </c>
      <c r="G71" s="84">
        <f>SUM('19 önkormányzat'!G133)</f>
        <v>22208937</v>
      </c>
      <c r="H71" s="84">
        <f>SUM('19 önkormányzat'!H133)</f>
        <v>22208937</v>
      </c>
      <c r="I71" s="84">
        <f>SUM('19 önkormányzat'!I133)</f>
        <v>23227223</v>
      </c>
      <c r="J71" s="84">
        <f>SUM('19 önkormányzat'!J133)</f>
        <v>24949098</v>
      </c>
      <c r="K71" s="84">
        <f>SUM('19 önkormányzat'!K133)</f>
        <v>24657111</v>
      </c>
      <c r="L71" s="84">
        <f>SUM('19 önkormányzat'!L133)</f>
        <v>24657111</v>
      </c>
    </row>
    <row r="72" spans="1:12" ht="12.75" customHeight="1">
      <c r="A72" s="143" t="s">
        <v>105</v>
      </c>
      <c r="B72" s="141"/>
      <c r="C72" s="17" t="s">
        <v>592</v>
      </c>
      <c r="D72" s="17"/>
      <c r="E72" s="84">
        <f>SUM('19 önkormányzat'!E134)</f>
        <v>5515431</v>
      </c>
      <c r="F72" s="84">
        <f>SUM('19 önkormányzat'!F134)</f>
        <v>3160667</v>
      </c>
      <c r="G72" s="84">
        <f>SUM('19 önkormányzat'!G134)</f>
        <v>4164937</v>
      </c>
      <c r="H72" s="84">
        <f>SUM('19 önkormányzat'!H134)</f>
        <v>4164937</v>
      </c>
      <c r="I72" s="84">
        <f>SUM('19 önkormányzat'!I134)</f>
        <v>4346668</v>
      </c>
      <c r="J72" s="84">
        <f>SUM('19 önkormányzat'!J134)</f>
        <v>4723754</v>
      </c>
      <c r="K72" s="84">
        <f>SUM('19 önkormányzat'!K134)</f>
        <v>4122203</v>
      </c>
      <c r="L72" s="84">
        <f>SUM('19 önkormányzat'!L134)</f>
        <v>4122203</v>
      </c>
    </row>
    <row r="73" spans="1:12" ht="12.75" customHeight="1">
      <c r="A73" s="143" t="s">
        <v>107</v>
      </c>
      <c r="B73" s="144"/>
      <c r="C73" s="17" t="s">
        <v>359</v>
      </c>
      <c r="D73" s="17"/>
      <c r="E73" s="84">
        <f>SUM('19 önkormányzat'!E135)</f>
        <v>64164495</v>
      </c>
      <c r="F73" s="84">
        <f>SUM('19 önkormányzat'!F135)</f>
        <v>60233320</v>
      </c>
      <c r="G73" s="84">
        <f>SUM('19 önkormányzat'!G135)</f>
        <v>69436267</v>
      </c>
      <c r="H73" s="84">
        <f>SUM('19 önkormányzat'!H135)</f>
        <v>53828790</v>
      </c>
      <c r="I73" s="84">
        <f>SUM('19 önkormányzat'!I135)</f>
        <v>78807977</v>
      </c>
      <c r="J73" s="84">
        <f>SUM('19 önkormányzat'!J135)</f>
        <v>81330382</v>
      </c>
      <c r="K73" s="84">
        <f>SUM('19 önkormányzat'!K135)</f>
        <v>97469979</v>
      </c>
      <c r="L73" s="84">
        <f>SUM('19 önkormányzat'!L135)</f>
        <v>97469979</v>
      </c>
    </row>
    <row r="74" spans="1:12" ht="12.75" customHeight="1">
      <c r="A74" s="143" t="s">
        <v>109</v>
      </c>
      <c r="B74" s="144"/>
      <c r="C74" s="17" t="s">
        <v>722</v>
      </c>
      <c r="D74" s="130"/>
      <c r="E74" s="84">
        <v>4659500</v>
      </c>
      <c r="F74" s="84">
        <v>5194000</v>
      </c>
      <c r="G74" s="84">
        <v>5194000</v>
      </c>
      <c r="H74" s="84">
        <v>5194000</v>
      </c>
      <c r="I74" s="84">
        <v>5194000</v>
      </c>
      <c r="J74" s="84">
        <v>5194000</v>
      </c>
      <c r="K74" s="84">
        <v>3627050</v>
      </c>
      <c r="L74" s="84">
        <v>3627050</v>
      </c>
    </row>
    <row r="75" spans="1:12" ht="12.75" customHeight="1">
      <c r="A75" s="143" t="s">
        <v>111</v>
      </c>
      <c r="B75" s="148"/>
      <c r="C75" s="17" t="s">
        <v>593</v>
      </c>
      <c r="D75" s="130"/>
      <c r="E75" s="84">
        <f>SUM('19 önkormányzat'!E138)</f>
        <v>33983308</v>
      </c>
      <c r="F75" s="84">
        <f>SUM('19 önkormányzat'!F138)</f>
        <v>34762413</v>
      </c>
      <c r="G75" s="84">
        <f>SUM('19 önkormányzat'!G138)</f>
        <v>36221964</v>
      </c>
      <c r="H75" s="84">
        <f>SUM('19 önkormányzat'!H138)</f>
        <v>36221964</v>
      </c>
      <c r="I75" s="84">
        <f>SUM('19 önkormányzat'!I138)</f>
        <v>36221964</v>
      </c>
      <c r="J75" s="84">
        <f>SUM('19 önkormányzat'!J138)</f>
        <v>36221964</v>
      </c>
      <c r="K75" s="84">
        <f>SUM('19 önkormányzat'!K138)</f>
        <v>36353822</v>
      </c>
      <c r="L75" s="84">
        <f>SUM('19 önkormányzat'!L138)</f>
        <v>40766879</v>
      </c>
    </row>
    <row r="76" spans="1:12" ht="12.75" customHeight="1">
      <c r="A76" s="143" t="s">
        <v>113</v>
      </c>
      <c r="B76" s="148"/>
      <c r="C76" s="17" t="s">
        <v>594</v>
      </c>
      <c r="D76" s="9"/>
      <c r="E76" s="84">
        <f>SUM('19 önkormányzat'!E139)</f>
        <v>37258268</v>
      </c>
      <c r="F76" s="84">
        <f>SUM('19 önkormányzat'!F139)</f>
        <v>12400000</v>
      </c>
      <c r="G76" s="84">
        <f>SUM('19 önkormányzat'!G139)</f>
        <v>20080313</v>
      </c>
      <c r="H76" s="84">
        <f>SUM('19 önkormányzat'!H139)</f>
        <v>33440313</v>
      </c>
      <c r="I76" s="84">
        <f>SUM('19 önkormányzat'!I139)</f>
        <v>33440313</v>
      </c>
      <c r="J76" s="84">
        <f>SUM('19 önkormányzat'!J139)</f>
        <v>36863771</v>
      </c>
      <c r="K76" s="84">
        <f>SUM('19 önkormányzat'!K139)</f>
        <v>54806758</v>
      </c>
      <c r="L76" s="84">
        <f>SUM('19 önkormányzat'!L139)</f>
        <v>54806758</v>
      </c>
    </row>
    <row r="77" spans="1:12" ht="13.5" customHeight="1">
      <c r="A77" s="143" t="s">
        <v>115</v>
      </c>
      <c r="B77" s="148"/>
      <c r="C77" s="17" t="s">
        <v>595</v>
      </c>
      <c r="D77" s="17"/>
      <c r="E77" s="84">
        <f>SUM('19 önkormányzat'!E131)</f>
        <v>270216255</v>
      </c>
      <c r="F77" s="84">
        <f>SUM('19 önkormányzat'!F131)</f>
        <v>276570076</v>
      </c>
      <c r="G77" s="84">
        <f>SUM('19 önkormányzat'!G131)</f>
        <v>277401853</v>
      </c>
      <c r="H77" s="84">
        <f>SUM('19 önkormányzat'!H131)</f>
        <v>277604575</v>
      </c>
      <c r="I77" s="84">
        <f>SUM('19 önkormányzat'!I131)</f>
        <v>277720471</v>
      </c>
      <c r="J77" s="84">
        <f>SUM('19 önkormányzat'!J131)</f>
        <v>279099537</v>
      </c>
      <c r="K77" s="84">
        <f>SUM('19 önkormányzat'!K131)</f>
        <v>274808735</v>
      </c>
      <c r="L77" s="84">
        <f>SUM('19 önkormányzat'!L131)</f>
        <v>274808735</v>
      </c>
    </row>
    <row r="78" spans="1:12" ht="13.5" customHeight="1">
      <c r="A78" s="143" t="s">
        <v>117</v>
      </c>
      <c r="B78" s="148"/>
      <c r="C78" s="17" t="s">
        <v>276</v>
      </c>
      <c r="D78" s="17"/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</row>
    <row r="79" spans="1:12" ht="13.5" customHeight="1">
      <c r="A79" s="143" t="s">
        <v>118</v>
      </c>
      <c r="B79" s="148"/>
      <c r="C79" s="17" t="s">
        <v>723</v>
      </c>
      <c r="D79" s="17"/>
      <c r="E79" s="84">
        <v>53488</v>
      </c>
      <c r="F79" s="84"/>
      <c r="G79" s="84"/>
      <c r="H79" s="84"/>
      <c r="I79" s="84"/>
      <c r="J79" s="84"/>
      <c r="K79" s="84"/>
      <c r="L79" s="84"/>
    </row>
    <row r="80" spans="1:12" ht="29.25" customHeight="1">
      <c r="A80" s="143" t="s">
        <v>120</v>
      </c>
      <c r="B80" s="148"/>
      <c r="C80" s="123" t="s">
        <v>274</v>
      </c>
      <c r="D80" s="17"/>
      <c r="E80" s="84">
        <v>10321373</v>
      </c>
      <c r="F80" s="84">
        <v>6703536</v>
      </c>
      <c r="G80" s="84">
        <v>6703536</v>
      </c>
      <c r="H80" s="84">
        <v>7419080</v>
      </c>
      <c r="I80" s="84">
        <v>8095569</v>
      </c>
      <c r="J80" s="84">
        <v>8679084</v>
      </c>
      <c r="K80" s="84">
        <v>9086397</v>
      </c>
      <c r="L80" s="84">
        <v>9092391</v>
      </c>
    </row>
    <row r="81" spans="1:12" ht="29.25" customHeight="1">
      <c r="A81" s="143" t="s">
        <v>122</v>
      </c>
      <c r="B81" s="148"/>
      <c r="C81" s="123" t="s">
        <v>725</v>
      </c>
      <c r="D81" s="17"/>
      <c r="E81" s="84"/>
      <c r="F81" s="84"/>
      <c r="G81" s="84"/>
      <c r="H81" s="84"/>
      <c r="I81" s="84"/>
      <c r="J81" s="84"/>
      <c r="K81" s="84">
        <v>10729481</v>
      </c>
      <c r="L81" s="84">
        <v>10729481</v>
      </c>
    </row>
    <row r="82" spans="1:12" ht="12.75">
      <c r="A82" s="143" t="s">
        <v>124</v>
      </c>
      <c r="B82" s="148"/>
      <c r="C82" s="123" t="s">
        <v>724</v>
      </c>
      <c r="D82" s="17"/>
      <c r="E82" s="84"/>
      <c r="F82" s="84"/>
      <c r="G82" s="84"/>
      <c r="H82" s="84"/>
      <c r="I82" s="84"/>
      <c r="J82" s="84"/>
      <c r="K82" s="84"/>
      <c r="L82" s="84"/>
    </row>
    <row r="83" spans="1:12" ht="12.75" customHeight="1">
      <c r="A83" s="143" t="s">
        <v>126</v>
      </c>
      <c r="B83" s="148"/>
      <c r="C83" s="17" t="s">
        <v>541</v>
      </c>
      <c r="D83" s="17"/>
      <c r="E83" s="84">
        <v>715261087</v>
      </c>
      <c r="F83" s="84">
        <v>715261087</v>
      </c>
      <c r="G83" s="84">
        <v>699696288</v>
      </c>
      <c r="H83" s="84">
        <v>702346659</v>
      </c>
      <c r="I83" s="84">
        <v>678339090</v>
      </c>
      <c r="J83" s="84">
        <v>674637990</v>
      </c>
      <c r="K83" s="84">
        <v>664627351</v>
      </c>
      <c r="L83" s="84">
        <v>664627351</v>
      </c>
    </row>
    <row r="84" spans="1:12" s="10" customFormat="1" ht="12.75" customHeight="1">
      <c r="A84" s="352" t="s">
        <v>128</v>
      </c>
      <c r="B84" s="353"/>
      <c r="C84" s="354" t="s">
        <v>571</v>
      </c>
      <c r="D84" s="354"/>
      <c r="E84" s="355">
        <f aca="true" t="shared" si="12" ref="E84:J84">E50+E55+E60+E70-E77+E65</f>
        <v>1197504915</v>
      </c>
      <c r="F84" s="355">
        <f t="shared" si="12"/>
        <v>1156069425</v>
      </c>
      <c r="G84" s="355">
        <f t="shared" si="12"/>
        <v>1168180143</v>
      </c>
      <c r="H84" s="355">
        <f t="shared" si="12"/>
        <v>1169501303</v>
      </c>
      <c r="I84" s="355">
        <f t="shared" si="12"/>
        <v>1172980525</v>
      </c>
      <c r="J84" s="355">
        <f t="shared" si="12"/>
        <v>1180558763</v>
      </c>
      <c r="K84" s="355">
        <f>K50+K55+K60+K70-K77+K65</f>
        <v>1212904538</v>
      </c>
      <c r="L84" s="355">
        <f>L50+L55+L60+L70-L77+L65</f>
        <v>1217323589</v>
      </c>
    </row>
    <row r="85" spans="1:12" ht="12.75" customHeight="1">
      <c r="A85" s="352" t="s">
        <v>130</v>
      </c>
      <c r="B85" s="356"/>
      <c r="C85" s="357" t="s">
        <v>596</v>
      </c>
      <c r="D85" s="358"/>
      <c r="E85" s="359">
        <f aca="true" t="shared" si="13" ref="E85:J85">E84+E77</f>
        <v>1467721170</v>
      </c>
      <c r="F85" s="359">
        <f t="shared" si="13"/>
        <v>1432639501</v>
      </c>
      <c r="G85" s="359">
        <f t="shared" si="13"/>
        <v>1445581996</v>
      </c>
      <c r="H85" s="359">
        <f t="shared" si="13"/>
        <v>1447105878</v>
      </c>
      <c r="I85" s="359">
        <f t="shared" si="13"/>
        <v>1450700996</v>
      </c>
      <c r="J85" s="359">
        <f t="shared" si="13"/>
        <v>1459658300</v>
      </c>
      <c r="K85" s="359">
        <f>K84+K77</f>
        <v>1487713273</v>
      </c>
      <c r="L85" s="359">
        <f>L84+L77</f>
        <v>1492132324</v>
      </c>
    </row>
    <row r="86" spans="1:12" ht="12.75" customHeight="1">
      <c r="A86" s="143" t="s">
        <v>131</v>
      </c>
      <c r="B86" s="103"/>
      <c r="C86" s="360" t="s">
        <v>597</v>
      </c>
      <c r="D86" s="103"/>
      <c r="E86" s="84"/>
      <c r="F86" s="84"/>
      <c r="G86" s="84"/>
      <c r="H86" s="84"/>
      <c r="I86" s="84"/>
      <c r="J86" s="84"/>
      <c r="K86" s="84"/>
      <c r="L86" s="84"/>
    </row>
    <row r="87" spans="1:12" ht="12.75" customHeight="1">
      <c r="A87" s="143" t="s">
        <v>133</v>
      </c>
      <c r="B87" s="103"/>
      <c r="C87" s="223" t="s">
        <v>598</v>
      </c>
      <c r="D87" s="103"/>
      <c r="E87" s="84">
        <f aca="true" t="shared" si="14" ref="E87:J87">E51+E56+E61+E66+E71</f>
        <v>207927482</v>
      </c>
      <c r="F87" s="84">
        <f t="shared" si="14"/>
        <v>203599951</v>
      </c>
      <c r="G87" s="84">
        <f t="shared" si="14"/>
        <v>210606599</v>
      </c>
      <c r="H87" s="84">
        <f t="shared" si="14"/>
        <v>210878277</v>
      </c>
      <c r="I87" s="84">
        <f t="shared" si="14"/>
        <v>212063547</v>
      </c>
      <c r="J87" s="84">
        <f t="shared" si="14"/>
        <v>215432267</v>
      </c>
      <c r="K87" s="84">
        <f>K51+K56+K61+K66+K71</f>
        <v>202958120</v>
      </c>
      <c r="L87" s="84">
        <f>L51+L56+L61+L66+L71</f>
        <v>202958120</v>
      </c>
    </row>
    <row r="88" spans="1:12" ht="12.75" customHeight="1">
      <c r="A88" s="143" t="s">
        <v>135</v>
      </c>
      <c r="B88" s="103"/>
      <c r="C88" s="223" t="s">
        <v>599</v>
      </c>
      <c r="D88" s="103"/>
      <c r="E88" s="84">
        <f aca="true" t="shared" si="15" ref="E88:J88">E72+E67+E62+E57+E52</f>
        <v>46146261</v>
      </c>
      <c r="F88" s="84">
        <f t="shared" si="15"/>
        <v>40096118</v>
      </c>
      <c r="G88" s="84">
        <f t="shared" si="15"/>
        <v>41407095</v>
      </c>
      <c r="H88" s="84">
        <f t="shared" si="15"/>
        <v>41459803</v>
      </c>
      <c r="I88" s="84">
        <f t="shared" si="15"/>
        <v>41674096</v>
      </c>
      <c r="J88" s="84">
        <f t="shared" si="15"/>
        <v>42372316</v>
      </c>
      <c r="K88" s="84">
        <f>K72+K67+K62+K57+K52</f>
        <v>48716977</v>
      </c>
      <c r="L88" s="84">
        <f>L72+L67+L62+L57+L52</f>
        <v>48716977</v>
      </c>
    </row>
    <row r="89" spans="1:12" ht="12.75" customHeight="1">
      <c r="A89" s="143" t="s">
        <v>137</v>
      </c>
      <c r="B89" s="103"/>
      <c r="C89" s="223" t="s">
        <v>600</v>
      </c>
      <c r="D89" s="103"/>
      <c r="E89" s="84">
        <f aca="true" t="shared" si="16" ref="E89:J89">E53+E58+E63+E68+E73</f>
        <v>138239773</v>
      </c>
      <c r="F89" s="84">
        <f t="shared" si="16"/>
        <v>136052320</v>
      </c>
      <c r="G89" s="84">
        <f t="shared" si="16"/>
        <v>146270348</v>
      </c>
      <c r="H89" s="84">
        <f t="shared" si="16"/>
        <v>130541207</v>
      </c>
      <c r="I89" s="84">
        <f t="shared" si="16"/>
        <v>155951946</v>
      </c>
      <c r="J89" s="84">
        <f t="shared" si="16"/>
        <v>159157371</v>
      </c>
      <c r="K89" s="84">
        <f>K53+K58+K63+K68+K73</f>
        <v>179424836</v>
      </c>
      <c r="L89" s="84">
        <f>L53+L58+L63+L68+L73</f>
        <v>179424836</v>
      </c>
    </row>
    <row r="90" spans="1:12" s="10" customFormat="1" ht="12.75" customHeight="1">
      <c r="A90" s="138" t="s">
        <v>139</v>
      </c>
      <c r="B90" s="102"/>
      <c r="C90" s="361" t="s">
        <v>25</v>
      </c>
      <c r="D90" s="89"/>
      <c r="E90" s="89">
        <f aca="true" t="shared" si="17" ref="E90:J90">SUM(E87:E89)</f>
        <v>392313516</v>
      </c>
      <c r="F90" s="89">
        <f t="shared" si="17"/>
        <v>379748389</v>
      </c>
      <c r="G90" s="89">
        <f t="shared" si="17"/>
        <v>398284042</v>
      </c>
      <c r="H90" s="89">
        <f t="shared" si="17"/>
        <v>382879287</v>
      </c>
      <c r="I90" s="89">
        <f t="shared" si="17"/>
        <v>409689589</v>
      </c>
      <c r="J90" s="89">
        <f t="shared" si="17"/>
        <v>416961954</v>
      </c>
      <c r="K90" s="89">
        <f>SUM(K87:K89)</f>
        <v>431099933</v>
      </c>
      <c r="L90" s="89">
        <f>SUM(L87:L89)</f>
        <v>431099933</v>
      </c>
    </row>
    <row r="91" spans="1:12" s="10" customFormat="1" ht="12.75" customHeight="1">
      <c r="A91" s="143" t="s">
        <v>141</v>
      </c>
      <c r="B91" s="102"/>
      <c r="C91" s="223" t="s">
        <v>259</v>
      </c>
      <c r="D91" s="102"/>
      <c r="E91" s="84">
        <f aca="true" t="shared" si="18" ref="E91:J91">E75</f>
        <v>33983308</v>
      </c>
      <c r="F91" s="84">
        <f t="shared" si="18"/>
        <v>34762413</v>
      </c>
      <c r="G91" s="84">
        <f t="shared" si="18"/>
        <v>36221964</v>
      </c>
      <c r="H91" s="84">
        <f t="shared" si="18"/>
        <v>36221964</v>
      </c>
      <c r="I91" s="84">
        <f t="shared" si="18"/>
        <v>36221964</v>
      </c>
      <c r="J91" s="84">
        <f t="shared" si="18"/>
        <v>36221964</v>
      </c>
      <c r="K91" s="84">
        <f>K75</f>
        <v>36353822</v>
      </c>
      <c r="L91" s="84">
        <f>L75</f>
        <v>40766879</v>
      </c>
    </row>
    <row r="92" spans="1:12" s="10" customFormat="1" ht="12.75" customHeight="1">
      <c r="A92" s="143" t="s">
        <v>143</v>
      </c>
      <c r="B92" s="102"/>
      <c r="C92" s="223" t="s">
        <v>303</v>
      </c>
      <c r="D92" s="102"/>
      <c r="E92" s="84">
        <f aca="true" t="shared" si="19" ref="E92:J92">SUM(E74)</f>
        <v>4659500</v>
      </c>
      <c r="F92" s="84">
        <f t="shared" si="19"/>
        <v>5194000</v>
      </c>
      <c r="G92" s="84">
        <f t="shared" si="19"/>
        <v>5194000</v>
      </c>
      <c r="H92" s="84">
        <f t="shared" si="19"/>
        <v>5194000</v>
      </c>
      <c r="I92" s="84">
        <f t="shared" si="19"/>
        <v>5194000</v>
      </c>
      <c r="J92" s="84">
        <f t="shared" si="19"/>
        <v>5194000</v>
      </c>
      <c r="K92" s="84">
        <f>SUM(K74)</f>
        <v>3627050</v>
      </c>
      <c r="L92" s="84">
        <f>SUM(L74)</f>
        <v>3627050</v>
      </c>
    </row>
    <row r="93" spans="1:12" s="10" customFormat="1" ht="12.75" customHeight="1">
      <c r="A93" s="143" t="s">
        <v>145</v>
      </c>
      <c r="B93" s="102"/>
      <c r="C93" s="223" t="s">
        <v>305</v>
      </c>
      <c r="D93" s="102"/>
      <c r="E93" s="84">
        <f aca="true" t="shared" si="20" ref="E93:J93">E54+E59+E64+E69+E76</f>
        <v>40912643</v>
      </c>
      <c r="F93" s="84">
        <f t="shared" si="20"/>
        <v>14400000</v>
      </c>
      <c r="G93" s="84">
        <f t="shared" si="20"/>
        <v>22080313</v>
      </c>
      <c r="H93" s="84">
        <f t="shared" si="20"/>
        <v>35440313</v>
      </c>
      <c r="I93" s="84">
        <f t="shared" si="20"/>
        <v>35440313</v>
      </c>
      <c r="J93" s="84">
        <f t="shared" si="20"/>
        <v>38863771</v>
      </c>
      <c r="K93" s="84">
        <f>K54+K59+K64+K69+K76</f>
        <v>57380504</v>
      </c>
      <c r="L93" s="84">
        <f>L54+L59+L64+L69+L76</f>
        <v>57380504</v>
      </c>
    </row>
    <row r="94" spans="1:12" s="10" customFormat="1" ht="12.75" customHeight="1">
      <c r="A94" s="143" t="s">
        <v>147</v>
      </c>
      <c r="B94" s="102"/>
      <c r="C94" s="223" t="s">
        <v>307</v>
      </c>
      <c r="D94" s="102"/>
      <c r="E94" s="84">
        <f aca="true" t="shared" si="21" ref="E94:J94">E77</f>
        <v>270216255</v>
      </c>
      <c r="F94" s="84">
        <f t="shared" si="21"/>
        <v>276570076</v>
      </c>
      <c r="G94" s="84">
        <f t="shared" si="21"/>
        <v>277401853</v>
      </c>
      <c r="H94" s="84">
        <f t="shared" si="21"/>
        <v>277604575</v>
      </c>
      <c r="I94" s="84">
        <f t="shared" si="21"/>
        <v>277720471</v>
      </c>
      <c r="J94" s="84">
        <f t="shared" si="21"/>
        <v>279099537</v>
      </c>
      <c r="K94" s="84">
        <f>K77</f>
        <v>274808735</v>
      </c>
      <c r="L94" s="84">
        <f>L77</f>
        <v>274808735</v>
      </c>
    </row>
    <row r="95" spans="1:12" s="10" customFormat="1" ht="12.75" customHeight="1">
      <c r="A95" s="143" t="s">
        <v>149</v>
      </c>
      <c r="B95" s="102"/>
      <c r="C95" s="223" t="s">
        <v>541</v>
      </c>
      <c r="D95" s="102"/>
      <c r="E95" s="84">
        <f aca="true" t="shared" si="22" ref="E95:J95">E83</f>
        <v>715261087</v>
      </c>
      <c r="F95" s="84">
        <f t="shared" si="22"/>
        <v>715261087</v>
      </c>
      <c r="G95" s="84">
        <f t="shared" si="22"/>
        <v>699696288</v>
      </c>
      <c r="H95" s="84">
        <f t="shared" si="22"/>
        <v>702346659</v>
      </c>
      <c r="I95" s="84">
        <f t="shared" si="22"/>
        <v>678339090</v>
      </c>
      <c r="J95" s="84">
        <f t="shared" si="22"/>
        <v>674637990</v>
      </c>
      <c r="K95" s="84">
        <f>K83</f>
        <v>664627351</v>
      </c>
      <c r="L95" s="84">
        <f>L83</f>
        <v>664627351</v>
      </c>
    </row>
    <row r="96" spans="1:12" s="10" customFormat="1" ht="12.75" customHeight="1">
      <c r="A96" s="143" t="s">
        <v>151</v>
      </c>
      <c r="B96" s="102"/>
      <c r="C96" s="17" t="s">
        <v>723</v>
      </c>
      <c r="D96" s="102"/>
      <c r="E96" s="84">
        <v>53488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</row>
    <row r="97" spans="1:12" s="10" customFormat="1" ht="12.75" customHeight="1">
      <c r="A97" s="143" t="s">
        <v>207</v>
      </c>
      <c r="B97" s="102"/>
      <c r="C97" s="123" t="s">
        <v>725</v>
      </c>
      <c r="D97" s="102"/>
      <c r="E97" s="84"/>
      <c r="F97" s="84"/>
      <c r="G97" s="84"/>
      <c r="H97" s="84"/>
      <c r="I97" s="84"/>
      <c r="J97" s="84"/>
      <c r="K97" s="84">
        <v>10729481</v>
      </c>
      <c r="L97" s="84">
        <v>10729481</v>
      </c>
    </row>
    <row r="98" spans="1:12" s="10" customFormat="1" ht="12.75" customHeight="1">
      <c r="A98" s="143" t="s">
        <v>209</v>
      </c>
      <c r="B98" s="102"/>
      <c r="C98" s="123" t="s">
        <v>724</v>
      </c>
      <c r="D98" s="102"/>
      <c r="E98" s="84"/>
      <c r="F98" s="84"/>
      <c r="G98" s="84"/>
      <c r="H98" s="84"/>
      <c r="I98" s="84"/>
      <c r="J98" s="84"/>
      <c r="K98" s="84"/>
      <c r="L98" s="84"/>
    </row>
    <row r="99" spans="1:12" s="10" customFormat="1" ht="12.75" customHeight="1">
      <c r="A99" s="143" t="s">
        <v>266</v>
      </c>
      <c r="B99" s="102"/>
      <c r="C99" s="223" t="s">
        <v>274</v>
      </c>
      <c r="D99" s="102"/>
      <c r="E99" s="84">
        <f aca="true" t="shared" si="23" ref="E99:J99">E80</f>
        <v>10321373</v>
      </c>
      <c r="F99" s="84">
        <f t="shared" si="23"/>
        <v>6703536</v>
      </c>
      <c r="G99" s="84">
        <f t="shared" si="23"/>
        <v>6703536</v>
      </c>
      <c r="H99" s="84">
        <f t="shared" si="23"/>
        <v>7419080</v>
      </c>
      <c r="I99" s="84">
        <f t="shared" si="23"/>
        <v>8095569</v>
      </c>
      <c r="J99" s="84">
        <f t="shared" si="23"/>
        <v>8679084</v>
      </c>
      <c r="K99" s="84">
        <f>K80</f>
        <v>9086397</v>
      </c>
      <c r="L99" s="84">
        <f>L80</f>
        <v>9092391</v>
      </c>
    </row>
    <row r="100" spans="1:12" s="10" customFormat="1" ht="12.75" customHeight="1">
      <c r="A100" s="143" t="s">
        <v>210</v>
      </c>
      <c r="B100" s="102"/>
      <c r="C100" s="223" t="s">
        <v>276</v>
      </c>
      <c r="D100" s="102"/>
      <c r="E100" s="84">
        <f aca="true" t="shared" si="24" ref="E100:J100">SUM(E78)</f>
        <v>0</v>
      </c>
      <c r="F100" s="84">
        <f t="shared" si="24"/>
        <v>0</v>
      </c>
      <c r="G100" s="84">
        <f t="shared" si="24"/>
        <v>0</v>
      </c>
      <c r="H100" s="84">
        <f t="shared" si="24"/>
        <v>0</v>
      </c>
      <c r="I100" s="84">
        <f t="shared" si="24"/>
        <v>0</v>
      </c>
      <c r="J100" s="84">
        <f t="shared" si="24"/>
        <v>0</v>
      </c>
      <c r="K100" s="84">
        <f>SUM(K78)</f>
        <v>0</v>
      </c>
      <c r="L100" s="84">
        <f>SUM(L78)</f>
        <v>0</v>
      </c>
    </row>
    <row r="101" spans="1:12" s="10" customFormat="1" ht="12.75" customHeight="1">
      <c r="A101" s="143" t="s">
        <v>212</v>
      </c>
      <c r="B101" s="358"/>
      <c r="C101" s="362" t="s">
        <v>571</v>
      </c>
      <c r="D101" s="358"/>
      <c r="E101" s="359">
        <f aca="true" t="shared" si="25" ref="E101:J101">SUM(E90:E100)</f>
        <v>1467721170</v>
      </c>
      <c r="F101" s="359">
        <f t="shared" si="25"/>
        <v>1432639501</v>
      </c>
      <c r="G101" s="359">
        <f t="shared" si="25"/>
        <v>1445581996</v>
      </c>
      <c r="H101" s="359">
        <f t="shared" si="25"/>
        <v>1447105878</v>
      </c>
      <c r="I101" s="359">
        <f t="shared" si="25"/>
        <v>1450700996</v>
      </c>
      <c r="J101" s="359">
        <f t="shared" si="25"/>
        <v>1459658300</v>
      </c>
      <c r="K101" s="359">
        <f>SUM(K90:K100)</f>
        <v>1487713273</v>
      </c>
      <c r="L101" s="359">
        <f>SUM(L90:L100)</f>
        <v>1492132324</v>
      </c>
    </row>
    <row r="65533" ht="12.75" customHeight="1"/>
    <row r="65534" ht="12.75" customHeight="1"/>
    <row r="65535" ht="12.75" customHeight="1"/>
  </sheetData>
  <sheetProtection selectLockedCells="1" selectUnlockedCells="1"/>
  <mergeCells count="45">
    <mergeCell ref="A7:B8"/>
    <mergeCell ref="C7:D7"/>
    <mergeCell ref="C8:D8"/>
    <mergeCell ref="A3:J3"/>
    <mergeCell ref="A1:J1"/>
    <mergeCell ref="A4:L4"/>
    <mergeCell ref="A48:B49"/>
    <mergeCell ref="A2:D2"/>
    <mergeCell ref="A5:D5"/>
    <mergeCell ref="A6:C6"/>
    <mergeCell ref="C11:D11"/>
    <mergeCell ref="C10:D10"/>
    <mergeCell ref="C13:D13"/>
    <mergeCell ref="C15:D15"/>
    <mergeCell ref="C18:D18"/>
    <mergeCell ref="C34:D34"/>
    <mergeCell ref="C33:D33"/>
    <mergeCell ref="C32:D32"/>
    <mergeCell ref="C31:D31"/>
    <mergeCell ref="C19:D19"/>
    <mergeCell ref="C20:D20"/>
    <mergeCell ref="C23:D23"/>
    <mergeCell ref="C24:D24"/>
    <mergeCell ref="C25:D25"/>
    <mergeCell ref="C26:D26"/>
    <mergeCell ref="C41:D41"/>
    <mergeCell ref="C42:D42"/>
    <mergeCell ref="C43:D43"/>
    <mergeCell ref="C44:D44"/>
    <mergeCell ref="C30:D30"/>
    <mergeCell ref="C35:D35"/>
    <mergeCell ref="C36:D36"/>
    <mergeCell ref="C37:D37"/>
    <mergeCell ref="C38:D38"/>
    <mergeCell ref="C39:D39"/>
    <mergeCell ref="A47:D47"/>
    <mergeCell ref="C46:D46"/>
    <mergeCell ref="C28:D28"/>
    <mergeCell ref="C27:D27"/>
    <mergeCell ref="C14:D14"/>
    <mergeCell ref="C16:D16"/>
    <mergeCell ref="C21:D21"/>
    <mergeCell ref="C22:D22"/>
    <mergeCell ref="C45:D45"/>
    <mergeCell ref="C40:D40"/>
  </mergeCells>
  <printOptions horizontalCentered="1"/>
  <pageMargins left="0.5118110236220472" right="0.7480314960629921" top="0.1968503937007874" bottom="0.4330708661417323" header="0.5118110236220472" footer="0.15748031496062992"/>
  <pageSetup horizontalDpi="600" verticalDpi="600" orientation="portrait" paperSize="9" scale="46" r:id="rId1"/>
  <headerFooter alignWithMargins="0">
    <oddFooter>&amp;C&amp;P. oldal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18" customWidth="1"/>
    <col min="2" max="2" width="42.8515625" style="18" customWidth="1"/>
    <col min="3" max="3" width="12.00390625" style="18" customWidth="1"/>
    <col min="4" max="4" width="11.140625" style="18" customWidth="1"/>
    <col min="5" max="5" width="11.00390625" style="18" customWidth="1"/>
    <col min="6" max="16384" width="9.140625" style="18" customWidth="1"/>
  </cols>
  <sheetData>
    <row r="1" spans="4:5" ht="12.75" customHeight="1">
      <c r="D1" s="1504" t="s">
        <v>72</v>
      </c>
      <c r="E1" s="1504"/>
    </row>
    <row r="2" spans="2:5" ht="12.75" customHeight="1">
      <c r="B2" s="1501" t="s">
        <v>1</v>
      </c>
      <c r="C2" s="1501"/>
      <c r="D2" s="1501"/>
      <c r="E2" s="1501"/>
    </row>
    <row r="3" spans="2:5" ht="12.75" customHeight="1">
      <c r="B3" s="45"/>
      <c r="C3" s="45"/>
      <c r="D3" s="45"/>
      <c r="E3" s="45"/>
    </row>
    <row r="4" spans="2:5" ht="12.75" customHeight="1">
      <c r="B4" s="1505" t="s">
        <v>73</v>
      </c>
      <c r="C4" s="1505"/>
      <c r="D4" s="1505"/>
      <c r="E4" s="1505"/>
    </row>
    <row r="5" spans="2:5" ht="12.75" customHeight="1">
      <c r="B5" s="1505" t="s">
        <v>74</v>
      </c>
      <c r="C5" s="1505"/>
      <c r="D5" s="1505"/>
      <c r="E5" s="1505"/>
    </row>
    <row r="6" spans="4:5" ht="12.75" customHeight="1">
      <c r="D6" s="1504"/>
      <c r="E6" s="1504"/>
    </row>
    <row r="7" spans="4:5" ht="12.75" customHeight="1">
      <c r="D7" s="1506" t="s">
        <v>5</v>
      </c>
      <c r="E7" s="1506"/>
    </row>
    <row r="8" spans="1:5" ht="12.75" customHeight="1">
      <c r="A8" s="1503" t="s">
        <v>24</v>
      </c>
      <c r="B8" s="1503"/>
      <c r="C8" s="46" t="s">
        <v>75</v>
      </c>
      <c r="D8" s="46" t="s">
        <v>76</v>
      </c>
      <c r="E8" s="46" t="s">
        <v>77</v>
      </c>
    </row>
    <row r="9" spans="1:5" ht="12.75" customHeight="1">
      <c r="A9" s="47" t="s">
        <v>38</v>
      </c>
      <c r="B9" s="48" t="s">
        <v>78</v>
      </c>
      <c r="C9" s="49"/>
      <c r="D9" s="49"/>
      <c r="E9" s="49"/>
    </row>
    <row r="10" spans="1:5" ht="12.75" customHeight="1">
      <c r="A10" s="24" t="s">
        <v>40</v>
      </c>
      <c r="B10" s="49" t="s">
        <v>79</v>
      </c>
      <c r="C10" s="50">
        <v>30602</v>
      </c>
      <c r="D10" s="50">
        <f>C10*1.043</f>
        <v>31917.886</v>
      </c>
      <c r="E10" s="50">
        <f>D10*1.043</f>
        <v>33290.35509799999</v>
      </c>
    </row>
    <row r="11" spans="1:5" ht="12.75" customHeight="1">
      <c r="A11" s="47" t="s">
        <v>47</v>
      </c>
      <c r="B11" s="49" t="s">
        <v>80</v>
      </c>
      <c r="C11" s="50"/>
      <c r="D11" s="50"/>
      <c r="E11" s="50"/>
    </row>
    <row r="12" spans="1:5" ht="12.75" customHeight="1">
      <c r="A12" s="24" t="s">
        <v>49</v>
      </c>
      <c r="B12" s="49" t="s">
        <v>81</v>
      </c>
      <c r="C12" s="50"/>
      <c r="D12" s="50"/>
      <c r="E12" s="50"/>
    </row>
    <row r="13" spans="1:5" ht="12.75" customHeight="1">
      <c r="A13" s="47" t="s">
        <v>51</v>
      </c>
      <c r="B13" s="49" t="s">
        <v>82</v>
      </c>
      <c r="C13" s="50"/>
      <c r="D13" s="50"/>
      <c r="E13" s="50"/>
    </row>
    <row r="14" spans="1:5" ht="12.75" customHeight="1">
      <c r="A14" s="24" t="s">
        <v>53</v>
      </c>
      <c r="B14" s="49" t="s">
        <v>83</v>
      </c>
      <c r="C14" s="50"/>
      <c r="D14" s="50"/>
      <c r="E14" s="50"/>
    </row>
    <row r="15" spans="1:5" ht="12.75" customHeight="1">
      <c r="A15" s="47" t="s">
        <v>55</v>
      </c>
      <c r="B15" s="22" t="s">
        <v>84</v>
      </c>
      <c r="C15" s="50"/>
      <c r="D15" s="50"/>
      <c r="E15" s="50"/>
    </row>
    <row r="16" spans="1:5" ht="12.75" customHeight="1">
      <c r="A16" s="24" t="s">
        <v>57</v>
      </c>
      <c r="B16" s="49" t="s">
        <v>85</v>
      </c>
      <c r="C16" s="50">
        <v>27004</v>
      </c>
      <c r="D16" s="50">
        <f>C16*1.043</f>
        <v>28165.172</v>
      </c>
      <c r="E16" s="50">
        <f>D16*1.043</f>
        <v>29376.274395999997</v>
      </c>
    </row>
    <row r="17" spans="1:5" ht="12.75" customHeight="1">
      <c r="A17" s="47" t="s">
        <v>86</v>
      </c>
      <c r="B17" s="49" t="s">
        <v>87</v>
      </c>
      <c r="C17" s="50"/>
      <c r="D17" s="50"/>
      <c r="E17" s="50"/>
    </row>
    <row r="18" spans="1:5" ht="12.75" customHeight="1">
      <c r="A18" s="24" t="s">
        <v>59</v>
      </c>
      <c r="B18" s="49" t="s">
        <v>88</v>
      </c>
      <c r="C18" s="50"/>
      <c r="D18" s="50"/>
      <c r="E18" s="50"/>
    </row>
    <row r="19" spans="1:5" ht="12.75" customHeight="1">
      <c r="A19" s="47" t="s">
        <v>61</v>
      </c>
      <c r="B19" s="49" t="s">
        <v>89</v>
      </c>
      <c r="C19" s="50">
        <v>166778</v>
      </c>
      <c r="D19" s="50">
        <f>C19*1.043</f>
        <v>173949.454</v>
      </c>
      <c r="E19" s="50">
        <f>D19*1.043</f>
        <v>181429.280522</v>
      </c>
    </row>
    <row r="20" spans="1:5" ht="12.75" customHeight="1">
      <c r="A20" s="24" t="s">
        <v>63</v>
      </c>
      <c r="B20" s="22" t="s">
        <v>90</v>
      </c>
      <c r="C20" s="50"/>
      <c r="D20" s="50"/>
      <c r="E20" s="50"/>
    </row>
    <row r="21" spans="1:5" ht="12.75" customHeight="1">
      <c r="A21" s="47" t="s">
        <v>65</v>
      </c>
      <c r="B21" s="49" t="s">
        <v>91</v>
      </c>
      <c r="C21" s="50"/>
      <c r="D21" s="50"/>
      <c r="E21" s="50"/>
    </row>
    <row r="22" spans="1:5" ht="12.75" customHeight="1">
      <c r="A22" s="24" t="s">
        <v>92</v>
      </c>
      <c r="B22" s="49" t="s">
        <v>39</v>
      </c>
      <c r="C22" s="50">
        <v>132230</v>
      </c>
      <c r="D22" s="50">
        <f aca="true" t="shared" si="0" ref="D22:E24">C22*1.043</f>
        <v>137915.88999999998</v>
      </c>
      <c r="E22" s="50">
        <f t="shared" si="0"/>
        <v>143846.27326999998</v>
      </c>
    </row>
    <row r="23" spans="1:5" ht="12.75" customHeight="1">
      <c r="A23" s="47" t="s">
        <v>66</v>
      </c>
      <c r="B23" s="49" t="s">
        <v>93</v>
      </c>
      <c r="C23" s="50">
        <v>6045</v>
      </c>
      <c r="D23" s="50">
        <f t="shared" si="0"/>
        <v>6304.9349999999995</v>
      </c>
      <c r="E23" s="50">
        <f t="shared" si="0"/>
        <v>6576.047204999999</v>
      </c>
    </row>
    <row r="24" spans="1:5" ht="12.75" customHeight="1">
      <c r="A24" s="24" t="s">
        <v>67</v>
      </c>
      <c r="B24" s="49" t="s">
        <v>94</v>
      </c>
      <c r="C24" s="50">
        <v>8000</v>
      </c>
      <c r="D24" s="50">
        <f t="shared" si="0"/>
        <v>8344</v>
      </c>
      <c r="E24" s="50">
        <f t="shared" si="0"/>
        <v>8702.792</v>
      </c>
    </row>
    <row r="25" spans="1:5" ht="12.75" customHeight="1">
      <c r="A25" s="47" t="s">
        <v>68</v>
      </c>
      <c r="B25" s="49" t="s">
        <v>95</v>
      </c>
      <c r="C25" s="50"/>
      <c r="D25" s="50"/>
      <c r="E25" s="50"/>
    </row>
    <row r="26" spans="1:5" ht="12.75" customHeight="1">
      <c r="A26" s="24" t="s">
        <v>70</v>
      </c>
      <c r="B26" s="49" t="s">
        <v>96</v>
      </c>
      <c r="C26" s="50">
        <v>100</v>
      </c>
      <c r="D26" s="50">
        <f>C26*1.043</f>
        <v>104.3</v>
      </c>
      <c r="E26" s="50">
        <f>D26*1.043</f>
        <v>108.7849</v>
      </c>
    </row>
    <row r="27" spans="1:5" ht="12.75" customHeight="1">
      <c r="A27" s="47" t="s">
        <v>97</v>
      </c>
      <c r="B27" s="22" t="s">
        <v>98</v>
      </c>
      <c r="C27" s="50"/>
      <c r="D27" s="50"/>
      <c r="E27" s="50"/>
    </row>
    <row r="28" spans="1:5" ht="12.75" customHeight="1">
      <c r="A28" s="24" t="s">
        <v>99</v>
      </c>
      <c r="B28" s="49" t="s">
        <v>100</v>
      </c>
      <c r="C28" s="50"/>
      <c r="D28" s="50"/>
      <c r="E28" s="50"/>
    </row>
    <row r="29" spans="1:5" ht="12.75" customHeight="1">
      <c r="A29" s="47" t="s">
        <v>101</v>
      </c>
      <c r="B29" s="49" t="s">
        <v>102</v>
      </c>
      <c r="C29" s="50"/>
      <c r="D29" s="50"/>
      <c r="E29" s="50"/>
    </row>
    <row r="30" spans="1:5" ht="12.75" customHeight="1">
      <c r="A30" s="24" t="s">
        <v>103</v>
      </c>
      <c r="B30" s="49" t="s">
        <v>104</v>
      </c>
      <c r="C30" s="50"/>
      <c r="D30" s="50"/>
      <c r="E30" s="50"/>
    </row>
    <row r="31" spans="1:5" ht="12.75" customHeight="1">
      <c r="A31" s="47" t="s">
        <v>105</v>
      </c>
      <c r="B31" s="22" t="s">
        <v>106</v>
      </c>
      <c r="C31" s="50"/>
      <c r="D31" s="50"/>
      <c r="E31" s="50"/>
    </row>
    <row r="32" spans="1:5" ht="12.75" customHeight="1">
      <c r="A32" s="24" t="s">
        <v>107</v>
      </c>
      <c r="B32" s="49" t="s">
        <v>108</v>
      </c>
      <c r="C32" s="50">
        <v>60</v>
      </c>
      <c r="D32" s="50">
        <f>C32*1.043</f>
        <v>62.58</v>
      </c>
      <c r="E32" s="50">
        <f>D32*1.043</f>
        <v>65.27094</v>
      </c>
    </row>
    <row r="33" spans="1:5" ht="12.75" customHeight="1">
      <c r="A33" s="47" t="s">
        <v>109</v>
      </c>
      <c r="B33" s="49" t="s">
        <v>110</v>
      </c>
      <c r="C33" s="50"/>
      <c r="D33" s="50"/>
      <c r="E33" s="50"/>
    </row>
    <row r="34" spans="1:5" ht="12.75" customHeight="1">
      <c r="A34" s="24" t="s">
        <v>111</v>
      </c>
      <c r="B34" s="49" t="s">
        <v>112</v>
      </c>
      <c r="C34" s="50">
        <v>40</v>
      </c>
      <c r="D34" s="50">
        <f>C34*1.043</f>
        <v>41.72</v>
      </c>
      <c r="E34" s="50">
        <f>D34*1.043</f>
        <v>43.51396</v>
      </c>
    </row>
    <row r="35" spans="1:5" ht="12.75" customHeight="1">
      <c r="A35" s="47" t="s">
        <v>113</v>
      </c>
      <c r="B35" s="49" t="s">
        <v>114</v>
      </c>
      <c r="C35" s="50">
        <v>60000</v>
      </c>
      <c r="D35" s="50">
        <f>C54</f>
        <v>52500</v>
      </c>
      <c r="E35" s="50">
        <f>D54</f>
        <v>56359</v>
      </c>
    </row>
    <row r="36" spans="1:5" ht="12.75" customHeight="1">
      <c r="A36" s="24" t="s">
        <v>115</v>
      </c>
      <c r="B36" s="22" t="s">
        <v>116</v>
      </c>
      <c r="C36" s="51">
        <f>SUM(C9:C35)</f>
        <v>430859</v>
      </c>
      <c r="D36" s="51">
        <f>SUM(D9:D35)</f>
        <v>439305.937</v>
      </c>
      <c r="E36" s="51">
        <f>SUM(E9:E35)</f>
        <v>459797.592291</v>
      </c>
    </row>
    <row r="37" spans="1:5" ht="12.75" customHeight="1">
      <c r="A37" s="47" t="s">
        <v>117</v>
      </c>
      <c r="B37" s="49"/>
      <c r="C37" s="50"/>
      <c r="D37" s="50"/>
      <c r="E37" s="50"/>
    </row>
    <row r="38" spans="1:5" ht="12.75" customHeight="1">
      <c r="A38" s="24" t="s">
        <v>118</v>
      </c>
      <c r="B38" s="22" t="s">
        <v>119</v>
      </c>
      <c r="C38" s="50"/>
      <c r="D38" s="50"/>
      <c r="E38" s="50"/>
    </row>
    <row r="39" spans="1:5" ht="12.75" customHeight="1">
      <c r="A39" s="47" t="s">
        <v>120</v>
      </c>
      <c r="B39" s="49" t="s">
        <v>121</v>
      </c>
      <c r="C39" s="50">
        <v>169901</v>
      </c>
      <c r="D39" s="50">
        <f aca="true" t="shared" si="1" ref="D39:E43">C39*1.043</f>
        <v>177206.743</v>
      </c>
      <c r="E39" s="50">
        <f t="shared" si="1"/>
        <v>184826.63294899996</v>
      </c>
    </row>
    <row r="40" spans="1:5" ht="12.75" customHeight="1">
      <c r="A40" s="24" t="s">
        <v>122</v>
      </c>
      <c r="B40" s="49" t="s">
        <v>123</v>
      </c>
      <c r="C40" s="50">
        <v>43754</v>
      </c>
      <c r="D40" s="50">
        <f t="shared" si="1"/>
        <v>45635.422</v>
      </c>
      <c r="E40" s="50">
        <f t="shared" si="1"/>
        <v>47597.745145999994</v>
      </c>
    </row>
    <row r="41" spans="1:5" ht="12.75" customHeight="1">
      <c r="A41" s="47" t="s">
        <v>124</v>
      </c>
      <c r="B41" s="49" t="s">
        <v>125</v>
      </c>
      <c r="C41" s="50">
        <v>134174</v>
      </c>
      <c r="D41" s="50">
        <f t="shared" si="1"/>
        <v>139943.482</v>
      </c>
      <c r="E41" s="50">
        <f t="shared" si="1"/>
        <v>145961.05172599998</v>
      </c>
    </row>
    <row r="42" spans="1:5" ht="12.75" customHeight="1">
      <c r="A42" s="24" t="s">
        <v>126</v>
      </c>
      <c r="B42" s="49" t="s">
        <v>127</v>
      </c>
      <c r="C42" s="50">
        <v>8850</v>
      </c>
      <c r="D42" s="50">
        <f t="shared" si="1"/>
        <v>9230.55</v>
      </c>
      <c r="E42" s="50">
        <f t="shared" si="1"/>
        <v>9627.463649999998</v>
      </c>
    </row>
    <row r="43" spans="1:5" ht="12.75" customHeight="1">
      <c r="A43" s="47" t="s">
        <v>128</v>
      </c>
      <c r="B43" s="49" t="s">
        <v>129</v>
      </c>
      <c r="C43" s="50">
        <v>10480</v>
      </c>
      <c r="D43" s="50">
        <f t="shared" si="1"/>
        <v>10930.64</v>
      </c>
      <c r="E43" s="50">
        <f t="shared" si="1"/>
        <v>11400.657519999999</v>
      </c>
    </row>
    <row r="44" spans="1:5" ht="12.75" customHeight="1">
      <c r="A44" s="24" t="s">
        <v>130</v>
      </c>
      <c r="B44" s="22" t="s">
        <v>15</v>
      </c>
      <c r="C44" s="50"/>
      <c r="D44" s="50"/>
      <c r="E44" s="50"/>
    </row>
    <row r="45" spans="1:5" ht="12.75" customHeight="1">
      <c r="A45" s="47" t="s">
        <v>131</v>
      </c>
      <c r="B45" s="49" t="s">
        <v>132</v>
      </c>
      <c r="C45" s="50">
        <v>1000</v>
      </c>
      <c r="D45" s="50"/>
      <c r="E45" s="50"/>
    </row>
    <row r="46" spans="1:5" ht="12.75" customHeight="1">
      <c r="A46" s="24" t="s">
        <v>133</v>
      </c>
      <c r="B46" s="49" t="s">
        <v>134</v>
      </c>
      <c r="C46" s="50">
        <v>10200</v>
      </c>
      <c r="D46" s="50"/>
      <c r="E46" s="50"/>
    </row>
    <row r="47" spans="1:5" ht="12.75" customHeight="1">
      <c r="A47" s="47" t="s">
        <v>135</v>
      </c>
      <c r="B47" s="49" t="s">
        <v>136</v>
      </c>
      <c r="C47" s="50"/>
      <c r="D47" s="50"/>
      <c r="E47" s="50"/>
    </row>
    <row r="48" spans="1:5" ht="12.75" customHeight="1">
      <c r="A48" s="24" t="s">
        <v>137</v>
      </c>
      <c r="B48" s="49" t="s">
        <v>138</v>
      </c>
      <c r="C48" s="50"/>
      <c r="D48" s="50"/>
      <c r="E48" s="50"/>
    </row>
    <row r="49" spans="1:5" ht="12.75" customHeight="1">
      <c r="A49" s="47" t="s">
        <v>139</v>
      </c>
      <c r="B49" s="49" t="s">
        <v>140</v>
      </c>
      <c r="C49" s="50"/>
      <c r="D49" s="50"/>
      <c r="E49" s="50"/>
    </row>
    <row r="50" spans="1:5" ht="12.75" customHeight="1">
      <c r="A50" s="24" t="s">
        <v>141</v>
      </c>
      <c r="B50" s="49" t="s">
        <v>142</v>
      </c>
      <c r="C50" s="50"/>
      <c r="D50" s="50"/>
      <c r="E50" s="50"/>
    </row>
    <row r="51" spans="1:5" ht="12.75" customHeight="1">
      <c r="A51" s="47" t="s">
        <v>143</v>
      </c>
      <c r="B51" s="49" t="s">
        <v>144</v>
      </c>
      <c r="C51" s="50"/>
      <c r="D51" s="50"/>
      <c r="E51" s="50"/>
    </row>
    <row r="52" spans="1:5" ht="12.75" customHeight="1">
      <c r="A52" s="24" t="s">
        <v>145</v>
      </c>
      <c r="B52" s="49" t="s">
        <v>146</v>
      </c>
      <c r="C52" s="50"/>
      <c r="D52" s="50"/>
      <c r="E52" s="50"/>
    </row>
    <row r="53" spans="1:5" ht="12.75" customHeight="1">
      <c r="A53" s="47" t="s">
        <v>147</v>
      </c>
      <c r="B53" s="49" t="s">
        <v>148</v>
      </c>
      <c r="C53" s="50"/>
      <c r="D53" s="50"/>
      <c r="E53" s="50"/>
    </row>
    <row r="54" spans="1:5" ht="12.75" customHeight="1">
      <c r="A54" s="24" t="s">
        <v>149</v>
      </c>
      <c r="B54" s="22" t="s">
        <v>150</v>
      </c>
      <c r="C54" s="50">
        <v>52500</v>
      </c>
      <c r="D54" s="50">
        <v>56359</v>
      </c>
      <c r="E54" s="50">
        <v>60384</v>
      </c>
    </row>
    <row r="55" spans="1:5" ht="12.75" customHeight="1">
      <c r="A55" s="47" t="s">
        <v>151</v>
      </c>
      <c r="B55" s="22" t="s">
        <v>152</v>
      </c>
      <c r="C55" s="51">
        <f>SUM(C39:C54)</f>
        <v>430859</v>
      </c>
      <c r="D55" s="51">
        <f>SUM(D39:D54)</f>
        <v>439305.837</v>
      </c>
      <c r="E55" s="51">
        <f>SUM(E39:E54)</f>
        <v>459797.55099099997</v>
      </c>
    </row>
    <row r="57" spans="4:5" ht="12.75" customHeight="1">
      <c r="D57" s="21">
        <f>D55-D36</f>
        <v>-0.09999999997671694</v>
      </c>
      <c r="E57" s="21">
        <f>E55-E36</f>
        <v>-0.04130000004079193</v>
      </c>
    </row>
    <row r="59" ht="12.75" customHeight="1">
      <c r="C59" s="18">
        <v>430859</v>
      </c>
    </row>
    <row r="60" ht="12.75" customHeight="1">
      <c r="C60" s="21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64"/>
  <sheetViews>
    <sheetView showGridLines="0" view="pageBreakPreview" zoomScaleSheetLayoutView="100" workbookViewId="0" topLeftCell="A1">
      <selection activeCell="E3" sqref="E3:G3"/>
    </sheetView>
  </sheetViews>
  <sheetFormatPr defaultColWidth="11.7109375" defaultRowHeight="12.75" customHeight="1"/>
  <cols>
    <col min="1" max="2" width="3.8515625" style="5" customWidth="1"/>
    <col min="3" max="3" width="60.140625" style="5" customWidth="1"/>
    <col min="4" max="4" width="21.7109375" style="52" customWidth="1"/>
    <col min="5" max="11" width="21.57421875" style="52" customWidth="1"/>
    <col min="12" max="16384" width="11.7109375" style="5" customWidth="1"/>
  </cols>
  <sheetData>
    <row r="1" spans="1:11" ht="12.75" customHeight="1">
      <c r="A1" s="1509" t="s">
        <v>153</v>
      </c>
      <c r="B1" s="1509"/>
      <c r="C1" s="1509"/>
      <c r="D1" s="1509"/>
      <c r="E1" s="1509"/>
      <c r="F1" s="1509"/>
      <c r="G1" s="1509"/>
      <c r="H1" s="1509"/>
      <c r="I1" s="1509"/>
      <c r="J1" s="1509"/>
      <c r="K1" s="1509"/>
    </row>
    <row r="2" spans="1:11" ht="12.75" customHeight="1">
      <c r="A2" s="1508" t="s">
        <v>1226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</row>
    <row r="3" spans="1:11" ht="12.75" customHeight="1">
      <c r="A3" s="2"/>
      <c r="B3" s="2"/>
      <c r="C3" s="2"/>
      <c r="D3" s="2"/>
      <c r="E3" s="1539" t="s">
        <v>1227</v>
      </c>
      <c r="F3" s="1539"/>
      <c r="G3" s="1539"/>
      <c r="H3" s="2"/>
      <c r="I3" s="2"/>
      <c r="J3" s="2"/>
      <c r="K3" s="2"/>
    </row>
    <row r="4" spans="1:11" ht="26.25" customHeight="1">
      <c r="A4" s="1507" t="s">
        <v>2</v>
      </c>
      <c r="B4" s="1507"/>
      <c r="C4" s="1507"/>
      <c r="D4" s="1507"/>
      <c r="E4" s="1507"/>
      <c r="F4" s="1507"/>
      <c r="G4" s="1507"/>
      <c r="H4" s="1507"/>
      <c r="I4" s="1507"/>
      <c r="J4" s="1507"/>
      <c r="K4" s="1507"/>
    </row>
    <row r="5" spans="1:11" ht="12.75" customHeight="1">
      <c r="A5" s="1507" t="s">
        <v>154</v>
      </c>
      <c r="B5" s="1507"/>
      <c r="C5" s="1507"/>
      <c r="D5" s="1507"/>
      <c r="E5" s="1507"/>
      <c r="F5" s="1507"/>
      <c r="G5" s="1507"/>
      <c r="H5" s="1507"/>
      <c r="I5" s="1507"/>
      <c r="J5" s="1507"/>
      <c r="K5" s="1507"/>
    </row>
    <row r="6" spans="1:11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 thickBot="1">
      <c r="A7" s="2"/>
      <c r="B7" s="2"/>
      <c r="C7" s="2"/>
      <c r="D7" s="1309"/>
      <c r="E7" s="1309"/>
      <c r="F7" s="1309"/>
      <c r="G7" s="1309"/>
      <c r="H7" s="1309"/>
      <c r="I7" s="1309"/>
      <c r="J7" s="1309"/>
      <c r="K7" s="1309" t="s">
        <v>216</v>
      </c>
    </row>
    <row r="8" spans="1:11" ht="46.5" customHeight="1" thickBot="1">
      <c r="A8" s="1512" t="s">
        <v>156</v>
      </c>
      <c r="B8" s="1513"/>
      <c r="C8" s="1308" t="s">
        <v>157</v>
      </c>
      <c r="D8" s="1310" t="s">
        <v>158</v>
      </c>
      <c r="E8" s="1310" t="s">
        <v>1002</v>
      </c>
      <c r="F8" s="1310" t="s">
        <v>1070</v>
      </c>
      <c r="G8" s="448" t="s">
        <v>1131</v>
      </c>
      <c r="H8" s="448" t="s">
        <v>1141</v>
      </c>
      <c r="I8" s="448" t="s">
        <v>1148</v>
      </c>
      <c r="J8" s="448" t="s">
        <v>1158</v>
      </c>
      <c r="K8" s="448" t="s">
        <v>1181</v>
      </c>
    </row>
    <row r="9" spans="1:11" ht="12.75" customHeight="1" thickBot="1">
      <c r="A9" s="1514"/>
      <c r="B9" s="1515"/>
      <c r="C9" s="449" t="s">
        <v>159</v>
      </c>
      <c r="D9" s="1311" t="s">
        <v>160</v>
      </c>
      <c r="E9" s="1311" t="s">
        <v>161</v>
      </c>
      <c r="F9" s="1311" t="s">
        <v>162</v>
      </c>
      <c r="G9" s="450" t="s">
        <v>479</v>
      </c>
      <c r="H9" s="450" t="s">
        <v>499</v>
      </c>
      <c r="I9" s="450" t="s">
        <v>745</v>
      </c>
      <c r="J9" s="450" t="s">
        <v>826</v>
      </c>
      <c r="K9" s="450" t="s">
        <v>830</v>
      </c>
    </row>
    <row r="10" spans="1:11" s="57" customFormat="1" ht="12.75" customHeight="1">
      <c r="A10" s="54" t="s">
        <v>38</v>
      </c>
      <c r="B10" s="55"/>
      <c r="C10" s="56" t="s">
        <v>163</v>
      </c>
      <c r="D10" s="310">
        <v>207976669</v>
      </c>
      <c r="E10" s="310">
        <f>SUM('19 önkormányzat'!F15)</f>
        <v>193101524</v>
      </c>
      <c r="F10" s="310">
        <f>SUM('19 önkormányzat'!G15)</f>
        <v>195259775</v>
      </c>
      <c r="G10" s="310">
        <f>SUM('19 önkormányzat'!H15)</f>
        <v>195865391</v>
      </c>
      <c r="H10" s="310">
        <f>SUM('19 önkormányzat'!I15)</f>
        <v>195925465</v>
      </c>
      <c r="I10" s="310">
        <f>SUM('19 önkormányzat'!J15)</f>
        <v>196981207</v>
      </c>
      <c r="J10" s="310">
        <f>SUM('19 önkormányzat'!K15)</f>
        <v>204138471</v>
      </c>
      <c r="K10" s="310">
        <f>SUM('19 önkormányzat'!L15)</f>
        <v>204138471</v>
      </c>
    </row>
    <row r="11" spans="1:11" s="63" customFormat="1" ht="12.75" customHeight="1">
      <c r="A11" s="58" t="s">
        <v>40</v>
      </c>
      <c r="B11" s="59"/>
      <c r="C11" s="60" t="s">
        <v>164</v>
      </c>
      <c r="D11" s="310">
        <v>123557514</v>
      </c>
      <c r="E11" s="310">
        <f>SUM('19 önkormányzat'!F16)+'18. VÜKI'!F10</f>
        <v>9168000</v>
      </c>
      <c r="F11" s="310">
        <f>SUM('19 önkormányzat'!G16)+'18. VÜKI'!G10</f>
        <v>9168000</v>
      </c>
      <c r="G11" s="310">
        <f>SUM('19 önkormányzat'!H16)+'18. VÜKI'!H10</f>
        <v>9168000</v>
      </c>
      <c r="H11" s="310">
        <f>SUM('19 önkormányzat'!I16)+'18. VÜKI'!I10</f>
        <v>9168000</v>
      </c>
      <c r="I11" s="310">
        <f>SUM('19 önkormányzat'!J16)+'18. VÜKI'!J10</f>
        <v>10152913</v>
      </c>
      <c r="J11" s="310">
        <f>SUM('19 önkormányzat'!K16)+'18. VÜKI'!K10</f>
        <v>7833763</v>
      </c>
      <c r="K11" s="310">
        <f>SUM('19 önkormányzat'!L16)+'18. VÜKI'!L10</f>
        <v>7833763</v>
      </c>
    </row>
    <row r="12" spans="1:11" s="68" customFormat="1" ht="12.75" customHeight="1">
      <c r="A12" s="64" t="s">
        <v>47</v>
      </c>
      <c r="B12" s="65" t="s">
        <v>165</v>
      </c>
      <c r="C12" s="9" t="s">
        <v>166</v>
      </c>
      <c r="D12" s="66">
        <f aca="true" t="shared" si="0" ref="D12:I12">SUM(D10:D11)</f>
        <v>331534183</v>
      </c>
      <c r="E12" s="66">
        <f t="shared" si="0"/>
        <v>202269524</v>
      </c>
      <c r="F12" s="66">
        <f t="shared" si="0"/>
        <v>204427775</v>
      </c>
      <c r="G12" s="66">
        <f t="shared" si="0"/>
        <v>205033391</v>
      </c>
      <c r="H12" s="66">
        <f t="shared" si="0"/>
        <v>205093465</v>
      </c>
      <c r="I12" s="66">
        <f t="shared" si="0"/>
        <v>207134120</v>
      </c>
      <c r="J12" s="66">
        <f>SUM(J10:J11)</f>
        <v>211972234</v>
      </c>
      <c r="K12" s="66">
        <f>SUM(K10:K11)</f>
        <v>211972234</v>
      </c>
    </row>
    <row r="13" spans="1:11" s="68" customFormat="1" ht="12.75" customHeight="1">
      <c r="A13" s="64" t="s">
        <v>49</v>
      </c>
      <c r="B13" s="65" t="s">
        <v>167</v>
      </c>
      <c r="C13" s="9" t="s">
        <v>168</v>
      </c>
      <c r="D13" s="67">
        <v>579188024</v>
      </c>
      <c r="E13" s="67">
        <f>SUM('19 önkormányzat'!F26)</f>
        <v>0</v>
      </c>
      <c r="F13" s="67">
        <f>SUM('19 önkormányzat'!G26)</f>
        <v>0</v>
      </c>
      <c r="G13" s="67">
        <f>SUM('19 önkormányzat'!H26)</f>
        <v>0</v>
      </c>
      <c r="H13" s="67">
        <f>SUM('19 önkormányzat'!I26)</f>
        <v>0</v>
      </c>
      <c r="I13" s="67">
        <f>SUM('19 önkormányzat'!J26)</f>
        <v>0</v>
      </c>
      <c r="J13" s="1212">
        <f>SUM('19 önkormányzat'!K26)</f>
        <v>14182798</v>
      </c>
      <c r="K13" s="1212">
        <f>SUM('19 önkormányzat'!L26)</f>
        <v>14182798</v>
      </c>
    </row>
    <row r="14" spans="1:11" s="63" customFormat="1" ht="12.75" customHeight="1">
      <c r="A14" s="58" t="s">
        <v>51</v>
      </c>
      <c r="B14" s="59"/>
      <c r="C14" s="60" t="s">
        <v>169</v>
      </c>
      <c r="D14" s="61">
        <v>6985609</v>
      </c>
      <c r="E14" s="61">
        <f>SUM('19 önkormányzat'!F27)</f>
        <v>6755000</v>
      </c>
      <c r="F14" s="61">
        <f>SUM('19 önkormányzat'!G27)</f>
        <v>6755000</v>
      </c>
      <c r="G14" s="61">
        <f>SUM('19 önkormányzat'!H27)</f>
        <v>6755000</v>
      </c>
      <c r="H14" s="61">
        <f>SUM('19 önkormányzat'!I27)</f>
        <v>6755000</v>
      </c>
      <c r="I14" s="61">
        <f>SUM('19 önkormányzat'!J27)</f>
        <v>6755000</v>
      </c>
      <c r="J14" s="919">
        <f>SUM('19 önkormányzat'!K27)</f>
        <v>8127945</v>
      </c>
      <c r="K14" s="919">
        <f>SUM('19 önkormányzat'!L27)</f>
        <v>8127945</v>
      </c>
    </row>
    <row r="15" spans="1:11" s="63" customFormat="1" ht="23.25" customHeight="1">
      <c r="A15" s="58" t="s">
        <v>53</v>
      </c>
      <c r="B15" s="59"/>
      <c r="C15" s="60" t="s">
        <v>170</v>
      </c>
      <c r="D15" s="61">
        <v>153700078</v>
      </c>
      <c r="E15" s="61">
        <f>SUM('19 önkormányzat'!F28)</f>
        <v>134000000</v>
      </c>
      <c r="F15" s="61">
        <f>SUM('19 önkormányzat'!G28)</f>
        <v>134000000</v>
      </c>
      <c r="G15" s="61">
        <f>SUM('19 önkormányzat'!H28)</f>
        <v>134000000</v>
      </c>
      <c r="H15" s="61">
        <f>SUM('19 önkormányzat'!I28)</f>
        <v>134000000</v>
      </c>
      <c r="I15" s="61">
        <f>SUM('19 önkormányzat'!J28)</f>
        <v>136000000</v>
      </c>
      <c r="J15" s="919">
        <f>SUM('19 önkormányzat'!K28)</f>
        <v>164505470</v>
      </c>
      <c r="K15" s="919">
        <f>SUM('19 önkormányzat'!L28)</f>
        <v>164505470</v>
      </c>
    </row>
    <row r="16" spans="1:11" s="63" customFormat="1" ht="12.75" customHeight="1">
      <c r="A16" s="58" t="s">
        <v>55</v>
      </c>
      <c r="B16" s="59"/>
      <c r="C16" s="60" t="s">
        <v>171</v>
      </c>
      <c r="D16" s="61">
        <v>10051757</v>
      </c>
      <c r="E16" s="61">
        <f>SUM('19 önkormányzat'!F29)</f>
        <v>9235000</v>
      </c>
      <c r="F16" s="61">
        <f>SUM('19 önkormányzat'!G29)</f>
        <v>9235000</v>
      </c>
      <c r="G16" s="61">
        <f>SUM('19 önkormányzat'!H29)</f>
        <v>9235000</v>
      </c>
      <c r="H16" s="61">
        <f>SUM('19 önkormányzat'!I29)</f>
        <v>11376598</v>
      </c>
      <c r="I16" s="61">
        <f>SUM('19 önkormányzat'!J29)</f>
        <v>11376598</v>
      </c>
      <c r="J16" s="919">
        <f>SUM('19 önkormányzat'!K29)</f>
        <v>12680105</v>
      </c>
      <c r="K16" s="919">
        <f>SUM('19 önkormányzat'!L29)</f>
        <v>12680105</v>
      </c>
    </row>
    <row r="17" spans="1:11" s="63" customFormat="1" ht="12.75" customHeight="1">
      <c r="A17" s="58" t="s">
        <v>57</v>
      </c>
      <c r="B17" s="59"/>
      <c r="C17" s="60" t="s">
        <v>172</v>
      </c>
      <c r="D17" s="61"/>
      <c r="E17" s="61">
        <f>SUM('19 önkormányzat'!F30)</f>
        <v>0</v>
      </c>
      <c r="F17" s="61">
        <f>SUM('19 önkormányzat'!G30)</f>
        <v>0</v>
      </c>
      <c r="G17" s="61">
        <f>SUM('19 önkormányzat'!H30)</f>
        <v>0</v>
      </c>
      <c r="H17" s="61">
        <f>SUM('19 önkormányzat'!I30)</f>
        <v>0</v>
      </c>
      <c r="I17" s="61">
        <f>SUM('19 önkormányzat'!J30)</f>
        <v>0</v>
      </c>
      <c r="J17" s="919">
        <f>SUM('19 önkormányzat'!K30)</f>
        <v>0</v>
      </c>
      <c r="K17" s="919">
        <f>SUM('19 önkormányzat'!L30)</f>
        <v>0</v>
      </c>
    </row>
    <row r="18" spans="1:11" s="63" customFormat="1" ht="12.75" customHeight="1">
      <c r="A18" s="58" t="s">
        <v>86</v>
      </c>
      <c r="B18" s="59"/>
      <c r="C18" s="60" t="s">
        <v>173</v>
      </c>
      <c r="D18" s="919">
        <v>608170</v>
      </c>
      <c r="E18" s="919">
        <f>SUM('19 önkormányzat'!F31)</f>
        <v>465000</v>
      </c>
      <c r="F18" s="919">
        <f>SUM('19 önkormányzat'!G31)</f>
        <v>465000</v>
      </c>
      <c r="G18" s="919">
        <f>SUM('19 önkormányzat'!H31)</f>
        <v>465000</v>
      </c>
      <c r="H18" s="919">
        <f>SUM('19 önkormányzat'!I31)</f>
        <v>465000</v>
      </c>
      <c r="I18" s="919">
        <f>SUM('19 önkormányzat'!J31)</f>
        <v>465000</v>
      </c>
      <c r="J18" s="919">
        <f>SUM('19 önkormányzat'!K31)</f>
        <v>1362640</v>
      </c>
      <c r="K18" s="919">
        <f>SUM('19 önkormányzat'!L31)</f>
        <v>1362640</v>
      </c>
    </row>
    <row r="19" spans="1:11" s="68" customFormat="1" ht="12.75" customHeight="1">
      <c r="A19" s="64" t="s">
        <v>59</v>
      </c>
      <c r="B19" s="65" t="s">
        <v>174</v>
      </c>
      <c r="C19" s="9" t="s">
        <v>175</v>
      </c>
      <c r="D19" s="842">
        <f aca="true" t="shared" si="1" ref="D19:I19">SUM(D14:D18)</f>
        <v>171345614</v>
      </c>
      <c r="E19" s="842">
        <f t="shared" si="1"/>
        <v>150455000</v>
      </c>
      <c r="F19" s="842">
        <f t="shared" si="1"/>
        <v>150455000</v>
      </c>
      <c r="G19" s="842">
        <f t="shared" si="1"/>
        <v>150455000</v>
      </c>
      <c r="H19" s="842">
        <f t="shared" si="1"/>
        <v>152596598</v>
      </c>
      <c r="I19" s="842">
        <f t="shared" si="1"/>
        <v>154596598</v>
      </c>
      <c r="J19" s="842">
        <f>SUM(J14:J18)</f>
        <v>186676160</v>
      </c>
      <c r="K19" s="842">
        <f>SUM(K14:K18)</f>
        <v>186676160</v>
      </c>
    </row>
    <row r="20" spans="1:11" s="63" customFormat="1" ht="12.75" customHeight="1">
      <c r="A20" s="58" t="s">
        <v>61</v>
      </c>
      <c r="B20" s="59"/>
      <c r="C20" s="60" t="s">
        <v>176</v>
      </c>
      <c r="D20" s="919">
        <v>5995252</v>
      </c>
      <c r="E20" s="919">
        <f>SUM('17. Hivatal'!F11+'18. VÜKI'!F13+'19 önkormányzat'!F33)</f>
        <v>5510000</v>
      </c>
      <c r="F20" s="919">
        <f>SUM('17. Hivatal'!G11+'18. VÜKI'!G13+'19 önkormányzat'!G33)</f>
        <v>5510000</v>
      </c>
      <c r="G20" s="919">
        <f>SUM('17. Hivatal'!H11+'18. VÜKI'!H13+'19 önkormányzat'!H33)</f>
        <v>5510000</v>
      </c>
      <c r="H20" s="919">
        <f>SUM('17. Hivatal'!I11+'18. VÜKI'!I13+'19 önkormányzat'!I33)</f>
        <v>5661000</v>
      </c>
      <c r="I20" s="919">
        <f>SUM('17. Hivatal'!J11+'18. VÜKI'!J13+'19 önkormányzat'!J33)</f>
        <v>5761000</v>
      </c>
      <c r="J20" s="919">
        <f>SUM('17. Hivatal'!K11+'18. VÜKI'!K13+'19 önkormányzat'!K33)</f>
        <v>3702751</v>
      </c>
      <c r="K20" s="919">
        <f>SUM('17. Hivatal'!L11+'18. VÜKI'!L13+'19 önkormányzat'!L33)</f>
        <v>3702751</v>
      </c>
    </row>
    <row r="21" spans="1:11" s="63" customFormat="1" ht="12.75" customHeight="1">
      <c r="A21" s="58" t="s">
        <v>63</v>
      </c>
      <c r="B21" s="59"/>
      <c r="C21" s="60" t="s">
        <v>177</v>
      </c>
      <c r="D21" s="919">
        <v>4006449</v>
      </c>
      <c r="E21" s="919">
        <f>SUM('17. Hivatal'!F12+'19 önkormányzat'!F34)</f>
        <v>3995000</v>
      </c>
      <c r="F21" s="919">
        <f>SUM('17. Hivatal'!G12+'19 önkormányzat'!G34)</f>
        <v>3995000</v>
      </c>
      <c r="G21" s="919">
        <f>SUM('17. Hivatal'!H12+'19 önkormányzat'!H34)</f>
        <v>3995000</v>
      </c>
      <c r="H21" s="919">
        <f>SUM('17. Hivatal'!I12+'19 önkormányzat'!I34)</f>
        <v>4125000</v>
      </c>
      <c r="I21" s="919">
        <f>SUM('17. Hivatal'!J12+'19 önkormányzat'!J34)</f>
        <v>4265000</v>
      </c>
      <c r="J21" s="919">
        <f>SUM('17. Hivatal'!K12+'19 önkormányzat'!K34)</f>
        <v>4803116</v>
      </c>
      <c r="K21" s="919">
        <f>SUM('17. Hivatal'!L12+'19 önkormányzat'!L34)</f>
        <v>4803116</v>
      </c>
    </row>
    <row r="22" spans="1:11" s="63" customFormat="1" ht="12.75" customHeight="1">
      <c r="A22" s="69" t="s">
        <v>65</v>
      </c>
      <c r="B22" s="70"/>
      <c r="C22" s="60" t="s">
        <v>178</v>
      </c>
      <c r="D22" s="919">
        <v>930260</v>
      </c>
      <c r="E22" s="919">
        <f>SUM('16. Műv. ház'!F10+'18. VÜKI'!F14+'19 önkormányzat'!F35)</f>
        <v>1434000</v>
      </c>
      <c r="F22" s="919">
        <f>SUM('16. Műv. ház'!G10+'18. VÜKI'!G14+'19 önkormányzat'!G35)</f>
        <v>1434000</v>
      </c>
      <c r="G22" s="919">
        <f>SUM('16. Műv. ház'!H10+'18. VÜKI'!H14+'19 önkormányzat'!H35)</f>
        <v>1434000</v>
      </c>
      <c r="H22" s="919">
        <f>SUM('16. Műv. ház'!I10+'18. VÜKI'!I14+'19 önkormányzat'!I35)</f>
        <v>1432990</v>
      </c>
      <c r="I22" s="919">
        <f>SUM('16. Műv. ház'!J10+'18. VÜKI'!J14+'19 önkormányzat'!J35)</f>
        <v>1440000</v>
      </c>
      <c r="J22" s="919">
        <f>SUM('16. Műv. ház'!K10+'18. VÜKI'!K14+'19 önkormányzat'!K35)</f>
        <v>3120519</v>
      </c>
      <c r="K22" s="919">
        <f>SUM('16. Műv. ház'!L10+'18. VÜKI'!L14+'19 önkormányzat'!L35)</f>
        <v>3120519</v>
      </c>
    </row>
    <row r="23" spans="1:11" s="63" customFormat="1" ht="12.75" customHeight="1">
      <c r="A23" s="58" t="s">
        <v>92</v>
      </c>
      <c r="B23" s="59"/>
      <c r="C23" s="60" t="s">
        <v>179</v>
      </c>
      <c r="D23" s="919">
        <v>16780995</v>
      </c>
      <c r="E23" s="919">
        <f>SUM('15. Óvoda'!F11+'15. Óvoda'!F12+'18. VÜKI'!F15)</f>
        <v>17100000</v>
      </c>
      <c r="F23" s="919">
        <f>SUM('15. Óvoda'!G11+'15. Óvoda'!G12+'18. VÜKI'!G15)</f>
        <v>17100000</v>
      </c>
      <c r="G23" s="919">
        <f>SUM('15. Óvoda'!H11+'15. Óvoda'!H12+'18. VÜKI'!H15)</f>
        <v>17100000</v>
      </c>
      <c r="H23" s="919">
        <f>SUM('15. Óvoda'!I11+'15. Óvoda'!I12+'18. VÜKI'!I15)</f>
        <v>17070000</v>
      </c>
      <c r="I23" s="919">
        <f>SUM('15. Óvoda'!J11+'15. Óvoda'!J12+'18. VÜKI'!J15)</f>
        <v>17070000</v>
      </c>
      <c r="J23" s="919">
        <f>SUM('15. Óvoda'!K11+'15. Óvoda'!K12+'18. VÜKI'!K15)</f>
        <v>19402162</v>
      </c>
      <c r="K23" s="919">
        <f>SUM('15. Óvoda'!L11+'15. Óvoda'!L12+'18. VÜKI'!L15)+'15. Óvoda'!L13</f>
        <v>19402162</v>
      </c>
    </row>
    <row r="24" spans="1:11" s="63" customFormat="1" ht="12.75" customHeight="1">
      <c r="A24" s="58" t="s">
        <v>66</v>
      </c>
      <c r="B24" s="59"/>
      <c r="C24" s="60" t="s">
        <v>180</v>
      </c>
      <c r="D24" s="919">
        <v>8898038</v>
      </c>
      <c r="E24" s="919">
        <f>SUM('15. Óvoda'!F14+'17. Hivatal'!F13+'18. VÜKI'!F16+'19 önkormányzat'!F36)</f>
        <v>8650000</v>
      </c>
      <c r="F24" s="919">
        <f>SUM('15. Óvoda'!G14+'17. Hivatal'!G13+'18. VÜKI'!G16+'19 önkormányzat'!G36)</f>
        <v>8650000</v>
      </c>
      <c r="G24" s="919">
        <f>SUM('15. Óvoda'!H14+'17. Hivatal'!H13+'18. VÜKI'!H16+'19 önkormányzat'!H36)</f>
        <v>8650000</v>
      </c>
      <c r="H24" s="919">
        <f>SUM('15. Óvoda'!I14+'17. Hivatal'!I13+'18. VÜKI'!I16+'19 önkormányzat'!I36)</f>
        <v>8690000</v>
      </c>
      <c r="I24" s="919">
        <f>SUM('15. Óvoda'!J14+'17. Hivatal'!J13+'18. VÜKI'!J16+'19 önkormányzat'!J36)</f>
        <v>17804750</v>
      </c>
      <c r="J24" s="919">
        <f>SUM('15. Óvoda'!K14+'17. Hivatal'!K13+'18. VÜKI'!K16+'19 önkormányzat'!K36)</f>
        <v>11551896</v>
      </c>
      <c r="K24" s="919">
        <f>SUM('15. Óvoda'!L14+'17. Hivatal'!L13+'18. VÜKI'!L16+'19 önkormányzat'!L36)</f>
        <v>11551896</v>
      </c>
    </row>
    <row r="25" spans="1:11" s="63" customFormat="1" ht="12.75" customHeight="1">
      <c r="A25" s="63" t="s">
        <v>67</v>
      </c>
      <c r="B25" s="59"/>
      <c r="C25" s="855" t="s">
        <v>739</v>
      </c>
      <c r="D25" s="919">
        <v>5708000</v>
      </c>
      <c r="E25" s="919">
        <v>5700000</v>
      </c>
      <c r="F25" s="919">
        <v>6518000</v>
      </c>
      <c r="G25" s="919">
        <v>6518000</v>
      </c>
      <c r="H25" s="919">
        <v>6518000</v>
      </c>
      <c r="I25" s="919">
        <v>818000</v>
      </c>
      <c r="J25" s="919">
        <v>818000</v>
      </c>
      <c r="K25" s="919">
        <v>818000</v>
      </c>
    </row>
    <row r="26" spans="1:11" s="63" customFormat="1" ht="12.75" customHeight="1">
      <c r="A26" s="58" t="s">
        <v>68</v>
      </c>
      <c r="B26" s="59"/>
      <c r="C26" s="60" t="s">
        <v>181</v>
      </c>
      <c r="D26" s="919">
        <v>2902</v>
      </c>
      <c r="E26" s="919">
        <f>SUM('15. Óvoda'!F15+'16. Műv. ház'!F11+'17. Hivatal'!F14+'18. VÜKI'!F18+'19 önkormányzat'!F38)</f>
        <v>3000</v>
      </c>
      <c r="F26" s="919">
        <f>SUM('15. Óvoda'!G15+'16. Műv. ház'!G11+'17. Hivatal'!G14+'18. VÜKI'!G18+'19 önkormányzat'!G38)</f>
        <v>3000</v>
      </c>
      <c r="G26" s="919">
        <f>SUM('15. Óvoda'!H15+'16. Műv. ház'!H11+'17. Hivatal'!H14+'18. VÜKI'!H18+'19 önkormányzat'!H38)</f>
        <v>3000</v>
      </c>
      <c r="H26" s="919">
        <f>SUM('15. Óvoda'!I15+'16. Műv. ház'!I11+'17. Hivatal'!I14+'18. VÜKI'!I18+'19 önkormányzat'!I38)</f>
        <v>3010</v>
      </c>
      <c r="I26" s="919">
        <f>SUM('15. Óvoda'!J15+'16. Műv. ház'!J11+'17. Hivatal'!J14+'18. VÜKI'!J18+'19 önkormányzat'!J38)</f>
        <v>3004</v>
      </c>
      <c r="J26" s="919">
        <f>SUM('15. Óvoda'!K15+'16. Műv. ház'!K11+'17. Hivatal'!K14+'18. VÜKI'!K18+'19 önkormányzat'!K38)</f>
        <v>554</v>
      </c>
      <c r="K26" s="919">
        <f>SUM('15. Óvoda'!L15+'16. Műv. ház'!L11+'17. Hivatal'!L14+'18. VÜKI'!L18+'19 önkormányzat'!L38)</f>
        <v>554</v>
      </c>
    </row>
    <row r="27" spans="1:11" s="63" customFormat="1" ht="12.75" customHeight="1">
      <c r="A27" s="58" t="s">
        <v>70</v>
      </c>
      <c r="B27" s="59"/>
      <c r="C27" s="60" t="s">
        <v>182</v>
      </c>
      <c r="D27" s="920">
        <v>61230</v>
      </c>
      <c r="E27" s="920">
        <v>0</v>
      </c>
      <c r="F27" s="920">
        <v>0</v>
      </c>
      <c r="G27" s="920">
        <v>0</v>
      </c>
      <c r="H27" s="920">
        <v>0</v>
      </c>
      <c r="I27" s="920">
        <v>0</v>
      </c>
      <c r="J27" s="920">
        <v>0</v>
      </c>
      <c r="K27" s="920">
        <v>0</v>
      </c>
    </row>
    <row r="28" spans="1:11" s="63" customFormat="1" ht="12.75" customHeight="1">
      <c r="A28" s="58" t="s">
        <v>97</v>
      </c>
      <c r="B28" s="59"/>
      <c r="C28" s="60" t="s">
        <v>1145</v>
      </c>
      <c r="D28" s="920"/>
      <c r="E28" s="920"/>
      <c r="F28" s="920"/>
      <c r="G28" s="920"/>
      <c r="H28" s="920">
        <v>44417</v>
      </c>
      <c r="I28" s="920">
        <v>172669</v>
      </c>
      <c r="J28" s="920">
        <v>660167</v>
      </c>
      <c r="K28" s="920">
        <v>660167</v>
      </c>
    </row>
    <row r="29" spans="1:11" s="63" customFormat="1" ht="12.75" customHeight="1">
      <c r="A29" s="58" t="s">
        <v>99</v>
      </c>
      <c r="B29" s="59"/>
      <c r="C29" s="60" t="s">
        <v>183</v>
      </c>
      <c r="D29" s="919">
        <v>1124226</v>
      </c>
      <c r="E29" s="919">
        <f>SUM('16. Műv. ház'!F12+'18. VÜKI'!F17+'19 önkormányzat'!F40)</f>
        <v>0</v>
      </c>
      <c r="F29" s="919">
        <f>SUM('16. Műv. ház'!G12+'18. VÜKI'!G17+'19 önkormányzat'!G40)</f>
        <v>0</v>
      </c>
      <c r="G29" s="919">
        <f>SUM('16. Műv. ház'!H12+'18. VÜKI'!H17+'19 önkormányzat'!H40)</f>
        <v>0</v>
      </c>
      <c r="H29" s="919">
        <f>SUM('16. Műv. ház'!I12+'18. VÜKI'!I17+'19 önkormányzat'!I40)+'15. Óvoda'!I16</f>
        <v>30018</v>
      </c>
      <c r="I29" s="919">
        <f>SUM('16. Műv. ház'!J12+'18. VÜKI'!J17+'19 önkormányzat'!J40)+'15. Óvoda'!J16</f>
        <v>30034</v>
      </c>
      <c r="J29" s="919">
        <f>SUM('16. Műv. ház'!K12+'18. VÜKI'!K17+'19 önkormányzat'!K40)+'15. Óvoda'!K16+'17. Hivatal'!K15</f>
        <v>333552</v>
      </c>
      <c r="K29" s="919">
        <f>SUM('16. Műv. ház'!L12+'18. VÜKI'!L17+'19 önkormányzat'!L40)+'15. Óvoda'!L16+'17. Hivatal'!L15</f>
        <v>333552</v>
      </c>
    </row>
    <row r="30" spans="1:11" s="68" customFormat="1" ht="12.75" customHeight="1">
      <c r="A30" s="64" t="s">
        <v>101</v>
      </c>
      <c r="B30" s="9" t="s">
        <v>184</v>
      </c>
      <c r="C30" s="9" t="s">
        <v>78</v>
      </c>
      <c r="D30" s="842">
        <f aca="true" t="shared" si="2" ref="D30:I30">SUM(D20:D29)</f>
        <v>43507352</v>
      </c>
      <c r="E30" s="842">
        <f t="shared" si="2"/>
        <v>42392000</v>
      </c>
      <c r="F30" s="842">
        <f t="shared" si="2"/>
        <v>43210000</v>
      </c>
      <c r="G30" s="842">
        <f t="shared" si="2"/>
        <v>43210000</v>
      </c>
      <c r="H30" s="842">
        <f t="shared" si="2"/>
        <v>43574435</v>
      </c>
      <c r="I30" s="842">
        <f t="shared" si="2"/>
        <v>47364457</v>
      </c>
      <c r="J30" s="842">
        <f>SUM(J20:J29)</f>
        <v>44392717</v>
      </c>
      <c r="K30" s="842">
        <f>SUM(K20:K29)</f>
        <v>44392717</v>
      </c>
    </row>
    <row r="31" spans="1:11" s="68" customFormat="1" ht="12.75" customHeight="1">
      <c r="A31" s="64" t="s">
        <v>103</v>
      </c>
      <c r="B31" s="9" t="s">
        <v>185</v>
      </c>
      <c r="C31" s="9" t="s">
        <v>13</v>
      </c>
      <c r="D31" s="842">
        <v>9136370</v>
      </c>
      <c r="E31" s="842">
        <f>SUM('19 önkormányzat'!F42)</f>
        <v>24433530</v>
      </c>
      <c r="F31" s="842">
        <f>SUM('19 önkormányzat'!G42)</f>
        <v>32364738</v>
      </c>
      <c r="G31" s="842">
        <f>SUM('19 önkormányzat'!H42)</f>
        <v>32364738</v>
      </c>
      <c r="H31" s="842">
        <f>SUM('19 önkormányzat'!I42)</f>
        <v>32127362</v>
      </c>
      <c r="I31" s="842">
        <f>SUM('19 önkormányzat'!J42)</f>
        <v>30832408</v>
      </c>
      <c r="J31" s="842">
        <f>SUM('19 önkormányzat'!K42)</f>
        <v>15566246</v>
      </c>
      <c r="K31" s="842">
        <f>SUM('19 önkormányzat'!L42)</f>
        <v>15566246</v>
      </c>
    </row>
    <row r="32" spans="1:11" s="68" customFormat="1" ht="12.75" customHeight="1">
      <c r="A32" s="64" t="s">
        <v>105</v>
      </c>
      <c r="B32" s="9" t="s">
        <v>186</v>
      </c>
      <c r="C32" s="9" t="s">
        <v>187</v>
      </c>
      <c r="D32" s="842">
        <v>1507008</v>
      </c>
      <c r="E32" s="842">
        <v>200000</v>
      </c>
      <c r="F32" s="842">
        <f>SUM('15. Óvoda'!G9+'19 önkormányzat'!G46)+'17. Hivatal'!G17</f>
        <v>1403259</v>
      </c>
      <c r="G32" s="842">
        <f>SUM('15. Óvoda'!H9+'19 önkormányzat'!H46)+'17. Hivatal'!H17</f>
        <v>1403259</v>
      </c>
      <c r="H32" s="842">
        <f>SUM('15. Óvoda'!I9+'19 önkormányzat'!I46)+'17. Hivatal'!I17</f>
        <v>1877261</v>
      </c>
      <c r="I32" s="842">
        <f>SUM('15. Óvoda'!J9+'19 önkormányzat'!J46)+'17. Hivatal'!J17</f>
        <v>2336261</v>
      </c>
      <c r="J32" s="842">
        <v>2293681</v>
      </c>
      <c r="K32" s="842">
        <v>2293681</v>
      </c>
    </row>
    <row r="33" spans="1:11" s="68" customFormat="1" ht="12.75" customHeight="1" thickBot="1">
      <c r="A33" s="64" t="s">
        <v>107</v>
      </c>
      <c r="B33" s="9" t="s">
        <v>188</v>
      </c>
      <c r="C33" s="9" t="s">
        <v>189</v>
      </c>
      <c r="D33" s="842">
        <v>800000</v>
      </c>
      <c r="E33" s="842">
        <v>0</v>
      </c>
      <c r="F33" s="842">
        <v>0</v>
      </c>
      <c r="G33" s="842">
        <v>0</v>
      </c>
      <c r="H33" s="842">
        <v>0</v>
      </c>
      <c r="I33" s="842">
        <v>0</v>
      </c>
      <c r="J33" s="842">
        <f>SUM('19 önkormányzat'!K49)</f>
        <v>3200000</v>
      </c>
      <c r="K33" s="842">
        <f>SUM('19 önkormányzat'!L49)</f>
        <v>3200000</v>
      </c>
    </row>
    <row r="34" spans="1:11" s="71" customFormat="1" ht="19.5" customHeight="1" thickBot="1">
      <c r="A34" s="730" t="s">
        <v>109</v>
      </c>
      <c r="B34" s="731"/>
      <c r="C34" s="732" t="s">
        <v>190</v>
      </c>
      <c r="D34" s="733">
        <f aca="true" t="shared" si="3" ref="D34:I34">SUM(D12+D13+D19+D30+D31+D32+D33)</f>
        <v>1137018551</v>
      </c>
      <c r="E34" s="733">
        <f t="shared" si="3"/>
        <v>419750054</v>
      </c>
      <c r="F34" s="733">
        <f t="shared" si="3"/>
        <v>431860772</v>
      </c>
      <c r="G34" s="733">
        <f t="shared" si="3"/>
        <v>432466388</v>
      </c>
      <c r="H34" s="733">
        <f t="shared" si="3"/>
        <v>435269121</v>
      </c>
      <c r="I34" s="733">
        <f t="shared" si="3"/>
        <v>442263844</v>
      </c>
      <c r="J34" s="733">
        <f>SUM(J12+J13+J19+J30+J31+J32+J33)</f>
        <v>478283836</v>
      </c>
      <c r="K34" s="733">
        <f>SUM(K12+K13+K19+K30+K31+K32+K33)</f>
        <v>478283836</v>
      </c>
    </row>
    <row r="35" spans="1:11" ht="12.75" customHeight="1">
      <c r="A35" s="734" t="s">
        <v>111</v>
      </c>
      <c r="B35" s="735"/>
      <c r="C35" s="736"/>
      <c r="D35" s="852"/>
      <c r="E35" s="852"/>
      <c r="F35" s="852"/>
      <c r="G35" s="852"/>
      <c r="H35" s="852"/>
      <c r="I35" s="852"/>
      <c r="J35" s="852"/>
      <c r="K35" s="852"/>
    </row>
    <row r="36" spans="1:11" ht="12.75" customHeight="1">
      <c r="A36" s="559" t="s">
        <v>113</v>
      </c>
      <c r="B36" s="499" t="s">
        <v>191</v>
      </c>
      <c r="C36" s="500" t="s">
        <v>192</v>
      </c>
      <c r="D36" s="601">
        <f>SUM('ÖNK ÖSSZESITŐ'!F42)</f>
        <v>0</v>
      </c>
      <c r="E36" s="601">
        <f>SUM('ÖNK ÖSSZESITŐ'!G42)</f>
        <v>0</v>
      </c>
      <c r="F36" s="601">
        <f>SUM('ÖNK ÖSSZESITŐ'!H42)</f>
        <v>0</v>
      </c>
      <c r="G36" s="601">
        <f>SUM('ÖNK ÖSSZESITŐ'!I42)</f>
        <v>0</v>
      </c>
      <c r="H36" s="601">
        <f>SUM('ÖNK ÖSSZESITŐ'!J42)</f>
        <v>0</v>
      </c>
      <c r="I36" s="601">
        <f>SUM('ÖNK ÖSSZESITŐ'!K42)</f>
        <v>0</v>
      </c>
      <c r="J36" s="601">
        <f>SUM('ÖNK ÖSSZESITŐ'!L42)</f>
        <v>0</v>
      </c>
      <c r="K36" s="601">
        <f>SUM('ÖNK ÖSSZESITŐ'!M42)</f>
        <v>0</v>
      </c>
    </row>
    <row r="37" spans="1:11" s="68" customFormat="1" ht="12.75" customHeight="1">
      <c r="A37" s="737" t="s">
        <v>115</v>
      </c>
      <c r="B37" s="499" t="s">
        <v>193</v>
      </c>
      <c r="C37" s="500" t="s">
        <v>194</v>
      </c>
      <c r="D37" s="601">
        <f aca="true" t="shared" si="4" ref="D37:I37">SUM(D38:D39)</f>
        <v>52133712</v>
      </c>
      <c r="E37" s="601">
        <f t="shared" si="4"/>
        <v>729615835</v>
      </c>
      <c r="F37" s="601">
        <f t="shared" si="4"/>
        <v>729615835</v>
      </c>
      <c r="G37" s="601">
        <f t="shared" si="4"/>
        <v>729615835</v>
      </c>
      <c r="H37" s="601">
        <f t="shared" si="4"/>
        <v>729615835</v>
      </c>
      <c r="I37" s="601">
        <f t="shared" si="4"/>
        <v>729615835</v>
      </c>
      <c r="J37" s="601">
        <f>SUM(J38:J39)</f>
        <v>729615835</v>
      </c>
      <c r="K37" s="601">
        <f>SUM(K38:K39)</f>
        <v>729615835</v>
      </c>
    </row>
    <row r="38" spans="1:11" s="63" customFormat="1" ht="12.75" customHeight="1">
      <c r="A38" s="738" t="s">
        <v>117</v>
      </c>
      <c r="B38" s="602"/>
      <c r="C38" s="407" t="s">
        <v>195</v>
      </c>
      <c r="D38" s="603">
        <v>48769876</v>
      </c>
      <c r="E38" s="603">
        <v>589326867</v>
      </c>
      <c r="F38" s="603">
        <v>589326867</v>
      </c>
      <c r="G38" s="603">
        <v>692882571</v>
      </c>
      <c r="H38" s="603">
        <v>678091033</v>
      </c>
      <c r="I38" s="603">
        <v>605297104</v>
      </c>
      <c r="J38" s="603">
        <f>SUM('2. melléklet'!J28)</f>
        <v>608262692</v>
      </c>
      <c r="K38" s="603">
        <f>SUM('2. melléklet'!K28)</f>
        <v>608262692</v>
      </c>
    </row>
    <row r="39" spans="1:11" s="63" customFormat="1" ht="12.75" customHeight="1">
      <c r="A39" s="739" t="s">
        <v>118</v>
      </c>
      <c r="B39" s="602"/>
      <c r="C39" s="407" t="s">
        <v>196</v>
      </c>
      <c r="D39" s="546">
        <v>3363836</v>
      </c>
      <c r="E39" s="546">
        <v>140288968</v>
      </c>
      <c r="F39" s="546">
        <v>140288968</v>
      </c>
      <c r="G39" s="546">
        <v>36733264</v>
      </c>
      <c r="H39" s="546">
        <v>51524802</v>
      </c>
      <c r="I39" s="546">
        <v>124318731</v>
      </c>
      <c r="J39" s="546">
        <f>SUM('2. melléklet'!J29)</f>
        <v>121353143</v>
      </c>
      <c r="K39" s="546">
        <f>SUM('2. melléklet'!K29)</f>
        <v>121353143</v>
      </c>
    </row>
    <row r="40" spans="1:11" s="63" customFormat="1" ht="12.75" customHeight="1">
      <c r="A40" s="740" t="s">
        <v>120</v>
      </c>
      <c r="B40" s="499" t="s">
        <v>197</v>
      </c>
      <c r="C40" s="500" t="s">
        <v>198</v>
      </c>
      <c r="D40" s="546">
        <v>10623632</v>
      </c>
      <c r="E40" s="546">
        <f>SUM('19 önkormányzat'!F55)</f>
        <v>6703536</v>
      </c>
      <c r="F40" s="546">
        <f>SUM('19 önkormányzat'!G55)</f>
        <v>6703536</v>
      </c>
      <c r="G40" s="546">
        <f>SUM('19 önkormányzat'!H55)</f>
        <v>7419080</v>
      </c>
      <c r="H40" s="546">
        <f>SUM('19 önkormányzat'!I55)</f>
        <v>8095569</v>
      </c>
      <c r="I40" s="546">
        <f>SUM('19 önkormányzat'!J55)</f>
        <v>8679084</v>
      </c>
      <c r="J40" s="546">
        <f>SUM('19 önkormányzat'!K55)</f>
        <v>9417924</v>
      </c>
      <c r="K40" s="546">
        <f>SUM('19 önkormányzat'!L55)</f>
        <v>9423918</v>
      </c>
    </row>
    <row r="41" spans="1:11" s="68" customFormat="1" ht="28.5" customHeight="1" thickBot="1">
      <c r="A41" s="741" t="s">
        <v>122</v>
      </c>
      <c r="B41" s="742"/>
      <c r="C41" s="743" t="s">
        <v>199</v>
      </c>
      <c r="D41" s="744">
        <f aca="true" t="shared" si="5" ref="D41:I41">SUM(D36+D37+D40)</f>
        <v>62757344</v>
      </c>
      <c r="E41" s="744">
        <f t="shared" si="5"/>
        <v>736319371</v>
      </c>
      <c r="F41" s="744">
        <f t="shared" si="5"/>
        <v>736319371</v>
      </c>
      <c r="G41" s="744">
        <f t="shared" si="5"/>
        <v>737034915</v>
      </c>
      <c r="H41" s="744">
        <f t="shared" si="5"/>
        <v>737711404</v>
      </c>
      <c r="I41" s="744">
        <f t="shared" si="5"/>
        <v>738294919</v>
      </c>
      <c r="J41" s="744">
        <f>SUM(J36+J37+J40)</f>
        <v>739033759</v>
      </c>
      <c r="K41" s="744">
        <f>SUM(K36+K37+K40)</f>
        <v>739039753</v>
      </c>
    </row>
    <row r="42" spans="1:11" s="78" customFormat="1" ht="21.75" customHeight="1" thickBot="1">
      <c r="A42" s="727" t="s">
        <v>124</v>
      </c>
      <c r="B42" s="728"/>
      <c r="C42" s="728" t="s">
        <v>200</v>
      </c>
      <c r="D42" s="729">
        <f aca="true" t="shared" si="6" ref="D42:I42">D34+D41</f>
        <v>1199775895</v>
      </c>
      <c r="E42" s="729">
        <f t="shared" si="6"/>
        <v>1156069425</v>
      </c>
      <c r="F42" s="729">
        <f t="shared" si="6"/>
        <v>1168180143</v>
      </c>
      <c r="G42" s="729">
        <f t="shared" si="6"/>
        <v>1169501303</v>
      </c>
      <c r="H42" s="729">
        <f t="shared" si="6"/>
        <v>1172980525</v>
      </c>
      <c r="I42" s="729">
        <f t="shared" si="6"/>
        <v>1180558763</v>
      </c>
      <c r="J42" s="729">
        <f>J34+J41</f>
        <v>1217317595</v>
      </c>
      <c r="K42" s="729">
        <f>K34+K41</f>
        <v>1217323589</v>
      </c>
    </row>
    <row r="43" spans="1:3" ht="12.75" customHeight="1">
      <c r="A43" s="79"/>
      <c r="C43" s="80"/>
    </row>
    <row r="44" spans="1:3" ht="12.75" customHeight="1">
      <c r="A44" s="79"/>
      <c r="C44" s="80"/>
    </row>
    <row r="45" spans="1:3" ht="1.5" customHeight="1" thickBot="1">
      <c r="A45" s="79"/>
      <c r="C45" s="80"/>
    </row>
    <row r="46" spans="1:11" ht="53.25" customHeight="1" thickBot="1">
      <c r="A46" s="1516" t="s">
        <v>156</v>
      </c>
      <c r="B46" s="1516"/>
      <c r="C46" s="53" t="s">
        <v>119</v>
      </c>
      <c r="D46" s="851" t="s">
        <v>158</v>
      </c>
      <c r="E46" s="851" t="s">
        <v>1002</v>
      </c>
      <c r="F46" s="851" t="s">
        <v>1092</v>
      </c>
      <c r="G46" s="851" t="s">
        <v>1132</v>
      </c>
      <c r="H46" s="851" t="s">
        <v>1143</v>
      </c>
      <c r="I46" s="851" t="s">
        <v>1151</v>
      </c>
      <c r="J46" s="851" t="s">
        <v>1171</v>
      </c>
      <c r="K46" s="851" t="s">
        <v>1187</v>
      </c>
    </row>
    <row r="47" spans="1:11" ht="12.75" customHeight="1">
      <c r="A47" s="1516"/>
      <c r="B47" s="1516"/>
      <c r="C47" s="81" t="s">
        <v>159</v>
      </c>
      <c r="D47" s="853" t="s">
        <v>160</v>
      </c>
      <c r="E47" s="853" t="s">
        <v>161</v>
      </c>
      <c r="F47" s="853" t="s">
        <v>162</v>
      </c>
      <c r="G47" s="853" t="s">
        <v>479</v>
      </c>
      <c r="H47" s="853" t="s">
        <v>499</v>
      </c>
      <c r="I47" s="853" t="s">
        <v>745</v>
      </c>
      <c r="J47" s="853" t="s">
        <v>826</v>
      </c>
      <c r="K47" s="853" t="s">
        <v>830</v>
      </c>
    </row>
    <row r="48" spans="1:11" s="68" customFormat="1" ht="12.75" customHeight="1">
      <c r="A48" s="64" t="s">
        <v>126</v>
      </c>
      <c r="B48" s="65" t="s">
        <v>165</v>
      </c>
      <c r="C48" s="9" t="s">
        <v>121</v>
      </c>
      <c r="D48" s="66">
        <v>208946160</v>
      </c>
      <c r="E48" s="842">
        <f>SUM('ÖNK ÖSSZESITŐ'!F87)</f>
        <v>203599951</v>
      </c>
      <c r="F48" s="842">
        <f>SUM('ÖNK ÖSSZESITŐ'!G87)</f>
        <v>210606599</v>
      </c>
      <c r="G48" s="842">
        <f>SUM('ÖNK ÖSSZESITŐ'!H87)</f>
        <v>210878277</v>
      </c>
      <c r="H48" s="842">
        <f>SUM('ÖNK ÖSSZESITŐ'!I87)</f>
        <v>212063547</v>
      </c>
      <c r="I48" s="842">
        <f>SUM('ÖNK ÖSSZESITŐ'!J87)</f>
        <v>215432267</v>
      </c>
      <c r="J48" s="842">
        <f>SUM('ÖNK ÖSSZESITŐ'!K87)</f>
        <v>202958120</v>
      </c>
      <c r="K48" s="842">
        <f>SUM('ÖNK ÖSSZESITŐ'!L87)</f>
        <v>202958120</v>
      </c>
    </row>
    <row r="49" spans="1:11" s="68" customFormat="1" ht="12.75" customHeight="1">
      <c r="A49" s="64" t="s">
        <v>128</v>
      </c>
      <c r="B49" s="65" t="s">
        <v>167</v>
      </c>
      <c r="C49" s="9" t="s">
        <v>201</v>
      </c>
      <c r="D49" s="66">
        <v>46468229</v>
      </c>
      <c r="E49" s="842">
        <f>SUM('ÖNK ÖSSZESITŐ'!F88)</f>
        <v>40096118</v>
      </c>
      <c r="F49" s="842">
        <f>SUM('ÖNK ÖSSZESITŐ'!G88)</f>
        <v>41407095</v>
      </c>
      <c r="G49" s="842">
        <f>SUM('ÖNK ÖSSZESITŐ'!H88)</f>
        <v>41459803</v>
      </c>
      <c r="H49" s="842">
        <f>SUM('ÖNK ÖSSZESITŐ'!I88)</f>
        <v>41674096</v>
      </c>
      <c r="I49" s="842">
        <f>SUM('ÖNK ÖSSZESITŐ'!J88)</f>
        <v>42372316</v>
      </c>
      <c r="J49" s="842">
        <f>SUM('ÖNK ÖSSZESITŐ'!K88)</f>
        <v>48716977</v>
      </c>
      <c r="K49" s="842">
        <f>SUM('ÖNK ÖSSZESITŐ'!L88)</f>
        <v>48716977</v>
      </c>
    </row>
    <row r="50" spans="1:11" ht="12.75" customHeight="1">
      <c r="A50" s="82" t="s">
        <v>1146</v>
      </c>
      <c r="B50" s="65" t="s">
        <v>202</v>
      </c>
      <c r="C50" s="83" t="s">
        <v>125</v>
      </c>
      <c r="D50" s="66">
        <v>139170107</v>
      </c>
      <c r="E50" s="842">
        <f>SUM('ÖNK ÖSSZESITŐ'!F89)</f>
        <v>136052320</v>
      </c>
      <c r="F50" s="842">
        <f>SUM('ÖNK ÖSSZESITŐ'!G89)</f>
        <v>146270348</v>
      </c>
      <c r="G50" s="842">
        <f>SUM('ÖNK ÖSSZESITŐ'!H89)</f>
        <v>130541207</v>
      </c>
      <c r="H50" s="842">
        <f>SUM('ÖNK ÖSSZESITŐ'!I89)</f>
        <v>155951946</v>
      </c>
      <c r="I50" s="842">
        <f>SUM('ÖNK ÖSSZESITŐ'!J89)</f>
        <v>159157371</v>
      </c>
      <c r="J50" s="842">
        <f>SUM('ÖNK ÖSSZESITŐ'!K89)</f>
        <v>179424836</v>
      </c>
      <c r="K50" s="842">
        <f>SUM('ÖNK ÖSSZESITŐ'!L89)</f>
        <v>179424836</v>
      </c>
    </row>
    <row r="51" spans="1:11" s="68" customFormat="1" ht="12.75" customHeight="1">
      <c r="A51" s="64" t="s">
        <v>133</v>
      </c>
      <c r="B51" s="65" t="s">
        <v>184</v>
      </c>
      <c r="C51" s="9" t="s">
        <v>203</v>
      </c>
      <c r="D51" s="66">
        <v>4659500</v>
      </c>
      <c r="E51" s="842">
        <f>SUM('ÖNK ÖSSZESITŐ'!F92)</f>
        <v>5194000</v>
      </c>
      <c r="F51" s="842">
        <f>SUM('ÖNK ÖSSZESITŐ'!G92)</f>
        <v>5194000</v>
      </c>
      <c r="G51" s="842">
        <f>SUM('ÖNK ÖSSZESITŐ'!H92)</f>
        <v>5194000</v>
      </c>
      <c r="H51" s="842">
        <f>SUM('ÖNK ÖSSZESITŐ'!I92)</f>
        <v>5194000</v>
      </c>
      <c r="I51" s="842">
        <f>SUM('ÖNK ÖSSZESITŐ'!J92)</f>
        <v>5194000</v>
      </c>
      <c r="J51" s="842">
        <f>SUM('ÖNK ÖSSZESITŐ'!K92)</f>
        <v>3627050</v>
      </c>
      <c r="K51" s="842">
        <f>SUM('ÖNK ÖSSZESITŐ'!L92)</f>
        <v>3627050</v>
      </c>
    </row>
    <row r="52" spans="1:11" s="68" customFormat="1" ht="12.75" customHeight="1">
      <c r="A52" s="64" t="s">
        <v>135</v>
      </c>
      <c r="B52" s="65" t="s">
        <v>185</v>
      </c>
      <c r="C52" s="9" t="s">
        <v>857</v>
      </c>
      <c r="D52" s="66">
        <v>53488</v>
      </c>
      <c r="E52" s="842">
        <v>0</v>
      </c>
      <c r="F52" s="842">
        <v>0</v>
      </c>
      <c r="G52" s="842">
        <v>0</v>
      </c>
      <c r="H52" s="842">
        <v>0</v>
      </c>
      <c r="I52" s="842">
        <v>0</v>
      </c>
      <c r="J52" s="842">
        <v>0</v>
      </c>
      <c r="K52" s="842">
        <v>0</v>
      </c>
    </row>
    <row r="53" spans="1:11" s="68" customFormat="1" ht="12.75" customHeight="1">
      <c r="A53" s="64" t="s">
        <v>137</v>
      </c>
      <c r="B53" s="65" t="s">
        <v>186</v>
      </c>
      <c r="C53" s="9" t="s">
        <v>150</v>
      </c>
      <c r="D53" s="67">
        <v>715261087</v>
      </c>
      <c r="E53" s="1212">
        <f>SUM('ÖNK ÖSSZESITŐ'!F95)</f>
        <v>715261087</v>
      </c>
      <c r="F53" s="1212">
        <f>SUM('ÖNK ÖSSZESITŐ'!G95)</f>
        <v>699696288</v>
      </c>
      <c r="G53" s="1212">
        <f>SUM('ÖNK ÖSSZESITŐ'!H95)</f>
        <v>702346659</v>
      </c>
      <c r="H53" s="1212">
        <f>SUM('ÖNK ÖSSZESITŐ'!I95)</f>
        <v>678339090</v>
      </c>
      <c r="I53" s="1212">
        <f>SUM('ÖNK ÖSSZESITŐ'!J95)</f>
        <v>674637990</v>
      </c>
      <c r="J53" s="1212">
        <f>SUM('ÖNK ÖSSZESITŐ'!K95)</f>
        <v>664627351</v>
      </c>
      <c r="K53" s="1212">
        <f>SUM('ÖNK ÖSSZESITŐ'!L95)</f>
        <v>664627351</v>
      </c>
    </row>
    <row r="54" spans="1:11" ht="12.75" customHeight="1">
      <c r="A54" s="82" t="s">
        <v>139</v>
      </c>
      <c r="B54" s="85"/>
      <c r="C54" s="60" t="s">
        <v>195</v>
      </c>
      <c r="D54" s="86">
        <v>597360397</v>
      </c>
      <c r="E54" s="1213">
        <v>599360397</v>
      </c>
      <c r="F54" s="1213">
        <v>599611292</v>
      </c>
      <c r="G54" s="1213">
        <v>687776996</v>
      </c>
      <c r="H54" s="1213">
        <v>674778082</v>
      </c>
      <c r="I54" s="1213">
        <v>597265741</v>
      </c>
      <c r="J54" s="1445">
        <f>SUM('21. céltartalék (2)'!H10+'21. céltartalék (2)'!H11+'21. céltartalék (2)'!H14+'21. céltartalék (2)'!H15+'21. céltartalék (2)'!H16+'21. céltartalék (2)'!H19+'21. céltartalék (2)'!H22+'21. céltartalék (2)'!H23+'21. céltartalék (2)'!H28)</f>
        <v>573101751</v>
      </c>
      <c r="K54" s="1445">
        <v>573101751</v>
      </c>
    </row>
    <row r="55" spans="1:11" ht="12.75" customHeight="1">
      <c r="A55" s="82" t="s">
        <v>141</v>
      </c>
      <c r="B55" s="85"/>
      <c r="C55" s="72" t="s">
        <v>196</v>
      </c>
      <c r="D55" s="87">
        <v>117900690</v>
      </c>
      <c r="E55" s="1214">
        <v>115900690</v>
      </c>
      <c r="F55" s="1214">
        <v>100084996</v>
      </c>
      <c r="G55" s="1213">
        <v>14569663</v>
      </c>
      <c r="H55" s="1213">
        <v>3561008</v>
      </c>
      <c r="I55" s="1213">
        <v>77372249</v>
      </c>
      <c r="J55" s="1445">
        <f>SUM('21. céltartalék (2)'!H47+'21. céltartalék (2)'!H55)</f>
        <v>91525600</v>
      </c>
      <c r="K55" s="1445">
        <v>91525600</v>
      </c>
    </row>
    <row r="56" spans="1:11" s="68" customFormat="1" ht="12.75" customHeight="1">
      <c r="A56" s="88" t="s">
        <v>143</v>
      </c>
      <c r="B56" s="75" t="s">
        <v>188</v>
      </c>
      <c r="C56" s="75" t="s">
        <v>204</v>
      </c>
      <c r="D56" s="89">
        <v>33983308</v>
      </c>
      <c r="E56" s="1215">
        <f>SUM('ÖNK ÖSSZESITŐ'!F91)</f>
        <v>34762413</v>
      </c>
      <c r="F56" s="1215">
        <f>SUM('ÖNK ÖSSZESITŐ'!G91)</f>
        <v>36221964</v>
      </c>
      <c r="G56" s="1215">
        <v>36221964</v>
      </c>
      <c r="H56" s="1215">
        <v>36221964</v>
      </c>
      <c r="I56" s="1215">
        <v>36221964</v>
      </c>
      <c r="J56" s="1215">
        <v>40766879</v>
      </c>
      <c r="K56" s="1215">
        <v>40766879</v>
      </c>
    </row>
    <row r="57" spans="1:11" s="68" customFormat="1" ht="12.75" customHeight="1">
      <c r="A57" s="90" t="s">
        <v>145</v>
      </c>
      <c r="B57" s="9" t="s">
        <v>191</v>
      </c>
      <c r="C57" s="9" t="s">
        <v>132</v>
      </c>
      <c r="D57" s="67">
        <v>23294331</v>
      </c>
      <c r="E57" s="1212">
        <v>13000000</v>
      </c>
      <c r="F57" s="1212">
        <v>14355333</v>
      </c>
      <c r="G57" s="1212">
        <v>28115333</v>
      </c>
      <c r="H57" s="1212">
        <v>28115333</v>
      </c>
      <c r="I57" s="1212">
        <v>29436617</v>
      </c>
      <c r="J57" s="1212">
        <f>SUM('6,7,8 Melléklet'!I19)+'6,7,8 Melléklet'!I40</f>
        <v>48635850</v>
      </c>
      <c r="K57" s="1212">
        <v>48635850</v>
      </c>
    </row>
    <row r="58" spans="1:11" s="57" customFormat="1" ht="12.75" customHeight="1">
      <c r="A58" s="64" t="s">
        <v>147</v>
      </c>
      <c r="B58" s="65" t="s">
        <v>193</v>
      </c>
      <c r="C58" s="9" t="s">
        <v>134</v>
      </c>
      <c r="D58" s="67">
        <v>17618312</v>
      </c>
      <c r="E58" s="1212">
        <v>1400000</v>
      </c>
      <c r="F58" s="1212">
        <v>7724980</v>
      </c>
      <c r="G58" s="1212">
        <v>7324980</v>
      </c>
      <c r="H58" s="1212">
        <v>7324980</v>
      </c>
      <c r="I58" s="1212">
        <v>9427154</v>
      </c>
      <c r="J58" s="1212">
        <f>SUM('6,7,8 Melléklet'!I13)</f>
        <v>8744654</v>
      </c>
      <c r="K58" s="1212">
        <v>8744654</v>
      </c>
    </row>
    <row r="59" spans="1:11" s="68" customFormat="1" ht="12" customHeight="1" thickBot="1">
      <c r="A59" s="88" t="s">
        <v>149</v>
      </c>
      <c r="B59" s="74" t="s">
        <v>197</v>
      </c>
      <c r="C59" s="75" t="s">
        <v>205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10729481</v>
      </c>
      <c r="K59" s="89">
        <v>10729481</v>
      </c>
    </row>
    <row r="60" spans="1:11" s="91" customFormat="1" ht="27" customHeight="1" thickBot="1">
      <c r="A60" s="1517" t="s">
        <v>151</v>
      </c>
      <c r="B60" s="1517"/>
      <c r="C60" s="745" t="s">
        <v>206</v>
      </c>
      <c r="D60" s="746">
        <f aca="true" t="shared" si="7" ref="D60:I60">SUM(D48+D51+D56+D57)+D58+D59+D49+D50+D53+D52</f>
        <v>1189454522</v>
      </c>
      <c r="E60" s="746">
        <f t="shared" si="7"/>
        <v>1149365889</v>
      </c>
      <c r="F60" s="746">
        <f t="shared" si="7"/>
        <v>1161476607</v>
      </c>
      <c r="G60" s="746">
        <f t="shared" si="7"/>
        <v>1162082223</v>
      </c>
      <c r="H60" s="746">
        <f t="shared" si="7"/>
        <v>1164884956</v>
      </c>
      <c r="I60" s="746">
        <f t="shared" si="7"/>
        <v>1171879679</v>
      </c>
      <c r="J60" s="746">
        <f>SUM(J48+J51+J56+J57)+J58+J59+J49+J50+J53+J52</f>
        <v>1208231198</v>
      </c>
      <c r="K60" s="746">
        <f>SUM(K48+K51+K56+K57)+K58+K59+K49+K50+K53+K52</f>
        <v>1208231198</v>
      </c>
    </row>
    <row r="61" spans="1:11" s="68" customFormat="1" ht="25.5" customHeight="1">
      <c r="A61" s="750" t="s">
        <v>207</v>
      </c>
      <c r="B61" s="751" t="s">
        <v>232</v>
      </c>
      <c r="C61" s="752" t="s">
        <v>208</v>
      </c>
      <c r="D61" s="854">
        <v>0</v>
      </c>
      <c r="E61" s="854">
        <v>0</v>
      </c>
      <c r="F61" s="854">
        <v>0</v>
      </c>
      <c r="G61" s="854">
        <v>0</v>
      </c>
      <c r="H61" s="854">
        <v>0</v>
      </c>
      <c r="I61" s="854">
        <v>0</v>
      </c>
      <c r="J61" s="854">
        <v>0</v>
      </c>
      <c r="K61" s="854">
        <v>0</v>
      </c>
    </row>
    <row r="62" spans="1:11" s="68" customFormat="1" ht="12.75" customHeight="1">
      <c r="A62" s="559" t="s">
        <v>209</v>
      </c>
      <c r="B62" s="500" t="s">
        <v>540</v>
      </c>
      <c r="C62" s="500" t="s">
        <v>198</v>
      </c>
      <c r="D62" s="519">
        <v>10321373</v>
      </c>
      <c r="E62" s="519">
        <f>SUM('ÖNK ÖSSZESITŐ'!F99)</f>
        <v>6703536</v>
      </c>
      <c r="F62" s="519">
        <f>SUM('ÖNK ÖSSZESITŐ'!G99)</f>
        <v>6703536</v>
      </c>
      <c r="G62" s="519">
        <f>SUM('ÖNK ÖSSZESITŐ'!H99)</f>
        <v>7419080</v>
      </c>
      <c r="H62" s="519">
        <f>SUM('ÖNK ÖSSZESITŐ'!I99)</f>
        <v>8095569</v>
      </c>
      <c r="I62" s="519">
        <f>SUM('ÖNK ÖSSZESITŐ'!J99)</f>
        <v>8679084</v>
      </c>
      <c r="J62" s="519">
        <f>SUM('ÖNK ÖSSZESITŐ'!K99)</f>
        <v>9086397</v>
      </c>
      <c r="K62" s="519">
        <f>SUM('ÖNK ÖSSZESITŐ'!L99)</f>
        <v>9092391</v>
      </c>
    </row>
    <row r="63" spans="1:11" s="93" customFormat="1" ht="22.5" customHeight="1">
      <c r="A63" s="1518" t="s">
        <v>266</v>
      </c>
      <c r="B63" s="1519"/>
      <c r="C63" s="748" t="s">
        <v>211</v>
      </c>
      <c r="D63" s="749">
        <f aca="true" t="shared" si="8" ref="D63:I63">SUM(D61:D62)</f>
        <v>10321373</v>
      </c>
      <c r="E63" s="749">
        <f t="shared" si="8"/>
        <v>6703536</v>
      </c>
      <c r="F63" s="749">
        <f t="shared" si="8"/>
        <v>6703536</v>
      </c>
      <c r="G63" s="749">
        <f t="shared" si="8"/>
        <v>7419080</v>
      </c>
      <c r="H63" s="749">
        <f t="shared" si="8"/>
        <v>8095569</v>
      </c>
      <c r="I63" s="749">
        <f t="shared" si="8"/>
        <v>8679084</v>
      </c>
      <c r="J63" s="749">
        <f>SUM(J61:J62)</f>
        <v>9086397</v>
      </c>
      <c r="K63" s="749">
        <f>SUM(K61:K62)</f>
        <v>9092391</v>
      </c>
    </row>
    <row r="64" spans="1:11" s="94" customFormat="1" ht="22.5" customHeight="1" thickBot="1">
      <c r="A64" s="1510" t="s">
        <v>210</v>
      </c>
      <c r="B64" s="1511"/>
      <c r="C64" s="753" t="s">
        <v>213</v>
      </c>
      <c r="D64" s="754">
        <f aca="true" t="shared" si="9" ref="D64:I64">SUM(D60+D63)</f>
        <v>1199775895</v>
      </c>
      <c r="E64" s="754">
        <f t="shared" si="9"/>
        <v>1156069425</v>
      </c>
      <c r="F64" s="754">
        <f t="shared" si="9"/>
        <v>1168180143</v>
      </c>
      <c r="G64" s="754">
        <f t="shared" si="9"/>
        <v>1169501303</v>
      </c>
      <c r="H64" s="754">
        <f t="shared" si="9"/>
        <v>1172980525</v>
      </c>
      <c r="I64" s="754">
        <f t="shared" si="9"/>
        <v>1180558763</v>
      </c>
      <c r="J64" s="754">
        <f>SUM(J60+J63)</f>
        <v>1217317595</v>
      </c>
      <c r="K64" s="754">
        <f>SUM(K60+K63)</f>
        <v>1217323589</v>
      </c>
    </row>
    <row r="66" ht="4.5" customHeight="1"/>
    <row r="65526" ht="12.75" customHeight="1"/>
    <row r="65527" ht="12.75" customHeight="1"/>
    <row r="65528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4:K4"/>
    <mergeCell ref="A2:K2"/>
    <mergeCell ref="A1:K1"/>
    <mergeCell ref="A64:B64"/>
    <mergeCell ref="A8:B9"/>
    <mergeCell ref="A46:B47"/>
    <mergeCell ref="A60:B60"/>
    <mergeCell ref="A63:B63"/>
    <mergeCell ref="A5:K5"/>
    <mergeCell ref="E3:G3"/>
  </mergeCells>
  <printOptions horizontalCentered="1"/>
  <pageMargins left="0.2755905511811024" right="0.2362204724409449" top="0.1968503937007874" bottom="0.15748031496062992" header="0.5118110236220472" footer="0.5118110236220472"/>
  <pageSetup firstPageNumber="1" useFirstPageNumber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50"/>
  <sheetViews>
    <sheetView view="pageBreakPreview" zoomScaleSheetLayoutView="100" zoomScalePageLayoutView="0" workbookViewId="0" topLeftCell="A1">
      <selection activeCell="D4" sqref="D4:H4"/>
    </sheetView>
  </sheetViews>
  <sheetFormatPr defaultColWidth="11.7109375" defaultRowHeight="12.75" customHeight="1"/>
  <cols>
    <col min="1" max="1" width="3.8515625" style="5" customWidth="1"/>
    <col min="2" max="2" width="4.57421875" style="79" customWidth="1"/>
    <col min="3" max="3" width="39.57421875" style="5" customWidth="1"/>
    <col min="4" max="11" width="18.7109375" style="5" customWidth="1"/>
    <col min="12" max="16384" width="11.7109375" style="5" customWidth="1"/>
  </cols>
  <sheetData>
    <row r="1" spans="1:11" ht="12.75" customHeight="1">
      <c r="A1" s="1531" t="s">
        <v>214</v>
      </c>
      <c r="B1" s="1531"/>
      <c r="C1" s="1531"/>
      <c r="D1" s="1531"/>
      <c r="E1" s="1531"/>
      <c r="F1" s="1531"/>
      <c r="G1" s="1531"/>
      <c r="H1" s="1531"/>
      <c r="I1" s="1531"/>
      <c r="J1" s="1531"/>
      <c r="K1" s="1531"/>
    </row>
    <row r="2" spans="1:11" ht="12.75" customHeight="1">
      <c r="A2" s="1099"/>
      <c r="B2" s="1099"/>
      <c r="C2" s="1099"/>
      <c r="D2" s="1099"/>
      <c r="E2" s="1099"/>
      <c r="F2" s="1099"/>
      <c r="G2" s="1099"/>
      <c r="H2" s="1099"/>
      <c r="I2" s="1099"/>
      <c r="J2" s="1099"/>
      <c r="K2" s="1099"/>
    </row>
    <row r="3" spans="1:11" ht="19.5" customHeight="1">
      <c r="A3" s="1508" t="s">
        <v>1226</v>
      </c>
      <c r="B3" s="1508"/>
      <c r="C3" s="1508"/>
      <c r="D3" s="1508"/>
      <c r="E3" s="1508"/>
      <c r="F3" s="1508"/>
      <c r="G3" s="1508"/>
      <c r="H3" s="1508"/>
      <c r="I3" s="1508"/>
      <c r="J3" s="1508"/>
      <c r="K3" s="1508"/>
    </row>
    <row r="4" spans="1:8" ht="17.25" customHeight="1">
      <c r="A4" s="1522"/>
      <c r="B4" s="1522"/>
      <c r="C4" s="1522"/>
      <c r="D4" s="1926" t="s">
        <v>1227</v>
      </c>
      <c r="E4" s="1926"/>
      <c r="F4" s="1926"/>
      <c r="G4" s="1926"/>
      <c r="H4" s="1926"/>
    </row>
    <row r="5" spans="1:11" ht="38.25" customHeight="1">
      <c r="A5" s="1530" t="s">
        <v>1003</v>
      </c>
      <c r="B5" s="1530"/>
      <c r="C5" s="1530"/>
      <c r="D5" s="1530"/>
      <c r="E5" s="1530"/>
      <c r="F5" s="1530"/>
      <c r="G5" s="1530"/>
      <c r="H5" s="1530"/>
      <c r="I5" s="1530"/>
      <c r="J5" s="1530"/>
      <c r="K5" s="1530"/>
    </row>
    <row r="6" spans="1:11" ht="19.5" customHeight="1">
      <c r="A6" s="825"/>
      <c r="B6" s="825"/>
      <c r="C6" s="825"/>
      <c r="D6" s="825"/>
      <c r="E6" s="825"/>
      <c r="F6" s="825"/>
      <c r="G6" s="825"/>
      <c r="H6" s="825"/>
      <c r="I6" s="825"/>
      <c r="J6" s="825"/>
      <c r="K6" s="825"/>
    </row>
    <row r="7" spans="1:11" ht="21.75" customHeight="1" thickBot="1">
      <c r="A7" s="5"/>
      <c r="B7" s="97" t="s">
        <v>215</v>
      </c>
      <c r="D7" s="1100"/>
      <c r="E7" s="1100"/>
      <c r="F7" s="1100"/>
      <c r="G7" s="1100"/>
      <c r="H7" s="1100"/>
      <c r="I7" s="1100"/>
      <c r="J7" s="1100"/>
      <c r="K7" s="1100" t="s">
        <v>216</v>
      </c>
    </row>
    <row r="8" spans="1:11" ht="12.75" customHeight="1">
      <c r="A8" s="1523" t="s">
        <v>156</v>
      </c>
      <c r="B8" s="1524"/>
      <c r="C8" s="1527" t="s">
        <v>217</v>
      </c>
      <c r="D8" s="1524" t="s">
        <v>158</v>
      </c>
      <c r="E8" s="1524" t="s">
        <v>1002</v>
      </c>
      <c r="F8" s="1524" t="s">
        <v>1070</v>
      </c>
      <c r="G8" s="1524" t="s">
        <v>1131</v>
      </c>
      <c r="H8" s="1524" t="s">
        <v>1141</v>
      </c>
      <c r="I8" s="1524" t="s">
        <v>1148</v>
      </c>
      <c r="J8" s="1524" t="s">
        <v>1158</v>
      </c>
      <c r="K8" s="1524" t="s">
        <v>1181</v>
      </c>
    </row>
    <row r="9" spans="1:11" s="99" customFormat="1" ht="33" customHeight="1">
      <c r="A9" s="1525"/>
      <c r="B9" s="1526"/>
      <c r="C9" s="1528"/>
      <c r="D9" s="1529"/>
      <c r="E9" s="1529"/>
      <c r="F9" s="1529"/>
      <c r="G9" s="1529"/>
      <c r="H9" s="1529"/>
      <c r="I9" s="1529"/>
      <c r="J9" s="1529"/>
      <c r="K9" s="1529"/>
    </row>
    <row r="10" spans="1:11" ht="12.75" customHeight="1" thickBot="1">
      <c r="A10" s="1520" t="s">
        <v>159</v>
      </c>
      <c r="B10" s="1521"/>
      <c r="C10" s="381" t="s">
        <v>160</v>
      </c>
      <c r="D10" s="382" t="s">
        <v>161</v>
      </c>
      <c r="E10" s="382" t="s">
        <v>162</v>
      </c>
      <c r="F10" s="382" t="s">
        <v>479</v>
      </c>
      <c r="G10" s="382" t="s">
        <v>499</v>
      </c>
      <c r="H10" s="382" t="s">
        <v>745</v>
      </c>
      <c r="I10" s="382" t="s">
        <v>826</v>
      </c>
      <c r="J10" s="382" t="s">
        <v>830</v>
      </c>
      <c r="K10" s="382" t="s">
        <v>987</v>
      </c>
    </row>
    <row r="11" spans="1:11" ht="31.5" customHeight="1">
      <c r="A11" s="596" t="s">
        <v>38</v>
      </c>
      <c r="B11" s="114"/>
      <c r="C11" s="379" t="s">
        <v>166</v>
      </c>
      <c r="D11" s="377">
        <v>331457672</v>
      </c>
      <c r="E11" s="377">
        <v>202269524</v>
      </c>
      <c r="F11" s="377">
        <v>204427775</v>
      </c>
      <c r="G11" s="377">
        <v>205033391</v>
      </c>
      <c r="H11" s="377">
        <v>205093465</v>
      </c>
      <c r="I11" s="377">
        <v>207134120</v>
      </c>
      <c r="J11" s="377">
        <f>SUM('1. melléklet'!J12)</f>
        <v>211972234</v>
      </c>
      <c r="K11" s="377">
        <f>SUM('1. melléklet'!K12)</f>
        <v>211972234</v>
      </c>
    </row>
    <row r="12" spans="1:11" ht="21" customHeight="1">
      <c r="A12" s="820" t="s">
        <v>40</v>
      </c>
      <c r="B12" s="100"/>
      <c r="C12" s="101" t="s">
        <v>175</v>
      </c>
      <c r="D12" s="62">
        <v>171345614</v>
      </c>
      <c r="E12" s="62">
        <v>150455000</v>
      </c>
      <c r="F12" s="62">
        <v>150455000</v>
      </c>
      <c r="G12" s="62">
        <v>150455000</v>
      </c>
      <c r="H12" s="62">
        <v>152596598</v>
      </c>
      <c r="I12" s="62">
        <v>154596598</v>
      </c>
      <c r="J12" s="62">
        <f>SUM('1. melléklet'!J19)</f>
        <v>186676160</v>
      </c>
      <c r="K12" s="62">
        <f>SUM('1. melléklet'!K19)</f>
        <v>186676160</v>
      </c>
    </row>
    <row r="13" spans="1:11" ht="12.75" customHeight="1">
      <c r="A13" s="820" t="s">
        <v>47</v>
      </c>
      <c r="B13" s="100"/>
      <c r="C13" s="101" t="s">
        <v>9</v>
      </c>
      <c r="D13" s="62">
        <v>43507352</v>
      </c>
      <c r="E13" s="62">
        <v>42392000</v>
      </c>
      <c r="F13" s="62">
        <v>43210000</v>
      </c>
      <c r="G13" s="62">
        <v>43210000</v>
      </c>
      <c r="H13" s="62">
        <v>43574435</v>
      </c>
      <c r="I13" s="62">
        <f>SUM('1. melléklet'!I30)</f>
        <v>47364457</v>
      </c>
      <c r="J13" s="62">
        <f>SUM('1. melléklet'!J30)</f>
        <v>44392717</v>
      </c>
      <c r="K13" s="62">
        <f>SUM('1. melléklet'!K30)</f>
        <v>44392717</v>
      </c>
    </row>
    <row r="14" spans="1:11" ht="12.75" customHeight="1" thickBot="1">
      <c r="A14" s="821" t="s">
        <v>49</v>
      </c>
      <c r="B14" s="370"/>
      <c r="C14" s="371" t="s">
        <v>187</v>
      </c>
      <c r="D14" s="111">
        <v>1507008</v>
      </c>
      <c r="E14" s="111">
        <v>200000</v>
      </c>
      <c r="F14" s="111">
        <v>1403259</v>
      </c>
      <c r="G14" s="111">
        <v>1403259</v>
      </c>
      <c r="H14" s="111">
        <v>1877261</v>
      </c>
      <c r="I14" s="111">
        <v>2336261</v>
      </c>
      <c r="J14" s="111">
        <f>SUM('1. melléklet'!J32)</f>
        <v>2293681</v>
      </c>
      <c r="K14" s="111">
        <f>SUM('1. melléklet'!K32)</f>
        <v>2293681</v>
      </c>
    </row>
    <row r="15" spans="1:11" ht="12.75" customHeight="1" thickBot="1">
      <c r="A15" s="372" t="s">
        <v>51</v>
      </c>
      <c r="B15" s="373" t="s">
        <v>165</v>
      </c>
      <c r="C15" s="374" t="s">
        <v>218</v>
      </c>
      <c r="D15" s="375">
        <f aca="true" t="shared" si="0" ref="D15:I15">SUM(D11:D14)</f>
        <v>547817646</v>
      </c>
      <c r="E15" s="375">
        <f t="shared" si="0"/>
        <v>395316524</v>
      </c>
      <c r="F15" s="375">
        <f t="shared" si="0"/>
        <v>399496034</v>
      </c>
      <c r="G15" s="375">
        <f t="shared" si="0"/>
        <v>400101650</v>
      </c>
      <c r="H15" s="375">
        <f t="shared" si="0"/>
        <v>403141759</v>
      </c>
      <c r="I15" s="375">
        <f t="shared" si="0"/>
        <v>411431436</v>
      </c>
      <c r="J15" s="375">
        <f>SUM(J11:J14)</f>
        <v>445334792</v>
      </c>
      <c r="K15" s="375">
        <f>SUM(K11:K14)</f>
        <v>445334792</v>
      </c>
    </row>
    <row r="16" spans="1:11" ht="12.75" customHeight="1">
      <c r="A16" s="596" t="s">
        <v>53</v>
      </c>
      <c r="B16" s="114"/>
      <c r="C16" s="311" t="s">
        <v>121</v>
      </c>
      <c r="D16" s="113">
        <v>208946160</v>
      </c>
      <c r="E16" s="113">
        <v>203599951</v>
      </c>
      <c r="F16" s="113">
        <v>210606599</v>
      </c>
      <c r="G16" s="113">
        <v>210878277</v>
      </c>
      <c r="H16" s="113">
        <v>212063547</v>
      </c>
      <c r="I16" s="235">
        <v>215432267</v>
      </c>
      <c r="J16" s="1459">
        <f>SUM('1. melléklet'!J48)</f>
        <v>202958120</v>
      </c>
      <c r="K16" s="1459">
        <f>SUM('1. melléklet'!K48)</f>
        <v>202958120</v>
      </c>
    </row>
    <row r="17" spans="1:11" ht="28.5" customHeight="1">
      <c r="A17" s="820" t="s">
        <v>55</v>
      </c>
      <c r="B17" s="100"/>
      <c r="C17" s="104" t="s">
        <v>201</v>
      </c>
      <c r="D17" s="113">
        <v>46468229</v>
      </c>
      <c r="E17" s="113">
        <v>40096118</v>
      </c>
      <c r="F17" s="113">
        <v>41407095</v>
      </c>
      <c r="G17" s="113">
        <v>41459803</v>
      </c>
      <c r="H17" s="113">
        <v>41674096</v>
      </c>
      <c r="I17" s="235">
        <v>42372316</v>
      </c>
      <c r="J17" s="1459">
        <f>SUM('1. melléklet'!J49)</f>
        <v>48716977</v>
      </c>
      <c r="K17" s="1459">
        <f>SUM('1. melléklet'!K49)</f>
        <v>48716977</v>
      </c>
    </row>
    <row r="18" spans="1:11" ht="12.75" customHeight="1">
      <c r="A18" s="820" t="s">
        <v>57</v>
      </c>
      <c r="B18" s="100"/>
      <c r="C18" s="103" t="s">
        <v>125</v>
      </c>
      <c r="D18" s="113">
        <v>139170107</v>
      </c>
      <c r="E18" s="113">
        <v>136052320</v>
      </c>
      <c r="F18" s="113">
        <v>146270348</v>
      </c>
      <c r="G18" s="113">
        <v>130541207</v>
      </c>
      <c r="H18" s="113">
        <v>155951946</v>
      </c>
      <c r="I18" s="235">
        <f>SUM('1. melléklet'!I50)</f>
        <v>159157371</v>
      </c>
      <c r="J18" s="1459">
        <f>SUM('1. melléklet'!J50)</f>
        <v>179424836</v>
      </c>
      <c r="K18" s="1459">
        <f>SUM('1. melléklet'!K50)</f>
        <v>179424836</v>
      </c>
    </row>
    <row r="19" spans="1:11" ht="12.75" customHeight="1">
      <c r="A19" s="820" t="s">
        <v>86</v>
      </c>
      <c r="B19" s="100"/>
      <c r="C19" s="104" t="s">
        <v>203</v>
      </c>
      <c r="D19" s="62">
        <v>4659500</v>
      </c>
      <c r="E19" s="62">
        <v>5194000</v>
      </c>
      <c r="F19" s="62">
        <v>5194000</v>
      </c>
      <c r="G19" s="62">
        <v>5194000</v>
      </c>
      <c r="H19" s="62">
        <v>5194000</v>
      </c>
      <c r="I19" s="62">
        <v>5194000</v>
      </c>
      <c r="J19" s="920">
        <f>SUM('1. melléklet'!J51)</f>
        <v>3627050</v>
      </c>
      <c r="K19" s="920">
        <f>SUM('1. melléklet'!K51)</f>
        <v>3627050</v>
      </c>
    </row>
    <row r="20" spans="1:11" ht="12.75" customHeight="1">
      <c r="A20" s="820" t="s">
        <v>59</v>
      </c>
      <c r="B20" s="100"/>
      <c r="C20" s="104" t="s">
        <v>857</v>
      </c>
      <c r="D20" s="62">
        <v>53488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920">
        <v>0</v>
      </c>
      <c r="K20" s="920">
        <v>0</v>
      </c>
    </row>
    <row r="21" spans="1:11" ht="12.75" customHeight="1">
      <c r="A21" s="820" t="s">
        <v>61</v>
      </c>
      <c r="B21" s="100"/>
      <c r="C21" s="105" t="s">
        <v>219</v>
      </c>
      <c r="D21" s="62">
        <v>117900690</v>
      </c>
      <c r="E21" s="62">
        <v>115900690</v>
      </c>
      <c r="F21" s="62">
        <v>100084996</v>
      </c>
      <c r="G21" s="920">
        <v>14569663</v>
      </c>
      <c r="H21" s="1379">
        <v>3561008</v>
      </c>
      <c r="I21" s="920">
        <v>77372249</v>
      </c>
      <c r="J21" s="920">
        <f>SUM('1. melléklet'!J55)</f>
        <v>91525600</v>
      </c>
      <c r="K21" s="920">
        <f>SUM('1. melléklet'!K55)</f>
        <v>91525600</v>
      </c>
    </row>
    <row r="22" spans="1:11" ht="12.75" customHeight="1" thickBot="1">
      <c r="A22" s="821" t="s">
        <v>63</v>
      </c>
      <c r="B22" s="370"/>
      <c r="C22" s="110" t="s">
        <v>204</v>
      </c>
      <c r="D22" s="376">
        <v>33983308</v>
      </c>
      <c r="E22" s="376">
        <v>34762413</v>
      </c>
      <c r="F22" s="376">
        <v>36221964</v>
      </c>
      <c r="G22" s="376">
        <v>36221964</v>
      </c>
      <c r="H22" s="376">
        <v>36221964</v>
      </c>
      <c r="I22" s="1408">
        <v>36221964</v>
      </c>
      <c r="J22" s="1460">
        <f>SUM('1. melléklet'!J56)</f>
        <v>40766879</v>
      </c>
      <c r="K22" s="1460">
        <f>SUM('1. melléklet'!K56)</f>
        <v>40766879</v>
      </c>
    </row>
    <row r="23" spans="1:11" ht="12.75" customHeight="1" thickBot="1">
      <c r="A23" s="372" t="s">
        <v>65</v>
      </c>
      <c r="B23" s="373" t="s">
        <v>167</v>
      </c>
      <c r="C23" s="374" t="s">
        <v>220</v>
      </c>
      <c r="D23" s="378">
        <f aca="true" t="shared" si="1" ref="D23:I23">SUM(D16:D22)</f>
        <v>551181482</v>
      </c>
      <c r="E23" s="378">
        <f t="shared" si="1"/>
        <v>535605492</v>
      </c>
      <c r="F23" s="378">
        <f t="shared" si="1"/>
        <v>539785002</v>
      </c>
      <c r="G23" s="378">
        <f t="shared" si="1"/>
        <v>438864914</v>
      </c>
      <c r="H23" s="378">
        <f t="shared" si="1"/>
        <v>454666561</v>
      </c>
      <c r="I23" s="378">
        <f t="shared" si="1"/>
        <v>535750167</v>
      </c>
      <c r="J23" s="378">
        <f>SUM(J16:J22)</f>
        <v>567019462</v>
      </c>
      <c r="K23" s="378">
        <f>SUM(K16:K22)</f>
        <v>567019462</v>
      </c>
    </row>
    <row r="24" spans="1:11" ht="12.75" customHeight="1">
      <c r="A24" s="596" t="s">
        <v>92</v>
      </c>
      <c r="B24" s="114"/>
      <c r="C24" s="112" t="s">
        <v>221</v>
      </c>
      <c r="D24" s="377">
        <f aca="true" t="shared" si="2" ref="D24:I24">SUM(D25:D26)</f>
        <v>0</v>
      </c>
      <c r="E24" s="377">
        <f t="shared" si="2"/>
        <v>0</v>
      </c>
      <c r="F24" s="377">
        <f t="shared" si="2"/>
        <v>0</v>
      </c>
      <c r="G24" s="377">
        <f t="shared" si="2"/>
        <v>0</v>
      </c>
      <c r="H24" s="377">
        <f t="shared" si="2"/>
        <v>0</v>
      </c>
      <c r="I24" s="377">
        <f t="shared" si="2"/>
        <v>0</v>
      </c>
      <c r="J24" s="377">
        <f>SUM(J25:J26)</f>
        <v>0</v>
      </c>
      <c r="K24" s="377">
        <f>SUM(K25:K26)</f>
        <v>0</v>
      </c>
    </row>
    <row r="25" spans="1:11" s="369" customFormat="1" ht="27" customHeight="1">
      <c r="A25" s="822" t="s">
        <v>66</v>
      </c>
      <c r="B25" s="367"/>
      <c r="C25" s="364" t="s">
        <v>611</v>
      </c>
      <c r="D25" s="368">
        <v>0</v>
      </c>
      <c r="E25" s="368">
        <v>0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</row>
    <row r="26" spans="1:11" s="369" customFormat="1" ht="30" customHeight="1">
      <c r="A26" s="822" t="s">
        <v>67</v>
      </c>
      <c r="B26" s="367"/>
      <c r="C26" s="364" t="s">
        <v>612</v>
      </c>
      <c r="D26" s="368">
        <v>0</v>
      </c>
      <c r="E26" s="368"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</row>
    <row r="27" spans="1:11" ht="12.75" customHeight="1">
      <c r="A27" s="820" t="s">
        <v>68</v>
      </c>
      <c r="B27" s="100"/>
      <c r="C27" s="104" t="s">
        <v>222</v>
      </c>
      <c r="D27" s="62">
        <v>52133712</v>
      </c>
      <c r="E27" s="62">
        <v>729615835</v>
      </c>
      <c r="F27" s="62">
        <v>729615835</v>
      </c>
      <c r="G27" s="62">
        <v>729615835</v>
      </c>
      <c r="H27" s="62">
        <v>729615835</v>
      </c>
      <c r="I27" s="62">
        <v>729615835</v>
      </c>
      <c r="J27" s="62">
        <v>729615835</v>
      </c>
      <c r="K27" s="62">
        <v>729615835</v>
      </c>
    </row>
    <row r="28" spans="1:11" s="98" customFormat="1" ht="12.75" customHeight="1">
      <c r="A28" s="823" t="s">
        <v>70</v>
      </c>
      <c r="B28" s="106"/>
      <c r="C28" s="107" t="s">
        <v>195</v>
      </c>
      <c r="D28" s="108">
        <v>48769876</v>
      </c>
      <c r="E28" s="108">
        <v>589326867</v>
      </c>
      <c r="F28" s="108">
        <v>589326867</v>
      </c>
      <c r="G28" s="1316">
        <v>690852571</v>
      </c>
      <c r="H28" s="1316">
        <v>678091033</v>
      </c>
      <c r="I28" s="1316">
        <v>605297104</v>
      </c>
      <c r="J28" s="1316">
        <v>608262692</v>
      </c>
      <c r="K28" s="1316">
        <v>608262692</v>
      </c>
    </row>
    <row r="29" spans="1:11" s="98" customFormat="1" ht="12.75" customHeight="1">
      <c r="A29" s="823" t="s">
        <v>97</v>
      </c>
      <c r="B29" s="106"/>
      <c r="C29" s="109" t="s">
        <v>196</v>
      </c>
      <c r="D29" s="108">
        <v>3363836</v>
      </c>
      <c r="E29" s="108">
        <v>140288968</v>
      </c>
      <c r="F29" s="108">
        <v>140288968</v>
      </c>
      <c r="G29" s="1316">
        <v>38763264</v>
      </c>
      <c r="H29" s="1316">
        <v>51524802</v>
      </c>
      <c r="I29" s="1316">
        <v>124318731</v>
      </c>
      <c r="J29" s="1316">
        <v>121353143</v>
      </c>
      <c r="K29" s="1316">
        <v>121353143</v>
      </c>
    </row>
    <row r="30" spans="1:11" ht="12.75" customHeight="1" thickBot="1">
      <c r="A30" s="821" t="s">
        <v>99</v>
      </c>
      <c r="B30" s="370"/>
      <c r="C30" s="110" t="s">
        <v>223</v>
      </c>
      <c r="D30" s="376">
        <v>10623632</v>
      </c>
      <c r="E30" s="376">
        <v>6703536</v>
      </c>
      <c r="F30" s="376">
        <v>6703536</v>
      </c>
      <c r="G30" s="376">
        <v>7419080</v>
      </c>
      <c r="H30" s="376">
        <v>8095569</v>
      </c>
      <c r="I30" s="376">
        <v>8679084</v>
      </c>
      <c r="J30" s="376">
        <f>SUM('1. melléklet'!J40)</f>
        <v>9417924</v>
      </c>
      <c r="K30" s="376">
        <f>SUM('1. melléklet'!K40)</f>
        <v>9423918</v>
      </c>
    </row>
    <row r="31" spans="1:11" ht="12.75" customHeight="1" thickBot="1">
      <c r="A31" s="372" t="s">
        <v>101</v>
      </c>
      <c r="B31" s="373" t="s">
        <v>174</v>
      </c>
      <c r="C31" s="374" t="s">
        <v>224</v>
      </c>
      <c r="D31" s="378">
        <f aca="true" t="shared" si="3" ref="D31:I31">SUM(D24+D27+D30)</f>
        <v>62757344</v>
      </c>
      <c r="E31" s="378">
        <f t="shared" si="3"/>
        <v>736319371</v>
      </c>
      <c r="F31" s="378">
        <f t="shared" si="3"/>
        <v>736319371</v>
      </c>
      <c r="G31" s="378">
        <f t="shared" si="3"/>
        <v>737034915</v>
      </c>
      <c r="H31" s="378">
        <f t="shared" si="3"/>
        <v>737711404</v>
      </c>
      <c r="I31" s="378">
        <f t="shared" si="3"/>
        <v>738294919</v>
      </c>
      <c r="J31" s="378">
        <f>SUM(J24+J27+J30)</f>
        <v>739033759</v>
      </c>
      <c r="K31" s="378">
        <f>SUM(K24+K27+K30)</f>
        <v>739039753</v>
      </c>
    </row>
    <row r="32" spans="1:11" ht="27.75" customHeight="1">
      <c r="A32" s="596" t="s">
        <v>103</v>
      </c>
      <c r="B32" s="114"/>
      <c r="C32" s="379" t="s">
        <v>613</v>
      </c>
      <c r="D32" s="377">
        <f aca="true" t="shared" si="4" ref="D32:I32">SUM(D33:D34)</f>
        <v>0</v>
      </c>
      <c r="E32" s="377">
        <f t="shared" si="4"/>
        <v>0</v>
      </c>
      <c r="F32" s="377">
        <f t="shared" si="4"/>
        <v>0</v>
      </c>
      <c r="G32" s="377">
        <f t="shared" si="4"/>
        <v>0</v>
      </c>
      <c r="H32" s="377">
        <f t="shared" si="4"/>
        <v>0</v>
      </c>
      <c r="I32" s="377">
        <f t="shared" si="4"/>
        <v>0</v>
      </c>
      <c r="J32" s="377">
        <f>SUM(J33:J34)</f>
        <v>0</v>
      </c>
      <c r="K32" s="377">
        <f>SUM(K33:K34)</f>
        <v>0</v>
      </c>
    </row>
    <row r="33" spans="1:11" s="366" customFormat="1" ht="27.75" customHeight="1">
      <c r="A33" s="824" t="s">
        <v>105</v>
      </c>
      <c r="B33" s="363"/>
      <c r="C33" s="364" t="s">
        <v>614</v>
      </c>
      <c r="D33" s="365">
        <v>0</v>
      </c>
      <c r="E33" s="365">
        <v>0</v>
      </c>
      <c r="F33" s="365">
        <v>0</v>
      </c>
      <c r="G33" s="365">
        <v>0</v>
      </c>
      <c r="H33" s="365">
        <v>0</v>
      </c>
      <c r="I33" s="365">
        <v>0</v>
      </c>
      <c r="J33" s="365">
        <v>0</v>
      </c>
      <c r="K33" s="365">
        <v>0</v>
      </c>
    </row>
    <row r="34" spans="1:11" s="366" customFormat="1" ht="27.75" customHeight="1">
      <c r="A34" s="824" t="s">
        <v>107</v>
      </c>
      <c r="B34" s="363"/>
      <c r="C34" s="364" t="s">
        <v>615</v>
      </c>
      <c r="D34" s="365">
        <v>0</v>
      </c>
      <c r="E34" s="365">
        <v>0</v>
      </c>
      <c r="F34" s="365">
        <v>0</v>
      </c>
      <c r="G34" s="365">
        <v>0</v>
      </c>
      <c r="H34" s="365">
        <v>0</v>
      </c>
      <c r="I34" s="365">
        <v>0</v>
      </c>
      <c r="J34" s="365">
        <v>0</v>
      </c>
      <c r="K34" s="365">
        <v>0</v>
      </c>
    </row>
    <row r="35" spans="1:11" ht="30.75" customHeight="1" thickBot="1">
      <c r="A35" s="821" t="s">
        <v>109</v>
      </c>
      <c r="B35" s="370"/>
      <c r="C35" s="110" t="s">
        <v>616</v>
      </c>
      <c r="D35" s="111">
        <v>10321373</v>
      </c>
      <c r="E35" s="111">
        <v>6703536</v>
      </c>
      <c r="F35" s="111">
        <v>6703536</v>
      </c>
      <c r="G35" s="111">
        <v>7419080</v>
      </c>
      <c r="H35" s="111">
        <v>8095569</v>
      </c>
      <c r="I35" s="111">
        <v>8679084</v>
      </c>
      <c r="J35" s="111">
        <f>SUM('1. melléklet'!J62)</f>
        <v>9086397</v>
      </c>
      <c r="K35" s="111">
        <f>SUM('1. melléklet'!K62)</f>
        <v>9092391</v>
      </c>
    </row>
    <row r="36" spans="1:11" ht="12.75" customHeight="1" thickBot="1">
      <c r="A36" s="372" t="s">
        <v>111</v>
      </c>
      <c r="B36" s="373" t="s">
        <v>184</v>
      </c>
      <c r="C36" s="380" t="s">
        <v>211</v>
      </c>
      <c r="D36" s="378">
        <f aca="true" t="shared" si="5" ref="D36:I36">SUM(D32:D35)</f>
        <v>10321373</v>
      </c>
      <c r="E36" s="378">
        <f t="shared" si="5"/>
        <v>6703536</v>
      </c>
      <c r="F36" s="378">
        <f t="shared" si="5"/>
        <v>6703536</v>
      </c>
      <c r="G36" s="378">
        <f t="shared" si="5"/>
        <v>7419080</v>
      </c>
      <c r="H36" s="378">
        <f t="shared" si="5"/>
        <v>8095569</v>
      </c>
      <c r="I36" s="378">
        <f t="shared" si="5"/>
        <v>8679084</v>
      </c>
      <c r="J36" s="378">
        <f>SUM(J32:J35)</f>
        <v>9086397</v>
      </c>
      <c r="K36" s="378">
        <f>SUM(K32:K35)</f>
        <v>9092391</v>
      </c>
    </row>
    <row r="37" spans="1:11" ht="29.25" customHeight="1">
      <c r="A37" s="596" t="s">
        <v>113</v>
      </c>
      <c r="B37" s="114"/>
      <c r="C37" s="112" t="s">
        <v>168</v>
      </c>
      <c r="D37" s="113">
        <v>579188024</v>
      </c>
      <c r="E37" s="113"/>
      <c r="F37" s="113"/>
      <c r="G37" s="113"/>
      <c r="H37" s="113"/>
      <c r="I37" s="113"/>
      <c r="J37" s="113">
        <f>SUM('1. melléklet'!J13)</f>
        <v>14182798</v>
      </c>
      <c r="K37" s="113">
        <f>SUM('1. melléklet'!K13)</f>
        <v>14182798</v>
      </c>
    </row>
    <row r="38" spans="1:11" ht="12.75" customHeight="1">
      <c r="A38" s="820" t="s">
        <v>115</v>
      </c>
      <c r="B38" s="100"/>
      <c r="C38" s="103" t="s">
        <v>226</v>
      </c>
      <c r="D38" s="86">
        <v>9136370</v>
      </c>
      <c r="E38" s="86">
        <v>24433530</v>
      </c>
      <c r="F38" s="86">
        <v>32364738</v>
      </c>
      <c r="G38" s="86">
        <v>32364738</v>
      </c>
      <c r="H38" s="86">
        <v>32127362</v>
      </c>
      <c r="I38" s="86">
        <f>SUM('1. melléklet'!I31)</f>
        <v>30832408</v>
      </c>
      <c r="J38" s="86">
        <f>SUM('1. melléklet'!J31)</f>
        <v>15566246</v>
      </c>
      <c r="K38" s="86">
        <f>SUM('1. melléklet'!K31)</f>
        <v>15566246</v>
      </c>
    </row>
    <row r="39" spans="1:11" ht="12.75" customHeight="1">
      <c r="A39" s="821" t="s">
        <v>117</v>
      </c>
      <c r="B39" s="370"/>
      <c r="C39" s="307" t="s">
        <v>227</v>
      </c>
      <c r="D39" s="376">
        <v>800000</v>
      </c>
      <c r="E39" s="376"/>
      <c r="F39" s="376"/>
      <c r="G39" s="376"/>
      <c r="H39" s="376"/>
      <c r="I39" s="376"/>
      <c r="J39" s="376">
        <f>SUM('1. melléklet'!J33)</f>
        <v>3200000</v>
      </c>
      <c r="K39" s="376">
        <f>SUM('1. melléklet'!K33)</f>
        <v>3200000</v>
      </c>
    </row>
    <row r="40" spans="1:11" ht="12.75" customHeight="1">
      <c r="A40" s="560" t="s">
        <v>118</v>
      </c>
      <c r="B40" s="499"/>
      <c r="C40" s="503" t="s">
        <v>727</v>
      </c>
      <c r="D40" s="761"/>
      <c r="E40" s="761"/>
      <c r="F40" s="761"/>
      <c r="G40" s="761"/>
      <c r="H40" s="761"/>
      <c r="I40" s="761"/>
      <c r="J40" s="761"/>
      <c r="K40" s="761"/>
    </row>
    <row r="41" spans="1:11" ht="12.75" customHeight="1">
      <c r="A41" s="384" t="s">
        <v>120</v>
      </c>
      <c r="B41" s="499"/>
      <c r="C41" s="503" t="s">
        <v>742</v>
      </c>
      <c r="D41" s="761">
        <v>76511</v>
      </c>
      <c r="E41" s="761"/>
      <c r="F41" s="761"/>
      <c r="G41" s="761"/>
      <c r="H41" s="761"/>
      <c r="I41" s="761"/>
      <c r="J41" s="761"/>
      <c r="K41" s="761"/>
    </row>
    <row r="42" spans="1:11" ht="12.75" customHeight="1" thickBot="1">
      <c r="A42" s="757" t="s">
        <v>122</v>
      </c>
      <c r="B42" s="758" t="s">
        <v>185</v>
      </c>
      <c r="C42" s="759" t="s">
        <v>228</v>
      </c>
      <c r="D42" s="760">
        <f aca="true" t="shared" si="6" ref="D42:I42">SUM(D37:D41)</f>
        <v>589200905</v>
      </c>
      <c r="E42" s="760">
        <f t="shared" si="6"/>
        <v>24433530</v>
      </c>
      <c r="F42" s="760">
        <f t="shared" si="6"/>
        <v>32364738</v>
      </c>
      <c r="G42" s="760">
        <f t="shared" si="6"/>
        <v>32364738</v>
      </c>
      <c r="H42" s="760">
        <f t="shared" si="6"/>
        <v>32127362</v>
      </c>
      <c r="I42" s="760">
        <f t="shared" si="6"/>
        <v>30832408</v>
      </c>
      <c r="J42" s="760">
        <f>SUM(J37:J41)</f>
        <v>32949044</v>
      </c>
      <c r="K42" s="760">
        <f>SUM(K37:K41)</f>
        <v>32949044</v>
      </c>
    </row>
    <row r="43" spans="1:11" ht="12.75" customHeight="1">
      <c r="A43" s="596" t="s">
        <v>124</v>
      </c>
      <c r="B43" s="114"/>
      <c r="C43" s="112" t="s">
        <v>132</v>
      </c>
      <c r="D43" s="113">
        <v>23294331</v>
      </c>
      <c r="E43" s="113">
        <v>13000000</v>
      </c>
      <c r="F43" s="113">
        <v>14355333</v>
      </c>
      <c r="G43" s="113">
        <v>28115333</v>
      </c>
      <c r="H43" s="113">
        <v>28115333</v>
      </c>
      <c r="I43" s="113">
        <v>29436617</v>
      </c>
      <c r="J43" s="113">
        <f>SUM('1. melléklet'!J57)</f>
        <v>48635850</v>
      </c>
      <c r="K43" s="113">
        <f>SUM('1. melléklet'!K57)</f>
        <v>48635850</v>
      </c>
    </row>
    <row r="44" spans="1:11" ht="12.75" customHeight="1">
      <c r="A44" s="820" t="s">
        <v>126</v>
      </c>
      <c r="B44" s="100"/>
      <c r="C44" s="103" t="s">
        <v>134</v>
      </c>
      <c r="D44" s="113">
        <v>17618312</v>
      </c>
      <c r="E44" s="113">
        <v>1400000</v>
      </c>
      <c r="F44" s="113">
        <v>7724980</v>
      </c>
      <c r="G44" s="113">
        <v>7324980</v>
      </c>
      <c r="H44" s="113">
        <v>7324980</v>
      </c>
      <c r="I44" s="113">
        <v>9427154</v>
      </c>
      <c r="J44" s="113">
        <f>SUM('1. melléklet'!J58)</f>
        <v>8744654</v>
      </c>
      <c r="K44" s="113">
        <f>SUM('1. melléklet'!K58)</f>
        <v>8744654</v>
      </c>
    </row>
    <row r="45" spans="1:11" ht="12.75" customHeight="1">
      <c r="A45" s="821" t="s">
        <v>128</v>
      </c>
      <c r="B45" s="370"/>
      <c r="C45" s="307" t="s">
        <v>726</v>
      </c>
      <c r="D45" s="756">
        <v>597360397</v>
      </c>
      <c r="E45" s="756">
        <v>599360397</v>
      </c>
      <c r="F45" s="756">
        <v>599611292</v>
      </c>
      <c r="G45" s="756">
        <v>687776996</v>
      </c>
      <c r="H45" s="756">
        <v>674778082</v>
      </c>
      <c r="I45" s="756">
        <v>597265741</v>
      </c>
      <c r="J45" s="756">
        <f>SUM('1. melléklet'!J54)</f>
        <v>573101751</v>
      </c>
      <c r="K45" s="756">
        <f>SUM('1. melléklet'!K54)</f>
        <v>573101751</v>
      </c>
    </row>
    <row r="46" spans="1:11" ht="12.75" customHeight="1" thickBot="1">
      <c r="A46" s="821" t="s">
        <v>130</v>
      </c>
      <c r="B46" s="370"/>
      <c r="C46" s="307" t="s">
        <v>205</v>
      </c>
      <c r="D46" s="376">
        <v>0</v>
      </c>
      <c r="E46" s="376">
        <v>0</v>
      </c>
      <c r="F46" s="376">
        <v>0</v>
      </c>
      <c r="G46" s="376">
        <v>0</v>
      </c>
      <c r="H46" s="376">
        <v>0</v>
      </c>
      <c r="I46" s="376">
        <v>0</v>
      </c>
      <c r="J46" s="376">
        <f>SUM('1. melléklet'!J59)</f>
        <v>10729481</v>
      </c>
      <c r="K46" s="376">
        <f>SUM('1. melléklet'!K59)</f>
        <v>10729481</v>
      </c>
    </row>
    <row r="47" spans="1:11" ht="12.75" customHeight="1" thickBot="1">
      <c r="A47" s="372" t="s">
        <v>131</v>
      </c>
      <c r="B47" s="373" t="s">
        <v>186</v>
      </c>
      <c r="C47" s="374" t="s">
        <v>229</v>
      </c>
      <c r="D47" s="378">
        <f aca="true" t="shared" si="7" ref="D47:I47">SUM(D43:D46)</f>
        <v>638273040</v>
      </c>
      <c r="E47" s="378">
        <f t="shared" si="7"/>
        <v>613760397</v>
      </c>
      <c r="F47" s="378">
        <f t="shared" si="7"/>
        <v>621691605</v>
      </c>
      <c r="G47" s="378">
        <f t="shared" si="7"/>
        <v>723217309</v>
      </c>
      <c r="H47" s="378">
        <f t="shared" si="7"/>
        <v>710218395</v>
      </c>
      <c r="I47" s="378">
        <f t="shared" si="7"/>
        <v>636129512</v>
      </c>
      <c r="J47" s="378">
        <f>SUM(J43:J46)</f>
        <v>641211736</v>
      </c>
      <c r="K47" s="378">
        <f>SUM(K43:K46)</f>
        <v>641211736</v>
      </c>
    </row>
    <row r="49" spans="1:11" ht="12.75" customHeight="1">
      <c r="A49" s="115"/>
      <c r="B49" s="115"/>
      <c r="C49" s="115" t="s">
        <v>230</v>
      </c>
      <c r="D49" s="116">
        <f aca="true" t="shared" si="8" ref="D49:I49">SUM(D15+D31+D42)</f>
        <v>1199775895</v>
      </c>
      <c r="E49" s="116">
        <f t="shared" si="8"/>
        <v>1156069425</v>
      </c>
      <c r="F49" s="116">
        <f t="shared" si="8"/>
        <v>1168180143</v>
      </c>
      <c r="G49" s="116">
        <f t="shared" si="8"/>
        <v>1169501303</v>
      </c>
      <c r="H49" s="116">
        <f t="shared" si="8"/>
        <v>1172980525</v>
      </c>
      <c r="I49" s="116">
        <f t="shared" si="8"/>
        <v>1180558763</v>
      </c>
      <c r="J49" s="116">
        <f>SUM(J15+J31+J42)</f>
        <v>1217317595</v>
      </c>
      <c r="K49" s="116">
        <f>SUM(K15+K31+K42)</f>
        <v>1217323589</v>
      </c>
    </row>
    <row r="50" spans="1:11" ht="12.75" customHeight="1">
      <c r="A50" s="115"/>
      <c r="B50" s="115"/>
      <c r="C50" s="115" t="s">
        <v>213</v>
      </c>
      <c r="D50" s="116">
        <f aca="true" t="shared" si="9" ref="D50:I50">SUM(D23+D36+D47)</f>
        <v>1199775895</v>
      </c>
      <c r="E50" s="116">
        <f t="shared" si="9"/>
        <v>1156069425</v>
      </c>
      <c r="F50" s="116">
        <f t="shared" si="9"/>
        <v>1168180143</v>
      </c>
      <c r="G50" s="116">
        <f t="shared" si="9"/>
        <v>1169501303</v>
      </c>
      <c r="H50" s="116">
        <f t="shared" si="9"/>
        <v>1172980525</v>
      </c>
      <c r="I50" s="116">
        <f t="shared" si="9"/>
        <v>1180558763</v>
      </c>
      <c r="J50" s="116">
        <f>SUM(J23+J36+J47)</f>
        <v>1217317595</v>
      </c>
      <c r="K50" s="116">
        <f>SUM(K23+K36+K47)</f>
        <v>1217323589</v>
      </c>
    </row>
  </sheetData>
  <sheetProtection selectLockedCells="1" selectUnlockedCells="1"/>
  <mergeCells count="16">
    <mergeCell ref="K8:K9"/>
    <mergeCell ref="A5:K5"/>
    <mergeCell ref="A3:K3"/>
    <mergeCell ref="A1:K1"/>
    <mergeCell ref="G8:G9"/>
    <mergeCell ref="F8:F9"/>
    <mergeCell ref="H8:H9"/>
    <mergeCell ref="J8:J9"/>
    <mergeCell ref="I8:I9"/>
    <mergeCell ref="D4:H4"/>
    <mergeCell ref="A10:B10"/>
    <mergeCell ref="A4:C4"/>
    <mergeCell ref="A8:B9"/>
    <mergeCell ref="C8:C9"/>
    <mergeCell ref="D8:D9"/>
    <mergeCell ref="E8:E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K61"/>
  <sheetViews>
    <sheetView view="pageBreakPreview" zoomScaleSheetLayoutView="100" zoomScalePageLayoutView="0" workbookViewId="0" topLeftCell="A1">
      <selection activeCell="D3" sqref="D3:H3"/>
    </sheetView>
  </sheetViews>
  <sheetFormatPr defaultColWidth="11.7109375" defaultRowHeight="12.75"/>
  <cols>
    <col min="1" max="2" width="3.8515625" style="5" customWidth="1"/>
    <col min="3" max="3" width="44.00390625" style="5" customWidth="1"/>
    <col min="4" max="4" width="18.00390625" style="95" customWidth="1"/>
    <col min="5" max="11" width="16.8515625" style="95" customWidth="1"/>
    <col min="12" max="16384" width="11.7109375" style="5" customWidth="1"/>
  </cols>
  <sheetData>
    <row r="1" spans="1:11" s="96" customFormat="1" ht="18" customHeight="1">
      <c r="A1" s="1531" t="s">
        <v>231</v>
      </c>
      <c r="B1" s="1531"/>
      <c r="C1" s="1531"/>
      <c r="D1" s="1531"/>
      <c r="E1" s="1531"/>
      <c r="F1" s="1531"/>
      <c r="G1" s="1531"/>
      <c r="H1" s="1531"/>
      <c r="I1" s="1531"/>
      <c r="J1" s="1531"/>
      <c r="K1" s="1531"/>
    </row>
    <row r="2" spans="1:11" ht="19.5" customHeight="1">
      <c r="A2" s="1538" t="s">
        <v>1226</v>
      </c>
      <c r="B2" s="1538"/>
      <c r="C2" s="1538"/>
      <c r="D2" s="1538"/>
      <c r="E2" s="1538"/>
      <c r="F2" s="1538"/>
      <c r="G2" s="1538"/>
      <c r="H2" s="1538"/>
      <c r="I2" s="1538"/>
      <c r="J2" s="1538"/>
      <c r="K2" s="1538"/>
    </row>
    <row r="3" spans="1:11" ht="15" customHeight="1">
      <c r="A3" s="1536"/>
      <c r="B3" s="1536"/>
      <c r="C3" s="1536"/>
      <c r="D3" s="1926" t="s">
        <v>1227</v>
      </c>
      <c r="E3" s="1926"/>
      <c r="F3" s="1926"/>
      <c r="G3" s="1926"/>
      <c r="H3" s="1926"/>
      <c r="I3" s="5"/>
      <c r="J3" s="5"/>
      <c r="K3" s="5"/>
    </row>
    <row r="4" spans="1:11" ht="6.75" customHeight="1">
      <c r="A4" s="1537"/>
      <c r="B4" s="1537"/>
      <c r="C4" s="1537"/>
      <c r="D4" s="5"/>
      <c r="E4" s="5"/>
      <c r="F4" s="5"/>
      <c r="G4" s="5"/>
      <c r="H4" s="5"/>
      <c r="I4" s="5"/>
      <c r="J4" s="5"/>
      <c r="K4" s="5"/>
    </row>
    <row r="5" spans="1:11" ht="12.75" customHeight="1">
      <c r="A5" s="1539" t="s">
        <v>1004</v>
      </c>
      <c r="B5" s="1539"/>
      <c r="C5" s="1539"/>
      <c r="D5" s="1539"/>
      <c r="E5" s="1539"/>
      <c r="F5" s="1539"/>
      <c r="G5" s="1539"/>
      <c r="H5" s="1539"/>
      <c r="I5" s="1539"/>
      <c r="J5" s="1539"/>
      <c r="K5" s="1539"/>
    </row>
    <row r="6" spans="1:11" ht="12.75" customHeight="1">
      <c r="A6" s="1539"/>
      <c r="B6" s="1539"/>
      <c r="C6" s="1539"/>
      <c r="D6" s="1539"/>
      <c r="E6" s="1539"/>
      <c r="F6" s="1539"/>
      <c r="G6" s="1539"/>
      <c r="H6" s="1539"/>
      <c r="I6" s="1539"/>
      <c r="J6" s="1539"/>
      <c r="K6" s="1539"/>
    </row>
    <row r="7" spans="2:11" ht="12.75" customHeight="1">
      <c r="B7" s="79"/>
      <c r="D7" s="5"/>
      <c r="E7" s="5"/>
      <c r="F7" s="5"/>
      <c r="G7" s="5"/>
      <c r="H7" s="5"/>
      <c r="I7" s="5"/>
      <c r="J7" s="5"/>
      <c r="K7" s="5"/>
    </row>
    <row r="8" spans="2:11" ht="30" customHeight="1" thickBot="1">
      <c r="B8" s="79"/>
      <c r="D8" s="1101"/>
      <c r="E8" s="1101"/>
      <c r="F8" s="1101"/>
      <c r="G8" s="1101"/>
      <c r="H8" s="1101"/>
      <c r="I8" s="1101"/>
      <c r="J8" s="1101"/>
      <c r="K8" s="1101" t="s">
        <v>216</v>
      </c>
    </row>
    <row r="9" spans="1:11" ht="63.75" customHeight="1">
      <c r="A9" s="1532" t="s">
        <v>156</v>
      </c>
      <c r="B9" s="1533"/>
      <c r="C9" s="400" t="s">
        <v>157</v>
      </c>
      <c r="D9" s="401" t="s">
        <v>158</v>
      </c>
      <c r="E9" s="401" t="s">
        <v>1002</v>
      </c>
      <c r="F9" s="401" t="s">
        <v>1070</v>
      </c>
      <c r="G9" s="401" t="s">
        <v>1131</v>
      </c>
      <c r="H9" s="401" t="s">
        <v>1141</v>
      </c>
      <c r="I9" s="401" t="s">
        <v>1148</v>
      </c>
      <c r="J9" s="401" t="s">
        <v>1158</v>
      </c>
      <c r="K9" s="401" t="s">
        <v>1181</v>
      </c>
    </row>
    <row r="10" spans="1:11" ht="12.75" customHeight="1" thickBot="1">
      <c r="A10" s="1534"/>
      <c r="B10" s="1535"/>
      <c r="C10" s="402" t="s">
        <v>159</v>
      </c>
      <c r="D10" s="403" t="s">
        <v>160</v>
      </c>
      <c r="E10" s="403" t="s">
        <v>161</v>
      </c>
      <c r="F10" s="403" t="s">
        <v>162</v>
      </c>
      <c r="G10" s="403" t="s">
        <v>479</v>
      </c>
      <c r="H10" s="403" t="s">
        <v>499</v>
      </c>
      <c r="I10" s="403" t="s">
        <v>745</v>
      </c>
      <c r="J10" s="403" t="s">
        <v>826</v>
      </c>
      <c r="K10" s="403" t="s">
        <v>830</v>
      </c>
    </row>
    <row r="11" spans="1:11" ht="27" customHeight="1">
      <c r="A11" s="384" t="s">
        <v>38</v>
      </c>
      <c r="B11" s="796"/>
      <c r="C11" s="394" t="s">
        <v>601</v>
      </c>
      <c r="D11" s="130">
        <v>61362783</v>
      </c>
      <c r="E11" s="130">
        <f>SUM('19 önkormányzat'!F9)</f>
        <v>58148665</v>
      </c>
      <c r="F11" s="130">
        <f>SUM('19 önkormányzat'!G9)</f>
        <v>58203565</v>
      </c>
      <c r="G11" s="130">
        <f>SUM('19 önkormányzat'!H9)</f>
        <v>58148665</v>
      </c>
      <c r="H11" s="130">
        <f>SUM('19 önkormányzat'!I9)</f>
        <v>58148665</v>
      </c>
      <c r="I11" s="130">
        <f>SUM('19 önkormányzat'!J9)</f>
        <v>58148665</v>
      </c>
      <c r="J11" s="130">
        <f>SUM('19 önkormányzat'!K9)</f>
        <v>58211337</v>
      </c>
      <c r="K11" s="130">
        <f>SUM('19 önkormányzat'!L9)</f>
        <v>58211337</v>
      </c>
    </row>
    <row r="12" spans="1:11" ht="28.5" customHeight="1">
      <c r="A12" s="384" t="s">
        <v>40</v>
      </c>
      <c r="B12" s="797"/>
      <c r="C12" s="386" t="s">
        <v>602</v>
      </c>
      <c r="D12" s="130">
        <v>71201042</v>
      </c>
      <c r="E12" s="130">
        <f>SUM('19 önkormányzat'!F10)</f>
        <v>69694818</v>
      </c>
      <c r="F12" s="130">
        <f>SUM('19 önkormányzat'!G10)</f>
        <v>69694818</v>
      </c>
      <c r="G12" s="130">
        <f>SUM('19 önkormányzat'!H10)</f>
        <v>69694818</v>
      </c>
      <c r="H12" s="130">
        <f>SUM('19 önkormányzat'!I10)</f>
        <v>69694818</v>
      </c>
      <c r="I12" s="130">
        <f>SUM('19 önkormányzat'!J10)</f>
        <v>69694818</v>
      </c>
      <c r="J12" s="130">
        <f>SUM('19 önkormányzat'!K10)</f>
        <v>71893151</v>
      </c>
      <c r="K12" s="130">
        <f>SUM('19 önkormányzat'!L10)</f>
        <v>71893151</v>
      </c>
    </row>
    <row r="13" spans="1:11" ht="25.5" customHeight="1">
      <c r="A13" s="384" t="s">
        <v>47</v>
      </c>
      <c r="B13" s="797"/>
      <c r="C13" s="386" t="s">
        <v>623</v>
      </c>
      <c r="D13" s="130">
        <v>58979458</v>
      </c>
      <c r="E13" s="130">
        <f>SUM('19 önkormányzat'!F11)</f>
        <v>60996421</v>
      </c>
      <c r="F13" s="130">
        <f>SUM('19 önkormányzat'!G11)</f>
        <v>62478972</v>
      </c>
      <c r="G13" s="130">
        <f>SUM('19 önkormányzat'!H11)</f>
        <v>62478972</v>
      </c>
      <c r="H13" s="130">
        <f>SUM('19 önkormányzat'!I11)</f>
        <v>62478972</v>
      </c>
      <c r="I13" s="130">
        <f>SUM('19 önkormányzat'!J11)</f>
        <v>62478972</v>
      </c>
      <c r="J13" s="130">
        <f>SUM('19 önkormányzat'!K11)</f>
        <v>66041405</v>
      </c>
      <c r="K13" s="130">
        <f>SUM('19 önkormányzat'!L11)</f>
        <v>66041405</v>
      </c>
    </row>
    <row r="14" spans="1:11" ht="26.25" customHeight="1">
      <c r="A14" s="384" t="s">
        <v>49</v>
      </c>
      <c r="B14" s="797"/>
      <c r="C14" s="386" t="s">
        <v>603</v>
      </c>
      <c r="D14" s="130">
        <v>4769156</v>
      </c>
      <c r="E14" s="130">
        <f>SUM('19 önkormányzat'!F12)</f>
        <v>4261620</v>
      </c>
      <c r="F14" s="130">
        <f>SUM('19 önkormányzat'!G12)</f>
        <v>4261620</v>
      </c>
      <c r="G14" s="130">
        <f>SUM('19 önkormányzat'!H12)</f>
        <v>4261620</v>
      </c>
      <c r="H14" s="130">
        <f>SUM('19 önkormányzat'!I12)</f>
        <v>4261620</v>
      </c>
      <c r="I14" s="130">
        <f>SUM('19 önkormányzat'!J12)</f>
        <v>4261620</v>
      </c>
      <c r="J14" s="130">
        <f>SUM('19 önkormányzat'!K12)</f>
        <v>4760778</v>
      </c>
      <c r="K14" s="130">
        <f>SUM('19 önkormányzat'!L12)</f>
        <v>4760778</v>
      </c>
    </row>
    <row r="15" spans="1:11" ht="30" customHeight="1">
      <c r="A15" s="384" t="s">
        <v>51</v>
      </c>
      <c r="B15" s="797"/>
      <c r="C15" s="386" t="s">
        <v>604</v>
      </c>
      <c r="D15" s="130">
        <v>6598590</v>
      </c>
      <c r="E15" s="130">
        <f>SUM('19 önkormányzat'!F13)</f>
        <v>0</v>
      </c>
      <c r="F15" s="130">
        <f>SUM('19 önkormányzat'!G13)</f>
        <v>620800</v>
      </c>
      <c r="G15" s="130">
        <f>SUM('19 önkormányzat'!H13)</f>
        <v>1226416</v>
      </c>
      <c r="H15" s="130">
        <f>SUM('19 önkormányzat'!I13)</f>
        <v>1286490</v>
      </c>
      <c r="I15" s="130">
        <f>SUM('19 önkormányzat'!J13)</f>
        <v>2126602</v>
      </c>
      <c r="J15" s="130">
        <f>SUM('19 önkormányzat'!K13)</f>
        <v>2961270</v>
      </c>
      <c r="K15" s="130">
        <f>SUM('19 önkormányzat'!L13)</f>
        <v>2961270</v>
      </c>
    </row>
    <row r="16" spans="1:11" ht="12.75" customHeight="1">
      <c r="A16" s="384" t="s">
        <v>53</v>
      </c>
      <c r="B16" s="797"/>
      <c r="C16" s="386" t="s">
        <v>605</v>
      </c>
      <c r="D16" s="130">
        <v>5065640</v>
      </c>
      <c r="E16" s="130">
        <f>SUM('19 önkormányzat'!F14)</f>
        <v>0</v>
      </c>
      <c r="F16" s="130">
        <f>SUM('19 önkormányzat'!G14)</f>
        <v>0</v>
      </c>
      <c r="G16" s="130">
        <f>SUM('19 önkormányzat'!H14)</f>
        <v>54900</v>
      </c>
      <c r="H16" s="130">
        <f>SUM('19 önkormányzat'!I14)</f>
        <v>54900</v>
      </c>
      <c r="I16" s="130">
        <f>SUM('19 önkormányzat'!J14)</f>
        <v>270530</v>
      </c>
      <c r="J16" s="130">
        <f>SUM('19 önkormányzat'!K14)</f>
        <v>270530</v>
      </c>
      <c r="K16" s="130">
        <f>SUM('19 önkormányzat'!L14)</f>
        <v>270530</v>
      </c>
    </row>
    <row r="17" spans="1:11" s="68" customFormat="1" ht="12.75" customHeight="1">
      <c r="A17" s="499" t="s">
        <v>55</v>
      </c>
      <c r="B17" s="798"/>
      <c r="C17" s="120" t="s">
        <v>163</v>
      </c>
      <c r="D17" s="9">
        <f aca="true" t="shared" si="0" ref="D17:I17">SUM(D11:D16)</f>
        <v>207976669</v>
      </c>
      <c r="E17" s="9">
        <f t="shared" si="0"/>
        <v>193101524</v>
      </c>
      <c r="F17" s="9">
        <f t="shared" si="0"/>
        <v>195259775</v>
      </c>
      <c r="G17" s="9">
        <f t="shared" si="0"/>
        <v>195865391</v>
      </c>
      <c r="H17" s="9">
        <f t="shared" si="0"/>
        <v>195925465</v>
      </c>
      <c r="I17" s="9">
        <f t="shared" si="0"/>
        <v>196981207</v>
      </c>
      <c r="J17" s="9">
        <f>SUM(J11:J16)</f>
        <v>204138471</v>
      </c>
      <c r="K17" s="9">
        <f>SUM(K11:K16)</f>
        <v>204138471</v>
      </c>
    </row>
    <row r="18" spans="1:11" s="392" customFormat="1" ht="27" customHeight="1">
      <c r="A18" s="461" t="s">
        <v>57</v>
      </c>
      <c r="B18" s="799"/>
      <c r="C18" s="390" t="s">
        <v>164</v>
      </c>
      <c r="D18" s="391">
        <v>123557514</v>
      </c>
      <c r="E18" s="391">
        <v>9168000</v>
      </c>
      <c r="F18" s="391">
        <v>9168000</v>
      </c>
      <c r="G18" s="391">
        <v>9168000</v>
      </c>
      <c r="H18" s="391">
        <v>9168000</v>
      </c>
      <c r="I18" s="391">
        <f>SUM(I21:I22)</f>
        <v>10152913</v>
      </c>
      <c r="J18" s="391">
        <f>SUM(J21:J22)</f>
        <v>7833763</v>
      </c>
      <c r="K18" s="391">
        <f>SUM(K21:K22)</f>
        <v>7833763</v>
      </c>
    </row>
    <row r="19" spans="1:11" s="389" customFormat="1" ht="30.75" customHeight="1">
      <c r="A19" s="438" t="s">
        <v>86</v>
      </c>
      <c r="B19" s="800"/>
      <c r="C19" s="1079" t="s">
        <v>858</v>
      </c>
      <c r="D19" s="1080">
        <v>112728050</v>
      </c>
      <c r="E19" s="1080"/>
      <c r="F19" s="1080"/>
      <c r="G19" s="1080"/>
      <c r="H19" s="1080"/>
      <c r="I19" s="1080"/>
      <c r="J19" s="1080"/>
      <c r="K19" s="1080"/>
    </row>
    <row r="20" spans="1:11" s="389" customFormat="1" ht="12.75" customHeight="1">
      <c r="A20" s="438" t="s">
        <v>59</v>
      </c>
      <c r="B20" s="800"/>
      <c r="C20" s="387" t="s">
        <v>626</v>
      </c>
      <c r="D20" s="388"/>
      <c r="E20" s="388"/>
      <c r="F20" s="388"/>
      <c r="G20" s="388"/>
      <c r="H20" s="388"/>
      <c r="I20" s="388"/>
      <c r="J20" s="388"/>
      <c r="K20" s="388"/>
    </row>
    <row r="21" spans="1:11" s="389" customFormat="1" ht="12.75" customHeight="1">
      <c r="A21" s="1081" t="s">
        <v>61</v>
      </c>
      <c r="B21" s="801"/>
      <c r="C21" s="397" t="s">
        <v>861</v>
      </c>
      <c r="D21" s="1094">
        <v>907459</v>
      </c>
      <c r="E21" s="1094"/>
      <c r="F21" s="1094"/>
      <c r="G21" s="1094"/>
      <c r="H21" s="1094"/>
      <c r="I21" s="1409">
        <v>984913</v>
      </c>
      <c r="J21" s="1409">
        <v>984913</v>
      </c>
      <c r="K21" s="1409">
        <v>984913</v>
      </c>
    </row>
    <row r="22" spans="1:11" s="389" customFormat="1" ht="12.75" customHeight="1" thickBot="1">
      <c r="A22" s="1081" t="s">
        <v>63</v>
      </c>
      <c r="B22" s="801"/>
      <c r="C22" s="397" t="s">
        <v>625</v>
      </c>
      <c r="D22" s="398">
        <v>9857005</v>
      </c>
      <c r="E22" s="398">
        <v>9168000</v>
      </c>
      <c r="F22" s="398">
        <v>9168000</v>
      </c>
      <c r="G22" s="398">
        <v>9168000</v>
      </c>
      <c r="H22" s="398">
        <v>9168000</v>
      </c>
      <c r="I22" s="398">
        <v>9168000</v>
      </c>
      <c r="J22" s="398">
        <v>6848850</v>
      </c>
      <c r="K22" s="398">
        <v>6848850</v>
      </c>
    </row>
    <row r="23" spans="1:11" ht="25.5" customHeight="1" thickBot="1">
      <c r="A23" s="1082" t="s">
        <v>65</v>
      </c>
      <c r="B23" s="802" t="s">
        <v>165</v>
      </c>
      <c r="C23" s="399" t="s">
        <v>166</v>
      </c>
      <c r="D23" s="1083">
        <f aca="true" t="shared" si="1" ref="D23:I23">SUM(D17+D18)</f>
        <v>331534183</v>
      </c>
      <c r="E23" s="1083">
        <f t="shared" si="1"/>
        <v>202269524</v>
      </c>
      <c r="F23" s="1083">
        <f t="shared" si="1"/>
        <v>204427775</v>
      </c>
      <c r="G23" s="1083">
        <f t="shared" si="1"/>
        <v>205033391</v>
      </c>
      <c r="H23" s="1083">
        <f t="shared" si="1"/>
        <v>205093465</v>
      </c>
      <c r="I23" s="1083">
        <f t="shared" si="1"/>
        <v>207134120</v>
      </c>
      <c r="J23" s="1083">
        <f>SUM(J17+J18)</f>
        <v>211972234</v>
      </c>
      <c r="K23" s="1083">
        <f>SUM(K17+K18)</f>
        <v>211972234</v>
      </c>
    </row>
    <row r="24" spans="1:11" ht="25.5" customHeight="1">
      <c r="A24" s="1084" t="s">
        <v>92</v>
      </c>
      <c r="B24" s="1084"/>
      <c r="C24" s="1085" t="s">
        <v>860</v>
      </c>
      <c r="D24" s="1086">
        <v>579188024</v>
      </c>
      <c r="E24" s="1086"/>
      <c r="F24" s="1086"/>
      <c r="G24" s="1086"/>
      <c r="H24" s="1086"/>
      <c r="I24" s="1086"/>
      <c r="J24" s="1086"/>
      <c r="K24" s="1086"/>
    </row>
    <row r="25" spans="1:11" s="63" customFormat="1" ht="25.5" customHeight="1" thickBot="1">
      <c r="A25" s="1087" t="s">
        <v>66</v>
      </c>
      <c r="B25" s="1087"/>
      <c r="C25" s="1088" t="s">
        <v>859</v>
      </c>
      <c r="D25" s="1089">
        <v>579188024</v>
      </c>
      <c r="E25" s="1089"/>
      <c r="F25" s="1089"/>
      <c r="G25" s="1089"/>
      <c r="H25" s="1089"/>
      <c r="I25" s="1089"/>
      <c r="J25" s="1089"/>
      <c r="K25" s="1089"/>
    </row>
    <row r="26" spans="1:11" s="68" customFormat="1" ht="29.25" customHeight="1" thickBot="1">
      <c r="A26" s="1090" t="s">
        <v>67</v>
      </c>
      <c r="B26" s="803" t="s">
        <v>167</v>
      </c>
      <c r="C26" s="404" t="s">
        <v>168</v>
      </c>
      <c r="D26" s="1091">
        <f>SUM('2. melléklet'!D37)</f>
        <v>579188024</v>
      </c>
      <c r="E26" s="1091">
        <f>SUM('2. melléklet'!E37)</f>
        <v>0</v>
      </c>
      <c r="F26" s="1091">
        <f>SUM('2. melléklet'!F37)</f>
        <v>0</v>
      </c>
      <c r="G26" s="1091">
        <f>SUM('2. melléklet'!G37)</f>
        <v>0</v>
      </c>
      <c r="H26" s="1091">
        <f>SUM('2. melléklet'!H37)</f>
        <v>0</v>
      </c>
      <c r="I26" s="1091">
        <f>SUM('2. melléklet'!I37)</f>
        <v>0</v>
      </c>
      <c r="J26" s="1091">
        <f>SUM('2. melléklet'!J37)</f>
        <v>14182798</v>
      </c>
      <c r="K26" s="1091">
        <f>SUM('2. melléklet'!K37)</f>
        <v>14182798</v>
      </c>
    </row>
    <row r="27" spans="1:11" ht="12.75" customHeight="1">
      <c r="A27" s="856" t="s">
        <v>68</v>
      </c>
      <c r="B27" s="796"/>
      <c r="C27" s="383" t="s">
        <v>618</v>
      </c>
      <c r="D27" s="130">
        <v>6985609</v>
      </c>
      <c r="E27" s="130">
        <f>SUM('19 önkormányzat'!F27)</f>
        <v>6755000</v>
      </c>
      <c r="F27" s="130">
        <f>SUM('19 önkormányzat'!G27)</f>
        <v>6755000</v>
      </c>
      <c r="G27" s="130">
        <f>SUM('19 önkormányzat'!H27)</f>
        <v>6755000</v>
      </c>
      <c r="H27" s="130">
        <f>SUM('19 önkormányzat'!I27)</f>
        <v>6755000</v>
      </c>
      <c r="I27" s="130">
        <f>SUM('19 önkormányzat'!J27)</f>
        <v>6755000</v>
      </c>
      <c r="J27" s="130">
        <f>SUM('19 önkormányzat'!K27)</f>
        <v>8127945</v>
      </c>
      <c r="K27" s="130">
        <f>SUM('19 önkormányzat'!L27)</f>
        <v>8127945</v>
      </c>
    </row>
    <row r="28" spans="1:11" ht="12.75" customHeight="1">
      <c r="A28" s="384" t="s">
        <v>70</v>
      </c>
      <c r="B28" s="797"/>
      <c r="C28" s="118" t="s">
        <v>619</v>
      </c>
      <c r="D28" s="130">
        <v>153700078</v>
      </c>
      <c r="E28" s="130">
        <f>SUM('19 önkormányzat'!F28)</f>
        <v>134000000</v>
      </c>
      <c r="F28" s="130">
        <f>SUM('19 önkormányzat'!G28)</f>
        <v>134000000</v>
      </c>
      <c r="G28" s="130">
        <f>SUM('19 önkormányzat'!H28)</f>
        <v>134000000</v>
      </c>
      <c r="H28" s="130">
        <f>SUM('19 önkormányzat'!I28)</f>
        <v>134000000</v>
      </c>
      <c r="I28" s="130">
        <f>SUM('19 önkormányzat'!J28)</f>
        <v>136000000</v>
      </c>
      <c r="J28" s="130">
        <f>SUM('19 önkormányzat'!K28)</f>
        <v>164505470</v>
      </c>
      <c r="K28" s="130">
        <f>SUM('19 önkormányzat'!L28)</f>
        <v>164505470</v>
      </c>
    </row>
    <row r="29" spans="1:11" ht="12.75" customHeight="1">
      <c r="A29" s="384" t="s">
        <v>97</v>
      </c>
      <c r="B29" s="797"/>
      <c r="C29" s="118" t="s">
        <v>620</v>
      </c>
      <c r="D29" s="130">
        <v>10051757</v>
      </c>
      <c r="E29" s="130">
        <f>SUM('19 önkormányzat'!F29)</f>
        <v>9235000</v>
      </c>
      <c r="F29" s="130">
        <f>SUM('19 önkormányzat'!G29)</f>
        <v>9235000</v>
      </c>
      <c r="G29" s="130">
        <f>SUM('19 önkormányzat'!H29)</f>
        <v>9235000</v>
      </c>
      <c r="H29" s="130">
        <f>SUM('19 önkormányzat'!I29)</f>
        <v>11376598</v>
      </c>
      <c r="I29" s="130">
        <f>SUM('19 önkormányzat'!J29)</f>
        <v>11376598</v>
      </c>
      <c r="J29" s="130">
        <f>SUM('19 önkormányzat'!K29)</f>
        <v>12680105</v>
      </c>
      <c r="K29" s="130">
        <f>SUM('19 önkormányzat'!L29)</f>
        <v>12680105</v>
      </c>
    </row>
    <row r="30" spans="1:11" ht="12.75" customHeight="1">
      <c r="A30" s="384" t="s">
        <v>99</v>
      </c>
      <c r="B30" s="797"/>
      <c r="C30" s="386" t="s">
        <v>621</v>
      </c>
      <c r="D30" s="130">
        <v>0</v>
      </c>
      <c r="E30" s="130">
        <f>SUM('19 önkormányzat'!F30)</f>
        <v>0</v>
      </c>
      <c r="F30" s="130">
        <f>SUM('19 önkormányzat'!G30)</f>
        <v>0</v>
      </c>
      <c r="G30" s="130">
        <f>SUM('19 önkormányzat'!H30)</f>
        <v>0</v>
      </c>
      <c r="H30" s="130">
        <f>SUM('19 önkormányzat'!I30)</f>
        <v>0</v>
      </c>
      <c r="I30" s="130">
        <f>SUM('19 önkormányzat'!J30)</f>
        <v>0</v>
      </c>
      <c r="J30" s="130">
        <f>SUM('19 önkormányzat'!K30)</f>
        <v>0</v>
      </c>
      <c r="K30" s="130">
        <f>SUM('19 önkormányzat'!L30)</f>
        <v>0</v>
      </c>
    </row>
    <row r="31" spans="1:11" ht="12.75" customHeight="1" thickBot="1">
      <c r="A31" s="384" t="s">
        <v>101</v>
      </c>
      <c r="B31" s="804"/>
      <c r="C31" s="393" t="s">
        <v>622</v>
      </c>
      <c r="D31" s="130">
        <v>608170</v>
      </c>
      <c r="E31" s="130">
        <f>SUM('19 önkormányzat'!F31)</f>
        <v>465000</v>
      </c>
      <c r="F31" s="130">
        <f>SUM('19 önkormányzat'!G31)</f>
        <v>465000</v>
      </c>
      <c r="G31" s="130">
        <f>SUM('19 önkormányzat'!H31)</f>
        <v>465000</v>
      </c>
      <c r="H31" s="130">
        <f>SUM('19 önkormányzat'!I31)</f>
        <v>465000</v>
      </c>
      <c r="I31" s="130">
        <f>SUM('19 önkormányzat'!J31)</f>
        <v>465000</v>
      </c>
      <c r="J31" s="130">
        <f>SUM('19 önkormányzat'!K31)</f>
        <v>1362640</v>
      </c>
      <c r="K31" s="130">
        <f>SUM('19 önkormányzat'!L31)</f>
        <v>1362640</v>
      </c>
    </row>
    <row r="32" spans="1:11" ht="24.75" customHeight="1" thickBot="1">
      <c r="A32" s="818" t="s">
        <v>103</v>
      </c>
      <c r="B32" s="805" t="s">
        <v>174</v>
      </c>
      <c r="C32" s="395" t="s">
        <v>175</v>
      </c>
      <c r="D32" s="396">
        <f aca="true" t="shared" si="2" ref="D32:I32">SUM(D27:D31)</f>
        <v>171345614</v>
      </c>
      <c r="E32" s="396">
        <f t="shared" si="2"/>
        <v>150455000</v>
      </c>
      <c r="F32" s="396">
        <f t="shared" si="2"/>
        <v>150455000</v>
      </c>
      <c r="G32" s="396">
        <f t="shared" si="2"/>
        <v>150455000</v>
      </c>
      <c r="H32" s="396">
        <f t="shared" si="2"/>
        <v>152596598</v>
      </c>
      <c r="I32" s="396">
        <f t="shared" si="2"/>
        <v>154596598</v>
      </c>
      <c r="J32" s="396">
        <f>SUM(J27:J31)</f>
        <v>186676160</v>
      </c>
      <c r="K32" s="396">
        <f>SUM(K27:K31)</f>
        <v>186676160</v>
      </c>
    </row>
    <row r="33" spans="1:11" ht="12.75" customHeight="1">
      <c r="A33" s="384" t="s">
        <v>105</v>
      </c>
      <c r="B33" s="806"/>
      <c r="C33" s="385" t="s">
        <v>606</v>
      </c>
      <c r="D33" s="385">
        <v>5995252</v>
      </c>
      <c r="E33" s="385">
        <v>5510000</v>
      </c>
      <c r="F33" s="385">
        <v>5510000</v>
      </c>
      <c r="G33" s="385">
        <v>5510000</v>
      </c>
      <c r="H33" s="385">
        <v>5661000</v>
      </c>
      <c r="I33" s="385">
        <v>5761000</v>
      </c>
      <c r="J33" s="385">
        <f>SUM('1. melléklet'!J20)</f>
        <v>3702751</v>
      </c>
      <c r="K33" s="385">
        <f>SUM('1. melléklet'!K20)</f>
        <v>3702751</v>
      </c>
    </row>
    <row r="34" spans="1:11" ht="12.75" customHeight="1">
      <c r="A34" s="384" t="s">
        <v>107</v>
      </c>
      <c r="B34" s="806"/>
      <c r="C34" s="385" t="s">
        <v>177</v>
      </c>
      <c r="D34" s="385">
        <v>4006449</v>
      </c>
      <c r="E34" s="385">
        <v>3995000</v>
      </c>
      <c r="F34" s="385">
        <v>3995000</v>
      </c>
      <c r="G34" s="385">
        <v>3995000</v>
      </c>
      <c r="H34" s="385">
        <v>4125000</v>
      </c>
      <c r="I34" s="385">
        <v>4265000</v>
      </c>
      <c r="J34" s="385">
        <f>SUM('1. melléklet'!J21)</f>
        <v>4803116</v>
      </c>
      <c r="K34" s="385">
        <f>SUM('1. melléklet'!K21)</f>
        <v>4803116</v>
      </c>
    </row>
    <row r="35" spans="1:11" ht="12.75" customHeight="1">
      <c r="A35" s="384" t="s">
        <v>109</v>
      </c>
      <c r="B35" s="806"/>
      <c r="C35" s="385" t="s">
        <v>178</v>
      </c>
      <c r="D35" s="385">
        <v>930260</v>
      </c>
      <c r="E35" s="385">
        <v>1434000</v>
      </c>
      <c r="F35" s="385">
        <v>1434000</v>
      </c>
      <c r="G35" s="385">
        <v>1434000</v>
      </c>
      <c r="H35" s="385">
        <v>1432990</v>
      </c>
      <c r="I35" s="385">
        <v>1440000</v>
      </c>
      <c r="J35" s="385">
        <f>SUM('1. melléklet'!J22)</f>
        <v>3120519</v>
      </c>
      <c r="K35" s="385">
        <f>SUM('1. melléklet'!K22)</f>
        <v>3120519</v>
      </c>
    </row>
    <row r="36" spans="1:11" ht="12.75" customHeight="1">
      <c r="A36" s="384" t="s">
        <v>111</v>
      </c>
      <c r="B36" s="806"/>
      <c r="C36" s="385" t="s">
        <v>716</v>
      </c>
      <c r="D36" s="385">
        <v>16780995</v>
      </c>
      <c r="E36" s="385">
        <v>17100000</v>
      </c>
      <c r="F36" s="385">
        <v>17100000</v>
      </c>
      <c r="G36" s="385">
        <v>17100000</v>
      </c>
      <c r="H36" s="385">
        <v>17070000</v>
      </c>
      <c r="I36" s="385">
        <v>17070000</v>
      </c>
      <c r="J36" s="385">
        <f>SUM('1. melléklet'!J23)</f>
        <v>19402162</v>
      </c>
      <c r="K36" s="385">
        <f>SUM('1. melléklet'!K23)</f>
        <v>19402162</v>
      </c>
    </row>
    <row r="37" spans="1:11" ht="12.75" customHeight="1">
      <c r="A37" s="384" t="s">
        <v>113</v>
      </c>
      <c r="B37" s="806"/>
      <c r="C37" s="385" t="s">
        <v>180</v>
      </c>
      <c r="D37" s="385">
        <v>8898038</v>
      </c>
      <c r="E37" s="385">
        <v>8650000</v>
      </c>
      <c r="F37" s="385">
        <v>8650000</v>
      </c>
      <c r="G37" s="385">
        <v>8650000</v>
      </c>
      <c r="H37" s="385">
        <v>8690000</v>
      </c>
      <c r="I37" s="385">
        <v>17804750</v>
      </c>
      <c r="J37" s="385">
        <f>SUM('1. melléklet'!J24)</f>
        <v>11551896</v>
      </c>
      <c r="K37" s="385">
        <f>SUM('1. melléklet'!K24)</f>
        <v>11551896</v>
      </c>
    </row>
    <row r="38" spans="1:11" ht="12.75" customHeight="1">
      <c r="A38" s="384" t="s">
        <v>115</v>
      </c>
      <c r="B38" s="384"/>
      <c r="C38" s="385" t="s">
        <v>740</v>
      </c>
      <c r="D38" s="385">
        <v>5708000</v>
      </c>
      <c r="E38" s="385">
        <v>5700000</v>
      </c>
      <c r="F38" s="385">
        <v>6518000</v>
      </c>
      <c r="G38" s="385">
        <v>6518000</v>
      </c>
      <c r="H38" s="385">
        <v>6518000</v>
      </c>
      <c r="I38" s="385">
        <v>818000</v>
      </c>
      <c r="J38" s="385">
        <f>SUM('1. melléklet'!J25)</f>
        <v>818000</v>
      </c>
      <c r="K38" s="385">
        <f>SUM('1. melléklet'!K25)</f>
        <v>818000</v>
      </c>
    </row>
    <row r="39" spans="1:11" ht="12.75" customHeight="1">
      <c r="A39" s="856" t="s">
        <v>117</v>
      </c>
      <c r="B39" s="796"/>
      <c r="C39" s="383" t="s">
        <v>617</v>
      </c>
      <c r="D39" s="412">
        <v>2902</v>
      </c>
      <c r="E39" s="412">
        <v>3000</v>
      </c>
      <c r="F39" s="412">
        <v>3000</v>
      </c>
      <c r="G39" s="412">
        <v>3000</v>
      </c>
      <c r="H39" s="412">
        <v>3010</v>
      </c>
      <c r="I39" s="412">
        <v>3004</v>
      </c>
      <c r="J39" s="385">
        <f>SUM('1. melléklet'!J26)</f>
        <v>554</v>
      </c>
      <c r="K39" s="385">
        <f>SUM('1. melléklet'!K26)</f>
        <v>554</v>
      </c>
    </row>
    <row r="40" spans="1:11" ht="12.75" customHeight="1">
      <c r="A40" s="856" t="s">
        <v>118</v>
      </c>
      <c r="B40" s="1092"/>
      <c r="C40" s="1093" t="s">
        <v>856</v>
      </c>
      <c r="D40" s="412">
        <v>61230</v>
      </c>
      <c r="E40" s="412"/>
      <c r="F40" s="412"/>
      <c r="G40" s="412"/>
      <c r="H40" s="412">
        <v>44417</v>
      </c>
      <c r="I40" s="412">
        <v>172669</v>
      </c>
      <c r="J40" s="385">
        <v>660167</v>
      </c>
      <c r="K40" s="385">
        <v>660167</v>
      </c>
    </row>
    <row r="41" spans="1:11" ht="12.75" customHeight="1" thickBot="1">
      <c r="A41" s="384" t="s">
        <v>120</v>
      </c>
      <c r="B41" s="804"/>
      <c r="C41" s="393" t="s">
        <v>183</v>
      </c>
      <c r="D41" s="385">
        <v>1124226</v>
      </c>
      <c r="E41" s="385"/>
      <c r="F41" s="385"/>
      <c r="G41" s="385"/>
      <c r="H41" s="385">
        <v>30018</v>
      </c>
      <c r="I41" s="385">
        <v>30034</v>
      </c>
      <c r="J41" s="385">
        <f>SUM('1. melléklet'!J29)</f>
        <v>333552</v>
      </c>
      <c r="K41" s="385">
        <f>SUM('1. melléklet'!K29)</f>
        <v>333552</v>
      </c>
    </row>
    <row r="42" spans="1:11" s="68" customFormat="1" ht="19.5" customHeight="1">
      <c r="A42" s="819" t="s">
        <v>122</v>
      </c>
      <c r="B42" s="807" t="s">
        <v>184</v>
      </c>
      <c r="C42" s="405" t="s">
        <v>218</v>
      </c>
      <c r="D42" s="406">
        <f aca="true" t="shared" si="3" ref="D42:I42">SUM(D33:D41)</f>
        <v>43507352</v>
      </c>
      <c r="E42" s="406">
        <f t="shared" si="3"/>
        <v>42392000</v>
      </c>
      <c r="F42" s="406">
        <f t="shared" si="3"/>
        <v>43210000</v>
      </c>
      <c r="G42" s="406">
        <f t="shared" si="3"/>
        <v>43210000</v>
      </c>
      <c r="H42" s="406">
        <f t="shared" si="3"/>
        <v>43574435</v>
      </c>
      <c r="I42" s="406">
        <f t="shared" si="3"/>
        <v>47364457</v>
      </c>
      <c r="J42" s="406">
        <f>SUM(J33:J41)</f>
        <v>44392717</v>
      </c>
      <c r="K42" s="406">
        <f>SUM(K33:K41)</f>
        <v>44392717</v>
      </c>
    </row>
    <row r="43" spans="1:11" ht="12.75" customHeight="1">
      <c r="A43" s="385" t="s">
        <v>124</v>
      </c>
      <c r="B43" s="808"/>
      <c r="C43" s="385" t="s">
        <v>607</v>
      </c>
      <c r="D43" s="385">
        <v>9130870</v>
      </c>
      <c r="E43" s="385">
        <v>24433530</v>
      </c>
      <c r="F43" s="385">
        <v>32364738</v>
      </c>
      <c r="G43" s="385">
        <v>32364738</v>
      </c>
      <c r="H43" s="385">
        <v>32127362</v>
      </c>
      <c r="I43" s="385">
        <v>30832408</v>
      </c>
      <c r="J43" s="385">
        <f>SUM('1. melléklet'!J31)</f>
        <v>15566246</v>
      </c>
      <c r="K43" s="385">
        <f>SUM('1. melléklet'!K31)</f>
        <v>15566246</v>
      </c>
    </row>
    <row r="44" spans="1:11" ht="12.75" customHeight="1" thickBot="1">
      <c r="A44" s="385" t="s">
        <v>126</v>
      </c>
      <c r="B44" s="809"/>
      <c r="C44" s="410" t="s">
        <v>627</v>
      </c>
      <c r="D44" s="411">
        <v>5500</v>
      </c>
      <c r="E44" s="411"/>
      <c r="F44" s="411"/>
      <c r="G44" s="411"/>
      <c r="H44" s="411"/>
      <c r="I44" s="411"/>
      <c r="J44" s="411"/>
      <c r="K44" s="411"/>
    </row>
    <row r="45" spans="1:11" s="68" customFormat="1" ht="21.75" customHeight="1" thickBot="1">
      <c r="A45" s="795" t="s">
        <v>128</v>
      </c>
      <c r="B45" s="810" t="s">
        <v>185</v>
      </c>
      <c r="C45" s="413" t="s">
        <v>13</v>
      </c>
      <c r="D45" s="413">
        <f aca="true" t="shared" si="4" ref="D45:I45">SUM(D43:D44)</f>
        <v>9136370</v>
      </c>
      <c r="E45" s="413">
        <f t="shared" si="4"/>
        <v>24433530</v>
      </c>
      <c r="F45" s="413">
        <f t="shared" si="4"/>
        <v>32364738</v>
      </c>
      <c r="G45" s="413">
        <f t="shared" si="4"/>
        <v>32364738</v>
      </c>
      <c r="H45" s="413">
        <f t="shared" si="4"/>
        <v>32127362</v>
      </c>
      <c r="I45" s="413">
        <f t="shared" si="4"/>
        <v>30832408</v>
      </c>
      <c r="J45" s="413">
        <f>SUM(J43:J44)</f>
        <v>15566246</v>
      </c>
      <c r="K45" s="413">
        <f>SUM(K43:K44)</f>
        <v>15566246</v>
      </c>
    </row>
    <row r="46" spans="1:11" ht="12.75" customHeight="1">
      <c r="A46" s="385" t="s">
        <v>130</v>
      </c>
      <c r="B46" s="811"/>
      <c r="C46" s="412" t="s">
        <v>608</v>
      </c>
      <c r="D46" s="412">
        <v>215603</v>
      </c>
      <c r="E46" s="412">
        <v>200000</v>
      </c>
      <c r="F46" s="412">
        <v>200000</v>
      </c>
      <c r="G46" s="412">
        <v>200000</v>
      </c>
      <c r="H46" s="412">
        <v>478800</v>
      </c>
      <c r="I46" s="412">
        <v>937800</v>
      </c>
      <c r="J46" s="412">
        <v>895220</v>
      </c>
      <c r="K46" s="412">
        <v>895220</v>
      </c>
    </row>
    <row r="47" spans="1:11" s="389" customFormat="1" ht="12.75" customHeight="1">
      <c r="A47" s="409" t="s">
        <v>131</v>
      </c>
      <c r="B47" s="812"/>
      <c r="C47" s="409" t="s">
        <v>628</v>
      </c>
      <c r="D47" s="409"/>
      <c r="E47" s="409"/>
      <c r="F47" s="409"/>
      <c r="G47" s="409"/>
      <c r="H47" s="409"/>
      <c r="I47" s="409"/>
      <c r="J47" s="409"/>
      <c r="K47" s="409"/>
    </row>
    <row r="48" spans="1:11" s="389" customFormat="1" ht="12.75" customHeight="1">
      <c r="A48" s="409" t="s">
        <v>133</v>
      </c>
      <c r="B48" s="812"/>
      <c r="C48" s="409" t="s">
        <v>629</v>
      </c>
      <c r="D48" s="409"/>
      <c r="E48" s="409"/>
      <c r="F48" s="409"/>
      <c r="G48" s="409"/>
      <c r="H48" s="409"/>
      <c r="I48" s="409"/>
      <c r="J48" s="409"/>
      <c r="K48" s="409"/>
    </row>
    <row r="49" spans="1:11" ht="12.75" customHeight="1">
      <c r="A49" s="385" t="s">
        <v>135</v>
      </c>
      <c r="B49" s="808"/>
      <c r="C49" s="385" t="s">
        <v>609</v>
      </c>
      <c r="D49" s="385">
        <v>1291405</v>
      </c>
      <c r="E49" s="385"/>
      <c r="F49" s="385">
        <v>1203259</v>
      </c>
      <c r="G49" s="385">
        <v>1203259</v>
      </c>
      <c r="H49" s="385">
        <v>1398461</v>
      </c>
      <c r="I49" s="385">
        <v>1398461</v>
      </c>
      <c r="J49" s="385">
        <v>1398461</v>
      </c>
      <c r="K49" s="385">
        <v>1398461</v>
      </c>
    </row>
    <row r="50" spans="1:11" s="389" customFormat="1" ht="12.75" customHeight="1" thickBot="1">
      <c r="A50" s="409" t="s">
        <v>137</v>
      </c>
      <c r="B50" s="813"/>
      <c r="C50" s="414" t="s">
        <v>630</v>
      </c>
      <c r="D50" s="414"/>
      <c r="E50" s="414"/>
      <c r="F50" s="414"/>
      <c r="G50" s="414"/>
      <c r="H50" s="414"/>
      <c r="I50" s="414"/>
      <c r="J50" s="414"/>
      <c r="K50" s="414"/>
    </row>
    <row r="51" spans="1:11" s="68" customFormat="1" ht="19.5" customHeight="1" thickBot="1">
      <c r="A51" s="795" t="s">
        <v>139</v>
      </c>
      <c r="B51" s="810" t="s">
        <v>186</v>
      </c>
      <c r="C51" s="413" t="s">
        <v>187</v>
      </c>
      <c r="D51" s="413">
        <f aca="true" t="shared" si="5" ref="D51:I51">SUM(D46+D49)</f>
        <v>1507008</v>
      </c>
      <c r="E51" s="413">
        <f t="shared" si="5"/>
        <v>200000</v>
      </c>
      <c r="F51" s="413">
        <f t="shared" si="5"/>
        <v>1403259</v>
      </c>
      <c r="G51" s="413">
        <f t="shared" si="5"/>
        <v>1403259</v>
      </c>
      <c r="H51" s="413">
        <f t="shared" si="5"/>
        <v>1877261</v>
      </c>
      <c r="I51" s="413">
        <f t="shared" si="5"/>
        <v>2336261</v>
      </c>
      <c r="J51" s="413">
        <f>SUM(J46+J49)</f>
        <v>2293681</v>
      </c>
      <c r="K51" s="413">
        <f>SUM(K46+K49)</f>
        <v>2293681</v>
      </c>
    </row>
    <row r="52" spans="1:11" ht="12.75" customHeight="1">
      <c r="A52" s="385" t="s">
        <v>141</v>
      </c>
      <c r="B52" s="811"/>
      <c r="C52" s="412" t="s">
        <v>610</v>
      </c>
      <c r="D52" s="412">
        <v>800000</v>
      </c>
      <c r="E52" s="412"/>
      <c r="F52" s="412"/>
      <c r="G52" s="412"/>
      <c r="H52" s="412"/>
      <c r="I52" s="412"/>
      <c r="J52" s="412">
        <f>SUM('1. melléklet'!J33)</f>
        <v>3200000</v>
      </c>
      <c r="K52" s="412">
        <f>SUM('1. melléklet'!K33)</f>
        <v>3200000</v>
      </c>
    </row>
    <row r="53" spans="1:11" ht="14.25" customHeight="1" thickBot="1">
      <c r="A53" s="385" t="s">
        <v>143</v>
      </c>
      <c r="B53" s="809"/>
      <c r="C53" s="410" t="s">
        <v>631</v>
      </c>
      <c r="D53" s="411"/>
      <c r="E53" s="411"/>
      <c r="F53" s="411"/>
      <c r="G53" s="411"/>
      <c r="H53" s="411"/>
      <c r="I53" s="411"/>
      <c r="J53" s="411"/>
      <c r="K53" s="411"/>
    </row>
    <row r="54" spans="1:11" s="68" customFormat="1" ht="20.25" customHeight="1" thickBot="1">
      <c r="A54" s="795" t="s">
        <v>145</v>
      </c>
      <c r="B54" s="810" t="s">
        <v>186</v>
      </c>
      <c r="C54" s="413" t="s">
        <v>227</v>
      </c>
      <c r="D54" s="413">
        <f aca="true" t="shared" si="6" ref="D54:I54">SUM(D52)</f>
        <v>800000</v>
      </c>
      <c r="E54" s="413">
        <f t="shared" si="6"/>
        <v>0</v>
      </c>
      <c r="F54" s="413">
        <f t="shared" si="6"/>
        <v>0</v>
      </c>
      <c r="G54" s="413">
        <f t="shared" si="6"/>
        <v>0</v>
      </c>
      <c r="H54" s="413">
        <f t="shared" si="6"/>
        <v>0</v>
      </c>
      <c r="I54" s="413">
        <f t="shared" si="6"/>
        <v>0</v>
      </c>
      <c r="J54" s="413">
        <f>SUM(J52)</f>
        <v>3200000</v>
      </c>
      <c r="K54" s="413">
        <f>SUM(K52)</f>
        <v>3200000</v>
      </c>
    </row>
    <row r="55" spans="1:11" s="63" customFormat="1" ht="25.5">
      <c r="A55" s="407" t="s">
        <v>147</v>
      </c>
      <c r="B55" s="814"/>
      <c r="C55" s="416" t="s">
        <v>634</v>
      </c>
      <c r="D55" s="417"/>
      <c r="E55" s="417"/>
      <c r="F55" s="417"/>
      <c r="G55" s="417"/>
      <c r="H55" s="417"/>
      <c r="I55" s="417"/>
      <c r="J55" s="417"/>
      <c r="K55" s="417"/>
    </row>
    <row r="56" spans="1:11" s="63" customFormat="1" ht="25.5">
      <c r="A56" s="407" t="s">
        <v>149</v>
      </c>
      <c r="B56" s="815"/>
      <c r="C56" s="418" t="s">
        <v>632</v>
      </c>
      <c r="D56" s="408"/>
      <c r="E56" s="408"/>
      <c r="F56" s="408"/>
      <c r="G56" s="408"/>
      <c r="H56" s="408"/>
      <c r="I56" s="408"/>
      <c r="J56" s="408"/>
      <c r="K56" s="408"/>
    </row>
    <row r="57" spans="1:11" ht="17.25" customHeight="1">
      <c r="A57" s="385" t="s">
        <v>151</v>
      </c>
      <c r="B57" s="808"/>
      <c r="C57" s="385" t="s">
        <v>633</v>
      </c>
      <c r="D57" s="385">
        <f aca="true" t="shared" si="7" ref="D57:I57">SUM(D55+D56)</f>
        <v>0</v>
      </c>
      <c r="E57" s="385">
        <f t="shared" si="7"/>
        <v>0</v>
      </c>
      <c r="F57" s="385">
        <f t="shared" si="7"/>
        <v>0</v>
      </c>
      <c r="G57" s="385">
        <f t="shared" si="7"/>
        <v>0</v>
      </c>
      <c r="H57" s="385">
        <f t="shared" si="7"/>
        <v>0</v>
      </c>
      <c r="I57" s="385">
        <f t="shared" si="7"/>
        <v>0</v>
      </c>
      <c r="J57" s="385">
        <f>SUM(J55+J56)</f>
        <v>0</v>
      </c>
      <c r="K57" s="385">
        <f>SUM(K55+K56)</f>
        <v>0</v>
      </c>
    </row>
    <row r="58" spans="1:11" ht="12.75">
      <c r="A58" s="385" t="s">
        <v>207</v>
      </c>
      <c r="B58" s="808"/>
      <c r="C58" s="385" t="s">
        <v>222</v>
      </c>
      <c r="D58" s="385">
        <v>52133712</v>
      </c>
      <c r="E58" s="385">
        <v>729615835</v>
      </c>
      <c r="F58" s="385">
        <v>729615835</v>
      </c>
      <c r="G58" s="385">
        <v>729615835</v>
      </c>
      <c r="H58" s="385">
        <v>729615835</v>
      </c>
      <c r="I58" s="385">
        <v>729615835</v>
      </c>
      <c r="J58" s="385">
        <v>729615835</v>
      </c>
      <c r="K58" s="385">
        <v>729615835</v>
      </c>
    </row>
    <row r="59" spans="1:11" ht="12.75">
      <c r="A59" s="385" t="s">
        <v>209</v>
      </c>
      <c r="B59" s="809"/>
      <c r="C59" s="410" t="s">
        <v>225</v>
      </c>
      <c r="D59" s="410">
        <v>10623632</v>
      </c>
      <c r="E59" s="410">
        <v>6703536</v>
      </c>
      <c r="F59" s="410">
        <v>6703536</v>
      </c>
      <c r="G59" s="410">
        <v>7419080</v>
      </c>
      <c r="H59" s="410">
        <v>8095569</v>
      </c>
      <c r="I59" s="410">
        <v>8679084</v>
      </c>
      <c r="J59" s="410">
        <f>SUM('1. melléklet'!J40)</f>
        <v>9417924</v>
      </c>
      <c r="K59" s="410">
        <f>SUM('1. melléklet'!K40)</f>
        <v>9423918</v>
      </c>
    </row>
    <row r="60" spans="1:11" s="68" customFormat="1" ht="21" customHeight="1">
      <c r="A60" s="795" t="s">
        <v>266</v>
      </c>
      <c r="B60" s="816" t="s">
        <v>188</v>
      </c>
      <c r="C60" s="795" t="s">
        <v>635</v>
      </c>
      <c r="D60" s="795">
        <f aca="true" t="shared" si="8" ref="D60:I60">SUM(D57+D58+D59)</f>
        <v>62757344</v>
      </c>
      <c r="E60" s="795">
        <f t="shared" si="8"/>
        <v>736319371</v>
      </c>
      <c r="F60" s="795">
        <f t="shared" si="8"/>
        <v>736319371</v>
      </c>
      <c r="G60" s="795">
        <f t="shared" si="8"/>
        <v>737034915</v>
      </c>
      <c r="H60" s="795">
        <f t="shared" si="8"/>
        <v>737711404</v>
      </c>
      <c r="I60" s="795">
        <f t="shared" si="8"/>
        <v>738294919</v>
      </c>
      <c r="J60" s="795">
        <f>SUM(J57+J58+J59)</f>
        <v>739033759</v>
      </c>
      <c r="K60" s="795">
        <f>SUM(K57+K58+K59)</f>
        <v>739039753</v>
      </c>
    </row>
    <row r="61" spans="1:11" s="415" customFormat="1" ht="15.75">
      <c r="A61" s="794" t="s">
        <v>210</v>
      </c>
      <c r="B61" s="817"/>
      <c r="C61" s="794" t="s">
        <v>200</v>
      </c>
      <c r="D61" s="794">
        <f aca="true" t="shared" si="9" ref="D61:I61">SUM(D23+D26+D32+D42+D45+D51+D54+D60)</f>
        <v>1199775895</v>
      </c>
      <c r="E61" s="794">
        <f t="shared" si="9"/>
        <v>1156069425</v>
      </c>
      <c r="F61" s="794">
        <f t="shared" si="9"/>
        <v>1168180143</v>
      </c>
      <c r="G61" s="794">
        <f t="shared" si="9"/>
        <v>1169501303</v>
      </c>
      <c r="H61" s="794">
        <f t="shared" si="9"/>
        <v>1172980525</v>
      </c>
      <c r="I61" s="794">
        <f t="shared" si="9"/>
        <v>1180558763</v>
      </c>
      <c r="J61" s="794">
        <f>SUM(J23+J26+J32+J42+J45+J51+J54+J60)</f>
        <v>1217317595</v>
      </c>
      <c r="K61" s="794">
        <f>SUM(K23+K26+K32+K42+K45+K51+K54+K60)</f>
        <v>1217323589</v>
      </c>
    </row>
  </sheetData>
  <sheetProtection/>
  <mergeCells count="7">
    <mergeCell ref="A9:B10"/>
    <mergeCell ref="A3:C3"/>
    <mergeCell ref="A4:C4"/>
    <mergeCell ref="A2:K2"/>
    <mergeCell ref="A5:K6"/>
    <mergeCell ref="A1:K1"/>
    <mergeCell ref="D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IQ119"/>
  <sheetViews>
    <sheetView view="pageBreakPreview" zoomScaleSheetLayoutView="100" zoomScalePageLayoutView="0" workbookViewId="0" topLeftCell="A1">
      <selection activeCell="D3" sqref="D3:H3"/>
    </sheetView>
  </sheetViews>
  <sheetFormatPr defaultColWidth="11.7109375" defaultRowHeight="12.75" customHeight="1"/>
  <cols>
    <col min="1" max="2" width="3.8515625" style="5" customWidth="1"/>
    <col min="3" max="3" width="44.7109375" style="5" customWidth="1"/>
    <col min="4" max="4" width="22.00390625" style="52" customWidth="1"/>
    <col min="5" max="11" width="20.57421875" style="52" customWidth="1"/>
    <col min="12" max="16384" width="11.7109375" style="5" customWidth="1"/>
  </cols>
  <sheetData>
    <row r="1" spans="1:11" s="96" customFormat="1" ht="18" customHeight="1">
      <c r="A1" s="1531" t="s">
        <v>233</v>
      </c>
      <c r="B1" s="1531"/>
      <c r="C1" s="1531"/>
      <c r="D1" s="1531"/>
      <c r="E1" s="1531"/>
      <c r="F1" s="1531"/>
      <c r="G1" s="1531"/>
      <c r="H1" s="1531"/>
      <c r="I1" s="1531"/>
      <c r="J1" s="1531"/>
      <c r="K1" s="1531"/>
    </row>
    <row r="2" spans="1:11" ht="19.5" customHeight="1">
      <c r="A2" s="1550" t="s">
        <v>1226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</row>
    <row r="3" spans="1:11" ht="19.5" customHeight="1">
      <c r="A3" s="1496"/>
      <c r="B3" s="1496"/>
      <c r="C3" s="1496"/>
      <c r="D3" s="1925" t="s">
        <v>1227</v>
      </c>
      <c r="E3" s="1925"/>
      <c r="F3" s="1925"/>
      <c r="G3" s="1925"/>
      <c r="H3" s="1925"/>
      <c r="I3" s="1496"/>
      <c r="J3" s="1496"/>
      <c r="K3" s="1496"/>
    </row>
    <row r="4" spans="1:247" ht="45.75" customHeight="1">
      <c r="A4" s="1549" t="s">
        <v>234</v>
      </c>
      <c r="B4" s="1549"/>
      <c r="C4" s="1549"/>
      <c r="D4" s="1549"/>
      <c r="E4" s="1549"/>
      <c r="F4" s="1549"/>
      <c r="G4" s="1549"/>
      <c r="H4" s="1549"/>
      <c r="I4" s="1549"/>
      <c r="J4" s="1549"/>
      <c r="K4" s="154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2.75" customHeight="1">
      <c r="A5" s="1551" t="s">
        <v>1005</v>
      </c>
      <c r="B5" s="1551"/>
      <c r="C5" s="1551"/>
      <c r="D5" s="1551"/>
      <c r="E5" s="1551"/>
      <c r="F5" s="1551"/>
      <c r="G5" s="1551"/>
      <c r="H5" s="1551"/>
      <c r="I5" s="1551"/>
      <c r="J5" s="1551"/>
      <c r="K5" s="155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2.75" customHeight="1">
      <c r="A6" s="1095"/>
      <c r="B6" s="1095"/>
      <c r="C6" s="1095"/>
      <c r="D6" s="1095"/>
      <c r="E6" s="1095"/>
      <c r="F6" s="1095"/>
      <c r="G6" s="1095"/>
      <c r="H6" s="1095"/>
      <c r="I6" s="1095"/>
      <c r="J6" s="1095"/>
      <c r="K6" s="109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5.75" customHeight="1" thickBot="1">
      <c r="A7" s="1544" t="s">
        <v>235</v>
      </c>
      <c r="B7" s="1544"/>
      <c r="C7" s="1544"/>
      <c r="D7" s="1101"/>
      <c r="E7" s="1101"/>
      <c r="F7" s="1101"/>
      <c r="G7" s="1101"/>
      <c r="H7" s="1101"/>
      <c r="I7" s="1101"/>
      <c r="J7" s="1101"/>
      <c r="K7" s="1101" t="s">
        <v>216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7" customHeight="1">
      <c r="A8" s="1540" t="s">
        <v>156</v>
      </c>
      <c r="B8" s="1541"/>
      <c r="C8" s="447" t="s">
        <v>157</v>
      </c>
      <c r="D8" s="448" t="s">
        <v>158</v>
      </c>
      <c r="E8" s="448" t="s">
        <v>1002</v>
      </c>
      <c r="F8" s="448" t="s">
        <v>1070</v>
      </c>
      <c r="G8" s="448" t="s">
        <v>1131</v>
      </c>
      <c r="H8" s="448" t="s">
        <v>1141</v>
      </c>
      <c r="I8" s="448" t="s">
        <v>1148</v>
      </c>
      <c r="J8" s="448" t="s">
        <v>1158</v>
      </c>
      <c r="K8" s="448" t="s">
        <v>1181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12.75" customHeight="1" thickBot="1">
      <c r="A9" s="1542"/>
      <c r="B9" s="1543"/>
      <c r="C9" s="449" t="s">
        <v>159</v>
      </c>
      <c r="D9" s="450" t="s">
        <v>160</v>
      </c>
      <c r="E9" s="450" t="s">
        <v>161</v>
      </c>
      <c r="F9" s="450" t="s">
        <v>162</v>
      </c>
      <c r="G9" s="450" t="s">
        <v>479</v>
      </c>
      <c r="H9" s="450" t="s">
        <v>499</v>
      </c>
      <c r="I9" s="450" t="s">
        <v>745</v>
      </c>
      <c r="J9" s="450" t="s">
        <v>826</v>
      </c>
      <c r="K9" s="450" t="s">
        <v>830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389" customFormat="1" ht="23.25" customHeight="1">
      <c r="A10" s="443" t="s">
        <v>38</v>
      </c>
      <c r="B10" s="444"/>
      <c r="C10" s="445" t="s">
        <v>601</v>
      </c>
      <c r="D10" s="446">
        <v>61362783</v>
      </c>
      <c r="E10" s="446">
        <v>58148665</v>
      </c>
      <c r="F10" s="446">
        <v>58203565</v>
      </c>
      <c r="G10" s="446">
        <v>58148665</v>
      </c>
      <c r="H10" s="446">
        <v>58148665</v>
      </c>
      <c r="I10" s="446">
        <v>58148665</v>
      </c>
      <c r="J10" s="446">
        <f>SUM('19 önkormányzat'!K9)</f>
        <v>58211337</v>
      </c>
      <c r="K10" s="446">
        <f>SUM('19 önkormányzat'!L9)</f>
        <v>58211337</v>
      </c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  <c r="DG10" s="366"/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  <c r="DR10" s="366"/>
      <c r="DS10" s="366"/>
      <c r="DT10" s="366"/>
      <c r="DU10" s="366"/>
      <c r="DV10" s="366"/>
      <c r="DW10" s="366"/>
      <c r="DX10" s="366"/>
      <c r="DY10" s="366"/>
      <c r="DZ10" s="366"/>
      <c r="EA10" s="366"/>
      <c r="EB10" s="366"/>
      <c r="EC10" s="366"/>
      <c r="ED10" s="366"/>
      <c r="EE10" s="366"/>
      <c r="EF10" s="366"/>
      <c r="EG10" s="366"/>
      <c r="EH10" s="366"/>
      <c r="EI10" s="366"/>
      <c r="EJ10" s="366"/>
      <c r="EK10" s="366"/>
      <c r="EL10" s="366"/>
      <c r="EM10" s="366"/>
      <c r="EN10" s="366"/>
      <c r="EO10" s="366"/>
      <c r="EP10" s="366"/>
      <c r="EQ10" s="366"/>
      <c r="ER10" s="366"/>
      <c r="ES10" s="366"/>
      <c r="ET10" s="366"/>
      <c r="EU10" s="366"/>
      <c r="EV10" s="366"/>
      <c r="EW10" s="366"/>
      <c r="EX10" s="366"/>
      <c r="EY10" s="366"/>
      <c r="EZ10" s="366"/>
      <c r="FA10" s="366"/>
      <c r="FB10" s="366"/>
      <c r="FC10" s="366"/>
      <c r="FD10" s="366"/>
      <c r="FE10" s="366"/>
      <c r="FF10" s="366"/>
      <c r="FG10" s="366"/>
      <c r="FH10" s="366"/>
      <c r="FI10" s="366"/>
      <c r="FJ10" s="366"/>
      <c r="FK10" s="366"/>
      <c r="FL10" s="366"/>
      <c r="FM10" s="366"/>
      <c r="FN10" s="366"/>
      <c r="FO10" s="366"/>
      <c r="FP10" s="366"/>
      <c r="FQ10" s="366"/>
      <c r="FR10" s="366"/>
      <c r="FS10" s="366"/>
      <c r="FT10" s="366"/>
      <c r="FU10" s="366"/>
      <c r="FV10" s="366"/>
      <c r="FW10" s="366"/>
      <c r="FX10" s="366"/>
      <c r="FY10" s="366"/>
      <c r="FZ10" s="366"/>
      <c r="GA10" s="366"/>
      <c r="GB10" s="366"/>
      <c r="GC10" s="366"/>
      <c r="GD10" s="366"/>
      <c r="GE10" s="366"/>
      <c r="GF10" s="366"/>
      <c r="GG10" s="366"/>
      <c r="GH10" s="366"/>
      <c r="GI10" s="366"/>
      <c r="GJ10" s="366"/>
      <c r="GK10" s="366"/>
      <c r="GL10" s="366"/>
      <c r="GM10" s="366"/>
      <c r="GN10" s="366"/>
      <c r="GO10" s="366"/>
      <c r="GP10" s="366"/>
      <c r="GQ10" s="366"/>
      <c r="GR10" s="366"/>
      <c r="GS10" s="366"/>
      <c r="GT10" s="366"/>
      <c r="GU10" s="366"/>
      <c r="GV10" s="366"/>
      <c r="GW10" s="366"/>
      <c r="GX10" s="366"/>
      <c r="GY10" s="366"/>
      <c r="GZ10" s="366"/>
      <c r="HA10" s="366"/>
      <c r="HB10" s="366"/>
      <c r="HC10" s="366"/>
      <c r="HD10" s="366"/>
      <c r="HE10" s="366"/>
      <c r="HF10" s="366"/>
      <c r="HG10" s="366"/>
      <c r="HH10" s="366"/>
      <c r="HI10" s="366"/>
      <c r="HJ10" s="366"/>
      <c r="HK10" s="366"/>
      <c r="HL10" s="366"/>
      <c r="HM10" s="366"/>
      <c r="HN10" s="366"/>
      <c r="HO10" s="366"/>
      <c r="HP10" s="366"/>
      <c r="HQ10" s="366"/>
      <c r="HR10" s="366"/>
      <c r="HS10" s="366"/>
      <c r="HT10" s="366"/>
      <c r="HU10" s="366"/>
      <c r="HV10" s="366"/>
      <c r="HW10" s="366"/>
      <c r="HX10" s="366"/>
      <c r="HY10" s="366"/>
      <c r="HZ10" s="366"/>
      <c r="IA10" s="366"/>
      <c r="IB10" s="366"/>
      <c r="IC10" s="366"/>
      <c r="ID10" s="366"/>
      <c r="IE10" s="366"/>
      <c r="IF10" s="366"/>
      <c r="IG10" s="366"/>
      <c r="IH10" s="366"/>
      <c r="II10" s="366"/>
      <c r="IJ10" s="366"/>
      <c r="IK10" s="366"/>
      <c r="IL10" s="366"/>
      <c r="IM10" s="366"/>
    </row>
    <row r="11" spans="1:247" s="389" customFormat="1" ht="27.75" customHeight="1">
      <c r="A11" s="438" t="s">
        <v>40</v>
      </c>
      <c r="B11" s="439"/>
      <c r="C11" s="440" t="s">
        <v>602</v>
      </c>
      <c r="D11" s="446">
        <v>71201042</v>
      </c>
      <c r="E11" s="446">
        <v>69694818</v>
      </c>
      <c r="F11" s="446">
        <v>69694818</v>
      </c>
      <c r="G11" s="446">
        <v>69694818</v>
      </c>
      <c r="H11" s="446">
        <v>69694818</v>
      </c>
      <c r="I11" s="446">
        <v>69694818</v>
      </c>
      <c r="J11" s="446">
        <f>SUM('19 önkormányzat'!K10)</f>
        <v>71893151</v>
      </c>
      <c r="K11" s="446">
        <f>SUM('19 önkormányzat'!L10)</f>
        <v>71893151</v>
      </c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366"/>
      <c r="DA11" s="366"/>
      <c r="DB11" s="366"/>
      <c r="DC11" s="366"/>
      <c r="DD11" s="366"/>
      <c r="DE11" s="366"/>
      <c r="DF11" s="366"/>
      <c r="DG11" s="366"/>
      <c r="DH11" s="366"/>
      <c r="DI11" s="366"/>
      <c r="DJ11" s="366"/>
      <c r="DK11" s="366"/>
      <c r="DL11" s="366"/>
      <c r="DM11" s="366"/>
      <c r="DN11" s="366"/>
      <c r="DO11" s="366"/>
      <c r="DP11" s="366"/>
      <c r="DQ11" s="366"/>
      <c r="DR11" s="366"/>
      <c r="DS11" s="366"/>
      <c r="DT11" s="366"/>
      <c r="DU11" s="366"/>
      <c r="DV11" s="366"/>
      <c r="DW11" s="366"/>
      <c r="DX11" s="366"/>
      <c r="DY11" s="366"/>
      <c r="DZ11" s="366"/>
      <c r="EA11" s="366"/>
      <c r="EB11" s="366"/>
      <c r="EC11" s="366"/>
      <c r="ED11" s="366"/>
      <c r="EE11" s="366"/>
      <c r="EF11" s="366"/>
      <c r="EG11" s="366"/>
      <c r="EH11" s="366"/>
      <c r="EI11" s="366"/>
      <c r="EJ11" s="366"/>
      <c r="EK11" s="366"/>
      <c r="EL11" s="366"/>
      <c r="EM11" s="366"/>
      <c r="EN11" s="366"/>
      <c r="EO11" s="366"/>
      <c r="EP11" s="366"/>
      <c r="EQ11" s="366"/>
      <c r="ER11" s="366"/>
      <c r="ES11" s="366"/>
      <c r="ET11" s="366"/>
      <c r="EU11" s="366"/>
      <c r="EV11" s="366"/>
      <c r="EW11" s="366"/>
      <c r="EX11" s="366"/>
      <c r="EY11" s="366"/>
      <c r="EZ11" s="366"/>
      <c r="FA11" s="366"/>
      <c r="FB11" s="366"/>
      <c r="FC11" s="366"/>
      <c r="FD11" s="366"/>
      <c r="FE11" s="366"/>
      <c r="FF11" s="366"/>
      <c r="FG11" s="366"/>
      <c r="FH11" s="366"/>
      <c r="FI11" s="366"/>
      <c r="FJ11" s="366"/>
      <c r="FK11" s="366"/>
      <c r="FL11" s="366"/>
      <c r="FM11" s="366"/>
      <c r="FN11" s="366"/>
      <c r="FO11" s="366"/>
      <c r="FP11" s="366"/>
      <c r="FQ11" s="366"/>
      <c r="FR11" s="366"/>
      <c r="FS11" s="366"/>
      <c r="FT11" s="366"/>
      <c r="FU11" s="366"/>
      <c r="FV11" s="366"/>
      <c r="FW11" s="366"/>
      <c r="FX11" s="366"/>
      <c r="FY11" s="366"/>
      <c r="FZ11" s="366"/>
      <c r="GA11" s="366"/>
      <c r="GB11" s="366"/>
      <c r="GC11" s="366"/>
      <c r="GD11" s="366"/>
      <c r="GE11" s="366"/>
      <c r="GF11" s="366"/>
      <c r="GG11" s="366"/>
      <c r="GH11" s="366"/>
      <c r="GI11" s="366"/>
      <c r="GJ11" s="366"/>
      <c r="GK11" s="366"/>
      <c r="GL11" s="366"/>
      <c r="GM11" s="366"/>
      <c r="GN11" s="366"/>
      <c r="GO11" s="366"/>
      <c r="GP11" s="366"/>
      <c r="GQ11" s="366"/>
      <c r="GR11" s="366"/>
      <c r="GS11" s="366"/>
      <c r="GT11" s="366"/>
      <c r="GU11" s="366"/>
      <c r="GV11" s="366"/>
      <c r="GW11" s="366"/>
      <c r="GX11" s="366"/>
      <c r="GY11" s="366"/>
      <c r="GZ11" s="366"/>
      <c r="HA11" s="366"/>
      <c r="HB11" s="366"/>
      <c r="HC11" s="366"/>
      <c r="HD11" s="366"/>
      <c r="HE11" s="366"/>
      <c r="HF11" s="366"/>
      <c r="HG11" s="366"/>
      <c r="HH11" s="366"/>
      <c r="HI11" s="366"/>
      <c r="HJ11" s="366"/>
      <c r="HK11" s="366"/>
      <c r="HL11" s="366"/>
      <c r="HM11" s="366"/>
      <c r="HN11" s="366"/>
      <c r="HO11" s="366"/>
      <c r="HP11" s="366"/>
      <c r="HQ11" s="366"/>
      <c r="HR11" s="366"/>
      <c r="HS11" s="366"/>
      <c r="HT11" s="366"/>
      <c r="HU11" s="366"/>
      <c r="HV11" s="366"/>
      <c r="HW11" s="366"/>
      <c r="HX11" s="366"/>
      <c r="HY11" s="366"/>
      <c r="HZ11" s="366"/>
      <c r="IA11" s="366"/>
      <c r="IB11" s="366"/>
      <c r="IC11" s="366"/>
      <c r="ID11" s="366"/>
      <c r="IE11" s="366"/>
      <c r="IF11" s="366"/>
      <c r="IG11" s="366"/>
      <c r="IH11" s="366"/>
      <c r="II11" s="366"/>
      <c r="IJ11" s="366"/>
      <c r="IK11" s="366"/>
      <c r="IL11" s="366"/>
      <c r="IM11" s="366"/>
    </row>
    <row r="12" spans="1:247" s="389" customFormat="1" ht="29.25" customHeight="1">
      <c r="A12" s="438" t="s">
        <v>47</v>
      </c>
      <c r="B12" s="439"/>
      <c r="C12" s="440" t="s">
        <v>623</v>
      </c>
      <c r="D12" s="446">
        <v>58979458</v>
      </c>
      <c r="E12" s="446">
        <v>60996421</v>
      </c>
      <c r="F12" s="446">
        <v>62478972</v>
      </c>
      <c r="G12" s="446">
        <v>62478972</v>
      </c>
      <c r="H12" s="446">
        <v>62478972</v>
      </c>
      <c r="I12" s="446">
        <v>62478972</v>
      </c>
      <c r="J12" s="446">
        <f>SUM('19 önkormányzat'!K11)</f>
        <v>66041405</v>
      </c>
      <c r="K12" s="446">
        <f>SUM('19 önkormányzat'!L11)</f>
        <v>66041405</v>
      </c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/>
      <c r="CC12" s="366"/>
      <c r="CD12" s="366"/>
      <c r="CE12" s="366"/>
      <c r="CF12" s="366"/>
      <c r="CG12" s="366"/>
      <c r="CH12" s="366"/>
      <c r="CI12" s="366"/>
      <c r="CJ12" s="366"/>
      <c r="CK12" s="366"/>
      <c r="CL12" s="366"/>
      <c r="CM12" s="366"/>
      <c r="CN12" s="366"/>
      <c r="CO12" s="366"/>
      <c r="CP12" s="366"/>
      <c r="CQ12" s="366"/>
      <c r="CR12" s="366"/>
      <c r="CS12" s="366"/>
      <c r="CT12" s="366"/>
      <c r="CU12" s="366"/>
      <c r="CV12" s="366"/>
      <c r="CW12" s="366"/>
      <c r="CX12" s="366"/>
      <c r="CY12" s="366"/>
      <c r="CZ12" s="366"/>
      <c r="DA12" s="366"/>
      <c r="DB12" s="366"/>
      <c r="DC12" s="366"/>
      <c r="DD12" s="366"/>
      <c r="DE12" s="366"/>
      <c r="DF12" s="366"/>
      <c r="DG12" s="366"/>
      <c r="DH12" s="366"/>
      <c r="DI12" s="366"/>
      <c r="DJ12" s="366"/>
      <c r="DK12" s="366"/>
      <c r="DL12" s="366"/>
      <c r="DM12" s="366"/>
      <c r="DN12" s="366"/>
      <c r="DO12" s="366"/>
      <c r="DP12" s="366"/>
      <c r="DQ12" s="366"/>
      <c r="DR12" s="366"/>
      <c r="DS12" s="366"/>
      <c r="DT12" s="366"/>
      <c r="DU12" s="366"/>
      <c r="DV12" s="366"/>
      <c r="DW12" s="366"/>
      <c r="DX12" s="366"/>
      <c r="DY12" s="366"/>
      <c r="DZ12" s="366"/>
      <c r="EA12" s="366"/>
      <c r="EB12" s="366"/>
      <c r="EC12" s="366"/>
      <c r="ED12" s="366"/>
      <c r="EE12" s="366"/>
      <c r="EF12" s="366"/>
      <c r="EG12" s="366"/>
      <c r="EH12" s="366"/>
      <c r="EI12" s="366"/>
      <c r="EJ12" s="366"/>
      <c r="EK12" s="366"/>
      <c r="EL12" s="366"/>
      <c r="EM12" s="366"/>
      <c r="EN12" s="366"/>
      <c r="EO12" s="366"/>
      <c r="EP12" s="366"/>
      <c r="EQ12" s="366"/>
      <c r="ER12" s="366"/>
      <c r="ES12" s="366"/>
      <c r="ET12" s="366"/>
      <c r="EU12" s="366"/>
      <c r="EV12" s="366"/>
      <c r="EW12" s="366"/>
      <c r="EX12" s="366"/>
      <c r="EY12" s="366"/>
      <c r="EZ12" s="366"/>
      <c r="FA12" s="366"/>
      <c r="FB12" s="366"/>
      <c r="FC12" s="366"/>
      <c r="FD12" s="366"/>
      <c r="FE12" s="366"/>
      <c r="FF12" s="366"/>
      <c r="FG12" s="366"/>
      <c r="FH12" s="366"/>
      <c r="FI12" s="366"/>
      <c r="FJ12" s="366"/>
      <c r="FK12" s="366"/>
      <c r="FL12" s="366"/>
      <c r="FM12" s="366"/>
      <c r="FN12" s="366"/>
      <c r="FO12" s="366"/>
      <c r="FP12" s="366"/>
      <c r="FQ12" s="366"/>
      <c r="FR12" s="366"/>
      <c r="FS12" s="366"/>
      <c r="FT12" s="366"/>
      <c r="FU12" s="366"/>
      <c r="FV12" s="366"/>
      <c r="FW12" s="366"/>
      <c r="FX12" s="366"/>
      <c r="FY12" s="366"/>
      <c r="FZ12" s="366"/>
      <c r="GA12" s="366"/>
      <c r="GB12" s="366"/>
      <c r="GC12" s="366"/>
      <c r="GD12" s="366"/>
      <c r="GE12" s="366"/>
      <c r="GF12" s="366"/>
      <c r="GG12" s="366"/>
      <c r="GH12" s="366"/>
      <c r="GI12" s="366"/>
      <c r="GJ12" s="366"/>
      <c r="GK12" s="366"/>
      <c r="GL12" s="366"/>
      <c r="GM12" s="366"/>
      <c r="GN12" s="366"/>
      <c r="GO12" s="366"/>
      <c r="GP12" s="366"/>
      <c r="GQ12" s="366"/>
      <c r="GR12" s="366"/>
      <c r="GS12" s="366"/>
      <c r="GT12" s="366"/>
      <c r="GU12" s="366"/>
      <c r="GV12" s="366"/>
      <c r="GW12" s="366"/>
      <c r="GX12" s="366"/>
      <c r="GY12" s="366"/>
      <c r="GZ12" s="366"/>
      <c r="HA12" s="366"/>
      <c r="HB12" s="366"/>
      <c r="HC12" s="366"/>
      <c r="HD12" s="366"/>
      <c r="HE12" s="366"/>
      <c r="HF12" s="366"/>
      <c r="HG12" s="366"/>
      <c r="HH12" s="366"/>
      <c r="HI12" s="366"/>
      <c r="HJ12" s="366"/>
      <c r="HK12" s="366"/>
      <c r="HL12" s="366"/>
      <c r="HM12" s="366"/>
      <c r="HN12" s="366"/>
      <c r="HO12" s="366"/>
      <c r="HP12" s="366"/>
      <c r="HQ12" s="366"/>
      <c r="HR12" s="366"/>
      <c r="HS12" s="366"/>
      <c r="HT12" s="366"/>
      <c r="HU12" s="366"/>
      <c r="HV12" s="366"/>
      <c r="HW12" s="366"/>
      <c r="HX12" s="366"/>
      <c r="HY12" s="366"/>
      <c r="HZ12" s="366"/>
      <c r="IA12" s="366"/>
      <c r="IB12" s="366"/>
      <c r="IC12" s="366"/>
      <c r="ID12" s="366"/>
      <c r="IE12" s="366"/>
      <c r="IF12" s="366"/>
      <c r="IG12" s="366"/>
      <c r="IH12" s="366"/>
      <c r="II12" s="366"/>
      <c r="IJ12" s="366"/>
      <c r="IK12" s="366"/>
      <c r="IL12" s="366"/>
      <c r="IM12" s="366"/>
    </row>
    <row r="13" spans="1:247" s="389" customFormat="1" ht="24" customHeight="1">
      <c r="A13" s="438" t="s">
        <v>49</v>
      </c>
      <c r="B13" s="439"/>
      <c r="C13" s="440" t="s">
        <v>603</v>
      </c>
      <c r="D13" s="446">
        <v>4769156</v>
      </c>
      <c r="E13" s="446">
        <v>4261620</v>
      </c>
      <c r="F13" s="446">
        <v>4261620</v>
      </c>
      <c r="G13" s="446">
        <v>4261620</v>
      </c>
      <c r="H13" s="446">
        <v>4261620</v>
      </c>
      <c r="I13" s="446">
        <v>4261620</v>
      </c>
      <c r="J13" s="446">
        <f>SUM('19 önkormányzat'!K12)</f>
        <v>4760778</v>
      </c>
      <c r="K13" s="446">
        <f>SUM('19 önkormányzat'!L12)</f>
        <v>4760778</v>
      </c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/>
      <c r="DH13" s="366"/>
      <c r="DI13" s="366"/>
      <c r="DJ13" s="366"/>
      <c r="DK13" s="366"/>
      <c r="DL13" s="366"/>
      <c r="DM13" s="366"/>
      <c r="DN13" s="366"/>
      <c r="DO13" s="366"/>
      <c r="DP13" s="366"/>
      <c r="DQ13" s="366"/>
      <c r="DR13" s="366"/>
      <c r="DS13" s="366"/>
      <c r="DT13" s="366"/>
      <c r="DU13" s="366"/>
      <c r="DV13" s="366"/>
      <c r="DW13" s="366"/>
      <c r="DX13" s="366"/>
      <c r="DY13" s="366"/>
      <c r="DZ13" s="366"/>
      <c r="EA13" s="366"/>
      <c r="EB13" s="366"/>
      <c r="EC13" s="366"/>
      <c r="ED13" s="366"/>
      <c r="EE13" s="366"/>
      <c r="EF13" s="366"/>
      <c r="EG13" s="366"/>
      <c r="EH13" s="366"/>
      <c r="EI13" s="366"/>
      <c r="EJ13" s="366"/>
      <c r="EK13" s="366"/>
      <c r="EL13" s="366"/>
      <c r="EM13" s="366"/>
      <c r="EN13" s="366"/>
      <c r="EO13" s="366"/>
      <c r="EP13" s="366"/>
      <c r="EQ13" s="366"/>
      <c r="ER13" s="366"/>
      <c r="ES13" s="366"/>
      <c r="ET13" s="366"/>
      <c r="EU13" s="366"/>
      <c r="EV13" s="366"/>
      <c r="EW13" s="366"/>
      <c r="EX13" s="366"/>
      <c r="EY13" s="366"/>
      <c r="EZ13" s="366"/>
      <c r="FA13" s="366"/>
      <c r="FB13" s="366"/>
      <c r="FC13" s="366"/>
      <c r="FD13" s="366"/>
      <c r="FE13" s="366"/>
      <c r="FF13" s="366"/>
      <c r="FG13" s="366"/>
      <c r="FH13" s="366"/>
      <c r="FI13" s="366"/>
      <c r="FJ13" s="366"/>
      <c r="FK13" s="366"/>
      <c r="FL13" s="366"/>
      <c r="FM13" s="366"/>
      <c r="FN13" s="366"/>
      <c r="FO13" s="366"/>
      <c r="FP13" s="366"/>
      <c r="FQ13" s="366"/>
      <c r="FR13" s="366"/>
      <c r="FS13" s="366"/>
      <c r="FT13" s="366"/>
      <c r="FU13" s="366"/>
      <c r="FV13" s="366"/>
      <c r="FW13" s="366"/>
      <c r="FX13" s="366"/>
      <c r="FY13" s="366"/>
      <c r="FZ13" s="366"/>
      <c r="GA13" s="366"/>
      <c r="GB13" s="366"/>
      <c r="GC13" s="366"/>
      <c r="GD13" s="366"/>
      <c r="GE13" s="366"/>
      <c r="GF13" s="366"/>
      <c r="GG13" s="366"/>
      <c r="GH13" s="366"/>
      <c r="GI13" s="366"/>
      <c r="GJ13" s="366"/>
      <c r="GK13" s="366"/>
      <c r="GL13" s="366"/>
      <c r="GM13" s="366"/>
      <c r="GN13" s="366"/>
      <c r="GO13" s="366"/>
      <c r="GP13" s="366"/>
      <c r="GQ13" s="366"/>
      <c r="GR13" s="366"/>
      <c r="GS13" s="366"/>
      <c r="GT13" s="366"/>
      <c r="GU13" s="366"/>
      <c r="GV13" s="366"/>
      <c r="GW13" s="366"/>
      <c r="GX13" s="366"/>
      <c r="GY13" s="366"/>
      <c r="GZ13" s="366"/>
      <c r="HA13" s="366"/>
      <c r="HB13" s="366"/>
      <c r="HC13" s="366"/>
      <c r="HD13" s="366"/>
      <c r="HE13" s="366"/>
      <c r="HF13" s="366"/>
      <c r="HG13" s="366"/>
      <c r="HH13" s="366"/>
      <c r="HI13" s="366"/>
      <c r="HJ13" s="366"/>
      <c r="HK13" s="366"/>
      <c r="HL13" s="366"/>
      <c r="HM13" s="366"/>
      <c r="HN13" s="366"/>
      <c r="HO13" s="366"/>
      <c r="HP13" s="366"/>
      <c r="HQ13" s="366"/>
      <c r="HR13" s="366"/>
      <c r="HS13" s="366"/>
      <c r="HT13" s="366"/>
      <c r="HU13" s="366"/>
      <c r="HV13" s="366"/>
      <c r="HW13" s="366"/>
      <c r="HX13" s="366"/>
      <c r="HY13" s="366"/>
      <c r="HZ13" s="366"/>
      <c r="IA13" s="366"/>
      <c r="IB13" s="366"/>
      <c r="IC13" s="366"/>
      <c r="ID13" s="366"/>
      <c r="IE13" s="366"/>
      <c r="IF13" s="366"/>
      <c r="IG13" s="366"/>
      <c r="IH13" s="366"/>
      <c r="II13" s="366"/>
      <c r="IJ13" s="366"/>
      <c r="IK13" s="366"/>
      <c r="IL13" s="366"/>
      <c r="IM13" s="366"/>
    </row>
    <row r="14" spans="1:247" s="389" customFormat="1" ht="22.5" customHeight="1">
      <c r="A14" s="438" t="s">
        <v>51</v>
      </c>
      <c r="B14" s="439"/>
      <c r="C14" s="440" t="s">
        <v>604</v>
      </c>
      <c r="D14" s="446">
        <v>6598590</v>
      </c>
      <c r="E14" s="446"/>
      <c r="F14" s="446">
        <v>620800</v>
      </c>
      <c r="G14" s="446">
        <v>1226416</v>
      </c>
      <c r="H14" s="446">
        <v>1286490</v>
      </c>
      <c r="I14" s="446">
        <v>2126602</v>
      </c>
      <c r="J14" s="446">
        <f>SUM('19 önkormányzat'!K13)</f>
        <v>2961270</v>
      </c>
      <c r="K14" s="446">
        <f>SUM('19 önkormányzat'!L13)</f>
        <v>2961270</v>
      </c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/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6"/>
      <c r="DE14" s="366"/>
      <c r="DF14" s="366"/>
      <c r="DG14" s="366"/>
      <c r="DH14" s="366"/>
      <c r="DI14" s="366"/>
      <c r="DJ14" s="366"/>
      <c r="DK14" s="366"/>
      <c r="DL14" s="366"/>
      <c r="DM14" s="366"/>
      <c r="DN14" s="366"/>
      <c r="DO14" s="366"/>
      <c r="DP14" s="366"/>
      <c r="DQ14" s="366"/>
      <c r="DR14" s="366"/>
      <c r="DS14" s="366"/>
      <c r="DT14" s="366"/>
      <c r="DU14" s="366"/>
      <c r="DV14" s="366"/>
      <c r="DW14" s="366"/>
      <c r="DX14" s="366"/>
      <c r="DY14" s="366"/>
      <c r="DZ14" s="366"/>
      <c r="EA14" s="366"/>
      <c r="EB14" s="366"/>
      <c r="EC14" s="366"/>
      <c r="ED14" s="366"/>
      <c r="EE14" s="366"/>
      <c r="EF14" s="366"/>
      <c r="EG14" s="366"/>
      <c r="EH14" s="366"/>
      <c r="EI14" s="366"/>
      <c r="EJ14" s="366"/>
      <c r="EK14" s="366"/>
      <c r="EL14" s="366"/>
      <c r="EM14" s="366"/>
      <c r="EN14" s="366"/>
      <c r="EO14" s="366"/>
      <c r="EP14" s="366"/>
      <c r="EQ14" s="366"/>
      <c r="ER14" s="366"/>
      <c r="ES14" s="366"/>
      <c r="ET14" s="366"/>
      <c r="EU14" s="366"/>
      <c r="EV14" s="366"/>
      <c r="EW14" s="366"/>
      <c r="EX14" s="366"/>
      <c r="EY14" s="366"/>
      <c r="EZ14" s="366"/>
      <c r="FA14" s="366"/>
      <c r="FB14" s="366"/>
      <c r="FC14" s="366"/>
      <c r="FD14" s="366"/>
      <c r="FE14" s="366"/>
      <c r="FF14" s="366"/>
      <c r="FG14" s="366"/>
      <c r="FH14" s="366"/>
      <c r="FI14" s="366"/>
      <c r="FJ14" s="366"/>
      <c r="FK14" s="366"/>
      <c r="FL14" s="366"/>
      <c r="FM14" s="366"/>
      <c r="FN14" s="366"/>
      <c r="FO14" s="366"/>
      <c r="FP14" s="366"/>
      <c r="FQ14" s="366"/>
      <c r="FR14" s="366"/>
      <c r="FS14" s="366"/>
      <c r="FT14" s="366"/>
      <c r="FU14" s="366"/>
      <c r="FV14" s="366"/>
      <c r="FW14" s="366"/>
      <c r="FX14" s="366"/>
      <c r="FY14" s="366"/>
      <c r="FZ14" s="366"/>
      <c r="GA14" s="366"/>
      <c r="GB14" s="366"/>
      <c r="GC14" s="366"/>
      <c r="GD14" s="366"/>
      <c r="GE14" s="366"/>
      <c r="GF14" s="366"/>
      <c r="GG14" s="366"/>
      <c r="GH14" s="366"/>
      <c r="GI14" s="366"/>
      <c r="GJ14" s="366"/>
      <c r="GK14" s="366"/>
      <c r="GL14" s="366"/>
      <c r="GM14" s="366"/>
      <c r="GN14" s="366"/>
      <c r="GO14" s="366"/>
      <c r="GP14" s="366"/>
      <c r="GQ14" s="366"/>
      <c r="GR14" s="366"/>
      <c r="GS14" s="366"/>
      <c r="GT14" s="366"/>
      <c r="GU14" s="366"/>
      <c r="GV14" s="366"/>
      <c r="GW14" s="366"/>
      <c r="GX14" s="366"/>
      <c r="GY14" s="366"/>
      <c r="GZ14" s="366"/>
      <c r="HA14" s="366"/>
      <c r="HB14" s="366"/>
      <c r="HC14" s="366"/>
      <c r="HD14" s="366"/>
      <c r="HE14" s="366"/>
      <c r="HF14" s="366"/>
      <c r="HG14" s="366"/>
      <c r="HH14" s="366"/>
      <c r="HI14" s="366"/>
      <c r="HJ14" s="366"/>
      <c r="HK14" s="366"/>
      <c r="HL14" s="366"/>
      <c r="HM14" s="366"/>
      <c r="HN14" s="366"/>
      <c r="HO14" s="366"/>
      <c r="HP14" s="366"/>
      <c r="HQ14" s="366"/>
      <c r="HR14" s="366"/>
      <c r="HS14" s="366"/>
      <c r="HT14" s="366"/>
      <c r="HU14" s="366"/>
      <c r="HV14" s="366"/>
      <c r="HW14" s="366"/>
      <c r="HX14" s="366"/>
      <c r="HY14" s="366"/>
      <c r="HZ14" s="366"/>
      <c r="IA14" s="366"/>
      <c r="IB14" s="366"/>
      <c r="IC14" s="366"/>
      <c r="ID14" s="366"/>
      <c r="IE14" s="366"/>
      <c r="IF14" s="366"/>
      <c r="IG14" s="366"/>
      <c r="IH14" s="366"/>
      <c r="II14" s="366"/>
      <c r="IJ14" s="366"/>
      <c r="IK14" s="366"/>
      <c r="IL14" s="366"/>
      <c r="IM14" s="366"/>
    </row>
    <row r="15" spans="1:247" s="389" customFormat="1" ht="12.75" customHeight="1">
      <c r="A15" s="438" t="s">
        <v>53</v>
      </c>
      <c r="B15" s="439"/>
      <c r="C15" s="440" t="s">
        <v>605</v>
      </c>
      <c r="D15" s="446">
        <v>5065640</v>
      </c>
      <c r="E15" s="446"/>
      <c r="F15" s="446"/>
      <c r="G15" s="446">
        <v>54900</v>
      </c>
      <c r="H15" s="446">
        <v>54900</v>
      </c>
      <c r="I15" s="446">
        <v>270530</v>
      </c>
      <c r="J15" s="446">
        <f>SUM('19 önkormányzat'!K14)</f>
        <v>270530</v>
      </c>
      <c r="K15" s="446">
        <f>SUM('19 önkormányzat'!L14)</f>
        <v>270530</v>
      </c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/>
      <c r="CT15" s="366"/>
      <c r="CU15" s="366"/>
      <c r="CV15" s="366"/>
      <c r="CW15" s="366"/>
      <c r="CX15" s="366"/>
      <c r="CY15" s="366"/>
      <c r="CZ15" s="366"/>
      <c r="DA15" s="366"/>
      <c r="DB15" s="366"/>
      <c r="DC15" s="366"/>
      <c r="DD15" s="366"/>
      <c r="DE15" s="366"/>
      <c r="DF15" s="366"/>
      <c r="DG15" s="366"/>
      <c r="DH15" s="366"/>
      <c r="DI15" s="366"/>
      <c r="DJ15" s="366"/>
      <c r="DK15" s="366"/>
      <c r="DL15" s="366"/>
      <c r="DM15" s="366"/>
      <c r="DN15" s="366"/>
      <c r="DO15" s="366"/>
      <c r="DP15" s="366"/>
      <c r="DQ15" s="366"/>
      <c r="DR15" s="366"/>
      <c r="DS15" s="366"/>
      <c r="DT15" s="366"/>
      <c r="DU15" s="366"/>
      <c r="DV15" s="366"/>
      <c r="DW15" s="366"/>
      <c r="DX15" s="366"/>
      <c r="DY15" s="366"/>
      <c r="DZ15" s="366"/>
      <c r="EA15" s="366"/>
      <c r="EB15" s="366"/>
      <c r="EC15" s="366"/>
      <c r="ED15" s="366"/>
      <c r="EE15" s="366"/>
      <c r="EF15" s="366"/>
      <c r="EG15" s="366"/>
      <c r="EH15" s="366"/>
      <c r="EI15" s="366"/>
      <c r="EJ15" s="366"/>
      <c r="EK15" s="366"/>
      <c r="EL15" s="366"/>
      <c r="EM15" s="366"/>
      <c r="EN15" s="366"/>
      <c r="EO15" s="366"/>
      <c r="EP15" s="366"/>
      <c r="EQ15" s="366"/>
      <c r="ER15" s="366"/>
      <c r="ES15" s="366"/>
      <c r="ET15" s="366"/>
      <c r="EU15" s="366"/>
      <c r="EV15" s="366"/>
      <c r="EW15" s="366"/>
      <c r="EX15" s="366"/>
      <c r="EY15" s="366"/>
      <c r="EZ15" s="366"/>
      <c r="FA15" s="366"/>
      <c r="FB15" s="366"/>
      <c r="FC15" s="366"/>
      <c r="FD15" s="366"/>
      <c r="FE15" s="366"/>
      <c r="FF15" s="366"/>
      <c r="FG15" s="366"/>
      <c r="FH15" s="366"/>
      <c r="FI15" s="366"/>
      <c r="FJ15" s="366"/>
      <c r="FK15" s="366"/>
      <c r="FL15" s="366"/>
      <c r="FM15" s="366"/>
      <c r="FN15" s="366"/>
      <c r="FO15" s="366"/>
      <c r="FP15" s="366"/>
      <c r="FQ15" s="366"/>
      <c r="FR15" s="366"/>
      <c r="FS15" s="366"/>
      <c r="FT15" s="366"/>
      <c r="FU15" s="366"/>
      <c r="FV15" s="366"/>
      <c r="FW15" s="366"/>
      <c r="FX15" s="366"/>
      <c r="FY15" s="366"/>
      <c r="FZ15" s="366"/>
      <c r="GA15" s="366"/>
      <c r="GB15" s="366"/>
      <c r="GC15" s="366"/>
      <c r="GD15" s="366"/>
      <c r="GE15" s="366"/>
      <c r="GF15" s="366"/>
      <c r="GG15" s="366"/>
      <c r="GH15" s="366"/>
      <c r="GI15" s="366"/>
      <c r="GJ15" s="366"/>
      <c r="GK15" s="366"/>
      <c r="GL15" s="366"/>
      <c r="GM15" s="366"/>
      <c r="GN15" s="366"/>
      <c r="GO15" s="366"/>
      <c r="GP15" s="366"/>
      <c r="GQ15" s="366"/>
      <c r="GR15" s="366"/>
      <c r="GS15" s="366"/>
      <c r="GT15" s="366"/>
      <c r="GU15" s="366"/>
      <c r="GV15" s="366"/>
      <c r="GW15" s="366"/>
      <c r="GX15" s="366"/>
      <c r="GY15" s="366"/>
      <c r="GZ15" s="366"/>
      <c r="HA15" s="366"/>
      <c r="HB15" s="366"/>
      <c r="HC15" s="366"/>
      <c r="HD15" s="366"/>
      <c r="HE15" s="366"/>
      <c r="HF15" s="366"/>
      <c r="HG15" s="366"/>
      <c r="HH15" s="366"/>
      <c r="HI15" s="366"/>
      <c r="HJ15" s="366"/>
      <c r="HK15" s="366"/>
      <c r="HL15" s="366"/>
      <c r="HM15" s="366"/>
      <c r="HN15" s="366"/>
      <c r="HO15" s="366"/>
      <c r="HP15" s="366"/>
      <c r="HQ15" s="366"/>
      <c r="HR15" s="366"/>
      <c r="HS15" s="366"/>
      <c r="HT15" s="366"/>
      <c r="HU15" s="366"/>
      <c r="HV15" s="366"/>
      <c r="HW15" s="366"/>
      <c r="HX15" s="366"/>
      <c r="HY15" s="366"/>
      <c r="HZ15" s="366"/>
      <c r="IA15" s="366"/>
      <c r="IB15" s="366"/>
      <c r="IC15" s="366"/>
      <c r="ID15" s="366"/>
      <c r="IE15" s="366"/>
      <c r="IF15" s="366"/>
      <c r="IG15" s="366"/>
      <c r="IH15" s="366"/>
      <c r="II15" s="366"/>
      <c r="IJ15" s="366"/>
      <c r="IK15" s="366"/>
      <c r="IL15" s="366"/>
      <c r="IM15" s="366"/>
    </row>
    <row r="16" spans="1:247" ht="12.75" customHeight="1">
      <c r="A16" s="420" t="s">
        <v>55</v>
      </c>
      <c r="B16" s="441"/>
      <c r="C16" s="385" t="s">
        <v>163</v>
      </c>
      <c r="D16" s="425">
        <v>207976669</v>
      </c>
      <c r="E16" s="425">
        <f>SUM(E10:E13)</f>
        <v>193101524</v>
      </c>
      <c r="F16" s="425">
        <f>SUM(F10:F14)</f>
        <v>195259775</v>
      </c>
      <c r="G16" s="425">
        <f>SUM(G10:G15)</f>
        <v>195865391</v>
      </c>
      <c r="H16" s="425">
        <f>SUM(H10:H15)</f>
        <v>195925465</v>
      </c>
      <c r="I16" s="425">
        <f>SUM(I10:I15)</f>
        <v>196981207</v>
      </c>
      <c r="J16" s="425">
        <f>SUM(J10:J15)</f>
        <v>204138471</v>
      </c>
      <c r="K16" s="425">
        <f>SUM(K10:K15)</f>
        <v>204138471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2.75" customHeight="1">
      <c r="A17" s="420" t="s">
        <v>57</v>
      </c>
      <c r="B17" s="422"/>
      <c r="C17" s="426" t="s">
        <v>164</v>
      </c>
      <c r="D17" s="425">
        <v>122585055</v>
      </c>
      <c r="E17" s="425">
        <v>9168000</v>
      </c>
      <c r="F17" s="425">
        <v>9168000</v>
      </c>
      <c r="G17" s="425">
        <v>9168000</v>
      </c>
      <c r="H17" s="425">
        <v>9168000</v>
      </c>
      <c r="I17" s="425">
        <v>9168000</v>
      </c>
      <c r="J17" s="425">
        <f>SUM('19 önkormányzat'!K16)</f>
        <v>6848850</v>
      </c>
      <c r="K17" s="425">
        <f>SUM('19 önkormányzat'!L16)</f>
        <v>6848850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2.75" customHeight="1">
      <c r="A18" s="419" t="s">
        <v>86</v>
      </c>
      <c r="B18" s="423"/>
      <c r="C18" s="409" t="s">
        <v>862</v>
      </c>
      <c r="D18" s="131">
        <v>112728050</v>
      </c>
      <c r="E18" s="131"/>
      <c r="F18" s="131"/>
      <c r="G18" s="131"/>
      <c r="H18" s="131"/>
      <c r="I18" s="131"/>
      <c r="J18" s="131"/>
      <c r="K18" s="13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11" s="122" customFormat="1" ht="12.75" customHeight="1">
      <c r="A19" s="121" t="s">
        <v>59</v>
      </c>
      <c r="B19" s="424"/>
      <c r="C19" s="409" t="s">
        <v>626</v>
      </c>
      <c r="D19" s="326"/>
      <c r="E19" s="326"/>
      <c r="F19" s="326"/>
      <c r="G19" s="326"/>
      <c r="H19" s="326"/>
      <c r="I19" s="326"/>
      <c r="J19" s="326"/>
      <c r="K19" s="326"/>
    </row>
    <row r="20" spans="1:247" ht="12.75" customHeight="1">
      <c r="A20" s="121" t="s">
        <v>61</v>
      </c>
      <c r="B20" s="260"/>
      <c r="C20" s="409" t="s">
        <v>625</v>
      </c>
      <c r="D20" s="326">
        <v>9857005</v>
      </c>
      <c r="E20" s="326">
        <v>9168000</v>
      </c>
      <c r="F20" s="326">
        <v>9168000</v>
      </c>
      <c r="G20" s="326">
        <v>9168000</v>
      </c>
      <c r="H20" s="326">
        <v>9168000</v>
      </c>
      <c r="I20" s="326">
        <v>9168000</v>
      </c>
      <c r="J20" s="326">
        <f>SUM(J17)</f>
        <v>6848850</v>
      </c>
      <c r="K20" s="326">
        <f>SUM(K17)</f>
        <v>6848850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s="68" customFormat="1" ht="12.75" customHeight="1">
      <c r="A21" s="427" t="s">
        <v>63</v>
      </c>
      <c r="B21" s="100" t="s">
        <v>165</v>
      </c>
      <c r="C21" s="428" t="s">
        <v>166</v>
      </c>
      <c r="D21" s="429">
        <f aca="true" t="shared" si="0" ref="D21:I21">SUM(D16+D17)</f>
        <v>330561724</v>
      </c>
      <c r="E21" s="429">
        <f t="shared" si="0"/>
        <v>202269524</v>
      </c>
      <c r="F21" s="429">
        <f t="shared" si="0"/>
        <v>204427775</v>
      </c>
      <c r="G21" s="429">
        <f t="shared" si="0"/>
        <v>205033391</v>
      </c>
      <c r="H21" s="429">
        <f t="shared" si="0"/>
        <v>205093465</v>
      </c>
      <c r="I21" s="429">
        <f t="shared" si="0"/>
        <v>206149207</v>
      </c>
      <c r="J21" s="429">
        <f>SUM(J16+J17)</f>
        <v>210987321</v>
      </c>
      <c r="K21" s="429">
        <f>SUM(K16+K17)</f>
        <v>210987321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</row>
    <row r="22" spans="1:247" s="68" customFormat="1" ht="12.75" customHeight="1">
      <c r="A22" s="427" t="s">
        <v>65</v>
      </c>
      <c r="B22" s="100" t="s">
        <v>167</v>
      </c>
      <c r="C22" s="430" t="s">
        <v>168</v>
      </c>
      <c r="D22" s="429">
        <v>579188024</v>
      </c>
      <c r="E22" s="429"/>
      <c r="F22" s="429"/>
      <c r="G22" s="429"/>
      <c r="H22" s="429"/>
      <c r="I22" s="429"/>
      <c r="J22" s="429"/>
      <c r="K22" s="42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</row>
    <row r="23" spans="1:247" s="68" customFormat="1" ht="12.75" customHeight="1">
      <c r="A23" s="427" t="s">
        <v>92</v>
      </c>
      <c r="B23" s="65" t="s">
        <v>174</v>
      </c>
      <c r="C23" s="230" t="s">
        <v>175</v>
      </c>
      <c r="D23" s="66">
        <v>171345614</v>
      </c>
      <c r="E23" s="66">
        <v>150455000</v>
      </c>
      <c r="F23" s="66">
        <v>150455000</v>
      </c>
      <c r="G23" s="66">
        <v>150455000</v>
      </c>
      <c r="H23" s="66">
        <v>152596598</v>
      </c>
      <c r="I23" s="66">
        <v>154596598</v>
      </c>
      <c r="J23" s="66">
        <v>186676160</v>
      </c>
      <c r="K23" s="66">
        <v>186676160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</row>
    <row r="24" spans="1:247" ht="12.75" customHeight="1">
      <c r="A24" s="121" t="s">
        <v>66</v>
      </c>
      <c r="B24" s="85"/>
      <c r="C24" s="385" t="s">
        <v>606</v>
      </c>
      <c r="D24" s="84">
        <v>5382544</v>
      </c>
      <c r="E24" s="84">
        <v>5400000</v>
      </c>
      <c r="F24" s="84">
        <v>5400000</v>
      </c>
      <c r="G24" s="84">
        <v>5400000</v>
      </c>
      <c r="H24" s="84">
        <v>5400000</v>
      </c>
      <c r="I24" s="84">
        <v>5400000</v>
      </c>
      <c r="J24" s="84">
        <v>3345228</v>
      </c>
      <c r="K24" s="84">
        <v>3345228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12.75" customHeight="1">
      <c r="A25" s="121" t="s">
        <v>67</v>
      </c>
      <c r="B25" s="85"/>
      <c r="C25" s="385" t="s">
        <v>177</v>
      </c>
      <c r="D25" s="84">
        <v>3652459</v>
      </c>
      <c r="E25" s="84">
        <v>3655000</v>
      </c>
      <c r="F25" s="84">
        <v>3655000</v>
      </c>
      <c r="G25" s="84">
        <v>3655000</v>
      </c>
      <c r="H25" s="84">
        <v>3655000</v>
      </c>
      <c r="I25" s="84">
        <v>3655000</v>
      </c>
      <c r="J25" s="84">
        <v>4026406</v>
      </c>
      <c r="K25" s="84">
        <v>4026406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2.75" customHeight="1">
      <c r="A26" s="121" t="s">
        <v>68</v>
      </c>
      <c r="B26" s="85"/>
      <c r="C26" s="385" t="s">
        <v>178</v>
      </c>
      <c r="D26" s="84">
        <v>846660</v>
      </c>
      <c r="E26" s="84">
        <v>850000</v>
      </c>
      <c r="F26" s="84">
        <v>850000</v>
      </c>
      <c r="G26" s="84">
        <v>850000</v>
      </c>
      <c r="H26" s="84">
        <v>850000</v>
      </c>
      <c r="I26" s="84">
        <v>850000</v>
      </c>
      <c r="J26" s="84">
        <v>2389529</v>
      </c>
      <c r="K26" s="84">
        <v>2389529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13.5" customHeight="1">
      <c r="A27" s="121" t="s">
        <v>70</v>
      </c>
      <c r="B27" s="85"/>
      <c r="C27" s="385" t="s">
        <v>180</v>
      </c>
      <c r="D27" s="84">
        <v>4226887</v>
      </c>
      <c r="E27" s="84">
        <v>4250000</v>
      </c>
      <c r="F27" s="84">
        <v>4250000</v>
      </c>
      <c r="G27" s="84">
        <v>4250000</v>
      </c>
      <c r="H27" s="84">
        <v>4250000</v>
      </c>
      <c r="I27" s="84">
        <v>13324750</v>
      </c>
      <c r="J27" s="84">
        <v>6025093</v>
      </c>
      <c r="K27" s="84">
        <v>6025093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13.5" customHeight="1">
      <c r="A28" s="121" t="s">
        <v>97</v>
      </c>
      <c r="B28" s="85"/>
      <c r="C28" s="385" t="s">
        <v>740</v>
      </c>
      <c r="D28" s="84">
        <v>5708000</v>
      </c>
      <c r="E28" s="84">
        <v>5700000</v>
      </c>
      <c r="F28" s="84">
        <v>5700000</v>
      </c>
      <c r="G28" s="84">
        <v>5700000</v>
      </c>
      <c r="H28" s="84">
        <v>5700000</v>
      </c>
      <c r="I28" s="84">
        <v>0</v>
      </c>
      <c r="J28" s="84">
        <v>0</v>
      </c>
      <c r="K28" s="84"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12.75" customHeight="1">
      <c r="A29" s="121" t="s">
        <v>99</v>
      </c>
      <c r="B29" s="85"/>
      <c r="C29" s="383" t="s">
        <v>617</v>
      </c>
      <c r="D29" s="84">
        <v>2867</v>
      </c>
      <c r="E29" s="84">
        <v>3000</v>
      </c>
      <c r="F29" s="84">
        <v>3000</v>
      </c>
      <c r="G29" s="84">
        <v>3000</v>
      </c>
      <c r="H29" s="84">
        <v>3000</v>
      </c>
      <c r="I29" s="84">
        <v>3000</v>
      </c>
      <c r="J29" s="84">
        <v>535</v>
      </c>
      <c r="K29" s="84">
        <v>535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12.75" customHeight="1">
      <c r="A30" s="121" t="s">
        <v>101</v>
      </c>
      <c r="B30" s="85"/>
      <c r="C30" s="1093" t="s">
        <v>856</v>
      </c>
      <c r="D30" s="84">
        <v>61230</v>
      </c>
      <c r="E30" s="84"/>
      <c r="F30" s="84"/>
      <c r="G30" s="84"/>
      <c r="H30" s="84">
        <v>44417</v>
      </c>
      <c r="I30" s="84">
        <v>172669</v>
      </c>
      <c r="J30" s="84">
        <v>660167</v>
      </c>
      <c r="K30" s="84">
        <v>660167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12.75" customHeight="1">
      <c r="A31" s="121" t="s">
        <v>103</v>
      </c>
      <c r="B31" s="85"/>
      <c r="C31" s="393" t="s">
        <v>183</v>
      </c>
      <c r="D31" s="84">
        <v>9</v>
      </c>
      <c r="E31" s="84"/>
      <c r="F31" s="84"/>
      <c r="G31" s="84"/>
      <c r="H31" s="84">
        <v>18</v>
      </c>
      <c r="I31" s="84">
        <v>18</v>
      </c>
      <c r="J31" s="84">
        <v>310271</v>
      </c>
      <c r="K31" s="84">
        <v>310271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s="68" customFormat="1" ht="12.75" customHeight="1">
      <c r="A32" s="451" t="s">
        <v>105</v>
      </c>
      <c r="B32" s="370" t="s">
        <v>184</v>
      </c>
      <c r="C32" s="763" t="s">
        <v>218</v>
      </c>
      <c r="D32" s="89">
        <v>19880656</v>
      </c>
      <c r="E32" s="89">
        <v>19858000</v>
      </c>
      <c r="F32" s="89">
        <f>SUM(F24:F29)</f>
        <v>19858000</v>
      </c>
      <c r="G32" s="89">
        <f>SUM(G24:G29)</f>
        <v>19858000</v>
      </c>
      <c r="H32" s="89">
        <f>SUM(H24:H31)</f>
        <v>19902435</v>
      </c>
      <c r="I32" s="89">
        <f>SUM(I24:I31)</f>
        <v>23405437</v>
      </c>
      <c r="J32" s="89">
        <f>SUM(J24:J31)</f>
        <v>16757229</v>
      </c>
      <c r="K32" s="89">
        <f>SUM(K24:K31)</f>
        <v>16757229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</row>
    <row r="33" spans="1:251" s="10" customFormat="1" ht="12.75" customHeight="1">
      <c r="A33" s="499" t="s">
        <v>107</v>
      </c>
      <c r="B33" s="499" t="s">
        <v>185</v>
      </c>
      <c r="C33" s="747" t="s">
        <v>13</v>
      </c>
      <c r="D33" s="519">
        <v>9136370</v>
      </c>
      <c r="E33" s="519">
        <v>24433530</v>
      </c>
      <c r="F33" s="519">
        <v>32364738</v>
      </c>
      <c r="G33" s="519">
        <v>32364738</v>
      </c>
      <c r="H33" s="519">
        <v>32127362</v>
      </c>
      <c r="I33" s="519">
        <v>30832408</v>
      </c>
      <c r="J33" s="519">
        <v>15566246</v>
      </c>
      <c r="K33" s="519">
        <v>15566246</v>
      </c>
      <c r="IN33" s="68"/>
      <c r="IO33" s="68"/>
      <c r="IP33" s="68"/>
      <c r="IQ33" s="68"/>
    </row>
    <row r="34" spans="1:251" s="10" customFormat="1" ht="12.75" customHeight="1">
      <c r="A34" s="499" t="s">
        <v>109</v>
      </c>
      <c r="B34" s="499" t="s">
        <v>186</v>
      </c>
      <c r="C34" s="747" t="s">
        <v>1175</v>
      </c>
      <c r="D34" s="519"/>
      <c r="E34" s="519"/>
      <c r="F34" s="519"/>
      <c r="G34" s="519"/>
      <c r="H34" s="519"/>
      <c r="I34" s="519"/>
      <c r="J34" s="519">
        <v>14182798</v>
      </c>
      <c r="K34" s="519">
        <v>14182798</v>
      </c>
      <c r="IN34" s="68"/>
      <c r="IO34" s="68"/>
      <c r="IP34" s="68"/>
      <c r="IQ34" s="68"/>
    </row>
    <row r="35" spans="1:251" s="10" customFormat="1" ht="12.75" customHeight="1">
      <c r="A35" s="499" t="s">
        <v>111</v>
      </c>
      <c r="B35" s="499" t="s">
        <v>188</v>
      </c>
      <c r="C35" s="747" t="s">
        <v>187</v>
      </c>
      <c r="D35" s="519">
        <v>1320741</v>
      </c>
      <c r="E35" s="519">
        <v>200000</v>
      </c>
      <c r="F35" s="519">
        <v>200000</v>
      </c>
      <c r="G35" s="519">
        <v>200000</v>
      </c>
      <c r="H35" s="519">
        <v>478800</v>
      </c>
      <c r="I35" s="519">
        <v>937800</v>
      </c>
      <c r="J35" s="519">
        <v>815220</v>
      </c>
      <c r="K35" s="519">
        <v>815220</v>
      </c>
      <c r="IN35" s="68"/>
      <c r="IO35" s="68"/>
      <c r="IP35" s="68"/>
      <c r="IQ35" s="68"/>
    </row>
    <row r="36" spans="1:247" s="68" customFormat="1" ht="12.75" customHeight="1">
      <c r="A36" s="764" t="s">
        <v>113</v>
      </c>
      <c r="B36" s="114" t="s">
        <v>191</v>
      </c>
      <c r="C36" s="765" t="s">
        <v>227</v>
      </c>
      <c r="D36" s="519">
        <f>SUM('19 önkormányzat'!E49)</f>
        <v>0</v>
      </c>
      <c r="E36" s="519">
        <f>SUM('19 önkormányzat'!F49)</f>
        <v>0</v>
      </c>
      <c r="F36" s="519">
        <f>SUM('19 önkormányzat'!G49)</f>
        <v>0</v>
      </c>
      <c r="G36" s="519">
        <f>SUM('19 önkormányzat'!H49)</f>
        <v>0</v>
      </c>
      <c r="H36" s="519">
        <f>SUM('19 önkormányzat'!I49)</f>
        <v>0</v>
      </c>
      <c r="I36" s="519">
        <f>SUM('19 önkormányzat'!J49)</f>
        <v>0</v>
      </c>
      <c r="J36" s="519">
        <f>SUM('19 önkormányzat'!K49)</f>
        <v>3200000</v>
      </c>
      <c r="K36" s="519">
        <f>SUM('19 önkormányzat'!L49)</f>
        <v>3200000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</row>
    <row r="37" spans="1:247" ht="12.75" customHeight="1">
      <c r="A37" s="121" t="s">
        <v>115</v>
      </c>
      <c r="B37" s="260"/>
      <c r="C37" s="418" t="s">
        <v>634</v>
      </c>
      <c r="D37" s="84"/>
      <c r="E37" s="84"/>
      <c r="F37" s="84"/>
      <c r="G37" s="84"/>
      <c r="H37" s="84"/>
      <c r="I37" s="84"/>
      <c r="J37" s="84"/>
      <c r="K37" s="8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51" s="369" customFormat="1" ht="26.25" customHeight="1">
      <c r="A38" s="435" t="s">
        <v>117</v>
      </c>
      <c r="B38" s="436"/>
      <c r="C38" s="766" t="s">
        <v>632</v>
      </c>
      <c r="D38" s="437"/>
      <c r="E38" s="437"/>
      <c r="F38" s="437"/>
      <c r="G38" s="437"/>
      <c r="H38" s="437"/>
      <c r="I38" s="437"/>
      <c r="J38" s="437"/>
      <c r="K38" s="437"/>
      <c r="IN38" s="433"/>
      <c r="IO38" s="433"/>
      <c r="IP38" s="433"/>
      <c r="IQ38" s="433"/>
    </row>
    <row r="39" spans="1:247" ht="12.75" customHeight="1">
      <c r="A39" s="121" t="s">
        <v>118</v>
      </c>
      <c r="B39" s="260"/>
      <c r="C39" s="385" t="s">
        <v>633</v>
      </c>
      <c r="D39" s="326">
        <f aca="true" t="shared" si="1" ref="D39:I39">SUM(D37:D38)</f>
        <v>0</v>
      </c>
      <c r="E39" s="326">
        <f t="shared" si="1"/>
        <v>0</v>
      </c>
      <c r="F39" s="326">
        <f t="shared" si="1"/>
        <v>0</v>
      </c>
      <c r="G39" s="326">
        <f t="shared" si="1"/>
        <v>0</v>
      </c>
      <c r="H39" s="326">
        <f t="shared" si="1"/>
        <v>0</v>
      </c>
      <c r="I39" s="326">
        <f t="shared" si="1"/>
        <v>0</v>
      </c>
      <c r="J39" s="326">
        <f>SUM(J37:J38)</f>
        <v>0</v>
      </c>
      <c r="K39" s="326">
        <f>SUM(K37:K38)</f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2.75" customHeight="1">
      <c r="A40" s="121" t="s">
        <v>120</v>
      </c>
      <c r="B40" s="260"/>
      <c r="C40" s="385" t="s">
        <v>222</v>
      </c>
      <c r="D40" s="84">
        <v>46294271</v>
      </c>
      <c r="E40" s="84">
        <v>727099046</v>
      </c>
      <c r="F40" s="84">
        <v>727099046</v>
      </c>
      <c r="G40" s="84">
        <v>727099046</v>
      </c>
      <c r="H40" s="84">
        <v>727099046</v>
      </c>
      <c r="I40" s="84">
        <v>727099046</v>
      </c>
      <c r="J40" s="84">
        <v>727099046</v>
      </c>
      <c r="K40" s="84">
        <v>727099046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2.75" customHeight="1">
      <c r="A41" s="121" t="s">
        <v>122</v>
      </c>
      <c r="B41" s="260"/>
      <c r="C41" s="385" t="s">
        <v>225</v>
      </c>
      <c r="D41" s="84">
        <v>10623632</v>
      </c>
      <c r="E41" s="84">
        <v>6703536</v>
      </c>
      <c r="F41" s="84">
        <v>6703536</v>
      </c>
      <c r="G41" s="84">
        <v>7419080</v>
      </c>
      <c r="H41" s="84">
        <v>8095569</v>
      </c>
      <c r="I41" s="84">
        <v>8679084</v>
      </c>
      <c r="J41" s="84">
        <v>9417924</v>
      </c>
      <c r="K41" s="84">
        <v>9423918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s="68" customFormat="1" ht="12.75" customHeight="1" thickBot="1">
      <c r="A42" s="451" t="s">
        <v>124</v>
      </c>
      <c r="B42" s="370" t="s">
        <v>193</v>
      </c>
      <c r="C42" s="452" t="s">
        <v>635</v>
      </c>
      <c r="D42" s="453">
        <v>56917903</v>
      </c>
      <c r="E42" s="453">
        <v>733802582</v>
      </c>
      <c r="F42" s="453">
        <v>733802582</v>
      </c>
      <c r="G42" s="453">
        <f>SUM(G40:G41)</f>
        <v>734518126</v>
      </c>
      <c r="H42" s="453">
        <f>SUM(H40:H41)</f>
        <v>735194615</v>
      </c>
      <c r="I42" s="453">
        <f>SUM(I40:I41)</f>
        <v>735778130</v>
      </c>
      <c r="J42" s="453">
        <f>SUM(J40:J41)</f>
        <v>736516970</v>
      </c>
      <c r="K42" s="453">
        <f>SUM(K40:K41)</f>
        <v>736522964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</row>
    <row r="43" spans="1:247" s="140" customFormat="1" ht="17.25" customHeight="1" thickBot="1">
      <c r="A43" s="454" t="s">
        <v>126</v>
      </c>
      <c r="B43" s="455"/>
      <c r="C43" s="456" t="s">
        <v>238</v>
      </c>
      <c r="D43" s="457">
        <f aca="true" t="shared" si="2" ref="D43:I43">SUM(D21+D22+D23+D32+D33+D36+D42)+D35</f>
        <v>1168351032</v>
      </c>
      <c r="E43" s="457">
        <f t="shared" si="2"/>
        <v>1131018636</v>
      </c>
      <c r="F43" s="457">
        <f t="shared" si="2"/>
        <v>1141108095</v>
      </c>
      <c r="G43" s="457">
        <f t="shared" si="2"/>
        <v>1142429255</v>
      </c>
      <c r="H43" s="457">
        <f t="shared" si="2"/>
        <v>1145393275</v>
      </c>
      <c r="I43" s="457">
        <f t="shared" si="2"/>
        <v>1151699580</v>
      </c>
      <c r="J43" s="457">
        <f>SUM(J21+J22+J23+J32+J33+J36+J42)+J35+J34</f>
        <v>1184701944</v>
      </c>
      <c r="K43" s="457">
        <f>SUM(K21+K22+K23+K32+K33+K36+K42)+K35+K34</f>
        <v>1184707938</v>
      </c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4"/>
      <c r="CV43" s="434"/>
      <c r="CW43" s="434"/>
      <c r="CX43" s="434"/>
      <c r="CY43" s="434"/>
      <c r="CZ43" s="434"/>
      <c r="DA43" s="434"/>
      <c r="DB43" s="434"/>
      <c r="DC43" s="434"/>
      <c r="DD43" s="434"/>
      <c r="DE43" s="434"/>
      <c r="DF43" s="434"/>
      <c r="DG43" s="434"/>
      <c r="DH43" s="434"/>
      <c r="DI43" s="434"/>
      <c r="DJ43" s="434"/>
      <c r="DK43" s="434"/>
      <c r="DL43" s="434"/>
      <c r="DM43" s="434"/>
      <c r="DN43" s="434"/>
      <c r="DO43" s="434"/>
      <c r="DP43" s="434"/>
      <c r="DQ43" s="434"/>
      <c r="DR43" s="434"/>
      <c r="DS43" s="434"/>
      <c r="DT43" s="434"/>
      <c r="DU43" s="434"/>
      <c r="DV43" s="434"/>
      <c r="DW43" s="434"/>
      <c r="DX43" s="434"/>
      <c r="DY43" s="434"/>
      <c r="DZ43" s="434"/>
      <c r="EA43" s="434"/>
      <c r="EB43" s="434"/>
      <c r="EC43" s="434"/>
      <c r="ED43" s="434"/>
      <c r="EE43" s="434"/>
      <c r="EF43" s="434"/>
      <c r="EG43" s="434"/>
      <c r="EH43" s="434"/>
      <c r="EI43" s="434"/>
      <c r="EJ43" s="434"/>
      <c r="EK43" s="434"/>
      <c r="EL43" s="434"/>
      <c r="EM43" s="434"/>
      <c r="EN43" s="434"/>
      <c r="EO43" s="434"/>
      <c r="EP43" s="434"/>
      <c r="EQ43" s="434"/>
      <c r="ER43" s="434"/>
      <c r="ES43" s="434"/>
      <c r="ET43" s="434"/>
      <c r="EU43" s="434"/>
      <c r="EV43" s="434"/>
      <c r="EW43" s="434"/>
      <c r="EX43" s="434"/>
      <c r="EY43" s="434"/>
      <c r="EZ43" s="43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434"/>
      <c r="FL43" s="434"/>
      <c r="FM43" s="434"/>
      <c r="FN43" s="434"/>
      <c r="FO43" s="434"/>
      <c r="FP43" s="434"/>
      <c r="FQ43" s="434"/>
      <c r="FR43" s="434"/>
      <c r="FS43" s="434"/>
      <c r="FT43" s="434"/>
      <c r="FU43" s="434"/>
      <c r="FV43" s="434"/>
      <c r="FW43" s="434"/>
      <c r="FX43" s="434"/>
      <c r="FY43" s="434"/>
      <c r="FZ43" s="434"/>
      <c r="GA43" s="434"/>
      <c r="GB43" s="434"/>
      <c r="GC43" s="434"/>
      <c r="GD43" s="434"/>
      <c r="GE43" s="434"/>
      <c r="GF43" s="434"/>
      <c r="GG43" s="434"/>
      <c r="GH43" s="434"/>
      <c r="GI43" s="434"/>
      <c r="GJ43" s="434"/>
      <c r="GK43" s="434"/>
      <c r="GL43" s="434"/>
      <c r="GM43" s="434"/>
      <c r="GN43" s="434"/>
      <c r="GO43" s="434"/>
      <c r="GP43" s="434"/>
      <c r="GQ43" s="434"/>
      <c r="GR43" s="434"/>
      <c r="GS43" s="434"/>
      <c r="GT43" s="434"/>
      <c r="GU43" s="434"/>
      <c r="GV43" s="434"/>
      <c r="GW43" s="434"/>
      <c r="GX43" s="434"/>
      <c r="GY43" s="434"/>
      <c r="GZ43" s="434"/>
      <c r="HA43" s="434"/>
      <c r="HB43" s="434"/>
      <c r="HC43" s="434"/>
      <c r="HD43" s="434"/>
      <c r="HE43" s="434"/>
      <c r="HF43" s="434"/>
      <c r="HG43" s="434"/>
      <c r="HH43" s="434"/>
      <c r="HI43" s="434"/>
      <c r="HJ43" s="434"/>
      <c r="HK43" s="434"/>
      <c r="HL43" s="434"/>
      <c r="HM43" s="434"/>
      <c r="HN43" s="434"/>
      <c r="HO43" s="434"/>
      <c r="HP43" s="434"/>
      <c r="HQ43" s="434"/>
      <c r="HR43" s="434"/>
      <c r="HS43" s="434"/>
      <c r="HT43" s="434"/>
      <c r="HU43" s="434"/>
      <c r="HV43" s="434"/>
      <c r="HW43" s="434"/>
      <c r="HX43" s="434"/>
      <c r="HY43" s="434"/>
      <c r="HZ43" s="434"/>
      <c r="IA43" s="434"/>
      <c r="IB43" s="434"/>
      <c r="IC43" s="434"/>
      <c r="ID43" s="434"/>
      <c r="IE43" s="434"/>
      <c r="IF43" s="434"/>
      <c r="IG43" s="434"/>
      <c r="IH43" s="434"/>
      <c r="II43" s="434"/>
      <c r="IJ43" s="434"/>
      <c r="IK43" s="434"/>
      <c r="IL43" s="434"/>
      <c r="IM43" s="434"/>
    </row>
    <row r="44" spans="1:247" ht="12.75" customHeight="1" thickBot="1">
      <c r="A44" s="1544" t="s">
        <v>313</v>
      </c>
      <c r="B44" s="1544"/>
      <c r="C44" s="15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25.5" customHeight="1">
      <c r="A45" s="1540" t="s">
        <v>156</v>
      </c>
      <c r="B45" s="1541"/>
      <c r="C45" s="400" t="s">
        <v>157</v>
      </c>
      <c r="D45" s="448" t="s">
        <v>158</v>
      </c>
      <c r="E45" s="448" t="s">
        <v>1002</v>
      </c>
      <c r="F45" s="448" t="s">
        <v>1070</v>
      </c>
      <c r="G45" s="448" t="s">
        <v>1131</v>
      </c>
      <c r="H45" s="448" t="s">
        <v>1141</v>
      </c>
      <c r="I45" s="448" t="s">
        <v>1148</v>
      </c>
      <c r="J45" s="448" t="s">
        <v>1158</v>
      </c>
      <c r="K45" s="448" t="s">
        <v>1181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2.75" customHeight="1" thickBot="1">
      <c r="A46" s="1542"/>
      <c r="B46" s="1543"/>
      <c r="C46" s="402" t="s">
        <v>159</v>
      </c>
      <c r="D46" s="460" t="s">
        <v>160</v>
      </c>
      <c r="E46" s="460" t="s">
        <v>161</v>
      </c>
      <c r="F46" s="460" t="s">
        <v>162</v>
      </c>
      <c r="G46" s="460" t="s">
        <v>479</v>
      </c>
      <c r="H46" s="460" t="s">
        <v>499</v>
      </c>
      <c r="I46" s="460" t="s">
        <v>745</v>
      </c>
      <c r="J46" s="460" t="s">
        <v>826</v>
      </c>
      <c r="K46" s="460" t="s">
        <v>830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30" customHeight="1">
      <c r="A47" s="128" t="s">
        <v>38</v>
      </c>
      <c r="B47" s="85"/>
      <c r="C47" s="421" t="s">
        <v>636</v>
      </c>
      <c r="D47" s="84">
        <v>0</v>
      </c>
      <c r="E47" s="84">
        <v>0</v>
      </c>
      <c r="F47" s="84">
        <v>1153259</v>
      </c>
      <c r="G47" s="84">
        <v>1153259</v>
      </c>
      <c r="H47" s="84">
        <v>1348461</v>
      </c>
      <c r="I47" s="84">
        <v>1348461</v>
      </c>
      <c r="J47" s="84">
        <v>1348461</v>
      </c>
      <c r="K47" s="84">
        <v>1348461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spans="1:247" s="68" customFormat="1" ht="12.75" customHeight="1">
      <c r="A48" s="129" t="s">
        <v>40</v>
      </c>
      <c r="B48" s="65" t="s">
        <v>165</v>
      </c>
      <c r="C48" s="428" t="s">
        <v>166</v>
      </c>
      <c r="D48" s="66">
        <f aca="true" t="shared" si="3" ref="D48:I48">SUM(D47:D47)</f>
        <v>0</v>
      </c>
      <c r="E48" s="66">
        <f t="shared" si="3"/>
        <v>0</v>
      </c>
      <c r="F48" s="66">
        <f t="shared" si="3"/>
        <v>1153259</v>
      </c>
      <c r="G48" s="66">
        <f t="shared" si="3"/>
        <v>1153259</v>
      </c>
      <c r="H48" s="66">
        <f t="shared" si="3"/>
        <v>1348461</v>
      </c>
      <c r="I48" s="66">
        <f t="shared" si="3"/>
        <v>1348461</v>
      </c>
      <c r="J48" s="66">
        <f>SUM(J47:J47)</f>
        <v>1348461</v>
      </c>
      <c r="K48" s="66">
        <f>SUM(K47:K47)</f>
        <v>1348461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</row>
    <row r="49" spans="1:247" ht="12.75" customHeight="1">
      <c r="A49" s="128" t="s">
        <v>47</v>
      </c>
      <c r="B49" s="85"/>
      <c r="C49" s="385" t="s">
        <v>606</v>
      </c>
      <c r="D49" s="84">
        <v>16000</v>
      </c>
      <c r="E49" s="84">
        <v>20000</v>
      </c>
      <c r="F49" s="84">
        <v>20000</v>
      </c>
      <c r="G49" s="84">
        <v>20000</v>
      </c>
      <c r="H49" s="84">
        <v>170000</v>
      </c>
      <c r="I49" s="84">
        <v>240000</v>
      </c>
      <c r="J49" s="84">
        <v>211001</v>
      </c>
      <c r="K49" s="84">
        <v>211001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ht="12.75" customHeight="1">
      <c r="A50" s="128" t="s">
        <v>49</v>
      </c>
      <c r="B50" s="85"/>
      <c r="C50" s="385" t="s">
        <v>177</v>
      </c>
      <c r="D50" s="84">
        <v>353990</v>
      </c>
      <c r="E50" s="84">
        <v>340000</v>
      </c>
      <c r="F50" s="84">
        <v>340000</v>
      </c>
      <c r="G50" s="84">
        <v>340000</v>
      </c>
      <c r="H50" s="84">
        <v>470000</v>
      </c>
      <c r="I50" s="84">
        <v>610000</v>
      </c>
      <c r="J50" s="84">
        <v>776710</v>
      </c>
      <c r="K50" s="84">
        <v>776710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ht="12.75" customHeight="1">
      <c r="A51" s="442" t="s">
        <v>51</v>
      </c>
      <c r="B51" s="85"/>
      <c r="C51" s="385" t="s">
        <v>178</v>
      </c>
      <c r="D51" s="84"/>
      <c r="E51" s="84"/>
      <c r="F51" s="84"/>
      <c r="G51" s="84"/>
      <c r="H51" s="84"/>
      <c r="I51" s="84"/>
      <c r="J51" s="84"/>
      <c r="K51" s="8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ht="12.75" customHeight="1">
      <c r="A52" s="420" t="s">
        <v>53</v>
      </c>
      <c r="B52" s="148"/>
      <c r="C52" s="385" t="s">
        <v>180</v>
      </c>
      <c r="D52" s="84">
        <v>93841</v>
      </c>
      <c r="E52" s="84">
        <v>100000</v>
      </c>
      <c r="F52" s="84">
        <v>100000</v>
      </c>
      <c r="G52" s="84">
        <v>100000</v>
      </c>
      <c r="H52" s="84">
        <v>140000</v>
      </c>
      <c r="I52" s="84">
        <v>180000</v>
      </c>
      <c r="J52" s="84">
        <v>218077</v>
      </c>
      <c r="K52" s="84">
        <v>218077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247" ht="12.75" customHeight="1">
      <c r="A53" s="420" t="s">
        <v>55</v>
      </c>
      <c r="B53" s="148"/>
      <c r="C53" s="383" t="s">
        <v>617</v>
      </c>
      <c r="D53" s="84">
        <v>5</v>
      </c>
      <c r="E53" s="84"/>
      <c r="F53" s="84"/>
      <c r="G53" s="84"/>
      <c r="H53" s="84"/>
      <c r="I53" s="84"/>
      <c r="J53" s="84"/>
      <c r="K53" s="8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1:247" ht="12.75" customHeight="1">
      <c r="A54" s="1240" t="s">
        <v>57</v>
      </c>
      <c r="B54" s="160"/>
      <c r="C54" s="393" t="s">
        <v>183</v>
      </c>
      <c r="D54" s="173">
        <v>594000</v>
      </c>
      <c r="E54" s="173"/>
      <c r="F54" s="173"/>
      <c r="G54" s="173"/>
      <c r="H54" s="173"/>
      <c r="I54" s="173"/>
      <c r="J54" s="173">
        <v>2</v>
      </c>
      <c r="K54" s="173">
        <v>2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1:247" ht="12.75" customHeight="1">
      <c r="A55" s="420" t="s">
        <v>86</v>
      </c>
      <c r="B55" s="384"/>
      <c r="C55" s="385" t="s">
        <v>1093</v>
      </c>
      <c r="D55" s="504"/>
      <c r="E55" s="504"/>
      <c r="F55" s="504">
        <v>533000</v>
      </c>
      <c r="G55" s="504">
        <v>533000</v>
      </c>
      <c r="H55" s="504">
        <v>533000</v>
      </c>
      <c r="I55" s="504">
        <v>533000</v>
      </c>
      <c r="J55" s="504">
        <v>533000</v>
      </c>
      <c r="K55" s="504">
        <v>533000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1:247" s="68" customFormat="1" ht="12.75" customHeight="1">
      <c r="A56" s="1241" t="s">
        <v>59</v>
      </c>
      <c r="B56" s="229" t="s">
        <v>167</v>
      </c>
      <c r="C56" s="1242" t="s">
        <v>218</v>
      </c>
      <c r="D56" s="467">
        <f>SUM(D49:D54)</f>
        <v>1057836</v>
      </c>
      <c r="E56" s="467">
        <f>SUM(E49:E54)</f>
        <v>460000</v>
      </c>
      <c r="F56" s="467">
        <f aca="true" t="shared" si="4" ref="F56:K56">SUM(F49:F55)</f>
        <v>993000</v>
      </c>
      <c r="G56" s="467">
        <f t="shared" si="4"/>
        <v>993000</v>
      </c>
      <c r="H56" s="467">
        <f t="shared" si="4"/>
        <v>1313000</v>
      </c>
      <c r="I56" s="467">
        <f t="shared" si="4"/>
        <v>1563000</v>
      </c>
      <c r="J56" s="467">
        <f t="shared" si="4"/>
        <v>1738790</v>
      </c>
      <c r="K56" s="467">
        <f t="shared" si="4"/>
        <v>1738790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</row>
    <row r="57" spans="1:247" ht="12.75" customHeight="1">
      <c r="A57" s="420" t="s">
        <v>61</v>
      </c>
      <c r="B57" s="144"/>
      <c r="C57" s="410" t="s">
        <v>222</v>
      </c>
      <c r="D57" s="84">
        <v>1959631</v>
      </c>
      <c r="E57" s="84">
        <v>790211</v>
      </c>
      <c r="F57" s="84">
        <v>790211</v>
      </c>
      <c r="G57" s="84">
        <v>790211</v>
      </c>
      <c r="H57" s="84">
        <v>790211</v>
      </c>
      <c r="I57" s="84">
        <v>790211</v>
      </c>
      <c r="J57" s="84">
        <v>790211</v>
      </c>
      <c r="K57" s="84">
        <v>790211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1:247" ht="12.75" customHeight="1">
      <c r="A58" s="420" t="s">
        <v>63</v>
      </c>
      <c r="B58" s="144"/>
      <c r="C58" s="410" t="s">
        <v>728</v>
      </c>
      <c r="D58" s="326">
        <v>60171959</v>
      </c>
      <c r="E58" s="326">
        <v>58148665</v>
      </c>
      <c r="F58" s="326">
        <v>58148665</v>
      </c>
      <c r="G58" s="326">
        <v>58148665</v>
      </c>
      <c r="H58" s="326">
        <v>58148665</v>
      </c>
      <c r="I58" s="326">
        <v>58148665</v>
      </c>
      <c r="J58" s="326">
        <v>59519465</v>
      </c>
      <c r="K58" s="326">
        <v>59519465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spans="1:247" ht="12.75" customHeight="1">
      <c r="A59" s="420" t="s">
        <v>65</v>
      </c>
      <c r="B59" s="144"/>
      <c r="C59" s="410" t="s">
        <v>637</v>
      </c>
      <c r="D59" s="326">
        <v>17251023</v>
      </c>
      <c r="E59" s="326">
        <v>20885980</v>
      </c>
      <c r="F59" s="326">
        <v>20885980</v>
      </c>
      <c r="G59" s="326">
        <v>20885980</v>
      </c>
      <c r="H59" s="326">
        <v>20885980</v>
      </c>
      <c r="I59" s="326">
        <v>20885980</v>
      </c>
      <c r="J59" s="326">
        <v>19554240</v>
      </c>
      <c r="K59" s="326">
        <v>19554240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spans="1:247" s="68" customFormat="1" ht="12.75" customHeight="1" thickBot="1">
      <c r="A60" s="470" t="s">
        <v>92</v>
      </c>
      <c r="B60" s="471" t="s">
        <v>174</v>
      </c>
      <c r="C60" s="452" t="s">
        <v>635</v>
      </c>
      <c r="D60" s="453">
        <f aca="true" t="shared" si="5" ref="D60:I60">SUM(D57:D59)</f>
        <v>79382613</v>
      </c>
      <c r="E60" s="453">
        <f t="shared" si="5"/>
        <v>79824856</v>
      </c>
      <c r="F60" s="453">
        <f t="shared" si="5"/>
        <v>79824856</v>
      </c>
      <c r="G60" s="453">
        <f t="shared" si="5"/>
        <v>79824856</v>
      </c>
      <c r="H60" s="453">
        <f t="shared" si="5"/>
        <v>79824856</v>
      </c>
      <c r="I60" s="453">
        <f t="shared" si="5"/>
        <v>79824856</v>
      </c>
      <c r="J60" s="453">
        <f>SUM(J57:J59)</f>
        <v>79863916</v>
      </c>
      <c r="K60" s="453">
        <f>SUM(K57:K59)</f>
        <v>79863916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</row>
    <row r="61" spans="1:247" s="140" customFormat="1" ht="20.25" customHeight="1" thickBot="1">
      <c r="A61" s="454" t="s">
        <v>66</v>
      </c>
      <c r="B61" s="455"/>
      <c r="C61" s="456" t="s">
        <v>1006</v>
      </c>
      <c r="D61" s="457">
        <f aca="true" t="shared" si="6" ref="D61:I61">SUM(D60,D56,D48)</f>
        <v>80440449</v>
      </c>
      <c r="E61" s="457">
        <f t="shared" si="6"/>
        <v>80284856</v>
      </c>
      <c r="F61" s="457">
        <f t="shared" si="6"/>
        <v>81971115</v>
      </c>
      <c r="G61" s="457">
        <f t="shared" si="6"/>
        <v>81971115</v>
      </c>
      <c r="H61" s="457">
        <f t="shared" si="6"/>
        <v>82486317</v>
      </c>
      <c r="I61" s="457">
        <f t="shared" si="6"/>
        <v>82736317</v>
      </c>
      <c r="J61" s="457">
        <f>SUM(J60,J56,J48)</f>
        <v>82951167</v>
      </c>
      <c r="K61" s="457">
        <f>SUM(K60,K56,K48)</f>
        <v>82951167</v>
      </c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4"/>
      <c r="AJ61" s="434"/>
      <c r="AK61" s="434"/>
      <c r="AL61" s="434"/>
      <c r="AM61" s="434"/>
      <c r="AN61" s="434"/>
      <c r="AO61" s="434"/>
      <c r="AP61" s="434"/>
      <c r="AQ61" s="434"/>
      <c r="AR61" s="434"/>
      <c r="AS61" s="434"/>
      <c r="AT61" s="434"/>
      <c r="AU61" s="434"/>
      <c r="AV61" s="434"/>
      <c r="AW61" s="434"/>
      <c r="AX61" s="434"/>
      <c r="AY61" s="434"/>
      <c r="AZ61" s="434"/>
      <c r="BA61" s="434"/>
      <c r="BB61" s="434"/>
      <c r="BC61" s="434"/>
      <c r="BD61" s="434"/>
      <c r="BE61" s="434"/>
      <c r="BF61" s="434"/>
      <c r="BG61" s="434"/>
      <c r="BH61" s="434"/>
      <c r="BI61" s="434"/>
      <c r="BJ61" s="434"/>
      <c r="BK61" s="434"/>
      <c r="BL61" s="434"/>
      <c r="BM61" s="434"/>
      <c r="BN61" s="434"/>
      <c r="BO61" s="434"/>
      <c r="BP61" s="434"/>
      <c r="BQ61" s="434"/>
      <c r="BR61" s="434"/>
      <c r="BS61" s="434"/>
      <c r="BT61" s="434"/>
      <c r="BU61" s="434"/>
      <c r="BV61" s="434"/>
      <c r="BW61" s="434"/>
      <c r="BX61" s="434"/>
      <c r="BY61" s="434"/>
      <c r="BZ61" s="434"/>
      <c r="CA61" s="434"/>
      <c r="CB61" s="434"/>
      <c r="CC61" s="434"/>
      <c r="CD61" s="434"/>
      <c r="CE61" s="434"/>
      <c r="CF61" s="434"/>
      <c r="CG61" s="434"/>
      <c r="CH61" s="434"/>
      <c r="CI61" s="434"/>
      <c r="CJ61" s="434"/>
      <c r="CK61" s="434"/>
      <c r="CL61" s="434"/>
      <c r="CM61" s="434"/>
      <c r="CN61" s="434"/>
      <c r="CO61" s="434"/>
      <c r="CP61" s="434"/>
      <c r="CQ61" s="434"/>
      <c r="CR61" s="434"/>
      <c r="CS61" s="434"/>
      <c r="CT61" s="434"/>
      <c r="CU61" s="434"/>
      <c r="CV61" s="434"/>
      <c r="CW61" s="434"/>
      <c r="CX61" s="434"/>
      <c r="CY61" s="434"/>
      <c r="CZ61" s="434"/>
      <c r="DA61" s="434"/>
      <c r="DB61" s="434"/>
      <c r="DC61" s="434"/>
      <c r="DD61" s="434"/>
      <c r="DE61" s="434"/>
      <c r="DF61" s="434"/>
      <c r="DG61" s="434"/>
      <c r="DH61" s="434"/>
      <c r="DI61" s="434"/>
      <c r="DJ61" s="434"/>
      <c r="DK61" s="434"/>
      <c r="DL61" s="434"/>
      <c r="DM61" s="434"/>
      <c r="DN61" s="434"/>
      <c r="DO61" s="434"/>
      <c r="DP61" s="434"/>
      <c r="DQ61" s="434"/>
      <c r="DR61" s="434"/>
      <c r="DS61" s="434"/>
      <c r="DT61" s="434"/>
      <c r="DU61" s="434"/>
      <c r="DV61" s="434"/>
      <c r="DW61" s="434"/>
      <c r="DX61" s="434"/>
      <c r="DY61" s="434"/>
      <c r="DZ61" s="434"/>
      <c r="EA61" s="434"/>
      <c r="EB61" s="434"/>
      <c r="EC61" s="434"/>
      <c r="ED61" s="434"/>
      <c r="EE61" s="434"/>
      <c r="EF61" s="434"/>
      <c r="EG61" s="434"/>
      <c r="EH61" s="434"/>
      <c r="EI61" s="434"/>
      <c r="EJ61" s="434"/>
      <c r="EK61" s="434"/>
      <c r="EL61" s="434"/>
      <c r="EM61" s="434"/>
      <c r="EN61" s="434"/>
      <c r="EO61" s="434"/>
      <c r="EP61" s="434"/>
      <c r="EQ61" s="434"/>
      <c r="ER61" s="434"/>
      <c r="ES61" s="434"/>
      <c r="ET61" s="434"/>
      <c r="EU61" s="434"/>
      <c r="EV61" s="434"/>
      <c r="EW61" s="434"/>
      <c r="EX61" s="434"/>
      <c r="EY61" s="434"/>
      <c r="EZ61" s="434"/>
      <c r="FA61" s="434"/>
      <c r="FB61" s="434"/>
      <c r="FC61" s="434"/>
      <c r="FD61" s="434"/>
      <c r="FE61" s="434"/>
      <c r="FF61" s="434"/>
      <c r="FG61" s="434"/>
      <c r="FH61" s="434"/>
      <c r="FI61" s="434"/>
      <c r="FJ61" s="434"/>
      <c r="FK61" s="434"/>
      <c r="FL61" s="434"/>
      <c r="FM61" s="434"/>
      <c r="FN61" s="434"/>
      <c r="FO61" s="434"/>
      <c r="FP61" s="434"/>
      <c r="FQ61" s="434"/>
      <c r="FR61" s="434"/>
      <c r="FS61" s="434"/>
      <c r="FT61" s="434"/>
      <c r="FU61" s="434"/>
      <c r="FV61" s="434"/>
      <c r="FW61" s="434"/>
      <c r="FX61" s="434"/>
      <c r="FY61" s="434"/>
      <c r="FZ61" s="434"/>
      <c r="GA61" s="434"/>
      <c r="GB61" s="434"/>
      <c r="GC61" s="434"/>
      <c r="GD61" s="434"/>
      <c r="GE61" s="434"/>
      <c r="GF61" s="434"/>
      <c r="GG61" s="434"/>
      <c r="GH61" s="434"/>
      <c r="GI61" s="434"/>
      <c r="GJ61" s="434"/>
      <c r="GK61" s="434"/>
      <c r="GL61" s="434"/>
      <c r="GM61" s="434"/>
      <c r="GN61" s="434"/>
      <c r="GO61" s="434"/>
      <c r="GP61" s="434"/>
      <c r="GQ61" s="434"/>
      <c r="GR61" s="434"/>
      <c r="GS61" s="434"/>
      <c r="GT61" s="434"/>
      <c r="GU61" s="434"/>
      <c r="GV61" s="434"/>
      <c r="GW61" s="434"/>
      <c r="GX61" s="434"/>
      <c r="GY61" s="434"/>
      <c r="GZ61" s="434"/>
      <c r="HA61" s="434"/>
      <c r="HB61" s="434"/>
      <c r="HC61" s="434"/>
      <c r="HD61" s="434"/>
      <c r="HE61" s="434"/>
      <c r="HF61" s="434"/>
      <c r="HG61" s="434"/>
      <c r="HH61" s="434"/>
      <c r="HI61" s="434"/>
      <c r="HJ61" s="434"/>
      <c r="HK61" s="434"/>
      <c r="HL61" s="434"/>
      <c r="HM61" s="434"/>
      <c r="HN61" s="434"/>
      <c r="HO61" s="434"/>
      <c r="HP61" s="434"/>
      <c r="HQ61" s="434"/>
      <c r="HR61" s="434"/>
      <c r="HS61" s="434"/>
      <c r="HT61" s="434"/>
      <c r="HU61" s="434"/>
      <c r="HV61" s="434"/>
      <c r="HW61" s="434"/>
      <c r="HX61" s="434"/>
      <c r="HY61" s="434"/>
      <c r="HZ61" s="434"/>
      <c r="IA61" s="434"/>
      <c r="IB61" s="434"/>
      <c r="IC61" s="434"/>
      <c r="ID61" s="434"/>
      <c r="IE61" s="434"/>
      <c r="IF61" s="434"/>
      <c r="IG61" s="434"/>
      <c r="IH61" s="434"/>
      <c r="II61" s="434"/>
      <c r="IJ61" s="434"/>
      <c r="IK61" s="434"/>
      <c r="IL61" s="434"/>
      <c r="IM61" s="434"/>
    </row>
    <row r="62" spans="1:247" ht="12.75" customHeight="1" thickBot="1">
      <c r="A62" s="1544" t="s">
        <v>241</v>
      </c>
      <c r="B62" s="1544"/>
      <c r="C62" s="1544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1:247" ht="30" customHeight="1">
      <c r="A63" s="1540" t="s">
        <v>156</v>
      </c>
      <c r="B63" s="1541"/>
      <c r="C63" s="400" t="s">
        <v>157</v>
      </c>
      <c r="D63" s="448" t="s">
        <v>158</v>
      </c>
      <c r="E63" s="448" t="s">
        <v>1002</v>
      </c>
      <c r="F63" s="448" t="s">
        <v>1070</v>
      </c>
      <c r="G63" s="448" t="s">
        <v>1131</v>
      </c>
      <c r="H63" s="448" t="s">
        <v>1141</v>
      </c>
      <c r="I63" s="448" t="s">
        <v>1148</v>
      </c>
      <c r="J63" s="448" t="s">
        <v>1158</v>
      </c>
      <c r="K63" s="448" t="s">
        <v>1181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247" ht="12.75" customHeight="1" thickBot="1">
      <c r="A64" s="1542"/>
      <c r="B64" s="1543"/>
      <c r="C64" s="402" t="s">
        <v>159</v>
      </c>
      <c r="D64" s="460" t="s">
        <v>160</v>
      </c>
      <c r="E64" s="460" t="s">
        <v>161</v>
      </c>
      <c r="F64" s="460" t="s">
        <v>162</v>
      </c>
      <c r="G64" s="460" t="s">
        <v>479</v>
      </c>
      <c r="H64" s="460" t="s">
        <v>499</v>
      </c>
      <c r="I64" s="460" t="s">
        <v>745</v>
      </c>
      <c r="J64" s="460" t="s">
        <v>826</v>
      </c>
      <c r="K64" s="460" t="s">
        <v>830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1:247" ht="12.75" customHeight="1">
      <c r="A65" s="128" t="s">
        <v>38</v>
      </c>
      <c r="B65" s="85"/>
      <c r="C65" s="385" t="s">
        <v>606</v>
      </c>
      <c r="D65" s="84"/>
      <c r="E65" s="84"/>
      <c r="F65" s="84"/>
      <c r="G65" s="84"/>
      <c r="H65" s="84"/>
      <c r="I65" s="84"/>
      <c r="J65" s="84"/>
      <c r="K65" s="84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1:247" ht="12.75" customHeight="1">
      <c r="A66" s="128" t="s">
        <v>40</v>
      </c>
      <c r="B66" s="85"/>
      <c r="C66" s="385" t="s">
        <v>177</v>
      </c>
      <c r="D66" s="84"/>
      <c r="E66" s="84"/>
      <c r="F66" s="84"/>
      <c r="G66" s="84"/>
      <c r="H66" s="84"/>
      <c r="I66" s="84"/>
      <c r="J66" s="84"/>
      <c r="K66" s="84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1:247" ht="12.75" customHeight="1">
      <c r="A67" s="128" t="s">
        <v>47</v>
      </c>
      <c r="B67" s="85"/>
      <c r="C67" s="385" t="s">
        <v>179</v>
      </c>
      <c r="D67" s="84">
        <v>1110294</v>
      </c>
      <c r="E67" s="84">
        <v>1100000</v>
      </c>
      <c r="F67" s="84">
        <v>1100000</v>
      </c>
      <c r="G67" s="84">
        <v>1100000</v>
      </c>
      <c r="H67" s="84">
        <v>1070000</v>
      </c>
      <c r="I67" s="84">
        <v>1070000</v>
      </c>
      <c r="J67" s="84">
        <v>1229555</v>
      </c>
      <c r="K67" s="84">
        <v>1229555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1:247" ht="12.75" customHeight="1">
      <c r="A68" s="128" t="s">
        <v>49</v>
      </c>
      <c r="B68" s="85"/>
      <c r="C68" s="385" t="s">
        <v>178</v>
      </c>
      <c r="D68" s="84">
        <v>0</v>
      </c>
      <c r="E68" s="84"/>
      <c r="F68" s="84"/>
      <c r="G68" s="84"/>
      <c r="H68" s="84"/>
      <c r="I68" s="84"/>
      <c r="J68" s="84"/>
      <c r="K68" s="84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1:247" ht="12.75" customHeight="1">
      <c r="A69" s="442" t="s">
        <v>51</v>
      </c>
      <c r="B69" s="184"/>
      <c r="C69" s="410" t="s">
        <v>180</v>
      </c>
      <c r="D69" s="84">
        <v>299786</v>
      </c>
      <c r="E69" s="84">
        <v>300000</v>
      </c>
      <c r="F69" s="84">
        <v>300000</v>
      </c>
      <c r="G69" s="84">
        <v>300000</v>
      </c>
      <c r="H69" s="84">
        <v>300000</v>
      </c>
      <c r="I69" s="84">
        <v>300000</v>
      </c>
      <c r="J69" s="84">
        <v>332008</v>
      </c>
      <c r="K69" s="84">
        <v>332008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247" ht="12.75" customHeight="1">
      <c r="A70" s="420">
        <v>6</v>
      </c>
      <c r="B70" s="384"/>
      <c r="C70" s="385" t="s">
        <v>740</v>
      </c>
      <c r="D70" s="326"/>
      <c r="E70" s="84"/>
      <c r="F70" s="84">
        <v>285000</v>
      </c>
      <c r="G70" s="84">
        <v>285000</v>
      </c>
      <c r="H70" s="84">
        <v>285000</v>
      </c>
      <c r="I70" s="84">
        <v>285000</v>
      </c>
      <c r="J70" s="84">
        <v>285000</v>
      </c>
      <c r="K70" s="84">
        <v>285000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247" ht="12.75" customHeight="1">
      <c r="A71" s="458" t="s">
        <v>55</v>
      </c>
      <c r="B71" s="459"/>
      <c r="C71" s="383" t="s">
        <v>617</v>
      </c>
      <c r="D71" s="84">
        <v>26</v>
      </c>
      <c r="E71" s="84"/>
      <c r="F71" s="84"/>
      <c r="G71" s="84"/>
      <c r="H71" s="84"/>
      <c r="I71" s="84"/>
      <c r="J71" s="84"/>
      <c r="K71" s="84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spans="1:247" ht="12.75" customHeight="1">
      <c r="A72" s="442" t="s">
        <v>57</v>
      </c>
      <c r="B72" s="184"/>
      <c r="C72" s="393" t="s">
        <v>183</v>
      </c>
      <c r="D72" s="173">
        <v>8</v>
      </c>
      <c r="E72" s="173"/>
      <c r="F72" s="173"/>
      <c r="G72" s="173"/>
      <c r="H72" s="173">
        <v>30000</v>
      </c>
      <c r="I72" s="173">
        <v>30000</v>
      </c>
      <c r="J72" s="173">
        <v>23275</v>
      </c>
      <c r="K72" s="173">
        <v>23275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spans="1:247" ht="12.75" customHeight="1">
      <c r="A73" s="461" t="s">
        <v>86</v>
      </c>
      <c r="B73" s="461" t="s">
        <v>167</v>
      </c>
      <c r="C73" s="431" t="s">
        <v>218</v>
      </c>
      <c r="D73" s="462">
        <f aca="true" t="shared" si="7" ref="D73:I73">SUM(D65:D72)</f>
        <v>1410114</v>
      </c>
      <c r="E73" s="462">
        <f t="shared" si="7"/>
        <v>1400000</v>
      </c>
      <c r="F73" s="462">
        <f t="shared" si="7"/>
        <v>1685000</v>
      </c>
      <c r="G73" s="462">
        <f t="shared" si="7"/>
        <v>1685000</v>
      </c>
      <c r="H73" s="462">
        <f t="shared" si="7"/>
        <v>1685000</v>
      </c>
      <c r="I73" s="462">
        <f t="shared" si="7"/>
        <v>1685000</v>
      </c>
      <c r="J73" s="462">
        <f>SUM(J65:J72)</f>
        <v>1869838</v>
      </c>
      <c r="K73" s="462">
        <f>SUM(K65:K72)</f>
        <v>1869838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1:247" ht="12.75" customHeight="1">
      <c r="A74" s="458" t="s">
        <v>59</v>
      </c>
      <c r="B74" s="459"/>
      <c r="C74" s="385" t="s">
        <v>609</v>
      </c>
      <c r="D74" s="131">
        <v>251267</v>
      </c>
      <c r="E74" s="131"/>
      <c r="F74" s="131"/>
      <c r="G74" s="131"/>
      <c r="H74" s="131"/>
      <c r="I74" s="131"/>
      <c r="J74" s="131"/>
      <c r="K74" s="131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1:247" ht="12.75" customHeight="1">
      <c r="A75" s="129" t="s">
        <v>61</v>
      </c>
      <c r="B75" s="85"/>
      <c r="C75" s="414" t="s">
        <v>630</v>
      </c>
      <c r="D75" s="84">
        <v>186267</v>
      </c>
      <c r="E75" s="84"/>
      <c r="F75" s="84"/>
      <c r="G75" s="84"/>
      <c r="H75" s="84"/>
      <c r="I75" s="84"/>
      <c r="J75" s="84"/>
      <c r="K75" s="84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1:247" ht="12.75" customHeight="1">
      <c r="A76" s="129" t="s">
        <v>63</v>
      </c>
      <c r="B76" s="260"/>
      <c r="C76" s="414" t="s">
        <v>729</v>
      </c>
      <c r="D76" s="326">
        <v>65000</v>
      </c>
      <c r="E76" s="326"/>
      <c r="F76" s="326"/>
      <c r="G76" s="326"/>
      <c r="H76" s="326"/>
      <c r="I76" s="326"/>
      <c r="J76" s="326"/>
      <c r="K76" s="32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spans="1:247" ht="12.75" customHeight="1">
      <c r="A77" s="129" t="s">
        <v>65</v>
      </c>
      <c r="B77" s="100" t="s">
        <v>174</v>
      </c>
      <c r="C77" s="432" t="s">
        <v>187</v>
      </c>
      <c r="D77" s="429">
        <f>SUM(D74)</f>
        <v>251267</v>
      </c>
      <c r="E77" s="429">
        <f>SUM(E74)</f>
        <v>0</v>
      </c>
      <c r="F77" s="429">
        <v>50000</v>
      </c>
      <c r="G77" s="429">
        <v>50000</v>
      </c>
      <c r="H77" s="429">
        <v>50000</v>
      </c>
      <c r="I77" s="429">
        <v>50000</v>
      </c>
      <c r="J77" s="429">
        <v>130000</v>
      </c>
      <c r="K77" s="429">
        <v>130000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1:247" ht="12.75" customHeight="1">
      <c r="A78" s="129" t="s">
        <v>92</v>
      </c>
      <c r="B78" s="100" t="s">
        <v>184</v>
      </c>
      <c r="C78" s="432" t="s">
        <v>741</v>
      </c>
      <c r="D78" s="429">
        <v>800000</v>
      </c>
      <c r="E78" s="429"/>
      <c r="F78" s="429"/>
      <c r="G78" s="429"/>
      <c r="H78" s="429"/>
      <c r="I78" s="429"/>
      <c r="J78" s="429"/>
      <c r="K78" s="429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spans="1:247" ht="12.75" customHeight="1">
      <c r="A79" s="128" t="s">
        <v>66</v>
      </c>
      <c r="B79" s="85"/>
      <c r="C79" s="385" t="s">
        <v>222</v>
      </c>
      <c r="D79" s="84">
        <v>455730</v>
      </c>
      <c r="E79" s="84">
        <v>522344</v>
      </c>
      <c r="F79" s="84">
        <v>522344</v>
      </c>
      <c r="G79" s="84">
        <v>522344</v>
      </c>
      <c r="H79" s="84">
        <v>522344</v>
      </c>
      <c r="I79" s="84">
        <v>522344</v>
      </c>
      <c r="J79" s="84">
        <v>522344</v>
      </c>
      <c r="K79" s="84">
        <v>522344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1:247" ht="12.75" customHeight="1">
      <c r="A80" s="128" t="s">
        <v>67</v>
      </c>
      <c r="B80" s="103"/>
      <c r="C80" s="17" t="s">
        <v>637</v>
      </c>
      <c r="D80" s="84">
        <v>29228811</v>
      </c>
      <c r="E80" s="84">
        <v>28072427</v>
      </c>
      <c r="F80" s="84">
        <v>28904204</v>
      </c>
      <c r="G80" s="84">
        <v>28904204</v>
      </c>
      <c r="H80" s="84">
        <v>28904204</v>
      </c>
      <c r="I80" s="84">
        <v>29621204</v>
      </c>
      <c r="J80" s="84">
        <v>28301846</v>
      </c>
      <c r="K80" s="84">
        <v>28301846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1:247" ht="12.75" customHeight="1">
      <c r="A81" s="442" t="s">
        <v>68</v>
      </c>
      <c r="B81" s="307"/>
      <c r="C81" s="5" t="s">
        <v>728</v>
      </c>
      <c r="D81" s="173">
        <v>85657376</v>
      </c>
      <c r="E81" s="173">
        <v>85845221</v>
      </c>
      <c r="F81" s="173">
        <v>85845221</v>
      </c>
      <c r="G81" s="173">
        <v>85874462</v>
      </c>
      <c r="H81" s="173">
        <v>85908641</v>
      </c>
      <c r="I81" s="173">
        <v>86331409</v>
      </c>
      <c r="J81" s="173">
        <v>86358177</v>
      </c>
      <c r="K81" s="173">
        <v>86358177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1:247" ht="12.75" customHeight="1" thickBot="1">
      <c r="A82" s="472" t="s">
        <v>70</v>
      </c>
      <c r="B82" s="473" t="s">
        <v>185</v>
      </c>
      <c r="C82" s="452" t="s">
        <v>635</v>
      </c>
      <c r="D82" s="89">
        <f aca="true" t="shared" si="8" ref="D82:I82">SUM(D79:D81)</f>
        <v>115341917</v>
      </c>
      <c r="E82" s="89">
        <f t="shared" si="8"/>
        <v>114439992</v>
      </c>
      <c r="F82" s="89">
        <f t="shared" si="8"/>
        <v>115271769</v>
      </c>
      <c r="G82" s="89">
        <f t="shared" si="8"/>
        <v>115301010</v>
      </c>
      <c r="H82" s="89">
        <f t="shared" si="8"/>
        <v>115335189</v>
      </c>
      <c r="I82" s="89">
        <f t="shared" si="8"/>
        <v>116474957</v>
      </c>
      <c r="J82" s="89">
        <f>SUM(J79:J81)</f>
        <v>115182367</v>
      </c>
      <c r="K82" s="89">
        <f>SUM(K79:K81)</f>
        <v>115182367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1:247" ht="19.5" customHeight="1" thickBot="1">
      <c r="A83" s="474" t="s">
        <v>70</v>
      </c>
      <c r="B83" s="475"/>
      <c r="C83" s="767" t="s">
        <v>242</v>
      </c>
      <c r="D83" s="768">
        <f aca="true" t="shared" si="9" ref="D83:I83">SUM(D73+D77+D82)+D78</f>
        <v>117803298</v>
      </c>
      <c r="E83" s="768">
        <f t="shared" si="9"/>
        <v>115839992</v>
      </c>
      <c r="F83" s="768">
        <f t="shared" si="9"/>
        <v>117006769</v>
      </c>
      <c r="G83" s="768">
        <f t="shared" si="9"/>
        <v>117036010</v>
      </c>
      <c r="H83" s="768">
        <f t="shared" si="9"/>
        <v>117070189</v>
      </c>
      <c r="I83" s="768">
        <f t="shared" si="9"/>
        <v>118209957</v>
      </c>
      <c r="J83" s="768">
        <f>SUM(J73+J77+J82)+J78</f>
        <v>117182205</v>
      </c>
      <c r="K83" s="768">
        <f>SUM(K73+K77+K82)+K78</f>
        <v>117182205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1:247" ht="12.75" customHeight="1" thickBot="1">
      <c r="A84" s="1544" t="s">
        <v>854</v>
      </c>
      <c r="B84" s="1544"/>
      <c r="C84" s="154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  <row r="85" spans="1:247" ht="28.5" customHeight="1">
      <c r="A85" s="1545" t="s">
        <v>156</v>
      </c>
      <c r="B85" s="1546"/>
      <c r="C85" s="468" t="s">
        <v>157</v>
      </c>
      <c r="D85" s="448" t="s">
        <v>158</v>
      </c>
      <c r="E85" s="448" t="s">
        <v>1002</v>
      </c>
      <c r="F85" s="448" t="s">
        <v>1070</v>
      </c>
      <c r="G85" s="448" t="s">
        <v>1131</v>
      </c>
      <c r="H85" s="448" t="s">
        <v>1141</v>
      </c>
      <c r="I85" s="448" t="s">
        <v>1148</v>
      </c>
      <c r="J85" s="448" t="s">
        <v>1158</v>
      </c>
      <c r="K85" s="448" t="s">
        <v>1181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</row>
    <row r="86" spans="1:247" ht="14.25" customHeight="1" thickBot="1">
      <c r="A86" s="1547"/>
      <c r="B86" s="1548"/>
      <c r="C86" s="469" t="s">
        <v>159</v>
      </c>
      <c r="D86" s="460" t="s">
        <v>160</v>
      </c>
      <c r="E86" s="460" t="s">
        <v>161</v>
      </c>
      <c r="F86" s="460" t="s">
        <v>162</v>
      </c>
      <c r="G86" s="460" t="s">
        <v>479</v>
      </c>
      <c r="H86" s="460" t="s">
        <v>499</v>
      </c>
      <c r="I86" s="460" t="s">
        <v>745</v>
      </c>
      <c r="J86" s="460" t="s">
        <v>826</v>
      </c>
      <c r="K86" s="460" t="s">
        <v>830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</row>
    <row r="87" spans="1:247" ht="14.25" customHeight="1">
      <c r="A87" s="465" t="s">
        <v>38</v>
      </c>
      <c r="B87" s="464"/>
      <c r="C87" s="385" t="s">
        <v>606</v>
      </c>
      <c r="D87" s="463"/>
      <c r="E87" s="463"/>
      <c r="F87" s="463"/>
      <c r="G87" s="463"/>
      <c r="H87" s="463"/>
      <c r="I87" s="463"/>
      <c r="J87" s="463"/>
      <c r="K87" s="463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</row>
    <row r="88" spans="1:247" ht="14.25" customHeight="1">
      <c r="A88" s="465" t="s">
        <v>40</v>
      </c>
      <c r="B88" s="464"/>
      <c r="C88" s="385" t="s">
        <v>177</v>
      </c>
      <c r="D88" s="463"/>
      <c r="E88" s="463"/>
      <c r="F88" s="463"/>
      <c r="G88" s="463"/>
      <c r="H88" s="463"/>
      <c r="I88" s="463"/>
      <c r="J88" s="463"/>
      <c r="K88" s="463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</row>
    <row r="89" spans="1:247" ht="14.25" customHeight="1">
      <c r="A89" s="465" t="s">
        <v>47</v>
      </c>
      <c r="B89" s="464"/>
      <c r="C89" s="385" t="s">
        <v>1067</v>
      </c>
      <c r="D89" s="1096">
        <v>507000</v>
      </c>
      <c r="E89" s="1096">
        <v>500000</v>
      </c>
      <c r="F89" s="1096">
        <v>500000</v>
      </c>
      <c r="G89" s="1096">
        <v>500000</v>
      </c>
      <c r="H89" s="1096">
        <v>500000</v>
      </c>
      <c r="I89" s="1096">
        <v>500000</v>
      </c>
      <c r="J89" s="1096">
        <v>617000</v>
      </c>
      <c r="K89" s="1096">
        <v>617000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</row>
    <row r="90" spans="1:247" ht="14.25" customHeight="1">
      <c r="A90" s="465" t="s">
        <v>49</v>
      </c>
      <c r="B90" s="464"/>
      <c r="C90" s="385" t="s">
        <v>180</v>
      </c>
      <c r="D90" s="1096"/>
      <c r="E90" s="1096"/>
      <c r="F90" s="1096"/>
      <c r="G90" s="1096"/>
      <c r="H90" s="1096"/>
      <c r="I90" s="1096"/>
      <c r="J90" s="1096"/>
      <c r="K90" s="1096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</row>
    <row r="91" spans="1:247" ht="14.25" customHeight="1">
      <c r="A91" s="465" t="s">
        <v>51</v>
      </c>
      <c r="B91" s="464"/>
      <c r="C91" s="383" t="s">
        <v>617</v>
      </c>
      <c r="D91" s="1096">
        <v>3</v>
      </c>
      <c r="E91" s="1096"/>
      <c r="F91" s="1096"/>
      <c r="G91" s="1096"/>
      <c r="H91" s="1096"/>
      <c r="I91" s="1096"/>
      <c r="J91" s="1096"/>
      <c r="K91" s="1096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</row>
    <row r="92" spans="1:247" ht="14.25" customHeight="1">
      <c r="A92" s="465" t="s">
        <v>53</v>
      </c>
      <c r="B92" s="464"/>
      <c r="C92" s="393" t="s">
        <v>183</v>
      </c>
      <c r="D92" s="1096">
        <v>1045</v>
      </c>
      <c r="E92" s="1096"/>
      <c r="F92" s="1096"/>
      <c r="G92" s="1096"/>
      <c r="H92" s="1096"/>
      <c r="I92" s="1096">
        <v>10</v>
      </c>
      <c r="J92" s="1096">
        <v>3</v>
      </c>
      <c r="K92" s="1096">
        <v>3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</row>
    <row r="93" spans="1:247" s="68" customFormat="1" ht="12.75" customHeight="1">
      <c r="A93" s="138" t="s">
        <v>55</v>
      </c>
      <c r="B93" s="466" t="s">
        <v>167</v>
      </c>
      <c r="C93" s="431" t="s">
        <v>218</v>
      </c>
      <c r="D93" s="467">
        <f aca="true" t="shared" si="10" ref="D93:I93">SUM(D87:D92)</f>
        <v>508048</v>
      </c>
      <c r="E93" s="467">
        <f t="shared" si="10"/>
        <v>500000</v>
      </c>
      <c r="F93" s="467">
        <f t="shared" si="10"/>
        <v>500000</v>
      </c>
      <c r="G93" s="467">
        <f t="shared" si="10"/>
        <v>500000</v>
      </c>
      <c r="H93" s="467">
        <f t="shared" si="10"/>
        <v>500000</v>
      </c>
      <c r="I93" s="467">
        <f t="shared" si="10"/>
        <v>500010</v>
      </c>
      <c r="J93" s="467">
        <f>SUM(J87:J92)</f>
        <v>617003</v>
      </c>
      <c r="K93" s="467">
        <f>SUM(K87:K92)</f>
        <v>617003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</row>
    <row r="94" spans="1:247" ht="12.75" customHeight="1">
      <c r="A94" s="128" t="s">
        <v>57</v>
      </c>
      <c r="B94" s="103"/>
      <c r="C94" s="385" t="s">
        <v>222</v>
      </c>
      <c r="D94" s="84">
        <v>325007</v>
      </c>
      <c r="E94" s="84">
        <v>174226</v>
      </c>
      <c r="F94" s="84">
        <v>174226</v>
      </c>
      <c r="G94" s="84">
        <v>174226</v>
      </c>
      <c r="H94" s="84">
        <v>174226</v>
      </c>
      <c r="I94" s="84">
        <v>174226</v>
      </c>
      <c r="J94" s="84">
        <v>174226</v>
      </c>
      <c r="K94" s="84">
        <v>174226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</row>
    <row r="95" spans="1:247" ht="12.75" customHeight="1">
      <c r="A95" s="128" t="s">
        <v>86</v>
      </c>
      <c r="B95" s="103"/>
      <c r="C95" s="17" t="s">
        <v>637</v>
      </c>
      <c r="D95" s="84">
        <v>9637441</v>
      </c>
      <c r="E95" s="84">
        <v>11793606</v>
      </c>
      <c r="F95" s="84">
        <v>11793606</v>
      </c>
      <c r="G95" s="84">
        <v>11793606</v>
      </c>
      <c r="H95" s="84">
        <v>11793606</v>
      </c>
      <c r="I95" s="84">
        <v>11793606</v>
      </c>
      <c r="J95" s="84">
        <v>8810557</v>
      </c>
      <c r="K95" s="84">
        <v>8810557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</row>
    <row r="96" spans="1:247" ht="12.75" customHeight="1">
      <c r="A96" s="442" t="s">
        <v>59</v>
      </c>
      <c r="B96" s="307"/>
      <c r="C96" s="5" t="s">
        <v>728</v>
      </c>
      <c r="D96" s="173">
        <v>4746312</v>
      </c>
      <c r="E96" s="173">
        <v>4261620</v>
      </c>
      <c r="F96" s="173">
        <v>4261620</v>
      </c>
      <c r="G96" s="173">
        <v>4435101</v>
      </c>
      <c r="H96" s="173">
        <v>4502717</v>
      </c>
      <c r="I96" s="173">
        <v>4650182</v>
      </c>
      <c r="J96" s="173">
        <v>4723912</v>
      </c>
      <c r="K96" s="173">
        <v>4723912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</row>
    <row r="97" spans="1:247" ht="12.75" customHeight="1" thickBot="1">
      <c r="A97" s="477" t="s">
        <v>61</v>
      </c>
      <c r="B97" s="473" t="s">
        <v>174</v>
      </c>
      <c r="C97" s="452" t="s">
        <v>635</v>
      </c>
      <c r="D97" s="89">
        <f aca="true" t="shared" si="11" ref="D97:I97">SUM(D94:D96)</f>
        <v>14708760</v>
      </c>
      <c r="E97" s="89">
        <f t="shared" si="11"/>
        <v>16229452</v>
      </c>
      <c r="F97" s="89">
        <f t="shared" si="11"/>
        <v>16229452</v>
      </c>
      <c r="G97" s="89">
        <f t="shared" si="11"/>
        <v>16402933</v>
      </c>
      <c r="H97" s="89">
        <f t="shared" si="11"/>
        <v>16470549</v>
      </c>
      <c r="I97" s="89">
        <f t="shared" si="11"/>
        <v>16618014</v>
      </c>
      <c r="J97" s="89">
        <f>SUM(J94:J96)</f>
        <v>13708695</v>
      </c>
      <c r="K97" s="89">
        <f>SUM(K94:K96)</f>
        <v>13708695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</row>
    <row r="98" spans="1:247" ht="17.25" customHeight="1" thickBot="1">
      <c r="A98" s="478" t="s">
        <v>63</v>
      </c>
      <c r="B98" s="475"/>
      <c r="C98" s="479" t="s">
        <v>1094</v>
      </c>
      <c r="D98" s="476">
        <f aca="true" t="shared" si="12" ref="D98:I98">SUM(D97,D93)</f>
        <v>15216808</v>
      </c>
      <c r="E98" s="476">
        <f t="shared" si="12"/>
        <v>16729452</v>
      </c>
      <c r="F98" s="476">
        <f t="shared" si="12"/>
        <v>16729452</v>
      </c>
      <c r="G98" s="476">
        <f t="shared" si="12"/>
        <v>16902933</v>
      </c>
      <c r="H98" s="476">
        <f t="shared" si="12"/>
        <v>16970549</v>
      </c>
      <c r="I98" s="476">
        <f t="shared" si="12"/>
        <v>17118024</v>
      </c>
      <c r="J98" s="476">
        <f>SUM(J97,J93)</f>
        <v>14325698</v>
      </c>
      <c r="K98" s="476">
        <f>SUM(K97,K93)</f>
        <v>14325698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</row>
    <row r="99" spans="1:3" ht="12.75" customHeight="1">
      <c r="A99" s="98"/>
      <c r="C99" s="68"/>
    </row>
    <row r="100" spans="1:3" ht="12.75" customHeight="1" thickBot="1">
      <c r="A100" s="98"/>
      <c r="C100" s="68" t="s">
        <v>244</v>
      </c>
    </row>
    <row r="101" spans="1:11" ht="25.5" customHeight="1">
      <c r="A101" s="1540" t="s">
        <v>156</v>
      </c>
      <c r="B101" s="1541"/>
      <c r="C101" s="447" t="s">
        <v>157</v>
      </c>
      <c r="D101" s="448" t="s">
        <v>158</v>
      </c>
      <c r="E101" s="448" t="s">
        <v>1002</v>
      </c>
      <c r="F101" s="448" t="s">
        <v>1070</v>
      </c>
      <c r="G101" s="448" t="s">
        <v>1131</v>
      </c>
      <c r="H101" s="448" t="s">
        <v>1141</v>
      </c>
      <c r="I101" s="448" t="s">
        <v>1148</v>
      </c>
      <c r="J101" s="448" t="s">
        <v>1158</v>
      </c>
      <c r="K101" s="448" t="s">
        <v>1181</v>
      </c>
    </row>
    <row r="102" spans="1:11" ht="12.75" customHeight="1" thickBot="1">
      <c r="A102" s="1542"/>
      <c r="B102" s="1543"/>
      <c r="C102" s="449" t="s">
        <v>159</v>
      </c>
      <c r="D102" s="460" t="s">
        <v>160</v>
      </c>
      <c r="E102" s="460" t="s">
        <v>161</v>
      </c>
      <c r="F102" s="460" t="s">
        <v>162</v>
      </c>
      <c r="G102" s="460" t="s">
        <v>479</v>
      </c>
      <c r="H102" s="460" t="s">
        <v>499</v>
      </c>
      <c r="I102" s="460" t="s">
        <v>745</v>
      </c>
      <c r="J102" s="460" t="s">
        <v>826</v>
      </c>
      <c r="K102" s="460" t="s">
        <v>830</v>
      </c>
    </row>
    <row r="103" spans="1:11" ht="12.75" customHeight="1">
      <c r="A103" s="128" t="s">
        <v>38</v>
      </c>
      <c r="B103" s="103"/>
      <c r="C103" s="385" t="s">
        <v>606</v>
      </c>
      <c r="D103" s="132">
        <v>89708</v>
      </c>
      <c r="E103" s="132">
        <v>90000</v>
      </c>
      <c r="F103" s="132">
        <v>90000</v>
      </c>
      <c r="G103" s="132">
        <v>90000</v>
      </c>
      <c r="H103" s="132">
        <v>91000</v>
      </c>
      <c r="I103" s="132">
        <v>121000</v>
      </c>
      <c r="J103" s="132">
        <v>146522</v>
      </c>
      <c r="K103" s="132">
        <v>146522</v>
      </c>
    </row>
    <row r="104" spans="1:11" ht="12.75" customHeight="1">
      <c r="A104" s="128" t="s">
        <v>40</v>
      </c>
      <c r="B104" s="103"/>
      <c r="C104" s="385" t="s">
        <v>177</v>
      </c>
      <c r="D104" s="132"/>
      <c r="E104" s="132"/>
      <c r="F104" s="132"/>
      <c r="G104" s="132"/>
      <c r="H104" s="132"/>
      <c r="I104" s="132"/>
      <c r="J104" s="132"/>
      <c r="K104" s="132"/>
    </row>
    <row r="105" spans="1:11" ht="12.75" customHeight="1">
      <c r="A105" s="128" t="s">
        <v>47</v>
      </c>
      <c r="B105" s="103"/>
      <c r="C105" s="385" t="s">
        <v>178</v>
      </c>
      <c r="D105" s="132">
        <v>83600</v>
      </c>
      <c r="E105" s="132">
        <v>84000</v>
      </c>
      <c r="F105" s="132">
        <v>84000</v>
      </c>
      <c r="G105" s="132">
        <v>84000</v>
      </c>
      <c r="H105" s="132">
        <v>82990</v>
      </c>
      <c r="I105" s="132">
        <v>90000</v>
      </c>
      <c r="J105" s="132">
        <v>113990</v>
      </c>
      <c r="K105" s="132">
        <v>113990</v>
      </c>
    </row>
    <row r="106" spans="1:11" ht="12.75" customHeight="1">
      <c r="A106" s="128" t="s">
        <v>49</v>
      </c>
      <c r="B106" s="103"/>
      <c r="C106" s="385" t="s">
        <v>716</v>
      </c>
      <c r="D106" s="132">
        <v>15670701</v>
      </c>
      <c r="E106" s="132">
        <v>16000000</v>
      </c>
      <c r="F106" s="132">
        <v>16000000</v>
      </c>
      <c r="G106" s="132">
        <v>16000000</v>
      </c>
      <c r="H106" s="132">
        <v>16000000</v>
      </c>
      <c r="I106" s="132">
        <v>16000000</v>
      </c>
      <c r="J106" s="132">
        <v>18172607</v>
      </c>
      <c r="K106" s="132">
        <v>18172607</v>
      </c>
    </row>
    <row r="107" spans="1:11" ht="12.75" customHeight="1">
      <c r="A107" s="128" t="s">
        <v>51</v>
      </c>
      <c r="B107" s="103"/>
      <c r="C107" s="385" t="s">
        <v>180</v>
      </c>
      <c r="D107" s="132">
        <v>4277524</v>
      </c>
      <c r="E107" s="132">
        <v>4000000</v>
      </c>
      <c r="F107" s="132">
        <v>4000000</v>
      </c>
      <c r="G107" s="132">
        <v>4000000</v>
      </c>
      <c r="H107" s="132">
        <v>4000000</v>
      </c>
      <c r="I107" s="132">
        <v>4000000</v>
      </c>
      <c r="J107" s="132">
        <v>4976718</v>
      </c>
      <c r="K107" s="132">
        <v>4976718</v>
      </c>
    </row>
    <row r="108" spans="1:11" ht="12.75" customHeight="1">
      <c r="A108" s="128" t="s">
        <v>53</v>
      </c>
      <c r="B108" s="103"/>
      <c r="C108" s="383" t="s">
        <v>617</v>
      </c>
      <c r="D108" s="132">
        <v>1</v>
      </c>
      <c r="E108" s="132"/>
      <c r="F108" s="132"/>
      <c r="G108" s="132"/>
      <c r="H108" s="132">
        <v>10</v>
      </c>
      <c r="I108" s="132">
        <v>6</v>
      </c>
      <c r="J108" s="132">
        <v>1</v>
      </c>
      <c r="K108" s="132">
        <v>1</v>
      </c>
    </row>
    <row r="109" spans="1:11" ht="12.75" customHeight="1">
      <c r="A109" s="128" t="s">
        <v>55</v>
      </c>
      <c r="B109" s="103"/>
      <c r="C109" s="393" t="s">
        <v>183</v>
      </c>
      <c r="D109" s="132">
        <v>529164</v>
      </c>
      <c r="E109" s="132"/>
      <c r="F109" s="132"/>
      <c r="G109" s="132"/>
      <c r="H109" s="132"/>
      <c r="I109" s="132">
        <v>4</v>
      </c>
      <c r="J109" s="132">
        <v>19</v>
      </c>
      <c r="K109" s="132">
        <v>19</v>
      </c>
    </row>
    <row r="110" spans="1:11" s="10" customFormat="1" ht="12.75" customHeight="1">
      <c r="A110" s="119" t="s">
        <v>57</v>
      </c>
      <c r="B110" s="480" t="s">
        <v>167</v>
      </c>
      <c r="C110" s="431" t="s">
        <v>218</v>
      </c>
      <c r="D110" s="467">
        <f aca="true" t="shared" si="13" ref="D110:I110">SUM(D103:D109)</f>
        <v>20650698</v>
      </c>
      <c r="E110" s="467">
        <f t="shared" si="13"/>
        <v>20174000</v>
      </c>
      <c r="F110" s="467">
        <f t="shared" si="13"/>
        <v>20174000</v>
      </c>
      <c r="G110" s="467">
        <f t="shared" si="13"/>
        <v>20174000</v>
      </c>
      <c r="H110" s="467">
        <f t="shared" si="13"/>
        <v>20174000</v>
      </c>
      <c r="I110" s="467">
        <f t="shared" si="13"/>
        <v>20211010</v>
      </c>
      <c r="J110" s="467">
        <f>SUM(J103:J109)</f>
        <v>23409857</v>
      </c>
      <c r="K110" s="467">
        <f>SUM(K103:K109)</f>
        <v>23409857</v>
      </c>
    </row>
    <row r="111" spans="1:11" s="10" customFormat="1" ht="27" customHeight="1">
      <c r="A111" s="119" t="s">
        <v>86</v>
      </c>
      <c r="B111" s="480" t="s">
        <v>174</v>
      </c>
      <c r="C111" s="1097" t="s">
        <v>166</v>
      </c>
      <c r="D111" s="467">
        <v>907459</v>
      </c>
      <c r="E111" s="467"/>
      <c r="F111" s="467"/>
      <c r="G111" s="467"/>
      <c r="H111" s="467"/>
      <c r="I111" s="467">
        <v>984913</v>
      </c>
      <c r="J111" s="467">
        <v>984913</v>
      </c>
      <c r="K111" s="467">
        <v>984913</v>
      </c>
    </row>
    <row r="112" spans="1:11" s="10" customFormat="1" ht="12.75" customHeight="1">
      <c r="A112" s="117">
        <v>10</v>
      </c>
      <c r="B112" s="480"/>
      <c r="C112" s="385" t="s">
        <v>222</v>
      </c>
      <c r="D112" s="132">
        <v>3099073</v>
      </c>
      <c r="E112" s="132">
        <v>1030008</v>
      </c>
      <c r="F112" s="132">
        <v>1030008</v>
      </c>
      <c r="G112" s="132">
        <v>1030008</v>
      </c>
      <c r="H112" s="132">
        <v>1030008</v>
      </c>
      <c r="I112" s="132">
        <v>1030008</v>
      </c>
      <c r="J112" s="132">
        <v>1030008</v>
      </c>
      <c r="K112" s="132">
        <v>1030008</v>
      </c>
    </row>
    <row r="113" spans="1:11" s="10" customFormat="1" ht="12.75" customHeight="1">
      <c r="A113" s="117" t="s">
        <v>61</v>
      </c>
      <c r="B113" s="480"/>
      <c r="C113" s="161" t="s">
        <v>637</v>
      </c>
      <c r="D113" s="769">
        <v>34529419</v>
      </c>
      <c r="E113" s="769">
        <v>35742539</v>
      </c>
      <c r="F113" s="769">
        <v>35742539</v>
      </c>
      <c r="G113" s="769">
        <v>35742539</v>
      </c>
      <c r="H113" s="769">
        <v>35742539</v>
      </c>
      <c r="I113" s="769">
        <v>35742539</v>
      </c>
      <c r="J113" s="769">
        <v>35614586</v>
      </c>
      <c r="K113" s="769">
        <v>35614586</v>
      </c>
    </row>
    <row r="114" spans="1:11" s="10" customFormat="1" ht="12.75" customHeight="1">
      <c r="A114" s="384" t="s">
        <v>63</v>
      </c>
      <c r="B114" s="771"/>
      <c r="C114" s="410" t="s">
        <v>728</v>
      </c>
      <c r="D114" s="770">
        <v>28993914</v>
      </c>
      <c r="E114" s="770">
        <v>31820018</v>
      </c>
      <c r="F114" s="770">
        <v>31820018</v>
      </c>
      <c r="G114" s="770">
        <v>31820018</v>
      </c>
      <c r="H114" s="770">
        <v>31834119</v>
      </c>
      <c r="I114" s="770">
        <v>31925952</v>
      </c>
      <c r="J114" s="770">
        <v>31925952</v>
      </c>
      <c r="K114" s="770">
        <v>31925952</v>
      </c>
    </row>
    <row r="115" spans="1:11" s="10" customFormat="1" ht="12.75" customHeight="1" thickBot="1">
      <c r="A115" s="481" t="s">
        <v>65</v>
      </c>
      <c r="B115" s="482" t="s">
        <v>174</v>
      </c>
      <c r="C115" s="452" t="s">
        <v>635</v>
      </c>
      <c r="D115" s="483">
        <f aca="true" t="shared" si="14" ref="D115:I115">SUM(D112:D113)+D114</f>
        <v>66622406</v>
      </c>
      <c r="E115" s="483">
        <f t="shared" si="14"/>
        <v>68592565</v>
      </c>
      <c r="F115" s="483">
        <f t="shared" si="14"/>
        <v>68592565</v>
      </c>
      <c r="G115" s="483">
        <f t="shared" si="14"/>
        <v>68592565</v>
      </c>
      <c r="H115" s="483">
        <f t="shared" si="14"/>
        <v>68606666</v>
      </c>
      <c r="I115" s="483">
        <f t="shared" si="14"/>
        <v>68698499</v>
      </c>
      <c r="J115" s="483">
        <f>SUM(J112:J113)+J114</f>
        <v>68570546</v>
      </c>
      <c r="K115" s="483">
        <f>SUM(K112:K113)+K114</f>
        <v>68570546</v>
      </c>
    </row>
    <row r="116" spans="1:11" ht="36.75" customHeight="1" thickBot="1">
      <c r="A116" s="478" t="s">
        <v>92</v>
      </c>
      <c r="B116" s="475"/>
      <c r="C116" s="484" t="s">
        <v>245</v>
      </c>
      <c r="D116" s="476">
        <f aca="true" t="shared" si="15" ref="D116:I116">SUM(D110+D115)+D111</f>
        <v>88180563</v>
      </c>
      <c r="E116" s="476">
        <f t="shared" si="15"/>
        <v>88766565</v>
      </c>
      <c r="F116" s="476">
        <f t="shared" si="15"/>
        <v>88766565</v>
      </c>
      <c r="G116" s="476">
        <f t="shared" si="15"/>
        <v>88766565</v>
      </c>
      <c r="H116" s="476">
        <f t="shared" si="15"/>
        <v>88780666</v>
      </c>
      <c r="I116" s="476">
        <f t="shared" si="15"/>
        <v>89894422</v>
      </c>
      <c r="J116" s="476">
        <f>SUM(J110+J115)+J111</f>
        <v>92965316</v>
      </c>
      <c r="K116" s="476">
        <f>SUM(K110+K115)+K111</f>
        <v>92965316</v>
      </c>
    </row>
    <row r="117" spans="1:3" ht="12.75" customHeight="1">
      <c r="A117" s="98"/>
      <c r="C117" s="68"/>
    </row>
    <row r="118" spans="1:11" ht="12.75" customHeight="1">
      <c r="A118" s="98"/>
      <c r="C118" s="10" t="s">
        <v>246</v>
      </c>
      <c r="D118" s="52">
        <f aca="true" t="shared" si="16" ref="D118:I118">D116+D98+D83+D61+D43</f>
        <v>1469992150</v>
      </c>
      <c r="E118" s="52">
        <f t="shared" si="16"/>
        <v>1432639501</v>
      </c>
      <c r="F118" s="52">
        <f t="shared" si="16"/>
        <v>1445581996</v>
      </c>
      <c r="G118" s="52">
        <f t="shared" si="16"/>
        <v>1447105878</v>
      </c>
      <c r="H118" s="52">
        <f t="shared" si="16"/>
        <v>1450700996</v>
      </c>
      <c r="I118" s="52">
        <f t="shared" si="16"/>
        <v>1459658300</v>
      </c>
      <c r="J118" s="52">
        <f>J116+J98+J83+J61+J43</f>
        <v>1492126330</v>
      </c>
      <c r="K118" s="52">
        <f>K116+K98+K83+K61+K43</f>
        <v>1492132324</v>
      </c>
    </row>
    <row r="119" spans="1:11" s="6" customFormat="1" ht="12.75" customHeight="1">
      <c r="A119" s="133"/>
      <c r="C119" s="134"/>
      <c r="D119" s="135"/>
      <c r="E119" s="135"/>
      <c r="F119" s="135"/>
      <c r="G119" s="135"/>
      <c r="H119" s="135"/>
      <c r="I119" s="135"/>
      <c r="J119" s="135"/>
      <c r="K119" s="135"/>
    </row>
  </sheetData>
  <sheetProtection selectLockedCells="1" selectUnlockedCells="1"/>
  <mergeCells count="14">
    <mergeCell ref="A1:K1"/>
    <mergeCell ref="A7:C7"/>
    <mergeCell ref="A4:K4"/>
    <mergeCell ref="A2:K2"/>
    <mergeCell ref="A5:K5"/>
    <mergeCell ref="D3:H3"/>
    <mergeCell ref="A101:B102"/>
    <mergeCell ref="A8:B9"/>
    <mergeCell ref="A44:C44"/>
    <mergeCell ref="A45:B46"/>
    <mergeCell ref="A62:C62"/>
    <mergeCell ref="A63:B64"/>
    <mergeCell ref="A84:C84"/>
    <mergeCell ref="A85:B86"/>
  </mergeCells>
  <printOptions horizontalCentered="1"/>
  <pageMargins left="0.3937007874015748" right="0.3937007874015748" top="0.4724409448818898" bottom="0.4724409448818898" header="0.5118110236220472" footer="0.7874015748031497"/>
  <pageSetup horizontalDpi="600" verticalDpi="600" orientation="portrait" paperSize="9" scale="42" r:id="rId1"/>
  <headerFooter alignWithMargins="0">
    <oddFooter>&amp;C&amp;"Times New Roman,Normál"&amp;12Oldal &amp;P</oddFooter>
  </headerFooter>
  <rowBreaks count="1" manualBreakCount="1">
    <brk id="83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L267"/>
  <sheetViews>
    <sheetView showGridLines="0" view="pageBreakPreview" zoomScale="110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C22" sqref="C22"/>
    </sheetView>
  </sheetViews>
  <sheetFormatPr defaultColWidth="11.7109375" defaultRowHeight="12.75" customHeight="1"/>
  <cols>
    <col min="1" max="1" width="4.7109375" style="5" customWidth="1"/>
    <col min="2" max="2" width="3.8515625" style="5" customWidth="1"/>
    <col min="3" max="3" width="56.28125" style="5" customWidth="1"/>
    <col min="4" max="4" width="9.7109375" style="5" customWidth="1"/>
    <col min="5" max="12" width="17.8515625" style="52" customWidth="1"/>
    <col min="13" max="16384" width="11.7109375" style="5" customWidth="1"/>
  </cols>
  <sheetData>
    <row r="1" spans="1:12" s="96" customFormat="1" ht="18" customHeight="1">
      <c r="A1" s="1531" t="s">
        <v>247</v>
      </c>
      <c r="B1" s="1531"/>
      <c r="C1" s="1531"/>
      <c r="D1" s="1531"/>
      <c r="E1" s="1531"/>
      <c r="F1" s="1531"/>
      <c r="G1" s="1531"/>
      <c r="H1" s="1531"/>
      <c r="I1" s="1531"/>
      <c r="J1" s="1531"/>
      <c r="K1" s="1531"/>
      <c r="L1" s="1531"/>
    </row>
    <row r="2" spans="1:12" ht="12.75" customHeight="1">
      <c r="A2" s="1552" t="s">
        <v>1226</v>
      </c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2"/>
    </row>
    <row r="3" spans="1:12" ht="12.75" customHeight="1">
      <c r="A3" s="1552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</row>
    <row r="4" spans="1:12" ht="12.75" customHeight="1">
      <c r="A4" s="1497"/>
      <c r="B4" s="1497"/>
      <c r="C4" s="1497"/>
      <c r="D4" s="1497"/>
      <c r="E4" s="1536" t="s">
        <v>1227</v>
      </c>
      <c r="F4" s="1536"/>
      <c r="G4" s="1536"/>
      <c r="H4" s="1536"/>
      <c r="I4" s="1497"/>
      <c r="J4" s="1497"/>
      <c r="K4" s="1497"/>
      <c r="L4" s="1497"/>
    </row>
    <row r="5" spans="1:12" ht="12.75" customHeight="1">
      <c r="A5" s="1539" t="s">
        <v>1008</v>
      </c>
      <c r="B5" s="1539"/>
      <c r="C5" s="1539"/>
      <c r="D5" s="1539"/>
      <c r="E5" s="1539"/>
      <c r="F5" s="1539"/>
      <c r="G5" s="1539"/>
      <c r="H5" s="1539"/>
      <c r="I5" s="1539"/>
      <c r="J5" s="1539"/>
      <c r="K5" s="1539"/>
      <c r="L5" s="1539"/>
    </row>
    <row r="6" spans="1:12" ht="12.75" customHeight="1">
      <c r="A6" s="1539"/>
      <c r="B6" s="1539"/>
      <c r="C6" s="1539"/>
      <c r="D6" s="1539"/>
      <c r="E6" s="1539"/>
      <c r="F6" s="1539"/>
      <c r="G6" s="1539"/>
      <c r="H6" s="1539"/>
      <c r="I6" s="1539"/>
      <c r="J6" s="1539"/>
      <c r="K6" s="1539"/>
      <c r="L6" s="1539"/>
    </row>
    <row r="7" spans="1:12" ht="12.75" customHeight="1">
      <c r="A7" s="1539"/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</row>
    <row r="8" spans="1:12" ht="12.75" customHeight="1">
      <c r="A8" s="136"/>
      <c r="B8" s="136"/>
      <c r="C8" s="136"/>
      <c r="D8" s="136"/>
      <c r="E8" s="127"/>
      <c r="F8" s="127"/>
      <c r="G8" s="127"/>
      <c r="H8" s="127"/>
      <c r="I8" s="127"/>
      <c r="J8" s="127"/>
      <c r="K8" s="127"/>
      <c r="L8" s="127"/>
    </row>
    <row r="9" spans="2:12" ht="12" customHeight="1" thickBot="1">
      <c r="B9" s="136"/>
      <c r="C9" s="136"/>
      <c r="D9" s="136"/>
      <c r="E9" s="1102"/>
      <c r="F9" s="1102"/>
      <c r="G9" s="1102"/>
      <c r="H9" s="1102"/>
      <c r="I9" s="1102"/>
      <c r="J9" s="1102"/>
      <c r="K9" s="1102"/>
      <c r="L9" s="1102" t="s">
        <v>216</v>
      </c>
    </row>
    <row r="10" spans="1:12" ht="48" customHeight="1">
      <c r="A10" s="1556" t="s">
        <v>156</v>
      </c>
      <c r="B10" s="1557"/>
      <c r="C10" s="485" t="s">
        <v>248</v>
      </c>
      <c r="D10" s="485" t="s">
        <v>1007</v>
      </c>
      <c r="E10" s="448" t="s">
        <v>158</v>
      </c>
      <c r="F10" s="448" t="s">
        <v>1002</v>
      </c>
      <c r="G10" s="448" t="s">
        <v>1070</v>
      </c>
      <c r="H10" s="448" t="s">
        <v>1131</v>
      </c>
      <c r="I10" s="448" t="s">
        <v>1141</v>
      </c>
      <c r="J10" s="448" t="s">
        <v>1148</v>
      </c>
      <c r="K10" s="448" t="s">
        <v>1158</v>
      </c>
      <c r="L10" s="448" t="s">
        <v>1181</v>
      </c>
    </row>
    <row r="11" spans="1:12" ht="12.75" customHeight="1" thickBot="1">
      <c r="A11" s="1558"/>
      <c r="B11" s="1559"/>
      <c r="C11" s="486" t="s">
        <v>159</v>
      </c>
      <c r="D11" s="486" t="s">
        <v>160</v>
      </c>
      <c r="E11" s="450" t="s">
        <v>161</v>
      </c>
      <c r="F11" s="450" t="s">
        <v>162</v>
      </c>
      <c r="G11" s="450" t="s">
        <v>479</v>
      </c>
      <c r="H11" s="450" t="s">
        <v>499</v>
      </c>
      <c r="I11" s="450" t="s">
        <v>745</v>
      </c>
      <c r="J11" s="450" t="s">
        <v>826</v>
      </c>
      <c r="K11" s="450" t="s">
        <v>830</v>
      </c>
      <c r="L11" s="450" t="s">
        <v>987</v>
      </c>
    </row>
    <row r="12" spans="1:4" s="140" customFormat="1" ht="19.5" customHeight="1">
      <c r="A12" s="138" t="s">
        <v>38</v>
      </c>
      <c r="B12" s="139" t="s">
        <v>165</v>
      </c>
      <c r="C12" s="1560" t="s">
        <v>1049</v>
      </c>
      <c r="D12" s="1560"/>
    </row>
    <row r="13" spans="1:12" s="68" customFormat="1" ht="12.75" customHeight="1">
      <c r="A13" s="138" t="s">
        <v>40</v>
      </c>
      <c r="B13" s="141" t="s">
        <v>38</v>
      </c>
      <c r="C13" s="9" t="s">
        <v>249</v>
      </c>
      <c r="D13" s="66"/>
      <c r="E13" s="66">
        <v>673000</v>
      </c>
      <c r="F13" s="66">
        <v>673000</v>
      </c>
      <c r="G13" s="66">
        <v>673000</v>
      </c>
      <c r="H13" s="66">
        <v>673000</v>
      </c>
      <c r="I13" s="66">
        <v>673000</v>
      </c>
      <c r="J13" s="66">
        <v>673000</v>
      </c>
      <c r="K13" s="66">
        <v>673000</v>
      </c>
      <c r="L13" s="66">
        <v>450000</v>
      </c>
    </row>
    <row r="14" spans="1:12" ht="12.75" customHeight="1">
      <c r="A14" s="143" t="s">
        <v>47</v>
      </c>
      <c r="B14" s="144"/>
      <c r="C14" s="17" t="s">
        <v>250</v>
      </c>
      <c r="D14" s="84"/>
      <c r="E14" s="84">
        <v>673000</v>
      </c>
      <c r="F14" s="84">
        <v>673000</v>
      </c>
      <c r="G14" s="84">
        <v>673000</v>
      </c>
      <c r="H14" s="84">
        <v>673000</v>
      </c>
      <c r="I14" s="84">
        <v>673000</v>
      </c>
      <c r="J14" s="84">
        <v>673000</v>
      </c>
      <c r="K14" s="84">
        <v>673000</v>
      </c>
      <c r="L14" s="84">
        <v>450000</v>
      </c>
    </row>
    <row r="15" spans="1:12" ht="12.75" customHeight="1">
      <c r="A15" s="138" t="s">
        <v>49</v>
      </c>
      <c r="B15" s="141" t="s">
        <v>40</v>
      </c>
      <c r="C15" s="9" t="s">
        <v>251</v>
      </c>
      <c r="D15" s="66"/>
      <c r="E15" s="66">
        <v>551000</v>
      </c>
      <c r="F15" s="66">
        <v>551000</v>
      </c>
      <c r="G15" s="66">
        <v>551000</v>
      </c>
      <c r="H15" s="66">
        <v>551000</v>
      </c>
      <c r="I15" s="66">
        <v>551000</v>
      </c>
      <c r="J15" s="66">
        <v>551000</v>
      </c>
      <c r="K15" s="66">
        <v>551000</v>
      </c>
      <c r="L15" s="66">
        <v>0</v>
      </c>
    </row>
    <row r="16" spans="1:12" ht="12.75" customHeight="1">
      <c r="A16" s="143" t="s">
        <v>51</v>
      </c>
      <c r="B16" s="144"/>
      <c r="C16" s="17" t="s">
        <v>250</v>
      </c>
      <c r="D16" s="84"/>
      <c r="E16" s="84">
        <v>551000</v>
      </c>
      <c r="F16" s="84">
        <v>551000</v>
      </c>
      <c r="G16" s="84">
        <v>551000</v>
      </c>
      <c r="H16" s="84">
        <v>551000</v>
      </c>
      <c r="I16" s="84">
        <v>551000</v>
      </c>
      <c r="J16" s="84">
        <v>551000</v>
      </c>
      <c r="K16" s="84">
        <v>551000</v>
      </c>
      <c r="L16" s="84">
        <v>0</v>
      </c>
    </row>
    <row r="17" spans="1:12" ht="12.75" customHeight="1">
      <c r="A17" s="143" t="s">
        <v>53</v>
      </c>
      <c r="B17" s="144"/>
      <c r="C17" s="17" t="s">
        <v>252</v>
      </c>
      <c r="D17" s="84"/>
      <c r="E17" s="84"/>
      <c r="F17" s="84"/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</row>
    <row r="18" spans="1:12" ht="12.75" customHeight="1">
      <c r="A18" s="138" t="s">
        <v>55</v>
      </c>
      <c r="B18" s="141" t="s">
        <v>47</v>
      </c>
      <c r="C18" s="9" t="s">
        <v>256</v>
      </c>
      <c r="D18" s="773"/>
      <c r="E18" s="66">
        <f>E19</f>
        <v>7000000</v>
      </c>
      <c r="F18" s="66">
        <v>7000000</v>
      </c>
      <c r="G18" s="66">
        <v>7000000</v>
      </c>
      <c r="H18" s="66">
        <v>7000000</v>
      </c>
      <c r="I18" s="66">
        <v>7000000</v>
      </c>
      <c r="J18" s="66">
        <v>7000000</v>
      </c>
      <c r="K18" s="66">
        <v>7000000</v>
      </c>
      <c r="L18" s="66">
        <v>5859540</v>
      </c>
    </row>
    <row r="19" spans="1:12" ht="12.75" customHeight="1">
      <c r="A19" s="143" t="s">
        <v>57</v>
      </c>
      <c r="B19" s="144"/>
      <c r="C19" s="17" t="s">
        <v>250</v>
      </c>
      <c r="D19" s="772"/>
      <c r="E19" s="84">
        <v>7000000</v>
      </c>
      <c r="F19" s="84">
        <v>7000000</v>
      </c>
      <c r="G19" s="84">
        <v>7000000</v>
      </c>
      <c r="H19" s="84">
        <v>7000000</v>
      </c>
      <c r="I19" s="84">
        <v>7000000</v>
      </c>
      <c r="J19" s="84">
        <v>7000000</v>
      </c>
      <c r="K19" s="84">
        <v>7000000</v>
      </c>
      <c r="L19" s="84">
        <v>5859540</v>
      </c>
    </row>
    <row r="20" spans="1:12" ht="12.75" customHeight="1">
      <c r="A20" s="138" t="s">
        <v>86</v>
      </c>
      <c r="B20" s="141" t="s">
        <v>49</v>
      </c>
      <c r="C20" s="9" t="s">
        <v>257</v>
      </c>
      <c r="D20" s="773"/>
      <c r="E20" s="66">
        <v>100000</v>
      </c>
      <c r="F20" s="66">
        <v>100000</v>
      </c>
      <c r="G20" s="66">
        <v>100000</v>
      </c>
      <c r="H20" s="66">
        <v>100000</v>
      </c>
      <c r="I20" s="66">
        <v>100000</v>
      </c>
      <c r="J20" s="66">
        <v>100000</v>
      </c>
      <c r="K20" s="66">
        <v>100000</v>
      </c>
      <c r="L20" s="66">
        <v>0</v>
      </c>
    </row>
    <row r="21" spans="1:12" ht="12.75" customHeight="1">
      <c r="A21" s="143" t="s">
        <v>59</v>
      </c>
      <c r="B21" s="144"/>
      <c r="C21" s="17" t="s">
        <v>250</v>
      </c>
      <c r="D21" s="772"/>
      <c r="E21" s="84">
        <v>100000</v>
      </c>
      <c r="F21" s="84">
        <v>100000</v>
      </c>
      <c r="G21" s="84">
        <v>100000</v>
      </c>
      <c r="H21" s="84">
        <v>100000</v>
      </c>
      <c r="I21" s="84">
        <v>100000</v>
      </c>
      <c r="J21" s="84">
        <v>100000</v>
      </c>
      <c r="K21" s="84">
        <v>100000</v>
      </c>
      <c r="L21" s="84">
        <v>0</v>
      </c>
    </row>
    <row r="22" spans="1:12" ht="12.75" customHeight="1">
      <c r="A22" s="143" t="s">
        <v>61</v>
      </c>
      <c r="B22" s="141" t="s">
        <v>51</v>
      </c>
      <c r="C22" s="283" t="s">
        <v>1084</v>
      </c>
      <c r="D22" s="283"/>
      <c r="E22" s="283">
        <v>335165</v>
      </c>
      <c r="F22" s="283">
        <v>0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323173</v>
      </c>
    </row>
    <row r="23" spans="1:12" ht="12.75" customHeight="1">
      <c r="A23" s="143" t="s">
        <v>63</v>
      </c>
      <c r="B23" s="144"/>
      <c r="C23" s="280" t="s">
        <v>125</v>
      </c>
      <c r="D23" s="280"/>
      <c r="E23" s="280">
        <v>335165</v>
      </c>
      <c r="F23" s="280"/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323173</v>
      </c>
    </row>
    <row r="24" spans="1:12" ht="12.75" customHeight="1">
      <c r="A24" s="138" t="s">
        <v>65</v>
      </c>
      <c r="B24" s="141" t="s">
        <v>53</v>
      </c>
      <c r="C24" s="9" t="s">
        <v>258</v>
      </c>
      <c r="D24" s="146">
        <v>1</v>
      </c>
      <c r="E24" s="66">
        <f aca="true" t="shared" si="0" ref="E24:J24">SUM(E25:E28)</f>
        <v>10005000</v>
      </c>
      <c r="F24" s="66">
        <f t="shared" si="0"/>
        <v>4274204</v>
      </c>
      <c r="G24" s="66">
        <f t="shared" si="0"/>
        <v>1634204</v>
      </c>
      <c r="H24" s="66">
        <f t="shared" si="0"/>
        <v>1634204</v>
      </c>
      <c r="I24" s="66">
        <f t="shared" si="0"/>
        <v>1634204</v>
      </c>
      <c r="J24" s="66">
        <f t="shared" si="0"/>
        <v>1634204</v>
      </c>
      <c r="K24" s="66">
        <f>SUM(K25:K28)</f>
        <v>1634204</v>
      </c>
      <c r="L24" s="66">
        <v>1592137</v>
      </c>
    </row>
    <row r="25" spans="1:12" ht="12.75" customHeight="1">
      <c r="A25" s="143" t="s">
        <v>92</v>
      </c>
      <c r="B25" s="144"/>
      <c r="C25" s="17" t="s">
        <v>253</v>
      </c>
      <c r="D25" s="147"/>
      <c r="E25" s="84">
        <v>5197000</v>
      </c>
      <c r="F25" s="84">
        <v>1353537</v>
      </c>
      <c r="G25" s="84">
        <v>1353537</v>
      </c>
      <c r="H25" s="84">
        <v>1353537</v>
      </c>
      <c r="I25" s="84">
        <v>1353537</v>
      </c>
      <c r="J25" s="84">
        <v>1353537</v>
      </c>
      <c r="K25" s="84">
        <v>1353537</v>
      </c>
      <c r="L25" s="84">
        <v>721850</v>
      </c>
    </row>
    <row r="26" spans="1:12" ht="12.75" customHeight="1">
      <c r="A26" s="143" t="s">
        <v>66</v>
      </c>
      <c r="B26" s="144"/>
      <c r="C26" s="17" t="s">
        <v>254</v>
      </c>
      <c r="D26" s="147"/>
      <c r="E26" s="84">
        <v>1168000</v>
      </c>
      <c r="F26" s="84">
        <v>280667</v>
      </c>
      <c r="G26" s="84">
        <v>280667</v>
      </c>
      <c r="H26" s="84">
        <v>280667</v>
      </c>
      <c r="I26" s="84">
        <v>280667</v>
      </c>
      <c r="J26" s="84">
        <v>280667</v>
      </c>
      <c r="K26" s="84">
        <v>280667</v>
      </c>
      <c r="L26" s="84">
        <v>10330</v>
      </c>
    </row>
    <row r="27" spans="1:12" ht="12.75" customHeight="1">
      <c r="A27" s="143" t="s">
        <v>67</v>
      </c>
      <c r="B27" s="148"/>
      <c r="C27" s="130" t="s">
        <v>255</v>
      </c>
      <c r="D27" s="149"/>
      <c r="E27" s="84">
        <v>1000000</v>
      </c>
      <c r="F27" s="84"/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859957</v>
      </c>
    </row>
    <row r="28" spans="1:12" ht="12.75" customHeight="1">
      <c r="A28" s="143" t="s">
        <v>67</v>
      </c>
      <c r="B28" s="148"/>
      <c r="C28" s="17" t="s">
        <v>259</v>
      </c>
      <c r="D28" s="149"/>
      <c r="E28" s="84">
        <v>2640000</v>
      </c>
      <c r="F28" s="84">
        <v>2640000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</row>
    <row r="29" spans="1:12" ht="12.75" customHeight="1">
      <c r="A29" s="143" t="s">
        <v>68</v>
      </c>
      <c r="B29" s="148"/>
      <c r="C29" s="17" t="s">
        <v>252</v>
      </c>
      <c r="D29" s="149"/>
      <c r="E29" s="84">
        <v>0</v>
      </c>
      <c r="F29" s="84"/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</row>
    <row r="30" spans="1:12" ht="12.75" customHeight="1">
      <c r="A30" s="138" t="s">
        <v>70</v>
      </c>
      <c r="B30" s="150" t="s">
        <v>55</v>
      </c>
      <c r="C30" s="9" t="s">
        <v>260</v>
      </c>
      <c r="D30" s="151"/>
      <c r="E30" s="66">
        <v>200000</v>
      </c>
      <c r="F30" s="66">
        <v>200000</v>
      </c>
      <c r="G30" s="66">
        <v>200000</v>
      </c>
      <c r="H30" s="66">
        <v>200000</v>
      </c>
      <c r="I30" s="66">
        <v>200000</v>
      </c>
      <c r="J30" s="66">
        <v>200000</v>
      </c>
      <c r="K30" s="66">
        <v>200000</v>
      </c>
      <c r="L30" s="66">
        <v>0</v>
      </c>
    </row>
    <row r="31" spans="1:12" ht="12.75" customHeight="1">
      <c r="A31" s="143" t="s">
        <v>97</v>
      </c>
      <c r="B31" s="148"/>
      <c r="C31" s="17" t="s">
        <v>261</v>
      </c>
      <c r="D31" s="147"/>
      <c r="E31" s="84"/>
      <c r="F31" s="84"/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</row>
    <row r="32" spans="1:12" ht="12.75" customHeight="1">
      <c r="A32" s="143" t="s">
        <v>99</v>
      </c>
      <c r="B32" s="148"/>
      <c r="C32" s="17" t="s">
        <v>252</v>
      </c>
      <c r="D32" s="147"/>
      <c r="E32" s="84"/>
      <c r="F32" s="84"/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</row>
    <row r="33" spans="1:12" ht="12.75" customHeight="1">
      <c r="A33" s="143" t="s">
        <v>101</v>
      </c>
      <c r="B33" s="148"/>
      <c r="C33" s="17" t="s">
        <v>255</v>
      </c>
      <c r="D33" s="147"/>
      <c r="E33" s="84">
        <v>200000</v>
      </c>
      <c r="F33" s="84">
        <v>200000</v>
      </c>
      <c r="G33" s="84">
        <v>200000</v>
      </c>
      <c r="H33" s="84">
        <v>200000</v>
      </c>
      <c r="I33" s="84">
        <v>200000</v>
      </c>
      <c r="J33" s="84">
        <v>200000</v>
      </c>
      <c r="K33" s="84">
        <v>200000</v>
      </c>
      <c r="L33" s="84">
        <v>0</v>
      </c>
    </row>
    <row r="34" spans="1:12" ht="12.75" customHeight="1">
      <c r="A34" s="138" t="s">
        <v>103</v>
      </c>
      <c r="B34" s="150" t="s">
        <v>57</v>
      </c>
      <c r="C34" s="9" t="s">
        <v>263</v>
      </c>
      <c r="D34" s="147"/>
      <c r="E34" s="66"/>
      <c r="F34" s="66"/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</row>
    <row r="35" spans="1:12" ht="12.75" customHeight="1">
      <c r="A35" s="143" t="s">
        <v>105</v>
      </c>
      <c r="B35" s="148"/>
      <c r="C35" s="17" t="s">
        <v>253</v>
      </c>
      <c r="D35" s="147"/>
      <c r="E35" s="84"/>
      <c r="F35" s="84"/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</row>
    <row r="36" spans="1:12" ht="12.75" customHeight="1">
      <c r="A36" s="143" t="s">
        <v>107</v>
      </c>
      <c r="B36" s="148"/>
      <c r="C36" s="17" t="s">
        <v>254</v>
      </c>
      <c r="D36" s="147"/>
      <c r="E36" s="84"/>
      <c r="F36" s="84"/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</row>
    <row r="37" spans="1:12" ht="12.75" customHeight="1">
      <c r="A37" s="143" t="s">
        <v>109</v>
      </c>
      <c r="B37" s="148"/>
      <c r="C37" s="17" t="s">
        <v>259</v>
      </c>
      <c r="D37" s="147"/>
      <c r="E37" s="84"/>
      <c r="F37" s="84"/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</row>
    <row r="38" spans="1:12" ht="12.75" customHeight="1">
      <c r="A38" s="138" t="s">
        <v>111</v>
      </c>
      <c r="B38" s="150" t="s">
        <v>86</v>
      </c>
      <c r="C38" s="9" t="s">
        <v>1078</v>
      </c>
      <c r="D38" s="147"/>
      <c r="E38" s="66">
        <f>SUM(E39:E42)</f>
        <v>31343308</v>
      </c>
      <c r="F38" s="66">
        <v>32122413</v>
      </c>
      <c r="G38" s="66">
        <v>36221964</v>
      </c>
      <c r="H38" s="66">
        <v>36221964</v>
      </c>
      <c r="I38" s="66">
        <v>36221964</v>
      </c>
      <c r="J38" s="66">
        <v>36221964</v>
      </c>
      <c r="K38" s="66">
        <f>SUM(K39)</f>
        <v>36221964</v>
      </c>
      <c r="L38" s="66">
        <v>40766879</v>
      </c>
    </row>
    <row r="39" spans="1:12" ht="12.75" customHeight="1">
      <c r="A39" s="143" t="s">
        <v>113</v>
      </c>
      <c r="B39" s="148"/>
      <c r="C39" s="17" t="s">
        <v>259</v>
      </c>
      <c r="D39" s="147"/>
      <c r="E39" s="84">
        <v>6283632</v>
      </c>
      <c r="F39" s="84">
        <v>32122413</v>
      </c>
      <c r="G39" s="84">
        <v>36221964</v>
      </c>
      <c r="H39" s="84">
        <v>36221964</v>
      </c>
      <c r="I39" s="84">
        <v>36221964</v>
      </c>
      <c r="J39" s="84">
        <v>36221964</v>
      </c>
      <c r="K39" s="84">
        <f>SUM(K40:K44)</f>
        <v>36221964</v>
      </c>
      <c r="L39" s="84">
        <v>40766879</v>
      </c>
    </row>
    <row r="40" spans="1:12" ht="12.75" customHeight="1">
      <c r="A40" s="143" t="s">
        <v>115</v>
      </c>
      <c r="B40" s="148"/>
      <c r="C40" s="17" t="s">
        <v>638</v>
      </c>
      <c r="D40" s="147"/>
      <c r="E40" s="84">
        <v>22651608</v>
      </c>
      <c r="F40" s="84">
        <f>SUM(9512000+18560413)</f>
        <v>28072413</v>
      </c>
      <c r="G40" s="84">
        <f>SUM(9489000+20042964)</f>
        <v>29531964</v>
      </c>
      <c r="H40" s="84">
        <f>SUM(9489000+20042964)</f>
        <v>29531964</v>
      </c>
      <c r="I40" s="84">
        <f>SUM(9489000+20042964)</f>
        <v>29531964</v>
      </c>
      <c r="J40" s="84">
        <f>SUM(9489000+20042964)</f>
        <v>29531964</v>
      </c>
      <c r="K40" s="84">
        <f>SUM('6,7,8 Melléklet'!J59)</f>
        <v>20042964</v>
      </c>
      <c r="L40" s="84">
        <v>24456021</v>
      </c>
    </row>
    <row r="41" spans="1:12" ht="12.75" customHeight="1">
      <c r="A41" s="143" t="s">
        <v>117</v>
      </c>
      <c r="B41" s="148"/>
      <c r="C41" s="17" t="s">
        <v>639</v>
      </c>
      <c r="D41" s="147"/>
      <c r="E41" s="84">
        <v>2360424</v>
      </c>
      <c r="F41" s="84">
        <v>4000000</v>
      </c>
      <c r="G41" s="84">
        <v>4000000</v>
      </c>
      <c r="H41" s="84">
        <v>4000000</v>
      </c>
      <c r="I41" s="84">
        <v>4000000</v>
      </c>
      <c r="J41" s="84">
        <v>4000000</v>
      </c>
      <c r="K41" s="84">
        <f>SUM('6,7,8 Melléklet'!J61)</f>
        <v>4000000</v>
      </c>
      <c r="L41" s="84">
        <v>4450000</v>
      </c>
    </row>
    <row r="42" spans="1:12" ht="12.75" customHeight="1">
      <c r="A42" s="143" t="s">
        <v>118</v>
      </c>
      <c r="B42" s="148"/>
      <c r="C42" s="17" t="s">
        <v>640</v>
      </c>
      <c r="D42" s="147"/>
      <c r="E42" s="84">
        <v>47644</v>
      </c>
      <c r="F42" s="84">
        <v>50000</v>
      </c>
      <c r="G42" s="84">
        <v>50000</v>
      </c>
      <c r="H42" s="84">
        <v>50000</v>
      </c>
      <c r="I42" s="84">
        <v>50000</v>
      </c>
      <c r="J42" s="84">
        <v>50000</v>
      </c>
      <c r="K42" s="84">
        <f>SUM('6,7,8 Melléklet'!J63)</f>
        <v>50000</v>
      </c>
      <c r="L42" s="84">
        <v>23008</v>
      </c>
    </row>
    <row r="43" spans="1:12" ht="12.75" customHeight="1">
      <c r="A43" s="143" t="s">
        <v>120</v>
      </c>
      <c r="B43" s="148"/>
      <c r="C43" s="17" t="s">
        <v>1095</v>
      </c>
      <c r="D43" s="147"/>
      <c r="E43" s="84"/>
      <c r="F43" s="84"/>
      <c r="G43" s="84">
        <v>2640000</v>
      </c>
      <c r="H43" s="84">
        <v>2640000</v>
      </c>
      <c r="I43" s="84">
        <v>2640000</v>
      </c>
      <c r="J43" s="84">
        <v>2640000</v>
      </c>
      <c r="K43" s="84">
        <f>SUM('6,7,8 Melléklet'!J58)</f>
        <v>2640000</v>
      </c>
      <c r="L43" s="84">
        <v>2348850</v>
      </c>
    </row>
    <row r="44" spans="1:12" ht="12.75" customHeight="1">
      <c r="A44" s="143" t="s">
        <v>122</v>
      </c>
      <c r="B44" s="148"/>
      <c r="C44" s="1461" t="s">
        <v>1176</v>
      </c>
      <c r="D44" s="147"/>
      <c r="E44" s="84"/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f>SUM('6,7,8 Melléklet'!J57)</f>
        <v>9489000</v>
      </c>
      <c r="L44" s="84">
        <v>9489000</v>
      </c>
    </row>
    <row r="45" spans="1:12" ht="12" customHeight="1">
      <c r="A45" s="138" t="s">
        <v>124</v>
      </c>
      <c r="B45" s="150" t="s">
        <v>59</v>
      </c>
      <c r="C45" s="1226" t="s">
        <v>1080</v>
      </c>
      <c r="D45" s="283"/>
      <c r="E45" s="283">
        <f>SUM(E46)</f>
        <v>126000</v>
      </c>
      <c r="F45" s="283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</row>
    <row r="46" spans="1:12" ht="12" customHeight="1">
      <c r="A46" s="143" t="s">
        <v>126</v>
      </c>
      <c r="B46" s="148"/>
      <c r="C46" s="280" t="s">
        <v>852</v>
      </c>
      <c r="D46" s="280"/>
      <c r="E46" s="280">
        <v>126000</v>
      </c>
      <c r="F46" s="280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</row>
    <row r="47" spans="1:12" ht="12.75" customHeight="1">
      <c r="A47" s="143" t="s">
        <v>128</v>
      </c>
      <c r="B47" s="150" t="s">
        <v>61</v>
      </c>
      <c r="C47" s="181" t="s">
        <v>1081</v>
      </c>
      <c r="D47" s="283"/>
      <c r="E47" s="283">
        <v>4671</v>
      </c>
      <c r="F47" s="283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</row>
    <row r="48" spans="1:12" ht="12.75" customHeight="1">
      <c r="A48" s="143" t="s">
        <v>130</v>
      </c>
      <c r="B48" s="150"/>
      <c r="C48" s="123" t="s">
        <v>125</v>
      </c>
      <c r="D48" s="280"/>
      <c r="E48" s="661">
        <v>4671</v>
      </c>
      <c r="F48" s="661">
        <v>0</v>
      </c>
      <c r="G48" s="844">
        <v>0</v>
      </c>
      <c r="H48" s="844">
        <v>0</v>
      </c>
      <c r="I48" s="844">
        <v>0</v>
      </c>
      <c r="J48" s="844">
        <v>0</v>
      </c>
      <c r="K48" s="844">
        <v>0</v>
      </c>
      <c r="L48" s="844">
        <v>0</v>
      </c>
    </row>
    <row r="49" spans="1:12" s="63" customFormat="1" ht="12.75" customHeight="1">
      <c r="A49" s="487" t="s">
        <v>131</v>
      </c>
      <c r="B49" s="150" t="s">
        <v>63</v>
      </c>
      <c r="C49" s="181" t="s">
        <v>1082</v>
      </c>
      <c r="D49" s="283"/>
      <c r="E49" s="1227">
        <f aca="true" t="shared" si="1" ref="E49:J49">SUM(E50:E51)</f>
        <v>6805475</v>
      </c>
      <c r="F49" s="1227">
        <f t="shared" si="1"/>
        <v>5194000</v>
      </c>
      <c r="G49" s="1227">
        <f t="shared" si="1"/>
        <v>5194000</v>
      </c>
      <c r="H49" s="1227">
        <f t="shared" si="1"/>
        <v>5194000</v>
      </c>
      <c r="I49" s="1227">
        <f t="shared" si="1"/>
        <v>5194000</v>
      </c>
      <c r="J49" s="1227">
        <f t="shared" si="1"/>
        <v>5194000</v>
      </c>
      <c r="K49" s="1227">
        <f>SUM(K50:K51)</f>
        <v>5194000</v>
      </c>
      <c r="L49" s="1227">
        <v>4137550</v>
      </c>
    </row>
    <row r="50" spans="1:12" s="63" customFormat="1" ht="12.75" customHeight="1">
      <c r="A50" s="487" t="s">
        <v>133</v>
      </c>
      <c r="B50" s="488"/>
      <c r="C50" s="123" t="s">
        <v>125</v>
      </c>
      <c r="D50" s="280"/>
      <c r="E50" s="661">
        <v>2271975</v>
      </c>
      <c r="F50" s="661"/>
      <c r="G50" s="844">
        <v>0</v>
      </c>
      <c r="H50" s="844">
        <v>0</v>
      </c>
      <c r="I50" s="844">
        <v>0</v>
      </c>
      <c r="J50" s="661"/>
      <c r="K50" s="661">
        <v>1566950</v>
      </c>
      <c r="L50" s="661">
        <v>553000</v>
      </c>
    </row>
    <row r="51" spans="1:12" s="63" customFormat="1" ht="12.75" customHeight="1">
      <c r="A51" s="487" t="s">
        <v>135</v>
      </c>
      <c r="B51" s="488"/>
      <c r="C51" s="123" t="s">
        <v>641</v>
      </c>
      <c r="D51" s="280"/>
      <c r="E51" s="661">
        <v>4533500</v>
      </c>
      <c r="F51" s="661">
        <f>SUM(F52:F56)</f>
        <v>5194000</v>
      </c>
      <c r="G51" s="661">
        <f>SUM(G52:G56)</f>
        <v>5194000</v>
      </c>
      <c r="H51" s="661">
        <f>SUM(H52:H56)</f>
        <v>5194000</v>
      </c>
      <c r="I51" s="661">
        <f>SUM(I52:I56)</f>
        <v>5194000</v>
      </c>
      <c r="J51" s="661">
        <f>SUM(J52:J56)</f>
        <v>5194000</v>
      </c>
      <c r="K51" s="661">
        <v>3627050</v>
      </c>
      <c r="L51" s="661">
        <v>3259550</v>
      </c>
    </row>
    <row r="52" spans="1:12" ht="12.75" customHeight="1">
      <c r="A52" s="143" t="s">
        <v>137</v>
      </c>
      <c r="B52" s="148"/>
      <c r="C52" s="651" t="s">
        <v>642</v>
      </c>
      <c r="D52" s="1221"/>
      <c r="E52" s="1228">
        <v>386500</v>
      </c>
      <c r="F52" s="1228">
        <v>600000</v>
      </c>
      <c r="G52" s="1228">
        <v>600000</v>
      </c>
      <c r="H52" s="1228">
        <v>600000</v>
      </c>
      <c r="I52" s="1228">
        <v>600000</v>
      </c>
      <c r="J52" s="1228">
        <v>600000</v>
      </c>
      <c r="K52" s="1228">
        <v>600000</v>
      </c>
      <c r="L52" s="1228">
        <v>600000</v>
      </c>
    </row>
    <row r="53" spans="1:12" ht="12.75" customHeight="1">
      <c r="A53" s="143" t="s">
        <v>139</v>
      </c>
      <c r="B53" s="148"/>
      <c r="C53" s="651" t="s">
        <v>704</v>
      </c>
      <c r="D53" s="1221"/>
      <c r="E53" s="1228"/>
      <c r="F53" s="1228">
        <v>75000</v>
      </c>
      <c r="G53" s="1228">
        <v>75000</v>
      </c>
      <c r="H53" s="1228">
        <v>75000</v>
      </c>
      <c r="I53" s="1228">
        <v>75000</v>
      </c>
      <c r="J53" s="1228">
        <v>75000</v>
      </c>
      <c r="K53" s="1228">
        <v>75000</v>
      </c>
      <c r="L53" s="1228">
        <v>75000</v>
      </c>
    </row>
    <row r="54" spans="1:12" s="63" customFormat="1" ht="12.75" customHeight="1">
      <c r="A54" s="487" t="s">
        <v>141</v>
      </c>
      <c r="B54" s="488"/>
      <c r="C54" s="651" t="s">
        <v>643</v>
      </c>
      <c r="D54" s="1221"/>
      <c r="E54" s="1228">
        <v>40000</v>
      </c>
      <c r="F54" s="1228">
        <v>0</v>
      </c>
      <c r="G54" s="844">
        <v>0</v>
      </c>
      <c r="H54" s="844">
        <v>0</v>
      </c>
      <c r="I54" s="844">
        <v>0</v>
      </c>
      <c r="J54" s="844">
        <v>0</v>
      </c>
      <c r="K54" s="844">
        <v>0</v>
      </c>
      <c r="L54" s="844">
        <v>0</v>
      </c>
    </row>
    <row r="55" spans="1:12" s="63" customFormat="1" ht="12.75" customHeight="1">
      <c r="A55" s="487" t="s">
        <v>143</v>
      </c>
      <c r="B55" s="488"/>
      <c r="C55" s="651" t="s">
        <v>644</v>
      </c>
      <c r="D55" s="1221"/>
      <c r="E55" s="1228">
        <v>1390500</v>
      </c>
      <c r="F55" s="1228">
        <v>4419000</v>
      </c>
      <c r="G55" s="1228">
        <v>4419000</v>
      </c>
      <c r="H55" s="1228">
        <v>4419000</v>
      </c>
      <c r="I55" s="1228">
        <v>4419000</v>
      </c>
      <c r="J55" s="1228">
        <v>4419000</v>
      </c>
      <c r="K55" s="1228">
        <v>2952050</v>
      </c>
      <c r="L55" s="1228">
        <v>2484550</v>
      </c>
    </row>
    <row r="56" spans="1:12" s="63" customFormat="1" ht="12.75" customHeight="1">
      <c r="A56" s="487" t="s">
        <v>145</v>
      </c>
      <c r="B56" s="488"/>
      <c r="C56" s="651" t="s">
        <v>645</v>
      </c>
      <c r="D56" s="1221"/>
      <c r="E56" s="1221">
        <v>20000</v>
      </c>
      <c r="F56" s="1221">
        <v>100000</v>
      </c>
      <c r="G56" s="1221">
        <v>100000</v>
      </c>
      <c r="H56" s="1221">
        <v>100000</v>
      </c>
      <c r="I56" s="1221">
        <v>100000</v>
      </c>
      <c r="J56" s="1221">
        <v>100000</v>
      </c>
      <c r="K56" s="1221">
        <v>100000</v>
      </c>
      <c r="L56" s="1221">
        <v>100000</v>
      </c>
    </row>
    <row r="57" spans="1:12" s="63" customFormat="1" ht="12.75" customHeight="1">
      <c r="A57" s="1492" t="s">
        <v>147</v>
      </c>
      <c r="B57" s="488"/>
      <c r="C57" s="651" t="s">
        <v>1188</v>
      </c>
      <c r="D57" s="1221"/>
      <c r="E57" s="1221"/>
      <c r="F57" s="1221"/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1221">
        <v>325000</v>
      </c>
    </row>
    <row r="58" spans="1:12" ht="12.75" customHeight="1">
      <c r="A58" s="138" t="s">
        <v>149</v>
      </c>
      <c r="B58" s="65" t="s">
        <v>65</v>
      </c>
      <c r="C58" s="9" t="s">
        <v>267</v>
      </c>
      <c r="D58" s="145">
        <v>1</v>
      </c>
      <c r="E58" s="66">
        <f>SUM(E59:E64)</f>
        <v>833228108</v>
      </c>
      <c r="F58" s="66">
        <v>797248207</v>
      </c>
      <c r="G58" s="66">
        <v>805046338</v>
      </c>
      <c r="H58" s="66">
        <f>SUM(H59:H64)</f>
        <v>805449232</v>
      </c>
      <c r="I58" s="66">
        <f>SUM(I59:I64)</f>
        <v>807623867</v>
      </c>
      <c r="J58" s="66">
        <f>SUM(J59:J64)</f>
        <v>811534591</v>
      </c>
      <c r="K58" s="66">
        <f>SUM(K59:K65)</f>
        <v>843875529</v>
      </c>
      <c r="L58" s="66">
        <f>SUM(L59:L65)</f>
        <v>845544549</v>
      </c>
    </row>
    <row r="59" spans="1:12" ht="12.75" customHeight="1">
      <c r="A59" s="143" t="s">
        <v>151</v>
      </c>
      <c r="B59" s="85"/>
      <c r="C59" s="17" t="s">
        <v>253</v>
      </c>
      <c r="D59" s="145"/>
      <c r="E59" s="84">
        <v>21721127</v>
      </c>
      <c r="F59" s="84">
        <v>15054800</v>
      </c>
      <c r="G59" s="84">
        <v>20530200</v>
      </c>
      <c r="H59" s="84">
        <v>20530200</v>
      </c>
      <c r="I59" s="84">
        <v>21548486</v>
      </c>
      <c r="J59" s="84">
        <v>23270361</v>
      </c>
      <c r="K59" s="84">
        <v>22978374</v>
      </c>
      <c r="L59" s="84">
        <v>23935261</v>
      </c>
    </row>
    <row r="60" spans="1:12" ht="12.75" customHeight="1">
      <c r="A60" s="143" t="s">
        <v>207</v>
      </c>
      <c r="B60" s="85"/>
      <c r="C60" s="17" t="s">
        <v>254</v>
      </c>
      <c r="D60" s="145"/>
      <c r="E60" s="84">
        <v>4347431</v>
      </c>
      <c r="F60" s="84">
        <v>2823000</v>
      </c>
      <c r="G60" s="84">
        <v>3827270</v>
      </c>
      <c r="H60" s="84">
        <v>3827270</v>
      </c>
      <c r="I60" s="84">
        <v>4009001</v>
      </c>
      <c r="J60" s="84">
        <v>4386087</v>
      </c>
      <c r="K60" s="84">
        <v>3784536</v>
      </c>
      <c r="L60" s="84">
        <v>4111873</v>
      </c>
    </row>
    <row r="61" spans="1:12" ht="12.75" customHeight="1">
      <c r="A61" s="143" t="s">
        <v>209</v>
      </c>
      <c r="B61" s="85"/>
      <c r="C61" s="17" t="s">
        <v>255</v>
      </c>
      <c r="D61" s="145"/>
      <c r="E61" s="84">
        <v>54640195</v>
      </c>
      <c r="F61" s="84">
        <v>51709320</v>
      </c>
      <c r="G61" s="84">
        <v>60912267</v>
      </c>
      <c r="H61" s="84">
        <v>45304790</v>
      </c>
      <c r="I61" s="84">
        <v>70286977</v>
      </c>
      <c r="J61" s="84">
        <v>72376382</v>
      </c>
      <c r="K61" s="84">
        <v>86949029</v>
      </c>
      <c r="L61" s="84">
        <v>87908801</v>
      </c>
    </row>
    <row r="62" spans="1:12" ht="15" customHeight="1">
      <c r="A62" s="143" t="s">
        <v>266</v>
      </c>
      <c r="B62" s="85"/>
      <c r="C62" s="17" t="s">
        <v>252</v>
      </c>
      <c r="D62" s="145"/>
      <c r="E62" s="84">
        <v>37258268</v>
      </c>
      <c r="F62" s="84">
        <v>12400000</v>
      </c>
      <c r="G62" s="84">
        <v>20080313</v>
      </c>
      <c r="H62" s="84">
        <v>33440313</v>
      </c>
      <c r="I62" s="84">
        <v>33440313</v>
      </c>
      <c r="J62" s="84">
        <v>36863771</v>
      </c>
      <c r="K62" s="84">
        <v>54806758</v>
      </c>
      <c r="L62" s="84">
        <v>54231782</v>
      </c>
    </row>
    <row r="63" spans="1:12" ht="15" customHeight="1">
      <c r="A63" s="143" t="s">
        <v>210</v>
      </c>
      <c r="B63" s="85"/>
      <c r="C63" s="17" t="s">
        <v>863</v>
      </c>
      <c r="D63" s="145"/>
      <c r="E63" s="84">
        <v>0</v>
      </c>
      <c r="F63" s="84"/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</row>
    <row r="64" spans="1:12" ht="15" customHeight="1">
      <c r="A64" s="196" t="s">
        <v>212</v>
      </c>
      <c r="B64" s="184"/>
      <c r="C64" s="161" t="s">
        <v>441</v>
      </c>
      <c r="D64" s="185"/>
      <c r="E64" s="173">
        <v>715261087</v>
      </c>
      <c r="F64" s="173">
        <v>715261087</v>
      </c>
      <c r="G64" s="173">
        <v>699696288</v>
      </c>
      <c r="H64" s="173">
        <v>702346659</v>
      </c>
      <c r="I64" s="173">
        <v>678339090</v>
      </c>
      <c r="J64" s="173">
        <v>674637990</v>
      </c>
      <c r="K64" s="173">
        <v>664627351</v>
      </c>
      <c r="L64" s="173">
        <v>664627351</v>
      </c>
    </row>
    <row r="65" spans="1:12" ht="15" customHeight="1">
      <c r="A65" s="384" t="s">
        <v>268</v>
      </c>
      <c r="B65" s="384"/>
      <c r="C65" s="385" t="s">
        <v>1177</v>
      </c>
      <c r="D65" s="558"/>
      <c r="E65" s="504"/>
      <c r="F65" s="504"/>
      <c r="G65" s="504">
        <v>0</v>
      </c>
      <c r="H65" s="504">
        <v>0</v>
      </c>
      <c r="I65" s="504">
        <v>0</v>
      </c>
      <c r="J65" s="504">
        <v>0</v>
      </c>
      <c r="K65" s="504">
        <v>10729481</v>
      </c>
      <c r="L65" s="504">
        <v>10729481</v>
      </c>
    </row>
    <row r="66" spans="1:12" s="68" customFormat="1" ht="15" customHeight="1">
      <c r="A66" s="499" t="s">
        <v>269</v>
      </c>
      <c r="B66" s="499" t="s">
        <v>92</v>
      </c>
      <c r="C66" s="500" t="s">
        <v>1189</v>
      </c>
      <c r="D66" s="529"/>
      <c r="E66" s="519"/>
      <c r="F66" s="519"/>
      <c r="G66" s="519">
        <v>0</v>
      </c>
      <c r="H66" s="519">
        <v>0</v>
      </c>
      <c r="I66" s="519">
        <v>0</v>
      </c>
      <c r="J66" s="519">
        <v>0</v>
      </c>
      <c r="K66" s="519">
        <v>0</v>
      </c>
      <c r="L66" s="519">
        <v>1663859</v>
      </c>
    </row>
    <row r="67" spans="1:12" ht="15" customHeight="1">
      <c r="A67" s="384" t="s">
        <v>271</v>
      </c>
      <c r="B67" s="384"/>
      <c r="C67" s="385" t="s">
        <v>1073</v>
      </c>
      <c r="D67" s="558"/>
      <c r="E67" s="504"/>
      <c r="F67" s="504"/>
      <c r="G67" s="504">
        <v>0</v>
      </c>
      <c r="H67" s="504">
        <v>0</v>
      </c>
      <c r="I67" s="504">
        <v>0</v>
      </c>
      <c r="J67" s="504">
        <v>0</v>
      </c>
      <c r="K67" s="504">
        <v>0</v>
      </c>
      <c r="L67" s="504">
        <v>1663859</v>
      </c>
    </row>
    <row r="68" spans="1:12" ht="15" customHeight="1">
      <c r="A68" s="384" t="s">
        <v>273</v>
      </c>
      <c r="B68" s="384"/>
      <c r="C68" s="385" t="s">
        <v>1190</v>
      </c>
      <c r="D68" s="558"/>
      <c r="E68" s="504"/>
      <c r="F68" s="504"/>
      <c r="G68" s="504">
        <v>0</v>
      </c>
      <c r="H68" s="504">
        <v>0</v>
      </c>
      <c r="I68" s="504">
        <v>0</v>
      </c>
      <c r="J68" s="504">
        <v>0</v>
      </c>
      <c r="K68" s="504">
        <v>0</v>
      </c>
      <c r="L68" s="504">
        <v>0</v>
      </c>
    </row>
    <row r="69" spans="1:12" s="68" customFormat="1" ht="15" customHeight="1">
      <c r="A69" s="499" t="s">
        <v>275</v>
      </c>
      <c r="B69" s="499" t="s">
        <v>66</v>
      </c>
      <c r="C69" s="500" t="s">
        <v>1072</v>
      </c>
      <c r="D69" s="529"/>
      <c r="E69" s="519"/>
      <c r="F69" s="519"/>
      <c r="G69" s="519">
        <v>0</v>
      </c>
      <c r="H69" s="519">
        <v>0</v>
      </c>
      <c r="I69" s="519">
        <v>0</v>
      </c>
      <c r="J69" s="519">
        <v>0</v>
      </c>
      <c r="K69" s="519">
        <v>0</v>
      </c>
      <c r="L69" s="519">
        <v>420010</v>
      </c>
    </row>
    <row r="70" spans="1:12" ht="15" customHeight="1">
      <c r="A70" s="384" t="s">
        <v>277</v>
      </c>
      <c r="B70" s="384"/>
      <c r="C70" s="385" t="s">
        <v>1073</v>
      </c>
      <c r="D70" s="558"/>
      <c r="E70" s="504"/>
      <c r="F70" s="504"/>
      <c r="G70" s="504">
        <v>0</v>
      </c>
      <c r="H70" s="504">
        <v>0</v>
      </c>
      <c r="I70" s="504">
        <v>0</v>
      </c>
      <c r="J70" s="504">
        <v>0</v>
      </c>
      <c r="K70" s="504">
        <v>0</v>
      </c>
      <c r="L70" s="504">
        <v>420010</v>
      </c>
    </row>
    <row r="71" spans="1:12" ht="15" customHeight="1">
      <c r="A71" s="384" t="s">
        <v>278</v>
      </c>
      <c r="B71" s="499" t="s">
        <v>67</v>
      </c>
      <c r="C71" s="432" t="s">
        <v>672</v>
      </c>
      <c r="D71" s="655"/>
      <c r="E71" s="654">
        <f>SUM(E72:E73)</f>
        <v>0</v>
      </c>
      <c r="F71" s="654">
        <f>SUM(F72:F73)</f>
        <v>382200</v>
      </c>
      <c r="G71" s="654">
        <f>SUM(G72:G73)</f>
        <v>382200</v>
      </c>
      <c r="H71" s="654">
        <f>SUM(H72:H74)</f>
        <v>382200</v>
      </c>
      <c r="I71" s="654">
        <f>SUM(I72:I74)</f>
        <v>812200</v>
      </c>
      <c r="J71" s="654">
        <f>SUM(J72:J74)</f>
        <v>812200</v>
      </c>
      <c r="K71" s="654">
        <f>SUM(K72:K74)</f>
        <v>812200</v>
      </c>
      <c r="L71" s="504">
        <f>SUM(L72:L74)</f>
        <v>0</v>
      </c>
    </row>
    <row r="72" spans="1:12" ht="15" customHeight="1">
      <c r="A72" s="143" t="s">
        <v>280</v>
      </c>
      <c r="B72" s="459"/>
      <c r="C72" s="1393" t="s">
        <v>253</v>
      </c>
      <c r="D72" s="1236"/>
      <c r="E72" s="284"/>
      <c r="F72" s="284">
        <v>325200</v>
      </c>
      <c r="G72" s="284">
        <v>325200</v>
      </c>
      <c r="H72" s="284">
        <v>325200</v>
      </c>
      <c r="I72" s="284">
        <v>325200</v>
      </c>
      <c r="J72" s="284">
        <v>325200</v>
      </c>
      <c r="K72" s="284">
        <v>325200</v>
      </c>
      <c r="L72" s="131">
        <v>0</v>
      </c>
    </row>
    <row r="73" spans="1:12" ht="15" customHeight="1">
      <c r="A73" s="143" t="s">
        <v>282</v>
      </c>
      <c r="B73" s="85"/>
      <c r="C73" s="1153" t="s">
        <v>254</v>
      </c>
      <c r="D73" s="655"/>
      <c r="E73" s="280"/>
      <c r="F73" s="280">
        <v>57000</v>
      </c>
      <c r="G73" s="280">
        <v>57000</v>
      </c>
      <c r="H73" s="280">
        <v>57000</v>
      </c>
      <c r="I73" s="280">
        <v>57000</v>
      </c>
      <c r="J73" s="280">
        <v>57000</v>
      </c>
      <c r="K73" s="280">
        <v>57000</v>
      </c>
      <c r="L73" s="84">
        <v>0</v>
      </c>
    </row>
    <row r="74" spans="1:12" ht="15" customHeight="1">
      <c r="A74" s="143" t="s">
        <v>283</v>
      </c>
      <c r="B74" s="260"/>
      <c r="C74" s="1153" t="s">
        <v>1147</v>
      </c>
      <c r="D74" s="1229"/>
      <c r="E74" s="280"/>
      <c r="F74" s="280"/>
      <c r="G74" s="1490">
        <v>0</v>
      </c>
      <c r="H74" s="1490">
        <v>0</v>
      </c>
      <c r="I74" s="280">
        <v>430000</v>
      </c>
      <c r="J74" s="280">
        <v>430000</v>
      </c>
      <c r="K74" s="280">
        <v>430000</v>
      </c>
      <c r="L74" s="84">
        <v>0</v>
      </c>
    </row>
    <row r="75" spans="1:66" s="21" customFormat="1" ht="15.75" customHeight="1">
      <c r="A75" s="138" t="s">
        <v>284</v>
      </c>
      <c r="B75" s="65" t="s">
        <v>68</v>
      </c>
      <c r="C75" s="68" t="s">
        <v>294</v>
      </c>
      <c r="D75" s="145"/>
      <c r="E75" s="66">
        <f aca="true" t="shared" si="2" ref="E75:J75">SUM(E77)</f>
        <v>10321373</v>
      </c>
      <c r="F75" s="66">
        <f t="shared" si="2"/>
        <v>6703536</v>
      </c>
      <c r="G75" s="66">
        <f t="shared" si="2"/>
        <v>6703536</v>
      </c>
      <c r="H75" s="66">
        <f t="shared" si="2"/>
        <v>7419080</v>
      </c>
      <c r="I75" s="66">
        <f t="shared" si="2"/>
        <v>8095569</v>
      </c>
      <c r="J75" s="66">
        <f t="shared" si="2"/>
        <v>8679084</v>
      </c>
      <c r="K75" s="66">
        <f>SUM(K77)</f>
        <v>9086397</v>
      </c>
      <c r="L75" s="66">
        <f>SUM(L77)</f>
        <v>9092391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12" ht="15" customHeight="1">
      <c r="A76" s="143" t="s">
        <v>285</v>
      </c>
      <c r="B76" s="85"/>
      <c r="C76" s="17" t="s">
        <v>647</v>
      </c>
      <c r="D76" s="145"/>
      <c r="E76" s="84">
        <v>53488</v>
      </c>
      <c r="F76" s="84"/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</row>
    <row r="77" spans="1:12" ht="15" customHeight="1">
      <c r="A77" s="143" t="s">
        <v>287</v>
      </c>
      <c r="B77" s="85"/>
      <c r="C77" s="17" t="s">
        <v>646</v>
      </c>
      <c r="D77" s="145"/>
      <c r="E77" s="84">
        <v>10321373</v>
      </c>
      <c r="F77" s="84">
        <v>6703536</v>
      </c>
      <c r="G77" s="84">
        <v>6703536</v>
      </c>
      <c r="H77" s="84">
        <v>7419080</v>
      </c>
      <c r="I77" s="84">
        <v>8095569</v>
      </c>
      <c r="J77" s="84">
        <v>8679084</v>
      </c>
      <c r="K77" s="84">
        <v>9086397</v>
      </c>
      <c r="L77" s="84">
        <v>9092391</v>
      </c>
    </row>
    <row r="78" spans="1:12" s="68" customFormat="1" ht="15" customHeight="1">
      <c r="A78" s="138" t="s">
        <v>288</v>
      </c>
      <c r="B78" s="65" t="s">
        <v>70</v>
      </c>
      <c r="C78" s="9" t="s">
        <v>648</v>
      </c>
      <c r="D78" s="142"/>
      <c r="E78" s="66">
        <f aca="true" t="shared" si="3" ref="E78:J78">SUM(E79)</f>
        <v>270216255</v>
      </c>
      <c r="F78" s="66">
        <f t="shared" si="3"/>
        <v>276570076</v>
      </c>
      <c r="G78" s="66">
        <f t="shared" si="3"/>
        <v>277401853</v>
      </c>
      <c r="H78" s="66">
        <f t="shared" si="3"/>
        <v>277604575</v>
      </c>
      <c r="I78" s="66">
        <f t="shared" si="3"/>
        <v>277720471</v>
      </c>
      <c r="J78" s="66">
        <f t="shared" si="3"/>
        <v>279099537</v>
      </c>
      <c r="K78" s="66">
        <f>SUM(K79)</f>
        <v>274808735</v>
      </c>
      <c r="L78" s="66">
        <f>SUM(L79)</f>
        <v>274808735</v>
      </c>
    </row>
    <row r="79" spans="1:66" s="21" customFormat="1" ht="15.75" customHeight="1">
      <c r="A79" s="196" t="s">
        <v>289</v>
      </c>
      <c r="B79" s="184"/>
      <c r="C79" s="161" t="s">
        <v>296</v>
      </c>
      <c r="D79" s="185"/>
      <c r="E79" s="173">
        <v>270216255</v>
      </c>
      <c r="F79" s="173">
        <f>SUM('19 önkormányzat'!F131)</f>
        <v>276570076</v>
      </c>
      <c r="G79" s="173">
        <f>SUM('19 önkormányzat'!G131)</f>
        <v>277401853</v>
      </c>
      <c r="H79" s="173">
        <v>277604575</v>
      </c>
      <c r="I79" s="173">
        <v>277720471</v>
      </c>
      <c r="J79" s="173">
        <v>279099537</v>
      </c>
      <c r="K79" s="173">
        <v>274808735</v>
      </c>
      <c r="L79" s="173">
        <v>274808735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1:12" ht="12.75" customHeight="1">
      <c r="A80" s="489" t="s">
        <v>290</v>
      </c>
      <c r="B80" s="490"/>
      <c r="C80" s="491" t="s">
        <v>238</v>
      </c>
      <c r="D80" s="492">
        <v>2</v>
      </c>
      <c r="E80" s="493">
        <f aca="true" t="shared" si="4" ref="E80:K80">SUM(E81:E91)</f>
        <v>1168351032</v>
      </c>
      <c r="F80" s="493">
        <f t="shared" si="4"/>
        <v>1131018636</v>
      </c>
      <c r="G80" s="493">
        <f t="shared" si="4"/>
        <v>1141108095</v>
      </c>
      <c r="H80" s="493">
        <f t="shared" si="4"/>
        <v>1142429255</v>
      </c>
      <c r="I80" s="493">
        <f t="shared" si="4"/>
        <v>1145393275</v>
      </c>
      <c r="J80" s="493">
        <f t="shared" si="4"/>
        <v>1151699580</v>
      </c>
      <c r="K80" s="493">
        <f t="shared" si="4"/>
        <v>1184701944</v>
      </c>
      <c r="L80" s="493">
        <f>SUM(L81:L91)</f>
        <v>1184707938</v>
      </c>
    </row>
    <row r="81" spans="1:12" ht="12.75" customHeight="1">
      <c r="A81" s="490" t="s">
        <v>291</v>
      </c>
      <c r="B81" s="490"/>
      <c r="C81" s="494" t="s">
        <v>253</v>
      </c>
      <c r="D81" s="494"/>
      <c r="E81" s="495">
        <f>SUM(E25+E31+E35+E59)</f>
        <v>26918127</v>
      </c>
      <c r="F81" s="495">
        <v>16733537</v>
      </c>
      <c r="G81" s="495">
        <v>22208937</v>
      </c>
      <c r="H81" s="495">
        <v>22208937</v>
      </c>
      <c r="I81" s="495">
        <v>23227223</v>
      </c>
      <c r="J81" s="495">
        <v>24949098</v>
      </c>
      <c r="K81" s="495">
        <v>24657111</v>
      </c>
      <c r="L81" s="495">
        <v>24657111</v>
      </c>
    </row>
    <row r="82" spans="1:12" ht="12.75" customHeight="1">
      <c r="A82" s="490" t="s">
        <v>292</v>
      </c>
      <c r="B82" s="490"/>
      <c r="C82" s="494" t="s">
        <v>254</v>
      </c>
      <c r="D82" s="494"/>
      <c r="E82" s="495">
        <f>SUM(E26+E36+E60)</f>
        <v>5515431</v>
      </c>
      <c r="F82" s="495">
        <v>3160667</v>
      </c>
      <c r="G82" s="495">
        <v>4164937</v>
      </c>
      <c r="H82" s="495">
        <v>4164937</v>
      </c>
      <c r="I82" s="495">
        <v>4346668</v>
      </c>
      <c r="J82" s="495">
        <v>4723754</v>
      </c>
      <c r="K82" s="495">
        <v>4122203</v>
      </c>
      <c r="L82" s="495">
        <v>4122203</v>
      </c>
    </row>
    <row r="83" spans="1:12" ht="12.75" customHeight="1">
      <c r="A83" s="490" t="s">
        <v>293</v>
      </c>
      <c r="B83" s="490"/>
      <c r="C83" s="494" t="s">
        <v>255</v>
      </c>
      <c r="D83" s="494"/>
      <c r="E83" s="495">
        <f>SUM(E14+E16+E19+E21+E27+E33+E61)</f>
        <v>64164195</v>
      </c>
      <c r="F83" s="495">
        <f>SUM(F14+F16+F19+F21+F27+F33+F61)</f>
        <v>60233320</v>
      </c>
      <c r="G83" s="495">
        <v>69436267</v>
      </c>
      <c r="H83" s="495">
        <v>53828790</v>
      </c>
      <c r="I83" s="495">
        <v>78807977</v>
      </c>
      <c r="J83" s="495">
        <v>81330382</v>
      </c>
      <c r="K83" s="495">
        <v>97469979</v>
      </c>
      <c r="L83" s="495">
        <v>97469979</v>
      </c>
    </row>
    <row r="84" spans="1:12" ht="12.75" customHeight="1">
      <c r="A84" s="490" t="s">
        <v>295</v>
      </c>
      <c r="B84" s="490"/>
      <c r="C84" s="494" t="s">
        <v>259</v>
      </c>
      <c r="D84" s="494"/>
      <c r="E84" s="857">
        <v>33983308</v>
      </c>
      <c r="F84" s="857">
        <v>34762413</v>
      </c>
      <c r="G84" s="857">
        <v>36221964</v>
      </c>
      <c r="H84" s="857">
        <v>36221964</v>
      </c>
      <c r="I84" s="857">
        <v>36221964</v>
      </c>
      <c r="J84" s="857">
        <v>36221964</v>
      </c>
      <c r="K84" s="857">
        <v>40766879</v>
      </c>
      <c r="L84" s="857">
        <v>40766879</v>
      </c>
    </row>
    <row r="85" spans="1:12" ht="12.75" customHeight="1">
      <c r="A85" s="490" t="s">
        <v>297</v>
      </c>
      <c r="B85" s="490"/>
      <c r="C85" s="494" t="s">
        <v>1096</v>
      </c>
      <c r="D85" s="494"/>
      <c r="E85" s="857">
        <v>4659500</v>
      </c>
      <c r="F85" s="857">
        <v>5194000</v>
      </c>
      <c r="G85" s="857">
        <v>5194000</v>
      </c>
      <c r="H85" s="857">
        <v>5194000</v>
      </c>
      <c r="I85" s="857">
        <v>5194000</v>
      </c>
      <c r="J85" s="857">
        <v>5194000</v>
      </c>
      <c r="K85" s="857">
        <v>3627050</v>
      </c>
      <c r="L85" s="857">
        <v>3627050</v>
      </c>
    </row>
    <row r="86" spans="1:12" ht="12.75" customHeight="1">
      <c r="A86" s="490" t="s">
        <v>298</v>
      </c>
      <c r="B86" s="490"/>
      <c r="C86" s="494" t="s">
        <v>305</v>
      </c>
      <c r="D86" s="494"/>
      <c r="E86" s="495">
        <f aca="true" t="shared" si="5" ref="E86:K86">SUM(E17+E29+E32+E62)</f>
        <v>37258268</v>
      </c>
      <c r="F86" s="495">
        <f t="shared" si="5"/>
        <v>12400000</v>
      </c>
      <c r="G86" s="495">
        <f t="shared" si="5"/>
        <v>20080313</v>
      </c>
      <c r="H86" s="495">
        <f t="shared" si="5"/>
        <v>33440313</v>
      </c>
      <c r="I86" s="495">
        <f t="shared" si="5"/>
        <v>33440313</v>
      </c>
      <c r="J86" s="495">
        <f t="shared" si="5"/>
        <v>36863771</v>
      </c>
      <c r="K86" s="495">
        <f t="shared" si="5"/>
        <v>54806758</v>
      </c>
      <c r="L86" s="495">
        <v>54806758</v>
      </c>
    </row>
    <row r="87" spans="1:12" ht="12.75" customHeight="1">
      <c r="A87" s="490" t="s">
        <v>299</v>
      </c>
      <c r="B87" s="490"/>
      <c r="C87" s="494" t="s">
        <v>1178</v>
      </c>
      <c r="D87" s="494"/>
      <c r="E87" s="495"/>
      <c r="F87" s="495"/>
      <c r="G87" s="495">
        <v>0</v>
      </c>
      <c r="H87" s="495">
        <v>0</v>
      </c>
      <c r="I87" s="495">
        <v>0</v>
      </c>
      <c r="J87" s="495">
        <v>0</v>
      </c>
      <c r="K87" s="495">
        <v>10729481</v>
      </c>
      <c r="L87" s="495">
        <v>10729481</v>
      </c>
    </row>
    <row r="88" spans="1:12" ht="12.75" customHeight="1">
      <c r="A88" s="490" t="s">
        <v>300</v>
      </c>
      <c r="B88" s="490"/>
      <c r="C88" s="494" t="s">
        <v>307</v>
      </c>
      <c r="D88" s="494"/>
      <c r="E88" s="495">
        <f aca="true" t="shared" si="6" ref="E88:J88">SUM(E79)</f>
        <v>270216255</v>
      </c>
      <c r="F88" s="495">
        <f t="shared" si="6"/>
        <v>276570076</v>
      </c>
      <c r="G88" s="495">
        <f t="shared" si="6"/>
        <v>277401853</v>
      </c>
      <c r="H88" s="495">
        <f t="shared" si="6"/>
        <v>277604575</v>
      </c>
      <c r="I88" s="495">
        <f t="shared" si="6"/>
        <v>277720471</v>
      </c>
      <c r="J88" s="495">
        <f t="shared" si="6"/>
        <v>279099537</v>
      </c>
      <c r="K88" s="495">
        <f>SUM(K79)</f>
        <v>274808735</v>
      </c>
      <c r="L88" s="495">
        <f>SUM(L79)</f>
        <v>274808735</v>
      </c>
    </row>
    <row r="89" spans="1:12" ht="12.75" customHeight="1">
      <c r="A89" s="490" t="s">
        <v>301</v>
      </c>
      <c r="B89" s="490"/>
      <c r="C89" s="494" t="s">
        <v>274</v>
      </c>
      <c r="D89" s="494"/>
      <c r="E89" s="495">
        <f aca="true" t="shared" si="7" ref="E89:K89">SUM(E77)</f>
        <v>10321373</v>
      </c>
      <c r="F89" s="495">
        <f t="shared" si="7"/>
        <v>6703536</v>
      </c>
      <c r="G89" s="495">
        <f t="shared" si="7"/>
        <v>6703536</v>
      </c>
      <c r="H89" s="495">
        <f t="shared" si="7"/>
        <v>7419080</v>
      </c>
      <c r="I89" s="495">
        <f t="shared" si="7"/>
        <v>8095569</v>
      </c>
      <c r="J89" s="495">
        <f t="shared" si="7"/>
        <v>8679084</v>
      </c>
      <c r="K89" s="495">
        <f t="shared" si="7"/>
        <v>9086397</v>
      </c>
      <c r="L89" s="495">
        <f>SUM(L77)</f>
        <v>9092391</v>
      </c>
    </row>
    <row r="90" spans="1:12" ht="14.25" customHeight="1">
      <c r="A90" s="490" t="s">
        <v>302</v>
      </c>
      <c r="B90" s="490"/>
      <c r="C90" s="494" t="s">
        <v>150</v>
      </c>
      <c r="D90" s="494"/>
      <c r="E90" s="495">
        <f aca="true" t="shared" si="8" ref="E90:L90">SUM(E64)</f>
        <v>715261087</v>
      </c>
      <c r="F90" s="495">
        <f t="shared" si="8"/>
        <v>715261087</v>
      </c>
      <c r="G90" s="495">
        <f t="shared" si="8"/>
        <v>699696288</v>
      </c>
      <c r="H90" s="495">
        <f t="shared" si="8"/>
        <v>702346659</v>
      </c>
      <c r="I90" s="495">
        <f t="shared" si="8"/>
        <v>678339090</v>
      </c>
      <c r="J90" s="495">
        <f t="shared" si="8"/>
        <v>674637990</v>
      </c>
      <c r="K90" s="495">
        <f t="shared" si="8"/>
        <v>664627351</v>
      </c>
      <c r="L90" s="495">
        <f t="shared" si="8"/>
        <v>664627351</v>
      </c>
    </row>
    <row r="91" spans="1:12" ht="14.25" customHeight="1">
      <c r="A91" s="490" t="s">
        <v>304</v>
      </c>
      <c r="B91" s="490"/>
      <c r="C91" s="494" t="s">
        <v>279</v>
      </c>
      <c r="D91" s="494"/>
      <c r="E91" s="495">
        <v>53488</v>
      </c>
      <c r="F91" s="495"/>
      <c r="G91" s="495"/>
      <c r="H91" s="495"/>
      <c r="I91" s="495"/>
      <c r="J91" s="495"/>
      <c r="K91" s="495"/>
      <c r="L91" s="495"/>
    </row>
    <row r="92" spans="1:4" s="96" customFormat="1" ht="18" customHeight="1">
      <c r="A92" s="138" t="s">
        <v>306</v>
      </c>
      <c r="B92" s="169" t="s">
        <v>167</v>
      </c>
      <c r="C92" s="1561" t="s">
        <v>313</v>
      </c>
      <c r="D92" s="1561"/>
    </row>
    <row r="93" spans="1:12" ht="12.75" customHeight="1">
      <c r="A93" s="138" t="s">
        <v>308</v>
      </c>
      <c r="B93" s="156" t="s">
        <v>38</v>
      </c>
      <c r="C93" s="157" t="s">
        <v>267</v>
      </c>
      <c r="D93" s="158">
        <v>14</v>
      </c>
      <c r="E93" s="66">
        <f aca="true" t="shared" si="9" ref="E93:J93">SUM(E94:E97)</f>
        <v>75628449</v>
      </c>
      <c r="F93" s="66">
        <f t="shared" si="9"/>
        <v>75223596</v>
      </c>
      <c r="G93" s="66">
        <f t="shared" si="9"/>
        <v>75756596</v>
      </c>
      <c r="H93" s="66">
        <f t="shared" si="9"/>
        <v>75756596</v>
      </c>
      <c r="I93" s="66">
        <f t="shared" si="9"/>
        <v>76076596</v>
      </c>
      <c r="J93" s="66">
        <f t="shared" si="9"/>
        <v>76326596</v>
      </c>
      <c r="K93" s="66">
        <f>SUM(K94:K97)</f>
        <v>76541446</v>
      </c>
      <c r="L93" s="66">
        <f>SUM(L94:L97)</f>
        <v>76736582</v>
      </c>
    </row>
    <row r="94" spans="1:12" ht="12.75" customHeight="1">
      <c r="A94" s="143" t="s">
        <v>309</v>
      </c>
      <c r="B94" s="159"/>
      <c r="C94" s="130" t="s">
        <v>253</v>
      </c>
      <c r="D94" s="149"/>
      <c r="E94" s="84">
        <v>52502973</v>
      </c>
      <c r="F94" s="84">
        <v>54136420</v>
      </c>
      <c r="G94" s="84">
        <v>54136420</v>
      </c>
      <c r="H94" s="84">
        <v>54136420</v>
      </c>
      <c r="I94" s="84">
        <v>54136420</v>
      </c>
      <c r="J94" s="84">
        <v>54136420</v>
      </c>
      <c r="K94" s="84">
        <v>54865577</v>
      </c>
      <c r="L94" s="84">
        <v>55030575</v>
      </c>
    </row>
    <row r="95" spans="1:12" ht="12.75" customHeight="1">
      <c r="A95" s="143" t="s">
        <v>310</v>
      </c>
      <c r="B95" s="160"/>
      <c r="C95" s="161" t="s">
        <v>254</v>
      </c>
      <c r="D95" s="147"/>
      <c r="E95" s="84">
        <v>11712977</v>
      </c>
      <c r="F95" s="84">
        <v>10587176</v>
      </c>
      <c r="G95" s="84">
        <v>10587176</v>
      </c>
      <c r="H95" s="84">
        <v>10587176</v>
      </c>
      <c r="I95" s="84">
        <v>10587176</v>
      </c>
      <c r="J95" s="84">
        <v>10587176</v>
      </c>
      <c r="K95" s="84">
        <v>10755547</v>
      </c>
      <c r="L95" s="84">
        <v>10805685</v>
      </c>
    </row>
    <row r="96" spans="1:12" ht="12.75" customHeight="1">
      <c r="A96" s="196" t="s">
        <v>311</v>
      </c>
      <c r="B96" s="184"/>
      <c r="C96" s="161" t="s">
        <v>255</v>
      </c>
      <c r="D96" s="162"/>
      <c r="E96" s="84">
        <v>10127032</v>
      </c>
      <c r="F96" s="84">
        <v>10000000</v>
      </c>
      <c r="G96" s="84">
        <v>10533000</v>
      </c>
      <c r="H96" s="84">
        <v>10533000</v>
      </c>
      <c r="I96" s="84">
        <v>10853000</v>
      </c>
      <c r="J96" s="84">
        <v>11103000</v>
      </c>
      <c r="K96" s="84">
        <v>10708844</v>
      </c>
      <c r="L96" s="84">
        <v>10688844</v>
      </c>
    </row>
    <row r="97" spans="1:12" ht="12.75" customHeight="1">
      <c r="A97" s="384" t="s">
        <v>312</v>
      </c>
      <c r="B97" s="384"/>
      <c r="C97" s="385" t="s">
        <v>653</v>
      </c>
      <c r="D97" s="162"/>
      <c r="E97" s="84">
        <v>1285467</v>
      </c>
      <c r="F97" s="84">
        <v>500000</v>
      </c>
      <c r="G97" s="84">
        <v>500000</v>
      </c>
      <c r="H97" s="84">
        <v>500000</v>
      </c>
      <c r="I97" s="84">
        <v>500000</v>
      </c>
      <c r="J97" s="84">
        <v>500000</v>
      </c>
      <c r="K97" s="84">
        <v>211478</v>
      </c>
      <c r="L97" s="84">
        <v>211478</v>
      </c>
    </row>
    <row r="98" spans="1:12" s="68" customFormat="1" ht="12.75" customHeight="1">
      <c r="A98" s="499" t="s">
        <v>651</v>
      </c>
      <c r="B98" s="499" t="s">
        <v>40</v>
      </c>
      <c r="C98" s="500" t="s">
        <v>649</v>
      </c>
      <c r="D98" s="501">
        <v>1</v>
      </c>
      <c r="E98" s="66">
        <f aca="true" t="shared" si="10" ref="E98:J98">SUM(E99:E101)</f>
        <v>4812000</v>
      </c>
      <c r="F98" s="66">
        <f t="shared" si="10"/>
        <v>5061260</v>
      </c>
      <c r="G98" s="66">
        <f t="shared" si="10"/>
        <v>5061260</v>
      </c>
      <c r="H98" s="66">
        <f t="shared" si="10"/>
        <v>5061260</v>
      </c>
      <c r="I98" s="66">
        <f t="shared" si="10"/>
        <v>5061260</v>
      </c>
      <c r="J98" s="66">
        <f t="shared" si="10"/>
        <v>5061260</v>
      </c>
      <c r="K98" s="66">
        <f>SUM(K99:K101)</f>
        <v>5061260</v>
      </c>
      <c r="L98" s="66">
        <f>SUM(L99:L101)</f>
        <v>4846124</v>
      </c>
    </row>
    <row r="99" spans="1:12" ht="12.75" customHeight="1">
      <c r="A99" s="384" t="s">
        <v>652</v>
      </c>
      <c r="B99" s="384"/>
      <c r="C99" s="385" t="s">
        <v>253</v>
      </c>
      <c r="D99" s="162"/>
      <c r="E99" s="84">
        <v>3924000</v>
      </c>
      <c r="F99" s="84">
        <v>4213492</v>
      </c>
      <c r="G99" s="84">
        <v>4213492</v>
      </c>
      <c r="H99" s="84">
        <v>4213492</v>
      </c>
      <c r="I99" s="84">
        <v>4213492</v>
      </c>
      <c r="J99" s="84">
        <v>4213492</v>
      </c>
      <c r="K99" s="84">
        <v>4213492</v>
      </c>
      <c r="L99" s="84">
        <v>4048494</v>
      </c>
    </row>
    <row r="100" spans="1:12" ht="12.75" customHeight="1">
      <c r="A100" s="384" t="s">
        <v>314</v>
      </c>
      <c r="B100" s="384"/>
      <c r="C100" s="385" t="s">
        <v>254</v>
      </c>
      <c r="D100" s="162"/>
      <c r="E100" s="84">
        <v>888000</v>
      </c>
      <c r="F100" s="84">
        <v>847768</v>
      </c>
      <c r="G100" s="84">
        <v>847768</v>
      </c>
      <c r="H100" s="84">
        <v>847768</v>
      </c>
      <c r="I100" s="84">
        <v>847768</v>
      </c>
      <c r="J100" s="84">
        <v>847768</v>
      </c>
      <c r="K100" s="84">
        <v>847768</v>
      </c>
      <c r="L100" s="84">
        <v>797630</v>
      </c>
    </row>
    <row r="101" spans="1:12" ht="12.75" customHeight="1">
      <c r="A101" s="384" t="s">
        <v>315</v>
      </c>
      <c r="B101" s="384"/>
      <c r="C101" s="385" t="s">
        <v>255</v>
      </c>
      <c r="D101" s="162"/>
      <c r="E101" s="173"/>
      <c r="F101" s="173"/>
      <c r="G101" s="173">
        <v>0</v>
      </c>
      <c r="H101" s="173">
        <v>0</v>
      </c>
      <c r="I101" s="173">
        <v>0</v>
      </c>
      <c r="J101" s="173">
        <v>0</v>
      </c>
      <c r="K101" s="173">
        <v>0</v>
      </c>
      <c r="L101" s="173">
        <v>0</v>
      </c>
    </row>
    <row r="102" spans="1:12" ht="12.75" customHeight="1">
      <c r="A102" s="384" t="s">
        <v>316</v>
      </c>
      <c r="B102" s="384" t="s">
        <v>47</v>
      </c>
      <c r="C102" s="361" t="s">
        <v>1077</v>
      </c>
      <c r="D102" s="172"/>
      <c r="E102" s="778">
        <f aca="true" t="shared" si="11" ref="E102:J102">SUM(E103:E105)</f>
        <v>0</v>
      </c>
      <c r="F102" s="778">
        <f t="shared" si="11"/>
        <v>0</v>
      </c>
      <c r="G102" s="778">
        <f t="shared" si="11"/>
        <v>1153259</v>
      </c>
      <c r="H102" s="778">
        <f t="shared" si="11"/>
        <v>1153259</v>
      </c>
      <c r="I102" s="778">
        <f t="shared" si="11"/>
        <v>1348461</v>
      </c>
      <c r="J102" s="778">
        <f t="shared" si="11"/>
        <v>1348461</v>
      </c>
      <c r="K102" s="778">
        <f>SUM(K103:K105)</f>
        <v>1348461</v>
      </c>
      <c r="L102" s="778">
        <f>SUM(L103:L105)</f>
        <v>1348461</v>
      </c>
    </row>
    <row r="103" spans="1:12" ht="12.75" customHeight="1">
      <c r="A103" s="384" t="s">
        <v>317</v>
      </c>
      <c r="B103" s="384"/>
      <c r="C103" s="223" t="s">
        <v>253</v>
      </c>
      <c r="D103" s="1243"/>
      <c r="E103" s="777"/>
      <c r="F103" s="777"/>
      <c r="G103" s="777">
        <v>835200</v>
      </c>
      <c r="H103" s="777">
        <v>937237</v>
      </c>
      <c r="I103" s="777">
        <v>1007237</v>
      </c>
      <c r="J103" s="777">
        <v>1007237</v>
      </c>
      <c r="K103" s="777">
        <v>1007237</v>
      </c>
      <c r="L103" s="777">
        <v>1007237</v>
      </c>
    </row>
    <row r="104" spans="1:12" ht="12.75" customHeight="1">
      <c r="A104" s="384" t="s">
        <v>318</v>
      </c>
      <c r="B104" s="384"/>
      <c r="C104" s="223" t="s">
        <v>254</v>
      </c>
      <c r="D104" s="1243"/>
      <c r="E104" s="777"/>
      <c r="F104" s="777"/>
      <c r="G104" s="777">
        <v>170978</v>
      </c>
      <c r="H104" s="777">
        <v>190605</v>
      </c>
      <c r="I104" s="777">
        <v>204255</v>
      </c>
      <c r="J104" s="777">
        <v>204255</v>
      </c>
      <c r="K104" s="777">
        <v>204255</v>
      </c>
      <c r="L104" s="777">
        <v>204255</v>
      </c>
    </row>
    <row r="105" spans="1:12" ht="12.75" customHeight="1">
      <c r="A105" s="384" t="s">
        <v>319</v>
      </c>
      <c r="B105" s="384"/>
      <c r="C105" s="223" t="s">
        <v>255</v>
      </c>
      <c r="D105" s="1243"/>
      <c r="E105" s="777"/>
      <c r="F105" s="777"/>
      <c r="G105" s="777">
        <v>147081</v>
      </c>
      <c r="H105" s="777">
        <v>25417</v>
      </c>
      <c r="I105" s="777">
        <v>136969</v>
      </c>
      <c r="J105" s="777">
        <v>136969</v>
      </c>
      <c r="K105" s="777">
        <v>136969</v>
      </c>
      <c r="L105" s="777">
        <v>136969</v>
      </c>
    </row>
    <row r="106" spans="1:12" ht="12.75" customHeight="1">
      <c r="A106" s="496" t="s">
        <v>320</v>
      </c>
      <c r="B106" s="497"/>
      <c r="C106" s="498" t="s">
        <v>1009</v>
      </c>
      <c r="D106" s="12">
        <v>15</v>
      </c>
      <c r="E106" s="776">
        <f aca="true" t="shared" si="12" ref="E106:J106">SUM(E107:E110)</f>
        <v>80440449</v>
      </c>
      <c r="F106" s="776">
        <f t="shared" si="12"/>
        <v>80284856</v>
      </c>
      <c r="G106" s="776">
        <f t="shared" si="12"/>
        <v>81971115</v>
      </c>
      <c r="H106" s="776">
        <f t="shared" si="12"/>
        <v>81971115</v>
      </c>
      <c r="I106" s="776">
        <f t="shared" si="12"/>
        <v>82486317</v>
      </c>
      <c r="J106" s="776">
        <f t="shared" si="12"/>
        <v>82736317</v>
      </c>
      <c r="K106" s="776">
        <f>SUM(K107:K110)</f>
        <v>82951167</v>
      </c>
      <c r="L106" s="776">
        <f>SUM(L107:L110)</f>
        <v>82931167</v>
      </c>
    </row>
    <row r="107" spans="1:12" ht="12.75" customHeight="1">
      <c r="A107" s="163" t="s">
        <v>321</v>
      </c>
      <c r="B107" s="164"/>
      <c r="C107" s="165" t="s">
        <v>253</v>
      </c>
      <c r="D107" s="154"/>
      <c r="E107" s="155">
        <f aca="true" t="shared" si="13" ref="E107:F109">SUM(E94+E99)</f>
        <v>56426973</v>
      </c>
      <c r="F107" s="155">
        <f t="shared" si="13"/>
        <v>58349912</v>
      </c>
      <c r="G107" s="155">
        <f aca="true" t="shared" si="14" ref="G107:H109">SUM(G94+G99)+G103</f>
        <v>59185112</v>
      </c>
      <c r="H107" s="155">
        <f t="shared" si="14"/>
        <v>59287149</v>
      </c>
      <c r="I107" s="155">
        <f aca="true" t="shared" si="15" ref="I107:J109">SUM(I94+I99)+I103</f>
        <v>59357149</v>
      </c>
      <c r="J107" s="155">
        <f t="shared" si="15"/>
        <v>59357149</v>
      </c>
      <c r="K107" s="155">
        <f aca="true" t="shared" si="16" ref="K107:L109">SUM(K94+K99)+K103</f>
        <v>60086306</v>
      </c>
      <c r="L107" s="155">
        <f t="shared" si="16"/>
        <v>60086306</v>
      </c>
    </row>
    <row r="108" spans="1:12" ht="12.75" customHeight="1">
      <c r="A108" s="166" t="s">
        <v>322</v>
      </c>
      <c r="B108" s="167"/>
      <c r="C108" s="168" t="s">
        <v>254</v>
      </c>
      <c r="D108" s="154"/>
      <c r="E108" s="155">
        <f t="shared" si="13"/>
        <v>12600977</v>
      </c>
      <c r="F108" s="155">
        <f t="shared" si="13"/>
        <v>11434944</v>
      </c>
      <c r="G108" s="155">
        <f t="shared" si="14"/>
        <v>11605922</v>
      </c>
      <c r="H108" s="155">
        <f t="shared" si="14"/>
        <v>11625549</v>
      </c>
      <c r="I108" s="155">
        <f t="shared" si="15"/>
        <v>11639199</v>
      </c>
      <c r="J108" s="155">
        <f t="shared" si="15"/>
        <v>11639199</v>
      </c>
      <c r="K108" s="155">
        <f t="shared" si="16"/>
        <v>11807570</v>
      </c>
      <c r="L108" s="155">
        <f t="shared" si="16"/>
        <v>11807570</v>
      </c>
    </row>
    <row r="109" spans="1:12" ht="12.75" customHeight="1">
      <c r="A109" s="125" t="s">
        <v>323</v>
      </c>
      <c r="B109" s="125"/>
      <c r="C109" s="154" t="s">
        <v>255</v>
      </c>
      <c r="D109" s="154"/>
      <c r="E109" s="155">
        <f t="shared" si="13"/>
        <v>10127032</v>
      </c>
      <c r="F109" s="155">
        <f t="shared" si="13"/>
        <v>10000000</v>
      </c>
      <c r="G109" s="155">
        <f t="shared" si="14"/>
        <v>10680081</v>
      </c>
      <c r="H109" s="155">
        <f>SUM(H96+H101)+H105</f>
        <v>10558417</v>
      </c>
      <c r="I109" s="155">
        <f t="shared" si="15"/>
        <v>10989969</v>
      </c>
      <c r="J109" s="155">
        <f t="shared" si="15"/>
        <v>11239969</v>
      </c>
      <c r="K109" s="155">
        <f t="shared" si="16"/>
        <v>10845813</v>
      </c>
      <c r="L109" s="155">
        <f t="shared" si="16"/>
        <v>10825813</v>
      </c>
    </row>
    <row r="110" spans="1:12" ht="12.75" customHeight="1">
      <c r="A110" s="125" t="s">
        <v>324</v>
      </c>
      <c r="B110" s="125"/>
      <c r="C110" s="154" t="s">
        <v>252</v>
      </c>
      <c r="D110" s="154"/>
      <c r="E110" s="155">
        <f aca="true" t="shared" si="17" ref="E110:J110">SUM(E97)</f>
        <v>1285467</v>
      </c>
      <c r="F110" s="155">
        <f t="shared" si="17"/>
        <v>500000</v>
      </c>
      <c r="G110" s="155">
        <f t="shared" si="17"/>
        <v>500000</v>
      </c>
      <c r="H110" s="155">
        <f t="shared" si="17"/>
        <v>500000</v>
      </c>
      <c r="I110" s="155">
        <f t="shared" si="17"/>
        <v>500000</v>
      </c>
      <c r="J110" s="155">
        <f t="shared" si="17"/>
        <v>500000</v>
      </c>
      <c r="K110" s="155">
        <f>SUM(K97)</f>
        <v>211478</v>
      </c>
      <c r="L110" s="155">
        <f>SUM(L97)</f>
        <v>211478</v>
      </c>
    </row>
    <row r="111" spans="1:4" s="96" customFormat="1" ht="36.75" customHeight="1">
      <c r="A111" s="138" t="s">
        <v>325</v>
      </c>
      <c r="B111" s="169" t="s">
        <v>174</v>
      </c>
      <c r="C111" s="1553" t="s">
        <v>241</v>
      </c>
      <c r="D111" s="1553"/>
    </row>
    <row r="112" spans="1:12" ht="12.75" customHeight="1">
      <c r="A112" s="138" t="s">
        <v>326</v>
      </c>
      <c r="B112" s="170" t="s">
        <v>38</v>
      </c>
      <c r="C112" s="9" t="s">
        <v>327</v>
      </c>
      <c r="D112" s="171">
        <v>1</v>
      </c>
      <c r="E112" s="66">
        <f>SUM(E113:E114)+E115</f>
        <v>17998583</v>
      </c>
      <c r="F112" s="66">
        <v>16699204</v>
      </c>
      <c r="G112" s="66">
        <v>18699204</v>
      </c>
      <c r="H112" s="66">
        <v>18699204</v>
      </c>
      <c r="I112" s="66">
        <v>18699204</v>
      </c>
      <c r="J112" s="66">
        <v>18699204</v>
      </c>
      <c r="K112" s="66">
        <v>18699204</v>
      </c>
      <c r="L112" s="66">
        <v>18699204</v>
      </c>
    </row>
    <row r="113" spans="1:12" ht="12.75" customHeight="1">
      <c r="A113" s="143" t="s">
        <v>328</v>
      </c>
      <c r="B113" s="148"/>
      <c r="C113" s="17" t="s">
        <v>253</v>
      </c>
      <c r="D113" s="145"/>
      <c r="E113" s="84">
        <v>2028722</v>
      </c>
      <c r="F113" s="84">
        <v>2239195</v>
      </c>
      <c r="G113" s="84">
        <v>2239195</v>
      </c>
      <c r="H113" s="84">
        <v>2239195</v>
      </c>
      <c r="I113" s="84">
        <v>2239195</v>
      </c>
      <c r="J113" s="84">
        <v>2239195</v>
      </c>
      <c r="K113" s="84">
        <v>2239195</v>
      </c>
      <c r="L113" s="84">
        <v>2213300</v>
      </c>
    </row>
    <row r="114" spans="1:12" ht="12.75" customHeight="1">
      <c r="A114" s="143" t="s">
        <v>329</v>
      </c>
      <c r="B114" s="148"/>
      <c r="C114" s="17" t="s">
        <v>254</v>
      </c>
      <c r="D114" s="145"/>
      <c r="E114" s="84">
        <v>471320</v>
      </c>
      <c r="F114" s="84">
        <v>460009</v>
      </c>
      <c r="G114" s="84">
        <v>460009</v>
      </c>
      <c r="H114" s="84">
        <v>460009</v>
      </c>
      <c r="I114" s="84">
        <v>460009</v>
      </c>
      <c r="J114" s="84">
        <v>460009</v>
      </c>
      <c r="K114" s="84">
        <v>460009</v>
      </c>
      <c r="L114" s="84">
        <v>468542</v>
      </c>
    </row>
    <row r="115" spans="1:12" ht="12.75" customHeight="1">
      <c r="A115" s="143" t="s">
        <v>330</v>
      </c>
      <c r="B115" s="148"/>
      <c r="C115" s="17" t="s">
        <v>255</v>
      </c>
      <c r="D115" s="145"/>
      <c r="E115" s="84">
        <v>15498541</v>
      </c>
      <c r="F115" s="84">
        <v>14000000</v>
      </c>
      <c r="G115" s="84">
        <v>16000000</v>
      </c>
      <c r="H115" s="84">
        <v>16000000</v>
      </c>
      <c r="I115" s="84">
        <v>16000000</v>
      </c>
      <c r="J115" s="84">
        <v>16000000</v>
      </c>
      <c r="K115" s="84">
        <v>16000000</v>
      </c>
      <c r="L115" s="84">
        <v>16449604</v>
      </c>
    </row>
    <row r="116" spans="1:12" ht="12.75" customHeight="1">
      <c r="A116" s="143" t="s">
        <v>331</v>
      </c>
      <c r="B116" s="150" t="s">
        <v>40</v>
      </c>
      <c r="C116" s="9" t="s">
        <v>332</v>
      </c>
      <c r="D116" s="145"/>
      <c r="E116" s="66">
        <f aca="true" t="shared" si="18" ref="E116:J116">SUM(E117:E119)</f>
        <v>2509214</v>
      </c>
      <c r="F116" s="66">
        <f t="shared" si="18"/>
        <v>2820040</v>
      </c>
      <c r="G116" s="66">
        <f t="shared" si="18"/>
        <v>2820040</v>
      </c>
      <c r="H116" s="66">
        <f t="shared" si="18"/>
        <v>2820040</v>
      </c>
      <c r="I116" s="66">
        <f t="shared" si="18"/>
        <v>2820040</v>
      </c>
      <c r="J116" s="66">
        <f t="shared" si="18"/>
        <v>2820040</v>
      </c>
      <c r="K116" s="66">
        <f>SUM(K117:K119)</f>
        <v>2820040</v>
      </c>
      <c r="L116" s="66">
        <f>SUM(L117:L119)</f>
        <v>2165282</v>
      </c>
    </row>
    <row r="117" spans="1:12" ht="12.75" customHeight="1">
      <c r="A117" s="143" t="s">
        <v>333</v>
      </c>
      <c r="B117" s="148"/>
      <c r="C117" s="17" t="s">
        <v>253</v>
      </c>
      <c r="D117" s="145"/>
      <c r="E117" s="84">
        <v>240478</v>
      </c>
      <c r="F117" s="84">
        <v>265497</v>
      </c>
      <c r="G117" s="84">
        <v>265497</v>
      </c>
      <c r="H117" s="84">
        <v>265497</v>
      </c>
      <c r="I117" s="84">
        <v>265497</v>
      </c>
      <c r="J117" s="84">
        <v>265497</v>
      </c>
      <c r="K117" s="84">
        <v>265497</v>
      </c>
      <c r="L117" s="84">
        <v>321981</v>
      </c>
    </row>
    <row r="118" spans="1:12" ht="12.75" customHeight="1">
      <c r="A118" s="143" t="s">
        <v>334</v>
      </c>
      <c r="B118" s="148"/>
      <c r="C118" s="17" t="s">
        <v>254</v>
      </c>
      <c r="D118" s="145"/>
      <c r="E118" s="84">
        <v>52184</v>
      </c>
      <c r="F118" s="84">
        <v>54543</v>
      </c>
      <c r="G118" s="84">
        <v>54543</v>
      </c>
      <c r="H118" s="84">
        <v>54543</v>
      </c>
      <c r="I118" s="84">
        <v>54543</v>
      </c>
      <c r="J118" s="84">
        <v>54543</v>
      </c>
      <c r="K118" s="84">
        <v>54543</v>
      </c>
      <c r="L118" s="84">
        <v>68161</v>
      </c>
    </row>
    <row r="119" spans="1:12" ht="12.75" customHeight="1">
      <c r="A119" s="143" t="s">
        <v>335</v>
      </c>
      <c r="B119" s="148"/>
      <c r="C119" s="161" t="s">
        <v>255</v>
      </c>
      <c r="D119" s="172"/>
      <c r="E119" s="173">
        <v>2216552</v>
      </c>
      <c r="F119" s="173">
        <v>2500000</v>
      </c>
      <c r="G119" s="173">
        <v>2500000</v>
      </c>
      <c r="H119" s="173">
        <v>2500000</v>
      </c>
      <c r="I119" s="173">
        <v>2500000</v>
      </c>
      <c r="J119" s="173">
        <v>2500000</v>
      </c>
      <c r="K119" s="173">
        <v>2500000</v>
      </c>
      <c r="L119" s="173">
        <v>1775140</v>
      </c>
    </row>
    <row r="120" spans="1:12" s="68" customFormat="1" ht="12.75" customHeight="1">
      <c r="A120" s="138" t="s">
        <v>336</v>
      </c>
      <c r="B120" s="141" t="s">
        <v>47</v>
      </c>
      <c r="C120" s="75" t="s">
        <v>390</v>
      </c>
      <c r="D120" s="172"/>
      <c r="E120" s="89">
        <f aca="true" t="shared" si="19" ref="E120:J120">SUM(E121:E123)</f>
        <v>20802</v>
      </c>
      <c r="F120" s="89">
        <f t="shared" si="19"/>
        <v>0</v>
      </c>
      <c r="G120" s="89">
        <f t="shared" si="19"/>
        <v>0</v>
      </c>
      <c r="H120" s="89">
        <f t="shared" si="19"/>
        <v>0</v>
      </c>
      <c r="I120" s="89">
        <f t="shared" si="19"/>
        <v>0</v>
      </c>
      <c r="J120" s="89">
        <f t="shared" si="19"/>
        <v>0</v>
      </c>
      <c r="K120" s="89">
        <f>SUM(K121:K123)</f>
        <v>0</v>
      </c>
      <c r="L120" s="89">
        <f>SUM(L121:L123)</f>
        <v>94067</v>
      </c>
    </row>
    <row r="121" spans="1:12" ht="12.75" customHeight="1">
      <c r="A121" s="143" t="s">
        <v>338</v>
      </c>
      <c r="B121" s="144"/>
      <c r="C121" s="17" t="s">
        <v>253</v>
      </c>
      <c r="D121" s="172"/>
      <c r="E121" s="173"/>
      <c r="F121" s="173"/>
      <c r="G121" s="173">
        <v>0</v>
      </c>
      <c r="H121" s="173">
        <v>0</v>
      </c>
      <c r="I121" s="173">
        <v>0</v>
      </c>
      <c r="J121" s="173">
        <v>0</v>
      </c>
      <c r="K121" s="173">
        <v>0</v>
      </c>
      <c r="L121" s="173">
        <v>0</v>
      </c>
    </row>
    <row r="122" spans="1:12" ht="12.75" customHeight="1">
      <c r="A122" s="143" t="s">
        <v>339</v>
      </c>
      <c r="B122" s="144"/>
      <c r="C122" s="17" t="s">
        <v>254</v>
      </c>
      <c r="D122" s="172"/>
      <c r="E122" s="173"/>
      <c r="F122" s="173"/>
      <c r="G122" s="173">
        <v>0</v>
      </c>
      <c r="H122" s="173">
        <v>0</v>
      </c>
      <c r="I122" s="173">
        <v>0</v>
      </c>
      <c r="J122" s="173">
        <v>0</v>
      </c>
      <c r="K122" s="173">
        <v>0</v>
      </c>
      <c r="L122" s="173">
        <v>0</v>
      </c>
    </row>
    <row r="123" spans="1:12" ht="12.75" customHeight="1">
      <c r="A123" s="143" t="s">
        <v>340</v>
      </c>
      <c r="B123" s="144"/>
      <c r="C123" s="161" t="s">
        <v>255</v>
      </c>
      <c r="D123" s="172"/>
      <c r="E123" s="173">
        <v>20802</v>
      </c>
      <c r="F123" s="173"/>
      <c r="G123" s="173">
        <v>0</v>
      </c>
      <c r="H123" s="173">
        <v>0</v>
      </c>
      <c r="I123" s="173">
        <v>0</v>
      </c>
      <c r="J123" s="173">
        <v>0</v>
      </c>
      <c r="K123" s="173">
        <v>0</v>
      </c>
      <c r="L123" s="173">
        <v>94067</v>
      </c>
    </row>
    <row r="124" spans="1:12" ht="12.75" customHeight="1">
      <c r="A124" s="143" t="s">
        <v>341</v>
      </c>
      <c r="B124" s="141" t="s">
        <v>49</v>
      </c>
      <c r="C124" s="9" t="s">
        <v>337</v>
      </c>
      <c r="D124" s="142">
        <v>18</v>
      </c>
      <c r="E124" s="66">
        <f aca="true" t="shared" si="20" ref="E124:J124">SUM(E125:E128)</f>
        <v>67591398</v>
      </c>
      <c r="F124" s="66">
        <f t="shared" si="20"/>
        <v>70812366</v>
      </c>
      <c r="G124" s="66">
        <f t="shared" si="20"/>
        <v>68812366</v>
      </c>
      <c r="H124" s="66">
        <f t="shared" si="20"/>
        <v>68812366</v>
      </c>
      <c r="I124" s="66">
        <f t="shared" si="20"/>
        <v>68812366</v>
      </c>
      <c r="J124" s="66">
        <f t="shared" si="20"/>
        <v>69520576</v>
      </c>
      <c r="K124" s="66">
        <f>SUM(K125:K128)</f>
        <v>69300411</v>
      </c>
      <c r="L124" s="66">
        <f>SUM(L125:L128)</f>
        <v>68962272</v>
      </c>
    </row>
    <row r="125" spans="1:12" ht="12.75" customHeight="1">
      <c r="A125" s="143" t="s">
        <v>342</v>
      </c>
      <c r="B125" s="144"/>
      <c r="C125" s="17" t="s">
        <v>253</v>
      </c>
      <c r="D125" s="142"/>
      <c r="E125" s="84">
        <v>54357753</v>
      </c>
      <c r="F125" s="84">
        <v>56944464</v>
      </c>
      <c r="G125" s="84">
        <v>56944464</v>
      </c>
      <c r="H125" s="84">
        <v>56944464</v>
      </c>
      <c r="I125" s="84">
        <v>56944464</v>
      </c>
      <c r="J125" s="84">
        <v>57534464</v>
      </c>
      <c r="K125" s="84">
        <v>52019117</v>
      </c>
      <c r="L125" s="84">
        <v>52115092</v>
      </c>
    </row>
    <row r="126" spans="1:12" ht="12.75" customHeight="1">
      <c r="A126" s="143" t="s">
        <v>344</v>
      </c>
      <c r="B126" s="144"/>
      <c r="C126" s="17" t="s">
        <v>254</v>
      </c>
      <c r="D126" s="142"/>
      <c r="E126" s="84">
        <v>12712995</v>
      </c>
      <c r="F126" s="84">
        <v>11367902</v>
      </c>
      <c r="G126" s="84">
        <v>11367902</v>
      </c>
      <c r="H126" s="84">
        <v>11367902</v>
      </c>
      <c r="I126" s="84">
        <v>11367902</v>
      </c>
      <c r="J126" s="84">
        <v>11486112</v>
      </c>
      <c r="K126" s="84">
        <v>16661294</v>
      </c>
      <c r="L126" s="84">
        <v>16585809</v>
      </c>
    </row>
    <row r="127" spans="1:12" ht="12.75" customHeight="1">
      <c r="A127" s="143" t="s">
        <v>345</v>
      </c>
      <c r="B127" s="144"/>
      <c r="C127" s="17" t="s">
        <v>255</v>
      </c>
      <c r="D127" s="142"/>
      <c r="E127" s="84">
        <v>520650</v>
      </c>
      <c r="F127" s="84">
        <v>2500000</v>
      </c>
      <c r="G127" s="84">
        <v>500000</v>
      </c>
      <c r="H127" s="84">
        <v>500000</v>
      </c>
      <c r="I127" s="84">
        <v>500000</v>
      </c>
      <c r="J127" s="84">
        <v>500000</v>
      </c>
      <c r="K127" s="84">
        <v>620000</v>
      </c>
      <c r="L127" s="84">
        <v>261371</v>
      </c>
    </row>
    <row r="128" spans="1:12" ht="12.75" customHeight="1">
      <c r="A128" s="143" t="s">
        <v>346</v>
      </c>
      <c r="B128" s="144"/>
      <c r="C128" s="17" t="s">
        <v>653</v>
      </c>
      <c r="D128" s="142"/>
      <c r="E128" s="84"/>
      <c r="F128" s="84"/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</row>
    <row r="129" spans="1:12" s="68" customFormat="1" ht="12.75" customHeight="1">
      <c r="A129" s="138" t="s">
        <v>347</v>
      </c>
      <c r="B129" s="141" t="s">
        <v>51</v>
      </c>
      <c r="C129" s="9" t="s">
        <v>650</v>
      </c>
      <c r="D129" s="142"/>
      <c r="E129" s="66">
        <f aca="true" t="shared" si="21" ref="E129:J129">SUM(E130:E132)</f>
        <v>188058</v>
      </c>
      <c r="F129" s="66">
        <f t="shared" si="21"/>
        <v>394000</v>
      </c>
      <c r="G129" s="66">
        <f t="shared" si="21"/>
        <v>394000</v>
      </c>
      <c r="H129" s="66">
        <f t="shared" si="21"/>
        <v>394000</v>
      </c>
      <c r="I129" s="66">
        <f t="shared" si="21"/>
        <v>394000</v>
      </c>
      <c r="J129" s="66">
        <f t="shared" si="21"/>
        <v>394000</v>
      </c>
      <c r="K129" s="66">
        <f>SUM(K130:K132)</f>
        <v>394000</v>
      </c>
      <c r="L129" s="66">
        <f>SUM(L130:L132)</f>
        <v>0</v>
      </c>
    </row>
    <row r="130" spans="1:12" ht="12.75" customHeight="1">
      <c r="A130" s="143" t="s">
        <v>349</v>
      </c>
      <c r="B130" s="144"/>
      <c r="C130" s="17" t="s">
        <v>253</v>
      </c>
      <c r="D130" s="142"/>
      <c r="E130" s="84">
        <v>156000</v>
      </c>
      <c r="F130" s="84">
        <v>330000</v>
      </c>
      <c r="G130" s="84">
        <v>330000</v>
      </c>
      <c r="H130" s="84">
        <v>330000</v>
      </c>
      <c r="I130" s="84">
        <v>330000</v>
      </c>
      <c r="J130" s="84">
        <v>330000</v>
      </c>
      <c r="K130" s="84">
        <v>330000</v>
      </c>
      <c r="L130" s="84">
        <v>0</v>
      </c>
    </row>
    <row r="131" spans="1:12" ht="12.75" customHeight="1">
      <c r="A131" s="143" t="s">
        <v>350</v>
      </c>
      <c r="B131" s="144"/>
      <c r="C131" s="17" t="s">
        <v>254</v>
      </c>
      <c r="D131" s="142"/>
      <c r="E131" s="84">
        <v>32058</v>
      </c>
      <c r="F131" s="84">
        <v>64000</v>
      </c>
      <c r="G131" s="84">
        <v>64000</v>
      </c>
      <c r="H131" s="84">
        <v>64000</v>
      </c>
      <c r="I131" s="84">
        <v>64000</v>
      </c>
      <c r="J131" s="84">
        <v>64000</v>
      </c>
      <c r="K131" s="84">
        <v>64000</v>
      </c>
      <c r="L131" s="84">
        <v>0</v>
      </c>
    </row>
    <row r="132" spans="1:12" ht="12.75" customHeight="1">
      <c r="A132" s="143" t="s">
        <v>351</v>
      </c>
      <c r="B132" s="144"/>
      <c r="C132" s="17" t="s">
        <v>255</v>
      </c>
      <c r="D132" s="142"/>
      <c r="E132" s="84"/>
      <c r="F132" s="84"/>
      <c r="G132" s="84"/>
      <c r="H132" s="84"/>
      <c r="I132" s="84"/>
      <c r="J132" s="84"/>
      <c r="K132" s="84"/>
      <c r="L132" s="84"/>
    </row>
    <row r="133" spans="1:12" ht="12.75" customHeight="1">
      <c r="A133" s="143" t="s">
        <v>352</v>
      </c>
      <c r="B133" s="141" t="s">
        <v>53</v>
      </c>
      <c r="C133" s="9" t="s">
        <v>343</v>
      </c>
      <c r="D133" s="9">
        <v>2</v>
      </c>
      <c r="E133" s="66">
        <f aca="true" t="shared" si="22" ref="E133:J133">SUM(E134:E136)</f>
        <v>13896380</v>
      </c>
      <c r="F133" s="66">
        <f t="shared" si="22"/>
        <v>10243826</v>
      </c>
      <c r="G133" s="66">
        <f t="shared" si="22"/>
        <v>10293826</v>
      </c>
      <c r="H133" s="66">
        <f t="shared" si="22"/>
        <v>10293826</v>
      </c>
      <c r="I133" s="66">
        <f t="shared" si="22"/>
        <v>10293826</v>
      </c>
      <c r="J133" s="66">
        <f t="shared" si="22"/>
        <v>10689826</v>
      </c>
      <c r="K133" s="66">
        <f>SUM(K134:K136)</f>
        <v>10689826</v>
      </c>
      <c r="L133" s="66">
        <f>SUM(L134:L137)</f>
        <v>11168504</v>
      </c>
    </row>
    <row r="134" spans="1:12" ht="12.75" customHeight="1">
      <c r="A134" s="143" t="s">
        <v>353</v>
      </c>
      <c r="B134" s="144"/>
      <c r="C134" s="17" t="s">
        <v>253</v>
      </c>
      <c r="D134" s="142"/>
      <c r="E134" s="84">
        <v>11167775</v>
      </c>
      <c r="F134" s="84">
        <v>8402972</v>
      </c>
      <c r="G134" s="84">
        <v>8402972</v>
      </c>
      <c r="H134" s="84">
        <v>8402972</v>
      </c>
      <c r="I134" s="84">
        <v>8402972</v>
      </c>
      <c r="J134" s="84">
        <v>8402972</v>
      </c>
      <c r="K134" s="84">
        <v>8402972</v>
      </c>
      <c r="L134" s="84">
        <v>9193686</v>
      </c>
    </row>
    <row r="135" spans="1:12" ht="12.75" customHeight="1">
      <c r="A135" s="143" t="s">
        <v>355</v>
      </c>
      <c r="B135" s="144"/>
      <c r="C135" s="17" t="s">
        <v>254</v>
      </c>
      <c r="D135" s="142"/>
      <c r="E135" s="84">
        <v>2662777</v>
      </c>
      <c r="F135" s="84">
        <v>1690854</v>
      </c>
      <c r="G135" s="84">
        <v>1690854</v>
      </c>
      <c r="H135" s="84">
        <v>1690854</v>
      </c>
      <c r="I135" s="84">
        <v>1690854</v>
      </c>
      <c r="J135" s="84">
        <v>1690854</v>
      </c>
      <c r="K135" s="84">
        <v>1690854</v>
      </c>
      <c r="L135" s="84">
        <v>1813808</v>
      </c>
    </row>
    <row r="136" spans="1:12" ht="12.75" customHeight="1">
      <c r="A136" s="143" t="s">
        <v>356</v>
      </c>
      <c r="B136" s="144"/>
      <c r="C136" s="17" t="s">
        <v>255</v>
      </c>
      <c r="D136" s="142"/>
      <c r="E136" s="84">
        <v>65828</v>
      </c>
      <c r="F136" s="84">
        <v>150000</v>
      </c>
      <c r="G136" s="84">
        <v>200000</v>
      </c>
      <c r="H136" s="84">
        <v>200000</v>
      </c>
      <c r="I136" s="84">
        <v>200000</v>
      </c>
      <c r="J136" s="84">
        <v>596000</v>
      </c>
      <c r="K136" s="84">
        <v>596000</v>
      </c>
      <c r="L136" s="84">
        <v>125400</v>
      </c>
    </row>
    <row r="137" spans="1:12" ht="12.75" customHeight="1">
      <c r="A137" s="143" t="s">
        <v>358</v>
      </c>
      <c r="B137" s="144"/>
      <c r="C137" s="17" t="s">
        <v>654</v>
      </c>
      <c r="D137" s="142"/>
      <c r="E137" s="84"/>
      <c r="F137" s="84"/>
      <c r="G137" s="84"/>
      <c r="H137" s="84"/>
      <c r="I137" s="84"/>
      <c r="J137" s="84"/>
      <c r="K137" s="84"/>
      <c r="L137" s="84">
        <v>35610</v>
      </c>
    </row>
    <row r="138" spans="1:12" ht="12.75" customHeight="1">
      <c r="A138" s="143" t="s">
        <v>360</v>
      </c>
      <c r="B138" s="141" t="s">
        <v>55</v>
      </c>
      <c r="C138" s="9" t="s">
        <v>348</v>
      </c>
      <c r="D138" s="142">
        <v>3</v>
      </c>
      <c r="E138" s="66">
        <f aca="true" t="shared" si="23" ref="E138:J138">SUM(E139:E142)</f>
        <v>9641130</v>
      </c>
      <c r="F138" s="66">
        <f t="shared" si="23"/>
        <v>9517000</v>
      </c>
      <c r="G138" s="66">
        <f t="shared" si="23"/>
        <v>10348777</v>
      </c>
      <c r="H138" s="66">
        <f t="shared" si="23"/>
        <v>10378018</v>
      </c>
      <c r="I138" s="66">
        <f t="shared" si="23"/>
        <v>10412197</v>
      </c>
      <c r="J138" s="66">
        <f t="shared" si="23"/>
        <v>10447755</v>
      </c>
      <c r="K138" s="66">
        <f>SUM(K139:K142)</f>
        <v>10447755</v>
      </c>
      <c r="L138" s="66">
        <f>SUM(L139:L142)</f>
        <v>11130237</v>
      </c>
    </row>
    <row r="139" spans="1:12" ht="12.75" customHeight="1">
      <c r="A139" s="143" t="s">
        <v>361</v>
      </c>
      <c r="B139" s="144"/>
      <c r="C139" s="17" t="s">
        <v>253</v>
      </c>
      <c r="D139" s="142"/>
      <c r="E139" s="84">
        <v>7175877</v>
      </c>
      <c r="F139" s="84">
        <v>7513808</v>
      </c>
      <c r="G139" s="84">
        <v>8209856</v>
      </c>
      <c r="H139" s="84">
        <v>8234325</v>
      </c>
      <c r="I139" s="84">
        <v>8262927</v>
      </c>
      <c r="J139" s="84">
        <v>8295327</v>
      </c>
      <c r="K139" s="84">
        <v>8295327</v>
      </c>
      <c r="L139" s="84">
        <v>8026312</v>
      </c>
    </row>
    <row r="140" spans="1:12" ht="12.75" customHeight="1">
      <c r="A140" s="143" t="s">
        <v>363</v>
      </c>
      <c r="B140" s="144"/>
      <c r="C140" s="17" t="s">
        <v>254</v>
      </c>
      <c r="D140" s="145"/>
      <c r="E140" s="84">
        <v>1647249</v>
      </c>
      <c r="F140" s="84">
        <v>1465192</v>
      </c>
      <c r="G140" s="84">
        <v>1600921</v>
      </c>
      <c r="H140" s="84">
        <v>1605693</v>
      </c>
      <c r="I140" s="84">
        <v>1611270</v>
      </c>
      <c r="J140" s="84">
        <v>1614428</v>
      </c>
      <c r="K140" s="84">
        <v>1614428</v>
      </c>
      <c r="L140" s="84">
        <v>1652869</v>
      </c>
    </row>
    <row r="141" spans="1:12" ht="12.75" customHeight="1">
      <c r="A141" s="143" t="s">
        <v>364</v>
      </c>
      <c r="B141" s="144"/>
      <c r="C141" s="17" t="s">
        <v>255</v>
      </c>
      <c r="D141" s="145"/>
      <c r="E141" s="84">
        <v>818004</v>
      </c>
      <c r="F141" s="84">
        <v>538000</v>
      </c>
      <c r="G141" s="84">
        <v>538000</v>
      </c>
      <c r="H141" s="84">
        <v>538000</v>
      </c>
      <c r="I141" s="84">
        <v>538000</v>
      </c>
      <c r="J141" s="84">
        <v>538000</v>
      </c>
      <c r="K141" s="84">
        <v>538000</v>
      </c>
      <c r="L141" s="84">
        <v>1093215</v>
      </c>
    </row>
    <row r="142" spans="1:12" ht="12.75" customHeight="1">
      <c r="A142" s="143" t="s">
        <v>365</v>
      </c>
      <c r="B142" s="144"/>
      <c r="C142" s="17" t="s">
        <v>252</v>
      </c>
      <c r="D142" s="145"/>
      <c r="E142" s="84">
        <v>0</v>
      </c>
      <c r="F142" s="84">
        <v>0</v>
      </c>
      <c r="G142" s="84">
        <v>0</v>
      </c>
      <c r="H142" s="84">
        <v>0</v>
      </c>
      <c r="I142" s="84">
        <v>0</v>
      </c>
      <c r="J142" s="84">
        <v>0</v>
      </c>
      <c r="K142" s="84">
        <v>0</v>
      </c>
      <c r="L142" s="84">
        <v>357841</v>
      </c>
    </row>
    <row r="143" spans="1:12" ht="12.75" customHeight="1">
      <c r="A143" s="143" t="s">
        <v>366</v>
      </c>
      <c r="B143" s="141" t="s">
        <v>57</v>
      </c>
      <c r="C143" s="9" t="s">
        <v>354</v>
      </c>
      <c r="D143" s="145"/>
      <c r="E143" s="66">
        <f aca="true" t="shared" si="24" ref="E143:J143">SUM(E144:E147)</f>
        <v>5957733</v>
      </c>
      <c r="F143" s="66">
        <f t="shared" si="24"/>
        <v>5353556</v>
      </c>
      <c r="G143" s="66">
        <f t="shared" si="24"/>
        <v>5638556</v>
      </c>
      <c r="H143" s="66">
        <f t="shared" si="24"/>
        <v>5638556</v>
      </c>
      <c r="I143" s="66">
        <f t="shared" si="24"/>
        <v>5638556</v>
      </c>
      <c r="J143" s="66">
        <f t="shared" si="24"/>
        <v>5638556</v>
      </c>
      <c r="K143" s="66">
        <f>SUM(K144:K147)</f>
        <v>4804201</v>
      </c>
      <c r="L143" s="66">
        <f>SUM(L144:L147)</f>
        <v>4512397</v>
      </c>
    </row>
    <row r="144" spans="1:12" ht="12.75" customHeight="1">
      <c r="A144" s="143" t="s">
        <v>367</v>
      </c>
      <c r="B144" s="144"/>
      <c r="C144" s="17" t="s">
        <v>253</v>
      </c>
      <c r="D144" s="145"/>
      <c r="E144" s="84"/>
      <c r="F144" s="84">
        <v>295863</v>
      </c>
      <c r="G144" s="84">
        <v>295863</v>
      </c>
      <c r="H144" s="84">
        <v>295863</v>
      </c>
      <c r="I144" s="84">
        <v>295863</v>
      </c>
      <c r="J144" s="84">
        <v>295863</v>
      </c>
      <c r="K144" s="84">
        <v>295863</v>
      </c>
      <c r="L144" s="84">
        <v>0</v>
      </c>
    </row>
    <row r="145" spans="1:12" ht="12.75" customHeight="1">
      <c r="A145" s="143" t="s">
        <v>368</v>
      </c>
      <c r="B145" s="144"/>
      <c r="C145" s="17" t="s">
        <v>357</v>
      </c>
      <c r="D145" s="145"/>
      <c r="E145" s="84"/>
      <c r="F145" s="84">
        <v>57693</v>
      </c>
      <c r="G145" s="84">
        <v>57693</v>
      </c>
      <c r="H145" s="84">
        <v>57693</v>
      </c>
      <c r="I145" s="84">
        <v>57693</v>
      </c>
      <c r="J145" s="84">
        <v>57693</v>
      </c>
      <c r="K145" s="84">
        <v>57693</v>
      </c>
      <c r="L145" s="84">
        <v>0</v>
      </c>
    </row>
    <row r="146" spans="1:12" ht="12.75" customHeight="1">
      <c r="A146" s="143" t="s">
        <v>369</v>
      </c>
      <c r="B146" s="144"/>
      <c r="C146" s="17" t="s">
        <v>359</v>
      </c>
      <c r="D146" s="145"/>
      <c r="E146" s="84">
        <v>5063145</v>
      </c>
      <c r="F146" s="84">
        <v>4500000</v>
      </c>
      <c r="G146" s="84">
        <v>4785000</v>
      </c>
      <c r="H146" s="84">
        <v>4785000</v>
      </c>
      <c r="I146" s="84">
        <v>4785000</v>
      </c>
      <c r="J146" s="84">
        <v>4785000</v>
      </c>
      <c r="K146" s="84">
        <v>3633384</v>
      </c>
      <c r="L146" s="84">
        <v>4088587</v>
      </c>
    </row>
    <row r="147" spans="1:12" ht="12.75" customHeight="1">
      <c r="A147" s="143" t="s">
        <v>371</v>
      </c>
      <c r="B147" s="144"/>
      <c r="C147" s="17" t="s">
        <v>594</v>
      </c>
      <c r="D147" s="145"/>
      <c r="E147" s="84">
        <v>894588</v>
      </c>
      <c r="F147" s="84">
        <v>500000</v>
      </c>
      <c r="G147" s="84">
        <v>500000</v>
      </c>
      <c r="H147" s="84">
        <v>500000</v>
      </c>
      <c r="I147" s="84">
        <v>500000</v>
      </c>
      <c r="J147" s="84">
        <v>500000</v>
      </c>
      <c r="K147" s="84">
        <v>817261</v>
      </c>
      <c r="L147" s="84">
        <v>423810</v>
      </c>
    </row>
    <row r="148" spans="1:12" ht="12.75" customHeight="1">
      <c r="A148" s="153" t="s">
        <v>372</v>
      </c>
      <c r="B148" s="1491" t="s">
        <v>86</v>
      </c>
      <c r="C148" s="174" t="s">
        <v>362</v>
      </c>
      <c r="D148" s="175">
        <v>24</v>
      </c>
      <c r="E148" s="126">
        <f aca="true" t="shared" si="25" ref="E148:J148">SUM(E149:E152)</f>
        <v>117803298</v>
      </c>
      <c r="F148" s="126">
        <f t="shared" si="25"/>
        <v>115839992</v>
      </c>
      <c r="G148" s="126">
        <f t="shared" si="25"/>
        <v>117006769</v>
      </c>
      <c r="H148" s="126">
        <f t="shared" si="25"/>
        <v>117036010</v>
      </c>
      <c r="I148" s="126">
        <f t="shared" si="25"/>
        <v>117070189</v>
      </c>
      <c r="J148" s="126">
        <f t="shared" si="25"/>
        <v>118209957</v>
      </c>
      <c r="K148" s="126">
        <f>SUM(K149:K152)</f>
        <v>117182205</v>
      </c>
      <c r="L148" s="126">
        <f>SUM(L149:L152)</f>
        <v>117182205</v>
      </c>
    </row>
    <row r="149" spans="1:12" ht="12.75" customHeight="1">
      <c r="A149" s="153" t="s">
        <v>373</v>
      </c>
      <c r="B149" s="125"/>
      <c r="C149" s="154" t="s">
        <v>253</v>
      </c>
      <c r="D149" s="154"/>
      <c r="E149" s="155">
        <f aca="true" t="shared" si="26" ref="E149:J150">SUM(E113+E117+E121+E125+E130+E134+E139+E144)</f>
        <v>75126605</v>
      </c>
      <c r="F149" s="155">
        <f t="shared" si="26"/>
        <v>75991799</v>
      </c>
      <c r="G149" s="155">
        <f t="shared" si="26"/>
        <v>76687847</v>
      </c>
      <c r="H149" s="155">
        <f t="shared" si="26"/>
        <v>76712316</v>
      </c>
      <c r="I149" s="155">
        <f t="shared" si="26"/>
        <v>76740918</v>
      </c>
      <c r="J149" s="155">
        <f t="shared" si="26"/>
        <v>77363318</v>
      </c>
      <c r="K149" s="155">
        <v>71870371</v>
      </c>
      <c r="L149" s="155">
        <v>71870371</v>
      </c>
    </row>
    <row r="150" spans="1:12" ht="12.75" customHeight="1">
      <c r="A150" s="153" t="s">
        <v>374</v>
      </c>
      <c r="B150" s="125"/>
      <c r="C150" s="154" t="s">
        <v>254</v>
      </c>
      <c r="D150" s="154"/>
      <c r="E150" s="155">
        <f t="shared" si="26"/>
        <v>17578583</v>
      </c>
      <c r="F150" s="155">
        <f t="shared" si="26"/>
        <v>15160193</v>
      </c>
      <c r="G150" s="155">
        <f t="shared" si="26"/>
        <v>15295922</v>
      </c>
      <c r="H150" s="155">
        <f t="shared" si="26"/>
        <v>15300694</v>
      </c>
      <c r="I150" s="155">
        <f t="shared" si="26"/>
        <v>15306271</v>
      </c>
      <c r="J150" s="155">
        <f t="shared" si="26"/>
        <v>15427639</v>
      </c>
      <c r="K150" s="155">
        <v>20607189</v>
      </c>
      <c r="L150" s="155">
        <v>20607189</v>
      </c>
    </row>
    <row r="151" spans="1:12" ht="12.75" customHeight="1">
      <c r="A151" s="153" t="s">
        <v>375</v>
      </c>
      <c r="B151" s="125"/>
      <c r="C151" s="154" t="s">
        <v>255</v>
      </c>
      <c r="D151" s="154"/>
      <c r="E151" s="155">
        <f>SUM(E115+E119+E123+E127+E132+E136+E141+E146)</f>
        <v>24203522</v>
      </c>
      <c r="F151" s="155">
        <f>SUM(F115+F119+F123+F127+F132+F136+F141+F146)</f>
        <v>24188000</v>
      </c>
      <c r="G151" s="155">
        <v>24523000</v>
      </c>
      <c r="H151" s="155">
        <v>24523000</v>
      </c>
      <c r="I151" s="155">
        <v>24523000</v>
      </c>
      <c r="J151" s="155">
        <v>24919000</v>
      </c>
      <c r="K151" s="155">
        <v>23887384</v>
      </c>
      <c r="L151" s="155">
        <v>23887384</v>
      </c>
    </row>
    <row r="152" spans="1:12" ht="12.75" customHeight="1">
      <c r="A152" s="153" t="s">
        <v>377</v>
      </c>
      <c r="B152" s="125"/>
      <c r="C152" s="154" t="s">
        <v>252</v>
      </c>
      <c r="D152" s="154"/>
      <c r="E152" s="155">
        <f aca="true" t="shared" si="27" ref="E152:J152">SUM(E128+E142+E147)</f>
        <v>894588</v>
      </c>
      <c r="F152" s="155">
        <f t="shared" si="27"/>
        <v>500000</v>
      </c>
      <c r="G152" s="155">
        <f t="shared" si="27"/>
        <v>500000</v>
      </c>
      <c r="H152" s="155">
        <f t="shared" si="27"/>
        <v>500000</v>
      </c>
      <c r="I152" s="155">
        <f t="shared" si="27"/>
        <v>500000</v>
      </c>
      <c r="J152" s="155">
        <f t="shared" si="27"/>
        <v>500000</v>
      </c>
      <c r="K152" s="155">
        <f>SUM(K128+K142+K147)</f>
        <v>817261</v>
      </c>
      <c r="L152" s="155">
        <v>817261</v>
      </c>
    </row>
    <row r="153" spans="1:4" s="178" customFormat="1" ht="19.5" customHeight="1">
      <c r="A153" s="176" t="s">
        <v>378</v>
      </c>
      <c r="B153" s="177" t="s">
        <v>184</v>
      </c>
      <c r="C153" s="1554" t="s">
        <v>853</v>
      </c>
      <c r="D153" s="1554"/>
    </row>
    <row r="154" spans="1:12" ht="12.75" customHeight="1">
      <c r="A154" s="143" t="s">
        <v>379</v>
      </c>
      <c r="B154" s="65" t="s">
        <v>38</v>
      </c>
      <c r="C154" s="9" t="s">
        <v>370</v>
      </c>
      <c r="D154" s="142">
        <v>4</v>
      </c>
      <c r="E154" s="66">
        <f aca="true" t="shared" si="28" ref="E154:J154">SUM(E155:E158)</f>
        <v>14580612</v>
      </c>
      <c r="F154" s="66">
        <f t="shared" si="28"/>
        <v>15729452</v>
      </c>
      <c r="G154" s="66">
        <f t="shared" si="28"/>
        <v>15729452</v>
      </c>
      <c r="H154" s="66">
        <f t="shared" si="28"/>
        <v>15902933</v>
      </c>
      <c r="I154" s="66">
        <f t="shared" si="28"/>
        <v>15970549</v>
      </c>
      <c r="J154" s="66">
        <f t="shared" si="28"/>
        <v>16118014</v>
      </c>
      <c r="K154" s="66">
        <f>SUM(K155:K158)</f>
        <v>14325698</v>
      </c>
      <c r="L154" s="66">
        <f>SUM(L155:L158)</f>
        <v>14084643</v>
      </c>
    </row>
    <row r="155" spans="1:12" ht="12.75" customHeight="1">
      <c r="A155" s="143" t="s">
        <v>380</v>
      </c>
      <c r="B155" s="85"/>
      <c r="C155" s="17" t="s">
        <v>253</v>
      </c>
      <c r="D155" s="145"/>
      <c r="E155" s="84">
        <v>7581155</v>
      </c>
      <c r="F155" s="84">
        <v>8674148</v>
      </c>
      <c r="G155" s="84">
        <v>8674148</v>
      </c>
      <c r="H155" s="84">
        <v>8819320</v>
      </c>
      <c r="I155" s="84">
        <v>8875902</v>
      </c>
      <c r="J155" s="84">
        <v>8999304</v>
      </c>
      <c r="K155" s="84">
        <v>7693140</v>
      </c>
      <c r="L155" s="84">
        <v>7693140</v>
      </c>
    </row>
    <row r="156" spans="1:12" ht="12.75" customHeight="1">
      <c r="A156" s="143" t="s">
        <v>381</v>
      </c>
      <c r="B156" s="85"/>
      <c r="C156" s="17" t="s">
        <v>254</v>
      </c>
      <c r="D156" s="145"/>
      <c r="E156" s="84">
        <v>1706240</v>
      </c>
      <c r="F156" s="84">
        <v>1714304</v>
      </c>
      <c r="G156" s="84">
        <v>1714304</v>
      </c>
      <c r="H156" s="84">
        <v>1742613</v>
      </c>
      <c r="I156" s="84">
        <v>1753647</v>
      </c>
      <c r="J156" s="84">
        <v>1777710</v>
      </c>
      <c r="K156" s="84">
        <v>1553272</v>
      </c>
      <c r="L156" s="84">
        <v>1553272</v>
      </c>
    </row>
    <row r="157" spans="1:12" ht="12.75" customHeight="1">
      <c r="A157" s="143" t="s">
        <v>382</v>
      </c>
      <c r="B157" s="85"/>
      <c r="C157" s="17" t="s">
        <v>255</v>
      </c>
      <c r="D157" s="145"/>
      <c r="E157" s="84">
        <v>4589440</v>
      </c>
      <c r="F157" s="84">
        <v>4841000</v>
      </c>
      <c r="G157" s="84">
        <v>4841000</v>
      </c>
      <c r="H157" s="84">
        <v>4841000</v>
      </c>
      <c r="I157" s="84">
        <v>4841000</v>
      </c>
      <c r="J157" s="84">
        <v>4841000</v>
      </c>
      <c r="K157" s="84">
        <v>5015296</v>
      </c>
      <c r="L157" s="84">
        <v>4774241</v>
      </c>
    </row>
    <row r="158" spans="1:12" ht="12.75" customHeight="1">
      <c r="A158" s="143" t="s">
        <v>383</v>
      </c>
      <c r="B158" s="85"/>
      <c r="C158" s="17" t="s">
        <v>252</v>
      </c>
      <c r="D158" s="145"/>
      <c r="E158" s="84">
        <v>703777</v>
      </c>
      <c r="F158" s="84">
        <v>500000</v>
      </c>
      <c r="G158" s="84">
        <v>500000</v>
      </c>
      <c r="H158" s="84">
        <v>500000</v>
      </c>
      <c r="I158" s="84">
        <v>500000</v>
      </c>
      <c r="J158" s="84">
        <v>500000</v>
      </c>
      <c r="K158" s="84">
        <v>63990</v>
      </c>
      <c r="L158" s="84">
        <v>63990</v>
      </c>
    </row>
    <row r="159" spans="1:12" ht="12.75" customHeight="1">
      <c r="A159" s="143" t="s">
        <v>1097</v>
      </c>
      <c r="B159" s="65" t="s">
        <v>40</v>
      </c>
      <c r="C159" s="9" t="s">
        <v>376</v>
      </c>
      <c r="D159" s="142">
        <v>0</v>
      </c>
      <c r="E159" s="66">
        <f aca="true" t="shared" si="29" ref="E159:J159">SUM(E160:E162)</f>
        <v>462745</v>
      </c>
      <c r="F159" s="66">
        <f t="shared" si="29"/>
        <v>0</v>
      </c>
      <c r="G159" s="66">
        <f t="shared" si="29"/>
        <v>0</v>
      </c>
      <c r="H159" s="66">
        <f t="shared" si="29"/>
        <v>0</v>
      </c>
      <c r="I159" s="66">
        <f t="shared" si="29"/>
        <v>0</v>
      </c>
      <c r="J159" s="66">
        <f t="shared" si="29"/>
        <v>0</v>
      </c>
      <c r="K159" s="66">
        <f>SUM(K160:K162)</f>
        <v>0</v>
      </c>
      <c r="L159" s="66">
        <f>SUM(L160:L162)</f>
        <v>0</v>
      </c>
    </row>
    <row r="160" spans="1:12" ht="12.75" customHeight="1">
      <c r="A160" s="143" t="s">
        <v>1098</v>
      </c>
      <c r="B160" s="85"/>
      <c r="C160" s="17" t="s">
        <v>253</v>
      </c>
      <c r="D160" s="145"/>
      <c r="E160" s="84">
        <v>107724</v>
      </c>
      <c r="F160" s="84"/>
      <c r="G160" s="84">
        <v>0</v>
      </c>
      <c r="H160" s="84">
        <v>0</v>
      </c>
      <c r="I160" s="84">
        <v>0</v>
      </c>
      <c r="J160" s="84">
        <v>0</v>
      </c>
      <c r="K160" s="84">
        <v>0</v>
      </c>
      <c r="L160" s="84">
        <v>0</v>
      </c>
    </row>
    <row r="161" spans="1:12" ht="12.75" customHeight="1">
      <c r="A161" s="143" t="s">
        <v>384</v>
      </c>
      <c r="B161" s="85"/>
      <c r="C161" s="17" t="s">
        <v>254</v>
      </c>
      <c r="D161" s="145"/>
      <c r="E161" s="84">
        <v>23648</v>
      </c>
      <c r="F161" s="84"/>
      <c r="G161" s="84">
        <v>0</v>
      </c>
      <c r="H161" s="84">
        <v>0</v>
      </c>
      <c r="I161" s="84">
        <v>0</v>
      </c>
      <c r="J161" s="84">
        <v>0</v>
      </c>
      <c r="K161" s="84">
        <v>0</v>
      </c>
      <c r="L161" s="84">
        <v>0</v>
      </c>
    </row>
    <row r="162" spans="1:12" ht="12.75" customHeight="1">
      <c r="A162" s="143" t="s">
        <v>386</v>
      </c>
      <c r="B162" s="85"/>
      <c r="C162" s="17" t="s">
        <v>255</v>
      </c>
      <c r="D162" s="145"/>
      <c r="E162" s="84">
        <v>331373</v>
      </c>
      <c r="F162" s="84"/>
      <c r="G162" s="84">
        <v>0</v>
      </c>
      <c r="H162" s="84">
        <v>0</v>
      </c>
      <c r="I162" s="84">
        <v>0</v>
      </c>
      <c r="J162" s="84">
        <v>0</v>
      </c>
      <c r="K162" s="84">
        <v>0</v>
      </c>
      <c r="L162" s="84">
        <v>0</v>
      </c>
    </row>
    <row r="163" spans="1:12" s="68" customFormat="1" ht="12.75" customHeight="1">
      <c r="A163" s="138" t="s">
        <v>387</v>
      </c>
      <c r="B163" s="65" t="s">
        <v>47</v>
      </c>
      <c r="C163" s="9" t="s">
        <v>1072</v>
      </c>
      <c r="D163" s="142"/>
      <c r="E163" s="66">
        <v>68854</v>
      </c>
      <c r="F163" s="66"/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</row>
    <row r="164" spans="1:12" ht="12.75" customHeight="1">
      <c r="A164" s="143" t="s">
        <v>388</v>
      </c>
      <c r="B164" s="85"/>
      <c r="C164" s="17" t="s">
        <v>664</v>
      </c>
      <c r="D164" s="145"/>
      <c r="E164" s="84">
        <v>68854</v>
      </c>
      <c r="F164" s="84"/>
      <c r="G164" s="84">
        <v>0</v>
      </c>
      <c r="H164" s="84">
        <v>0</v>
      </c>
      <c r="I164" s="84">
        <v>0</v>
      </c>
      <c r="J164" s="84">
        <v>0</v>
      </c>
      <c r="K164" s="84">
        <v>0</v>
      </c>
      <c r="L164" s="84">
        <v>0</v>
      </c>
    </row>
    <row r="165" spans="1:12" s="68" customFormat="1" ht="12.75" customHeight="1">
      <c r="A165" s="138" t="s">
        <v>389</v>
      </c>
      <c r="B165" s="65" t="s">
        <v>49</v>
      </c>
      <c r="C165" s="9" t="s">
        <v>521</v>
      </c>
      <c r="D165" s="142"/>
      <c r="E165" s="66"/>
      <c r="F165" s="66">
        <v>700000</v>
      </c>
      <c r="G165" s="66">
        <v>700000</v>
      </c>
      <c r="H165" s="66">
        <v>700000</v>
      </c>
      <c r="I165" s="66">
        <v>700000</v>
      </c>
      <c r="J165" s="66">
        <v>700000</v>
      </c>
      <c r="K165" s="66">
        <v>0</v>
      </c>
      <c r="L165" s="66">
        <v>190991</v>
      </c>
    </row>
    <row r="166" spans="1:12" ht="12.75" customHeight="1">
      <c r="A166" s="143" t="s">
        <v>391</v>
      </c>
      <c r="B166" s="85"/>
      <c r="C166" s="17" t="s">
        <v>253</v>
      </c>
      <c r="D166" s="145"/>
      <c r="E166" s="84"/>
      <c r="F166" s="84"/>
      <c r="G166" s="84">
        <v>0</v>
      </c>
      <c r="H166" s="84">
        <v>0</v>
      </c>
      <c r="I166" s="84">
        <v>0</v>
      </c>
      <c r="J166" s="84">
        <v>0</v>
      </c>
      <c r="K166" s="84">
        <v>0</v>
      </c>
      <c r="L166" s="84">
        <v>0</v>
      </c>
    </row>
    <row r="167" spans="1:12" ht="12.75" customHeight="1">
      <c r="A167" s="143" t="s">
        <v>392</v>
      </c>
      <c r="B167" s="85"/>
      <c r="C167" s="17" t="s">
        <v>254</v>
      </c>
      <c r="D167" s="145"/>
      <c r="E167" s="84"/>
      <c r="F167" s="84"/>
      <c r="G167" s="84">
        <v>0</v>
      </c>
      <c r="H167" s="84">
        <v>0</v>
      </c>
      <c r="I167" s="84">
        <v>0</v>
      </c>
      <c r="J167" s="84">
        <v>0</v>
      </c>
      <c r="K167" s="84">
        <v>0</v>
      </c>
      <c r="L167" s="84">
        <v>0</v>
      </c>
    </row>
    <row r="168" spans="1:12" ht="12.75" customHeight="1">
      <c r="A168" s="143" t="s">
        <v>393</v>
      </c>
      <c r="B168" s="85"/>
      <c r="C168" s="17" t="s">
        <v>255</v>
      </c>
      <c r="D168" s="145"/>
      <c r="E168" s="84"/>
      <c r="F168" s="84">
        <v>700000</v>
      </c>
      <c r="G168" s="84">
        <v>700000</v>
      </c>
      <c r="H168" s="84">
        <v>700000</v>
      </c>
      <c r="I168" s="84">
        <v>700000</v>
      </c>
      <c r="J168" s="84">
        <v>700000</v>
      </c>
      <c r="K168" s="84">
        <v>0</v>
      </c>
      <c r="L168" s="84">
        <v>190991</v>
      </c>
    </row>
    <row r="169" spans="1:12" s="68" customFormat="1" ht="12.75" customHeight="1">
      <c r="A169" s="138" t="s">
        <v>394</v>
      </c>
      <c r="B169" s="65" t="s">
        <v>51</v>
      </c>
      <c r="C169" s="9" t="s">
        <v>522</v>
      </c>
      <c r="D169" s="142"/>
      <c r="E169" s="66">
        <v>300000</v>
      </c>
      <c r="F169" s="66">
        <v>300000</v>
      </c>
      <c r="G169" s="66">
        <v>300000</v>
      </c>
      <c r="H169" s="66">
        <v>300000</v>
      </c>
      <c r="I169" s="66">
        <v>300000</v>
      </c>
      <c r="J169" s="66">
        <v>300000</v>
      </c>
      <c r="K169" s="66">
        <v>0</v>
      </c>
      <c r="L169" s="66">
        <v>50064</v>
      </c>
    </row>
    <row r="170" spans="1:12" ht="12.75" customHeight="1">
      <c r="A170" s="143" t="s">
        <v>396</v>
      </c>
      <c r="B170" s="85"/>
      <c r="C170" s="17" t="s">
        <v>253</v>
      </c>
      <c r="D170" s="145"/>
      <c r="E170" s="84"/>
      <c r="F170" s="84"/>
      <c r="G170" s="84">
        <v>0</v>
      </c>
      <c r="H170" s="84">
        <v>0</v>
      </c>
      <c r="I170" s="84">
        <v>0</v>
      </c>
      <c r="J170" s="84">
        <v>0</v>
      </c>
      <c r="K170" s="84">
        <v>0</v>
      </c>
      <c r="L170" s="84">
        <v>0</v>
      </c>
    </row>
    <row r="171" spans="1:12" ht="12.75" customHeight="1">
      <c r="A171" s="143" t="s">
        <v>397</v>
      </c>
      <c r="B171" s="85"/>
      <c r="C171" s="17" t="s">
        <v>254</v>
      </c>
      <c r="D171" s="145"/>
      <c r="E171" s="84"/>
      <c r="F171" s="84"/>
      <c r="G171" s="84">
        <v>0</v>
      </c>
      <c r="H171" s="84">
        <v>0</v>
      </c>
      <c r="I171" s="84">
        <v>0</v>
      </c>
      <c r="J171" s="84">
        <v>0</v>
      </c>
      <c r="K171" s="84">
        <v>0</v>
      </c>
      <c r="L171" s="84">
        <v>0</v>
      </c>
    </row>
    <row r="172" spans="1:12" ht="12.75" customHeight="1">
      <c r="A172" s="143" t="s">
        <v>398</v>
      </c>
      <c r="B172" s="85"/>
      <c r="C172" s="17" t="s">
        <v>255</v>
      </c>
      <c r="D172" s="145"/>
      <c r="E172" s="84">
        <v>104597</v>
      </c>
      <c r="F172" s="84">
        <v>300000</v>
      </c>
      <c r="G172" s="84">
        <v>300000</v>
      </c>
      <c r="H172" s="84">
        <v>300000</v>
      </c>
      <c r="I172" s="84">
        <v>300000</v>
      </c>
      <c r="J172" s="84">
        <v>300000</v>
      </c>
      <c r="K172" s="84">
        <v>0</v>
      </c>
      <c r="L172" s="84">
        <v>50064</v>
      </c>
    </row>
    <row r="173" spans="1:12" ht="12.75" customHeight="1">
      <c r="A173" s="143" t="s">
        <v>399</v>
      </c>
      <c r="B173" s="85"/>
      <c r="C173" s="17" t="s">
        <v>252</v>
      </c>
      <c r="D173" s="145"/>
      <c r="E173" s="84"/>
      <c r="F173" s="84"/>
      <c r="G173" s="84">
        <v>0</v>
      </c>
      <c r="H173" s="84">
        <v>0</v>
      </c>
      <c r="I173" s="84">
        <v>0</v>
      </c>
      <c r="J173" s="84">
        <v>0</v>
      </c>
      <c r="K173" s="84">
        <v>0</v>
      </c>
      <c r="L173" s="84">
        <v>0</v>
      </c>
    </row>
    <row r="174" spans="1:12" ht="26.25" customHeight="1">
      <c r="A174" s="153" t="s">
        <v>400</v>
      </c>
      <c r="B174" s="125"/>
      <c r="C174" s="179" t="s">
        <v>864</v>
      </c>
      <c r="D174" s="175">
        <f>SUM(D153:D162)</f>
        <v>4</v>
      </c>
      <c r="E174" s="126">
        <f aca="true" t="shared" si="30" ref="E174:J174">SUM(E175:E178)</f>
        <v>15216808</v>
      </c>
      <c r="F174" s="126">
        <f t="shared" si="30"/>
        <v>16729452</v>
      </c>
      <c r="G174" s="126">
        <f t="shared" si="30"/>
        <v>16729452</v>
      </c>
      <c r="H174" s="126">
        <f t="shared" si="30"/>
        <v>16902933</v>
      </c>
      <c r="I174" s="126">
        <f t="shared" si="30"/>
        <v>16970549</v>
      </c>
      <c r="J174" s="126">
        <f t="shared" si="30"/>
        <v>17118014</v>
      </c>
      <c r="K174" s="126">
        <f>SUM(K175:K178)</f>
        <v>14325698</v>
      </c>
      <c r="L174" s="126">
        <f>SUM(L175:L178)</f>
        <v>14325698</v>
      </c>
    </row>
    <row r="175" spans="1:12" ht="12.75" customHeight="1">
      <c r="A175" s="153" t="s">
        <v>402</v>
      </c>
      <c r="B175" s="125"/>
      <c r="C175" s="154" t="s">
        <v>253</v>
      </c>
      <c r="D175" s="154"/>
      <c r="E175" s="155">
        <f aca="true" t="shared" si="31" ref="E175:G176">SUM(E155+E160+E166+E170)</f>
        <v>7688879</v>
      </c>
      <c r="F175" s="155">
        <f t="shared" si="31"/>
        <v>8674148</v>
      </c>
      <c r="G175" s="155">
        <f t="shared" si="31"/>
        <v>8674148</v>
      </c>
      <c r="H175" s="155">
        <f aca="true" t="shared" si="32" ref="H175:I177">SUM(H155+H160+H166+H170)</f>
        <v>8819320</v>
      </c>
      <c r="I175" s="155">
        <f t="shared" si="32"/>
        <v>8875902</v>
      </c>
      <c r="J175" s="155">
        <f aca="true" t="shared" si="33" ref="J175:K177">SUM(J155+J160+J166+J170)</f>
        <v>8999304</v>
      </c>
      <c r="K175" s="155">
        <f t="shared" si="33"/>
        <v>7693140</v>
      </c>
      <c r="L175" s="155">
        <f>SUM(L155+L160+L166+L170)</f>
        <v>7693140</v>
      </c>
    </row>
    <row r="176" spans="1:12" ht="12.75" customHeight="1">
      <c r="A176" s="153" t="s">
        <v>403</v>
      </c>
      <c r="B176" s="125"/>
      <c r="C176" s="154" t="s">
        <v>254</v>
      </c>
      <c r="D176" s="154"/>
      <c r="E176" s="155">
        <f t="shared" si="31"/>
        <v>1729888</v>
      </c>
      <c r="F176" s="155">
        <f t="shared" si="31"/>
        <v>1714304</v>
      </c>
      <c r="G176" s="155">
        <f t="shared" si="31"/>
        <v>1714304</v>
      </c>
      <c r="H176" s="155">
        <f t="shared" si="32"/>
        <v>1742613</v>
      </c>
      <c r="I176" s="155">
        <f t="shared" si="32"/>
        <v>1753647</v>
      </c>
      <c r="J176" s="155">
        <f t="shared" si="33"/>
        <v>1777710</v>
      </c>
      <c r="K176" s="155">
        <f t="shared" si="33"/>
        <v>1553272</v>
      </c>
      <c r="L176" s="155">
        <f>SUM(L156+L161+L167+L171)</f>
        <v>1553272</v>
      </c>
    </row>
    <row r="177" spans="1:12" ht="12.75" customHeight="1">
      <c r="A177" s="153" t="s">
        <v>404</v>
      </c>
      <c r="B177" s="125"/>
      <c r="C177" s="154" t="s">
        <v>255</v>
      </c>
      <c r="D177" s="154"/>
      <c r="E177" s="155">
        <v>5094264</v>
      </c>
      <c r="F177" s="155">
        <f>SUM(F157+F162+F168+F172)</f>
        <v>5841000</v>
      </c>
      <c r="G177" s="155">
        <f>SUM(G157+G162+G168+G172)</f>
        <v>5841000</v>
      </c>
      <c r="H177" s="155">
        <f t="shared" si="32"/>
        <v>5841000</v>
      </c>
      <c r="I177" s="155">
        <f t="shared" si="32"/>
        <v>5841000</v>
      </c>
      <c r="J177" s="155">
        <f t="shared" si="33"/>
        <v>5841000</v>
      </c>
      <c r="K177" s="155">
        <f t="shared" si="33"/>
        <v>5015296</v>
      </c>
      <c r="L177" s="155">
        <f>SUM(L157+L162+L168+L172)</f>
        <v>5015296</v>
      </c>
    </row>
    <row r="178" spans="1:12" ht="12.75" customHeight="1">
      <c r="A178" s="153" t="s">
        <v>406</v>
      </c>
      <c r="B178" s="125"/>
      <c r="C178" s="154" t="s">
        <v>654</v>
      </c>
      <c r="D178" s="154"/>
      <c r="E178" s="155">
        <f aca="true" t="shared" si="34" ref="E178:J178">SUM(E158+E173)</f>
        <v>703777</v>
      </c>
      <c r="F178" s="155">
        <f t="shared" si="34"/>
        <v>500000</v>
      </c>
      <c r="G178" s="155">
        <f t="shared" si="34"/>
        <v>500000</v>
      </c>
      <c r="H178" s="155">
        <f t="shared" si="34"/>
        <v>500000</v>
      </c>
      <c r="I178" s="155">
        <f t="shared" si="34"/>
        <v>500000</v>
      </c>
      <c r="J178" s="155">
        <f t="shared" si="34"/>
        <v>500000</v>
      </c>
      <c r="K178" s="155">
        <f>SUM(K158+K173)</f>
        <v>63990</v>
      </c>
      <c r="L178" s="155">
        <f>SUM(L158+L173)</f>
        <v>63990</v>
      </c>
    </row>
    <row r="179" spans="1:12" ht="19.5" customHeight="1">
      <c r="A179" s="143" t="s">
        <v>407</v>
      </c>
      <c r="B179" s="180" t="s">
        <v>185</v>
      </c>
      <c r="C179" s="1555" t="s">
        <v>244</v>
      </c>
      <c r="D179" s="1555"/>
      <c r="E179" s="5"/>
      <c r="F179" s="5"/>
      <c r="G179" s="5"/>
      <c r="H179" s="5"/>
      <c r="I179" s="5"/>
      <c r="J179" s="5"/>
      <c r="K179" s="5"/>
      <c r="L179" s="5"/>
    </row>
    <row r="180" spans="1:12" s="68" customFormat="1" ht="24" customHeight="1">
      <c r="A180" s="143" t="s">
        <v>408</v>
      </c>
      <c r="B180" s="65" t="s">
        <v>38</v>
      </c>
      <c r="C180" s="181" t="s">
        <v>385</v>
      </c>
      <c r="D180" s="142">
        <v>5</v>
      </c>
      <c r="E180" s="66">
        <f aca="true" t="shared" si="35" ref="E180:J180">SUM(E181:E184)</f>
        <v>29293096</v>
      </c>
      <c r="F180" s="66">
        <f t="shared" si="35"/>
        <v>30726050</v>
      </c>
      <c r="G180" s="66">
        <f t="shared" si="35"/>
        <v>30726050</v>
      </c>
      <c r="H180" s="66">
        <f t="shared" si="35"/>
        <v>30726050</v>
      </c>
      <c r="I180" s="66">
        <f t="shared" si="35"/>
        <v>30726050</v>
      </c>
      <c r="J180" s="66">
        <f t="shared" si="35"/>
        <v>30726050</v>
      </c>
      <c r="K180" s="66">
        <f>SUM(K181:K184)</f>
        <v>33025069</v>
      </c>
      <c r="L180" s="66">
        <f>SUM(L181:L184)</f>
        <v>32997154</v>
      </c>
    </row>
    <row r="181" spans="1:12" ht="12.75" customHeight="1">
      <c r="A181" s="143" t="s">
        <v>409</v>
      </c>
      <c r="B181" s="85"/>
      <c r="C181" s="17" t="s">
        <v>253</v>
      </c>
      <c r="D181" s="145"/>
      <c r="E181" s="84">
        <v>8142920</v>
      </c>
      <c r="F181" s="84">
        <v>9500792</v>
      </c>
      <c r="G181" s="84">
        <v>9500792</v>
      </c>
      <c r="H181" s="84">
        <v>9500792</v>
      </c>
      <c r="I181" s="84">
        <v>9500792</v>
      </c>
      <c r="J181" s="84">
        <v>9500792</v>
      </c>
      <c r="K181" s="84">
        <v>9500792</v>
      </c>
      <c r="L181" s="84">
        <v>9320500</v>
      </c>
    </row>
    <row r="182" spans="1:12" ht="12.75" customHeight="1">
      <c r="A182" s="143" t="s">
        <v>410</v>
      </c>
      <c r="B182" s="85"/>
      <c r="C182" s="17" t="s">
        <v>357</v>
      </c>
      <c r="D182" s="145"/>
      <c r="E182" s="84">
        <v>2066053</v>
      </c>
      <c r="F182" s="84">
        <v>1725258</v>
      </c>
      <c r="G182" s="84">
        <v>1725258</v>
      </c>
      <c r="H182" s="84">
        <v>1725258</v>
      </c>
      <c r="I182" s="84">
        <v>1725258</v>
      </c>
      <c r="J182" s="84">
        <v>1725258</v>
      </c>
      <c r="K182" s="84">
        <v>1725258</v>
      </c>
      <c r="L182" s="84">
        <v>1785843</v>
      </c>
    </row>
    <row r="183" spans="1:12" ht="12.75" customHeight="1">
      <c r="A183" s="143" t="s">
        <v>411</v>
      </c>
      <c r="B183" s="85"/>
      <c r="C183" s="17" t="s">
        <v>359</v>
      </c>
      <c r="D183" s="145"/>
      <c r="E183" s="84">
        <v>19084123</v>
      </c>
      <c r="F183" s="84">
        <v>19500000</v>
      </c>
      <c r="G183" s="84">
        <v>19500000</v>
      </c>
      <c r="H183" s="84">
        <v>19500000</v>
      </c>
      <c r="I183" s="84">
        <v>19500000</v>
      </c>
      <c r="J183" s="84">
        <v>19500000</v>
      </c>
      <c r="K183" s="84">
        <v>21799019</v>
      </c>
      <c r="L183" s="84">
        <v>21890811</v>
      </c>
    </row>
    <row r="184" spans="1:12" ht="12.75" customHeight="1">
      <c r="A184" s="143" t="s">
        <v>730</v>
      </c>
      <c r="B184" s="85"/>
      <c r="C184" s="17" t="s">
        <v>594</v>
      </c>
      <c r="D184" s="145"/>
      <c r="E184" s="84"/>
      <c r="F184" s="84"/>
      <c r="G184" s="84"/>
      <c r="H184" s="84"/>
      <c r="I184" s="84"/>
      <c r="J184" s="84"/>
      <c r="K184" s="84"/>
      <c r="L184" s="84"/>
    </row>
    <row r="185" spans="1:12" ht="12.75">
      <c r="A185" s="143" t="s">
        <v>731</v>
      </c>
      <c r="B185" s="65" t="s">
        <v>40</v>
      </c>
      <c r="C185" s="181" t="s">
        <v>390</v>
      </c>
      <c r="D185" s="142">
        <v>1</v>
      </c>
      <c r="E185" s="66">
        <f aca="true" t="shared" si="36" ref="E185:J185">SUM(E186:E188)</f>
        <v>8509447</v>
      </c>
      <c r="F185" s="66">
        <f t="shared" si="36"/>
        <v>7410260</v>
      </c>
      <c r="G185" s="66">
        <f t="shared" si="36"/>
        <v>9410260</v>
      </c>
      <c r="H185" s="66">
        <f t="shared" si="36"/>
        <v>9410260</v>
      </c>
      <c r="I185" s="66">
        <f t="shared" si="36"/>
        <v>9410260</v>
      </c>
      <c r="J185" s="66">
        <f t="shared" si="36"/>
        <v>9410260</v>
      </c>
      <c r="K185" s="66">
        <f>SUM(K186:K188)</f>
        <v>9410260</v>
      </c>
      <c r="L185" s="66">
        <f>SUM(L186:L188)</f>
        <v>9525540</v>
      </c>
    </row>
    <row r="186" spans="1:12" ht="12.75" customHeight="1">
      <c r="A186" s="143" t="s">
        <v>732</v>
      </c>
      <c r="B186" s="85"/>
      <c r="C186" s="17" t="s">
        <v>253</v>
      </c>
      <c r="D186" s="145"/>
      <c r="E186" s="84">
        <v>2473665</v>
      </c>
      <c r="F186" s="84">
        <v>2886160</v>
      </c>
      <c r="G186" s="84">
        <v>2886160</v>
      </c>
      <c r="H186" s="84">
        <v>2886160</v>
      </c>
      <c r="I186" s="84">
        <v>2886160</v>
      </c>
      <c r="J186" s="84">
        <v>2886160</v>
      </c>
      <c r="K186" s="84">
        <v>2886160</v>
      </c>
      <c r="L186" s="84">
        <v>2824526</v>
      </c>
    </row>
    <row r="187" spans="1:12" ht="12.75" customHeight="1">
      <c r="A187" s="143" t="s">
        <v>733</v>
      </c>
      <c r="B187" s="85"/>
      <c r="C187" s="17" t="s">
        <v>357</v>
      </c>
      <c r="D187" s="145"/>
      <c r="E187" s="84">
        <v>627628</v>
      </c>
      <c r="F187" s="84">
        <v>524100</v>
      </c>
      <c r="G187" s="84">
        <v>524100</v>
      </c>
      <c r="H187" s="84">
        <v>524100</v>
      </c>
      <c r="I187" s="84">
        <v>524100</v>
      </c>
      <c r="J187" s="84">
        <v>524100</v>
      </c>
      <c r="K187" s="84">
        <v>524100</v>
      </c>
      <c r="L187" s="84">
        <v>545545</v>
      </c>
    </row>
    <row r="188" spans="1:12" ht="12.75" customHeight="1">
      <c r="A188" s="143" t="s">
        <v>412</v>
      </c>
      <c r="B188" s="85"/>
      <c r="C188" s="17" t="s">
        <v>359</v>
      </c>
      <c r="D188" s="145"/>
      <c r="E188" s="173">
        <v>5408154</v>
      </c>
      <c r="F188" s="173">
        <v>4000000</v>
      </c>
      <c r="G188" s="173">
        <v>6000000</v>
      </c>
      <c r="H188" s="173">
        <v>6000000</v>
      </c>
      <c r="I188" s="173">
        <v>6000000</v>
      </c>
      <c r="J188" s="173">
        <v>6000000</v>
      </c>
      <c r="K188" s="173">
        <v>6000000</v>
      </c>
      <c r="L188" s="173">
        <v>6155469</v>
      </c>
    </row>
    <row r="189" spans="1:12" ht="29.25" customHeight="1">
      <c r="A189" s="143" t="s">
        <v>414</v>
      </c>
      <c r="B189" s="65" t="s">
        <v>47</v>
      </c>
      <c r="C189" s="181" t="s">
        <v>395</v>
      </c>
      <c r="D189" s="1248">
        <v>0</v>
      </c>
      <c r="E189" s="1250">
        <f aca="true" t="shared" si="37" ref="E189:J189">SUM(E190:E193)</f>
        <v>0</v>
      </c>
      <c r="F189" s="1250">
        <f t="shared" si="37"/>
        <v>0</v>
      </c>
      <c r="G189" s="1250">
        <f t="shared" si="37"/>
        <v>0</v>
      </c>
      <c r="H189" s="1250">
        <f t="shared" si="37"/>
        <v>0</v>
      </c>
      <c r="I189" s="1250">
        <f t="shared" si="37"/>
        <v>0</v>
      </c>
      <c r="J189" s="1250">
        <f t="shared" si="37"/>
        <v>0</v>
      </c>
      <c r="K189" s="1250">
        <f>SUM(K190:K193)</f>
        <v>0</v>
      </c>
      <c r="L189" s="1250">
        <f>SUM(L190:L193)</f>
        <v>0</v>
      </c>
    </row>
    <row r="190" spans="1:12" ht="12.75" customHeight="1">
      <c r="A190" s="143" t="s">
        <v>415</v>
      </c>
      <c r="B190" s="85"/>
      <c r="C190" s="17" t="s">
        <v>253</v>
      </c>
      <c r="D190" s="1249"/>
      <c r="E190" s="1251">
        <v>0</v>
      </c>
      <c r="F190" s="1251">
        <v>0</v>
      </c>
      <c r="G190" s="1251">
        <v>0</v>
      </c>
      <c r="H190" s="1251">
        <v>0</v>
      </c>
      <c r="I190" s="1251">
        <v>0</v>
      </c>
      <c r="J190" s="1251">
        <v>0</v>
      </c>
      <c r="K190" s="1251">
        <v>0</v>
      </c>
      <c r="L190" s="1251">
        <v>0</v>
      </c>
    </row>
    <row r="191" spans="1:12" ht="12.75" customHeight="1">
      <c r="A191" s="143" t="s">
        <v>416</v>
      </c>
      <c r="B191" s="85"/>
      <c r="C191" s="17" t="s">
        <v>254</v>
      </c>
      <c r="D191" s="1252"/>
      <c r="E191" s="1253">
        <v>0</v>
      </c>
      <c r="F191" s="1253">
        <v>0</v>
      </c>
      <c r="G191" s="1253">
        <v>0</v>
      </c>
      <c r="H191" s="1253">
        <v>0</v>
      </c>
      <c r="I191" s="1253">
        <v>0</v>
      </c>
      <c r="J191" s="1253">
        <v>0</v>
      </c>
      <c r="K191" s="1253">
        <v>0</v>
      </c>
      <c r="L191" s="1253">
        <v>0</v>
      </c>
    </row>
    <row r="192" spans="1:12" ht="12.75" customHeight="1">
      <c r="A192" s="143" t="s">
        <v>417</v>
      </c>
      <c r="B192" s="85"/>
      <c r="C192" s="224" t="s">
        <v>255</v>
      </c>
      <c r="D192" s="690"/>
      <c r="E192" s="1251">
        <v>0</v>
      </c>
      <c r="F192" s="1251">
        <v>0</v>
      </c>
      <c r="G192" s="1251">
        <v>0</v>
      </c>
      <c r="H192" s="1251">
        <v>0</v>
      </c>
      <c r="I192" s="1251">
        <v>0</v>
      </c>
      <c r="J192" s="1251">
        <v>0</v>
      </c>
      <c r="K192" s="1251">
        <v>0</v>
      </c>
      <c r="L192" s="1251">
        <v>0</v>
      </c>
    </row>
    <row r="193" spans="1:12" ht="12.75" customHeight="1">
      <c r="A193" s="143" t="s">
        <v>418</v>
      </c>
      <c r="B193" s="85"/>
      <c r="C193" s="224" t="s">
        <v>252</v>
      </c>
      <c r="D193" s="690"/>
      <c r="E193" s="1251">
        <v>0</v>
      </c>
      <c r="F193" s="1251">
        <v>0</v>
      </c>
      <c r="G193" s="1251">
        <v>0</v>
      </c>
      <c r="H193" s="1251">
        <v>0</v>
      </c>
      <c r="I193" s="1251">
        <v>0</v>
      </c>
      <c r="J193" s="1251">
        <v>0</v>
      </c>
      <c r="K193" s="1251">
        <v>0</v>
      </c>
      <c r="L193" s="1251">
        <v>0</v>
      </c>
    </row>
    <row r="194" spans="1:12" s="68" customFormat="1" ht="12.75" customHeight="1">
      <c r="A194" s="143" t="s">
        <v>419</v>
      </c>
      <c r="B194" s="65" t="s">
        <v>49</v>
      </c>
      <c r="C194" s="349" t="s">
        <v>401</v>
      </c>
      <c r="D194" s="529"/>
      <c r="E194" s="519">
        <f aca="true" t="shared" si="38" ref="E194:J194">SUM(E195:E196)</f>
        <v>549694</v>
      </c>
      <c r="F194" s="519">
        <f t="shared" si="38"/>
        <v>500000</v>
      </c>
      <c r="G194" s="519">
        <f t="shared" si="38"/>
        <v>500000</v>
      </c>
      <c r="H194" s="519">
        <f t="shared" si="38"/>
        <v>500000</v>
      </c>
      <c r="I194" s="519">
        <f t="shared" si="38"/>
        <v>500000</v>
      </c>
      <c r="J194" s="519">
        <f t="shared" si="38"/>
        <v>500000</v>
      </c>
      <c r="K194" s="519">
        <f>SUM(K195:K196)</f>
        <v>500000</v>
      </c>
      <c r="L194" s="519">
        <f>SUM(L195:L196)</f>
        <v>1688432</v>
      </c>
    </row>
    <row r="195" spans="1:12" ht="12.75" customHeight="1">
      <c r="A195" s="143" t="s">
        <v>420</v>
      </c>
      <c r="B195" s="85"/>
      <c r="C195" s="224" t="s">
        <v>250</v>
      </c>
      <c r="D195" s="558"/>
      <c r="E195" s="504">
        <v>549694</v>
      </c>
      <c r="F195" s="504">
        <v>500000</v>
      </c>
      <c r="G195" s="504">
        <v>500000</v>
      </c>
      <c r="H195" s="504">
        <v>500000</v>
      </c>
      <c r="I195" s="504">
        <v>500000</v>
      </c>
      <c r="J195" s="504">
        <v>500000</v>
      </c>
      <c r="K195" s="504">
        <v>500000</v>
      </c>
      <c r="L195" s="504">
        <v>1688432</v>
      </c>
    </row>
    <row r="196" spans="1:12" ht="12.75" customHeight="1">
      <c r="A196" s="143" t="s">
        <v>422</v>
      </c>
      <c r="B196" s="85"/>
      <c r="C196" s="224" t="s">
        <v>653</v>
      </c>
      <c r="D196" s="558"/>
      <c r="E196" s="504"/>
      <c r="F196" s="504"/>
      <c r="G196" s="504">
        <v>0</v>
      </c>
      <c r="H196" s="504">
        <v>0</v>
      </c>
      <c r="I196" s="504">
        <v>0</v>
      </c>
      <c r="J196" s="504">
        <v>0</v>
      </c>
      <c r="K196" s="504">
        <v>0</v>
      </c>
      <c r="L196" s="504">
        <v>0</v>
      </c>
    </row>
    <row r="197" spans="1:12" s="68" customFormat="1" ht="12.75" customHeight="1">
      <c r="A197" s="143" t="s">
        <v>423</v>
      </c>
      <c r="B197" s="65" t="s">
        <v>51</v>
      </c>
      <c r="C197" s="349" t="s">
        <v>405</v>
      </c>
      <c r="D197" s="529"/>
      <c r="E197" s="519">
        <f>SUM(E198)</f>
        <v>27182</v>
      </c>
      <c r="F197" s="519">
        <v>430000</v>
      </c>
      <c r="G197" s="519">
        <v>430000</v>
      </c>
      <c r="H197" s="519">
        <v>430000</v>
      </c>
      <c r="I197" s="519">
        <v>430000</v>
      </c>
      <c r="J197" s="519">
        <v>430000</v>
      </c>
      <c r="K197" s="519">
        <v>430000</v>
      </c>
      <c r="L197" s="519">
        <v>145568</v>
      </c>
    </row>
    <row r="198" spans="1:12" ht="12.75" customHeight="1">
      <c r="A198" s="143" t="s">
        <v>424</v>
      </c>
      <c r="B198" s="85"/>
      <c r="C198" s="224" t="s">
        <v>250</v>
      </c>
      <c r="D198" s="558"/>
      <c r="E198" s="504">
        <v>27182</v>
      </c>
      <c r="F198" s="504">
        <v>430000</v>
      </c>
      <c r="G198" s="504">
        <v>430000</v>
      </c>
      <c r="H198" s="504">
        <v>430000</v>
      </c>
      <c r="I198" s="504">
        <v>430000</v>
      </c>
      <c r="J198" s="504">
        <v>430000</v>
      </c>
      <c r="K198" s="504">
        <v>430000</v>
      </c>
      <c r="L198" s="504">
        <v>145568</v>
      </c>
    </row>
    <row r="199" spans="1:12" s="68" customFormat="1" ht="12.75" customHeight="1">
      <c r="A199" s="143" t="s">
        <v>425</v>
      </c>
      <c r="B199" s="65" t="s">
        <v>53</v>
      </c>
      <c r="C199" s="349" t="s">
        <v>286</v>
      </c>
      <c r="D199" s="529">
        <v>13</v>
      </c>
      <c r="E199" s="519">
        <f aca="true" t="shared" si="39" ref="E199:J199">SUM(E200:E203)</f>
        <v>35159804</v>
      </c>
      <c r="F199" s="519">
        <f t="shared" si="39"/>
        <v>34172255</v>
      </c>
      <c r="G199" s="519">
        <f t="shared" si="39"/>
        <v>37172255</v>
      </c>
      <c r="H199" s="519">
        <f t="shared" si="39"/>
        <v>37172255</v>
      </c>
      <c r="I199" s="519">
        <f t="shared" si="39"/>
        <v>37186356</v>
      </c>
      <c r="J199" s="519">
        <f t="shared" si="39"/>
        <v>38300112</v>
      </c>
      <c r="K199" s="519">
        <f>SUM(K200:K203)</f>
        <v>41391137</v>
      </c>
      <c r="L199" s="519">
        <f>SUM(L200:L203)</f>
        <v>39968759</v>
      </c>
    </row>
    <row r="200" spans="1:12" ht="12.75" customHeight="1">
      <c r="A200" s="143" t="s">
        <v>426</v>
      </c>
      <c r="B200" s="85"/>
      <c r="C200" s="224" t="s">
        <v>253</v>
      </c>
      <c r="D200" s="558"/>
      <c r="E200" s="504">
        <v>21773045</v>
      </c>
      <c r="F200" s="504">
        <v>23791603</v>
      </c>
      <c r="G200" s="504">
        <v>23791603</v>
      </c>
      <c r="H200" s="504">
        <v>23791603</v>
      </c>
      <c r="I200" s="504">
        <v>23803403</v>
      </c>
      <c r="J200" s="504">
        <v>24704446</v>
      </c>
      <c r="K200" s="504">
        <v>20532985</v>
      </c>
      <c r="L200" s="504">
        <v>20335771</v>
      </c>
    </row>
    <row r="201" spans="1:12" ht="12.75" customHeight="1">
      <c r="A201" s="143" t="s">
        <v>427</v>
      </c>
      <c r="B201" s="85"/>
      <c r="C201" s="224" t="s">
        <v>357</v>
      </c>
      <c r="D201" s="558"/>
      <c r="E201" s="504">
        <v>4962889</v>
      </c>
      <c r="F201" s="504">
        <v>4880652</v>
      </c>
      <c r="G201" s="504">
        <v>4880652</v>
      </c>
      <c r="H201" s="504">
        <v>4880652</v>
      </c>
      <c r="I201" s="504">
        <v>4882953</v>
      </c>
      <c r="J201" s="504">
        <v>5058656</v>
      </c>
      <c r="K201" s="504">
        <v>7259790</v>
      </c>
      <c r="L201" s="504">
        <v>7659400</v>
      </c>
    </row>
    <row r="202" spans="1:12" ht="12.75" customHeight="1">
      <c r="A202" s="143" t="s">
        <v>428</v>
      </c>
      <c r="B202" s="85"/>
      <c r="C202" s="224" t="s">
        <v>359</v>
      </c>
      <c r="D202" s="558"/>
      <c r="E202" s="504">
        <v>7920887</v>
      </c>
      <c r="F202" s="504">
        <v>5000000</v>
      </c>
      <c r="G202" s="504">
        <v>8000000</v>
      </c>
      <c r="H202" s="504">
        <v>8000000</v>
      </c>
      <c r="I202" s="504">
        <v>8000000</v>
      </c>
      <c r="J202" s="504">
        <v>8037010</v>
      </c>
      <c r="K202" s="504">
        <v>12117345</v>
      </c>
      <c r="L202" s="504">
        <v>10492571</v>
      </c>
    </row>
    <row r="203" spans="1:12" ht="12.75" customHeight="1">
      <c r="A203" s="143" t="s">
        <v>429</v>
      </c>
      <c r="B203" s="85"/>
      <c r="C203" s="224" t="s">
        <v>654</v>
      </c>
      <c r="D203" s="558"/>
      <c r="E203" s="504">
        <v>502983</v>
      </c>
      <c r="F203" s="504">
        <v>500000</v>
      </c>
      <c r="G203" s="504">
        <v>500000</v>
      </c>
      <c r="H203" s="504">
        <v>500000</v>
      </c>
      <c r="I203" s="504">
        <v>500000</v>
      </c>
      <c r="J203" s="504">
        <v>500000</v>
      </c>
      <c r="K203" s="504">
        <v>1481017</v>
      </c>
      <c r="L203" s="504">
        <v>1481017</v>
      </c>
    </row>
    <row r="204" spans="1:12" s="68" customFormat="1" ht="12.75" customHeight="1">
      <c r="A204" s="143" t="s">
        <v>430</v>
      </c>
      <c r="B204" s="65" t="s">
        <v>55</v>
      </c>
      <c r="C204" s="349" t="s">
        <v>413</v>
      </c>
      <c r="D204" s="529"/>
      <c r="E204" s="519">
        <f>SUM(E205)</f>
        <v>957322</v>
      </c>
      <c r="F204" s="519">
        <v>640000</v>
      </c>
      <c r="G204" s="519">
        <v>640000</v>
      </c>
      <c r="H204" s="519">
        <v>640000</v>
      </c>
      <c r="I204" s="519">
        <v>640000</v>
      </c>
      <c r="J204" s="519">
        <v>640000</v>
      </c>
      <c r="K204" s="519">
        <v>640000</v>
      </c>
      <c r="L204" s="519">
        <v>1833513</v>
      </c>
    </row>
    <row r="205" spans="1:12" ht="12.75" customHeight="1">
      <c r="A205" s="143" t="s">
        <v>431</v>
      </c>
      <c r="B205" s="85"/>
      <c r="C205" s="17" t="s">
        <v>250</v>
      </c>
      <c r="D205" s="1254"/>
      <c r="E205" s="131">
        <v>957322</v>
      </c>
      <c r="F205" s="131">
        <v>640000</v>
      </c>
      <c r="G205" s="131">
        <v>640000</v>
      </c>
      <c r="H205" s="131">
        <v>640000</v>
      </c>
      <c r="I205" s="131">
        <v>640000</v>
      </c>
      <c r="J205" s="131">
        <v>640000</v>
      </c>
      <c r="K205" s="131">
        <v>640000</v>
      </c>
      <c r="L205" s="131">
        <v>1833513</v>
      </c>
    </row>
    <row r="206" spans="1:12" s="10" customFormat="1" ht="14.25" customHeight="1">
      <c r="A206" s="143" t="s">
        <v>432</v>
      </c>
      <c r="B206" s="206" t="s">
        <v>57</v>
      </c>
      <c r="C206" s="102" t="s">
        <v>421</v>
      </c>
      <c r="D206" s="102"/>
      <c r="E206" s="66">
        <f aca="true" t="shared" si="40" ref="E206:J206">SUM(E207)</f>
        <v>720000</v>
      </c>
      <c r="F206" s="66">
        <f t="shared" si="40"/>
        <v>720000</v>
      </c>
      <c r="G206" s="66">
        <f t="shared" si="40"/>
        <v>720000</v>
      </c>
      <c r="H206" s="66">
        <f t="shared" si="40"/>
        <v>720000</v>
      </c>
      <c r="I206" s="66">
        <f t="shared" si="40"/>
        <v>720000</v>
      </c>
      <c r="J206" s="66">
        <f t="shared" si="40"/>
        <v>720000</v>
      </c>
      <c r="K206" s="66">
        <f>SUM(K207)</f>
        <v>720000</v>
      </c>
      <c r="L206" s="66">
        <f>SUM(L207)</f>
        <v>720000</v>
      </c>
    </row>
    <row r="207" spans="1:246" ht="12.75" customHeight="1">
      <c r="A207" s="143" t="s">
        <v>434</v>
      </c>
      <c r="B207" s="502"/>
      <c r="C207" s="103" t="s">
        <v>250</v>
      </c>
      <c r="D207" s="103"/>
      <c r="E207" s="84">
        <v>720000</v>
      </c>
      <c r="F207" s="84">
        <v>720000</v>
      </c>
      <c r="G207" s="84">
        <v>720000</v>
      </c>
      <c r="H207" s="84">
        <v>720000</v>
      </c>
      <c r="I207" s="84">
        <v>720000</v>
      </c>
      <c r="J207" s="84">
        <v>720000</v>
      </c>
      <c r="K207" s="84">
        <v>720000</v>
      </c>
      <c r="L207" s="84">
        <v>720000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</row>
    <row r="208" spans="1:246" ht="12.75" customHeight="1">
      <c r="A208" s="143" t="s">
        <v>435</v>
      </c>
      <c r="B208" s="206" t="s">
        <v>86</v>
      </c>
      <c r="C208" s="102" t="s">
        <v>281</v>
      </c>
      <c r="D208" s="102">
        <v>6</v>
      </c>
      <c r="E208" s="186">
        <f aca="true" t="shared" si="41" ref="E208:J208">SUM(E209:E212)</f>
        <v>10445980</v>
      </c>
      <c r="F208" s="186">
        <f t="shared" si="41"/>
        <v>9168000</v>
      </c>
      <c r="G208" s="186">
        <f t="shared" si="41"/>
        <v>9168000</v>
      </c>
      <c r="H208" s="186">
        <f t="shared" si="41"/>
        <v>9168000</v>
      </c>
      <c r="I208" s="186">
        <f t="shared" si="41"/>
        <v>9168000</v>
      </c>
      <c r="J208" s="186">
        <f t="shared" si="41"/>
        <v>9168000</v>
      </c>
      <c r="K208" s="186">
        <f>SUM(K209:K212)</f>
        <v>6848850</v>
      </c>
      <c r="L208" s="186">
        <f>SUM(L209:L212)</f>
        <v>6806350</v>
      </c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</row>
    <row r="209" spans="1:246" ht="12.75" customHeight="1">
      <c r="A209" s="143" t="s">
        <v>436</v>
      </c>
      <c r="B209" s="103"/>
      <c r="C209" s="17" t="s">
        <v>253</v>
      </c>
      <c r="D209" s="103"/>
      <c r="E209" s="187">
        <v>9377268</v>
      </c>
      <c r="F209" s="187">
        <v>7672000</v>
      </c>
      <c r="G209" s="187">
        <v>7672000</v>
      </c>
      <c r="H209" s="187">
        <v>7672000</v>
      </c>
      <c r="I209" s="187">
        <v>7672000</v>
      </c>
      <c r="J209" s="187">
        <v>7672000</v>
      </c>
      <c r="K209" s="187">
        <v>5731255</v>
      </c>
      <c r="L209" s="187">
        <v>6170395</v>
      </c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</row>
    <row r="210" spans="1:246" ht="12.75" customHeight="1">
      <c r="A210" s="143" t="s">
        <v>437</v>
      </c>
      <c r="B210" s="103"/>
      <c r="C210" s="161" t="s">
        <v>357</v>
      </c>
      <c r="D210" s="103"/>
      <c r="E210" s="187">
        <v>1064812</v>
      </c>
      <c r="F210" s="187">
        <v>1496000</v>
      </c>
      <c r="G210" s="187">
        <v>1496000</v>
      </c>
      <c r="H210" s="187">
        <v>1496000</v>
      </c>
      <c r="I210" s="187">
        <v>1496000</v>
      </c>
      <c r="J210" s="187">
        <v>1496000</v>
      </c>
      <c r="K210" s="187">
        <v>1117595</v>
      </c>
      <c r="L210" s="187">
        <v>635955</v>
      </c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</row>
    <row r="211" spans="1:246" ht="12.75" customHeight="1">
      <c r="A211" s="143" t="s">
        <v>438</v>
      </c>
      <c r="B211" s="307"/>
      <c r="C211" s="161" t="s">
        <v>359</v>
      </c>
      <c r="D211" s="307"/>
      <c r="E211" s="775">
        <v>3900</v>
      </c>
      <c r="F211" s="775">
        <v>0</v>
      </c>
      <c r="G211" s="775">
        <v>0</v>
      </c>
      <c r="H211" s="775">
        <v>0</v>
      </c>
      <c r="I211" s="775">
        <v>0</v>
      </c>
      <c r="J211" s="775">
        <v>0</v>
      </c>
      <c r="K211" s="775">
        <v>0</v>
      </c>
      <c r="L211" s="775">
        <v>0</v>
      </c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</row>
    <row r="212" spans="1:246" ht="12.75" customHeight="1">
      <c r="A212" s="774" t="s">
        <v>1191</v>
      </c>
      <c r="B212" s="503"/>
      <c r="C212" s="385" t="s">
        <v>654</v>
      </c>
      <c r="D212" s="503"/>
      <c r="E212" s="777"/>
      <c r="F212" s="777"/>
      <c r="G212" s="777">
        <v>0</v>
      </c>
      <c r="H212" s="777">
        <v>0</v>
      </c>
      <c r="I212" s="777">
        <v>0</v>
      </c>
      <c r="J212" s="777">
        <v>0</v>
      </c>
      <c r="K212" s="777">
        <v>0</v>
      </c>
      <c r="L212" s="777">
        <v>0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</row>
    <row r="213" spans="1:246" ht="12.75" customHeight="1">
      <c r="A213" s="774" t="s">
        <v>1192</v>
      </c>
      <c r="B213" s="771" t="s">
        <v>59</v>
      </c>
      <c r="C213" s="692" t="s">
        <v>717</v>
      </c>
      <c r="D213" s="693"/>
      <c r="E213" s="1247">
        <f aca="true" t="shared" si="42" ref="E213:J213">SUM(E214:E216)</f>
        <v>515996</v>
      </c>
      <c r="F213" s="1247">
        <f t="shared" si="42"/>
        <v>0</v>
      </c>
      <c r="G213" s="1247">
        <f t="shared" si="42"/>
        <v>0</v>
      </c>
      <c r="H213" s="1247">
        <f t="shared" si="42"/>
        <v>0</v>
      </c>
      <c r="I213" s="1247">
        <f t="shared" si="42"/>
        <v>0</v>
      </c>
      <c r="J213" s="1247">
        <f t="shared" si="42"/>
        <v>0</v>
      </c>
      <c r="K213" s="1247">
        <f>SUM(K214:K216)</f>
        <v>0</v>
      </c>
      <c r="L213" s="1247">
        <f>SUM(L214:L216)</f>
        <v>0</v>
      </c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</row>
    <row r="214" spans="1:246" ht="12.75" customHeight="1">
      <c r="A214" s="774" t="s">
        <v>1193</v>
      </c>
      <c r="B214" s="503"/>
      <c r="C214" s="505" t="s">
        <v>253</v>
      </c>
      <c r="D214" s="690"/>
      <c r="E214" s="1246">
        <v>347700</v>
      </c>
      <c r="F214" s="1246">
        <v>0</v>
      </c>
      <c r="G214" s="1246">
        <v>0</v>
      </c>
      <c r="H214" s="1246">
        <v>0</v>
      </c>
      <c r="I214" s="1246">
        <v>0</v>
      </c>
      <c r="J214" s="1246">
        <v>0</v>
      </c>
      <c r="K214" s="1246">
        <v>0</v>
      </c>
      <c r="L214" s="1246">
        <v>0</v>
      </c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</row>
    <row r="215" spans="1:246" ht="12.75" customHeight="1">
      <c r="A215" s="774" t="s">
        <v>1194</v>
      </c>
      <c r="B215" s="503"/>
      <c r="C215" s="505" t="s">
        <v>254</v>
      </c>
      <c r="D215" s="690"/>
      <c r="E215" s="1246">
        <v>113395</v>
      </c>
      <c r="F215" s="1246">
        <v>0</v>
      </c>
      <c r="G215" s="1246">
        <v>0</v>
      </c>
      <c r="H215" s="1246">
        <v>0</v>
      </c>
      <c r="I215" s="1246">
        <v>0</v>
      </c>
      <c r="J215" s="1246">
        <v>0</v>
      </c>
      <c r="K215" s="1246">
        <v>0</v>
      </c>
      <c r="L215" s="1246">
        <v>0</v>
      </c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</row>
    <row r="216" spans="1:246" ht="12.75" customHeight="1">
      <c r="A216" s="774" t="s">
        <v>1195</v>
      </c>
      <c r="B216" s="503"/>
      <c r="C216" s="505" t="s">
        <v>255</v>
      </c>
      <c r="D216" s="690"/>
      <c r="E216" s="1246">
        <v>54901</v>
      </c>
      <c r="F216" s="1246">
        <v>0</v>
      </c>
      <c r="G216" s="1246">
        <v>0</v>
      </c>
      <c r="H216" s="1246">
        <v>0</v>
      </c>
      <c r="I216" s="1246">
        <v>0</v>
      </c>
      <c r="J216" s="1246">
        <v>0</v>
      </c>
      <c r="K216" s="1246">
        <v>0</v>
      </c>
      <c r="L216" s="1246">
        <v>0</v>
      </c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</row>
    <row r="217" spans="1:246" s="68" customFormat="1" ht="12.75" customHeight="1">
      <c r="A217" s="138" t="s">
        <v>1196</v>
      </c>
      <c r="B217" s="771" t="s">
        <v>61</v>
      </c>
      <c r="C217" s="692" t="s">
        <v>718</v>
      </c>
      <c r="D217" s="693"/>
      <c r="E217" s="1247">
        <f aca="true" t="shared" si="43" ref="E217:J217">SUM(E218:E221)</f>
        <v>1734482</v>
      </c>
      <c r="F217" s="1247">
        <f t="shared" si="43"/>
        <v>0</v>
      </c>
      <c r="G217" s="1247">
        <f t="shared" si="43"/>
        <v>0</v>
      </c>
      <c r="H217" s="1247">
        <f t="shared" si="43"/>
        <v>0</v>
      </c>
      <c r="I217" s="1247">
        <f t="shared" si="43"/>
        <v>0</v>
      </c>
      <c r="J217" s="1247">
        <f t="shared" si="43"/>
        <v>0</v>
      </c>
      <c r="K217" s="1247">
        <f>SUM(K218:K221)</f>
        <v>0</v>
      </c>
      <c r="L217" s="1247">
        <f>SUM(L218:L221)</f>
        <v>0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</row>
    <row r="218" spans="1:246" ht="12.75" customHeight="1">
      <c r="A218" s="774" t="s">
        <v>1197</v>
      </c>
      <c r="B218" s="503"/>
      <c r="C218" s="505" t="s">
        <v>253</v>
      </c>
      <c r="D218" s="690"/>
      <c r="E218" s="1246">
        <v>670978</v>
      </c>
      <c r="F218" s="1246">
        <v>0</v>
      </c>
      <c r="G218" s="1246">
        <v>0</v>
      </c>
      <c r="H218" s="1246">
        <v>0</v>
      </c>
      <c r="I218" s="1246">
        <v>0</v>
      </c>
      <c r="J218" s="1246">
        <v>0</v>
      </c>
      <c r="K218" s="1246">
        <v>0</v>
      </c>
      <c r="L218" s="1246">
        <v>0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</row>
    <row r="219" spans="1:246" ht="12.75" customHeight="1">
      <c r="A219" s="143" t="s">
        <v>1198</v>
      </c>
      <c r="B219" s="503"/>
      <c r="C219" s="505" t="s">
        <v>254</v>
      </c>
      <c r="D219" s="690"/>
      <c r="E219" s="1246">
        <v>208573</v>
      </c>
      <c r="F219" s="1246">
        <v>0</v>
      </c>
      <c r="G219" s="1246">
        <v>0</v>
      </c>
      <c r="H219" s="1246">
        <v>0</v>
      </c>
      <c r="I219" s="1246">
        <v>0</v>
      </c>
      <c r="J219" s="1246">
        <v>0</v>
      </c>
      <c r="K219" s="1246">
        <v>0</v>
      </c>
      <c r="L219" s="1246">
        <v>0</v>
      </c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</row>
    <row r="220" spans="1:246" ht="12.75" customHeight="1">
      <c r="A220" s="1244" t="s">
        <v>1199</v>
      </c>
      <c r="B220" s="934"/>
      <c r="C220" s="1245" t="s">
        <v>255</v>
      </c>
      <c r="D220" s="690"/>
      <c r="E220" s="1246">
        <v>854931</v>
      </c>
      <c r="F220" s="1246">
        <v>0</v>
      </c>
      <c r="G220" s="1246">
        <v>0</v>
      </c>
      <c r="H220" s="1246">
        <v>0</v>
      </c>
      <c r="I220" s="1246">
        <v>0</v>
      </c>
      <c r="J220" s="1246">
        <v>0</v>
      </c>
      <c r="K220" s="1246">
        <v>0</v>
      </c>
      <c r="L220" s="1246">
        <v>0</v>
      </c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</row>
    <row r="221" spans="1:246" ht="12.75" customHeight="1">
      <c r="A221" s="384" t="s">
        <v>1200</v>
      </c>
      <c r="B221" s="503"/>
      <c r="C221" s="385" t="s">
        <v>654</v>
      </c>
      <c r="D221" s="690"/>
      <c r="E221" s="1246">
        <v>0</v>
      </c>
      <c r="F221" s="1246">
        <v>0</v>
      </c>
      <c r="G221" s="1246">
        <v>0</v>
      </c>
      <c r="H221" s="1246">
        <v>0</v>
      </c>
      <c r="I221" s="1246">
        <v>0</v>
      </c>
      <c r="J221" s="1246">
        <v>0</v>
      </c>
      <c r="K221" s="1246">
        <v>0</v>
      </c>
      <c r="L221" s="1246">
        <v>0</v>
      </c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</row>
    <row r="222" spans="1:246" s="68" customFormat="1" ht="12.75" customHeight="1">
      <c r="A222" s="499" t="s">
        <v>1201</v>
      </c>
      <c r="B222" s="771" t="s">
        <v>63</v>
      </c>
      <c r="C222" s="500" t="s">
        <v>1099</v>
      </c>
      <c r="D222" s="693"/>
      <c r="E222" s="1247"/>
      <c r="F222" s="1247">
        <v>5000000</v>
      </c>
      <c r="G222" s="1247">
        <v>0</v>
      </c>
      <c r="H222" s="1247">
        <v>0</v>
      </c>
      <c r="I222" s="1247">
        <v>0</v>
      </c>
      <c r="J222" s="1247">
        <v>0</v>
      </c>
      <c r="K222" s="1247">
        <v>0</v>
      </c>
      <c r="L222" s="1247">
        <v>0</v>
      </c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</row>
    <row r="223" spans="1:246" ht="12.75" customHeight="1">
      <c r="A223" s="384" t="s">
        <v>1202</v>
      </c>
      <c r="B223" s="503"/>
      <c r="C223" s="385" t="s">
        <v>1073</v>
      </c>
      <c r="D223" s="690"/>
      <c r="E223" s="1246"/>
      <c r="F223" s="1246">
        <v>5000000</v>
      </c>
      <c r="G223" s="1246">
        <v>0</v>
      </c>
      <c r="H223" s="1246">
        <v>0</v>
      </c>
      <c r="I223" s="1246">
        <v>0</v>
      </c>
      <c r="J223" s="1246">
        <v>0</v>
      </c>
      <c r="K223" s="1246">
        <v>0</v>
      </c>
      <c r="L223" s="1246">
        <v>0</v>
      </c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</row>
    <row r="224" spans="1:12" ht="30" customHeight="1">
      <c r="A224" s="384" t="s">
        <v>1203</v>
      </c>
      <c r="B224" s="1256"/>
      <c r="C224" s="1257" t="s">
        <v>244</v>
      </c>
      <c r="D224" s="492">
        <v>25</v>
      </c>
      <c r="E224" s="493">
        <f aca="true" t="shared" si="44" ref="E224:J224">SUM(E225:E228)</f>
        <v>85930085</v>
      </c>
      <c r="F224" s="493">
        <f t="shared" si="44"/>
        <v>88766565</v>
      </c>
      <c r="G224" s="493">
        <f t="shared" si="44"/>
        <v>88766565</v>
      </c>
      <c r="H224" s="493">
        <f t="shared" si="44"/>
        <v>88766565</v>
      </c>
      <c r="I224" s="493">
        <f t="shared" si="44"/>
        <v>88780666</v>
      </c>
      <c r="J224" s="493">
        <f t="shared" si="44"/>
        <v>89894422</v>
      </c>
      <c r="K224" s="493">
        <f>SUM(K225:K228)</f>
        <v>92965316</v>
      </c>
      <c r="L224" s="493">
        <f>SUM(L225:L228)</f>
        <v>92965316</v>
      </c>
    </row>
    <row r="225" spans="1:12" ht="12.75" customHeight="1">
      <c r="A225" s="774" t="s">
        <v>1204</v>
      </c>
      <c r="B225" s="164"/>
      <c r="C225" s="165" t="s">
        <v>253</v>
      </c>
      <c r="D225" s="165"/>
      <c r="E225" s="1255">
        <v>41766898</v>
      </c>
      <c r="F225" s="1255">
        <f aca="true" t="shared" si="45" ref="F225:H226">SUM(F181+F186+F190+F200+F209)+F218</f>
        <v>43850555</v>
      </c>
      <c r="G225" s="1255">
        <f t="shared" si="45"/>
        <v>43850555</v>
      </c>
      <c r="H225" s="1255">
        <f t="shared" si="45"/>
        <v>43850555</v>
      </c>
      <c r="I225" s="1255">
        <f aca="true" t="shared" si="46" ref="I225:K226">SUM(I181+I186+I190+I200+I209)+I218</f>
        <v>43862355</v>
      </c>
      <c r="J225" s="1255">
        <f t="shared" si="46"/>
        <v>44763398</v>
      </c>
      <c r="K225" s="1255">
        <f t="shared" si="46"/>
        <v>38651192</v>
      </c>
      <c r="L225" s="1255">
        <f>SUM(L181+L186+L190+L200+L209)+L218</f>
        <v>38651192</v>
      </c>
    </row>
    <row r="226" spans="1:12" ht="12.75" customHeight="1">
      <c r="A226" s="143" t="s">
        <v>1205</v>
      </c>
      <c r="B226" s="167"/>
      <c r="C226" s="168" t="s">
        <v>254</v>
      </c>
      <c r="D226" s="154"/>
      <c r="E226" s="155">
        <v>8721382</v>
      </c>
      <c r="F226" s="155">
        <f t="shared" si="45"/>
        <v>8626010</v>
      </c>
      <c r="G226" s="155">
        <f t="shared" si="45"/>
        <v>8626010</v>
      </c>
      <c r="H226" s="155">
        <f t="shared" si="45"/>
        <v>8626010</v>
      </c>
      <c r="I226" s="155">
        <f t="shared" si="46"/>
        <v>8628311</v>
      </c>
      <c r="J226" s="155">
        <f t="shared" si="46"/>
        <v>8804014</v>
      </c>
      <c r="K226" s="155">
        <f t="shared" si="46"/>
        <v>10626743</v>
      </c>
      <c r="L226" s="155">
        <f>SUM(L182+L187+L191+L201+L210)+L219</f>
        <v>10626743</v>
      </c>
    </row>
    <row r="227" spans="1:12" ht="12.75" customHeight="1">
      <c r="A227" s="774" t="s">
        <v>1206</v>
      </c>
      <c r="B227" s="125"/>
      <c r="C227" s="154" t="s">
        <v>255</v>
      </c>
      <c r="D227" s="154"/>
      <c r="E227" s="155">
        <v>34671262</v>
      </c>
      <c r="F227" s="155">
        <f aca="true" t="shared" si="47" ref="F227:K227">SUM(F183+F188+F192+F195+F198+F202+F205+F207+F211)+F220+F223</f>
        <v>35790000</v>
      </c>
      <c r="G227" s="155">
        <f t="shared" si="47"/>
        <v>35790000</v>
      </c>
      <c r="H227" s="155">
        <f t="shared" si="47"/>
        <v>35790000</v>
      </c>
      <c r="I227" s="155">
        <f t="shared" si="47"/>
        <v>35790000</v>
      </c>
      <c r="J227" s="155">
        <f t="shared" si="47"/>
        <v>35827010</v>
      </c>
      <c r="K227" s="155">
        <f t="shared" si="47"/>
        <v>42206364</v>
      </c>
      <c r="L227" s="155">
        <v>42206364</v>
      </c>
    </row>
    <row r="228" spans="1:12" ht="12.75" customHeight="1">
      <c r="A228" s="143" t="s">
        <v>1207</v>
      </c>
      <c r="B228" s="125"/>
      <c r="C228" s="154" t="s">
        <v>305</v>
      </c>
      <c r="D228" s="154"/>
      <c r="E228" s="155">
        <v>770543</v>
      </c>
      <c r="F228" s="155">
        <f aca="true" t="shared" si="48" ref="F228:K228">SUM(F184+F193+F196+F203+F212)</f>
        <v>500000</v>
      </c>
      <c r="G228" s="155">
        <f t="shared" si="48"/>
        <v>500000</v>
      </c>
      <c r="H228" s="155">
        <f t="shared" si="48"/>
        <v>500000</v>
      </c>
      <c r="I228" s="155">
        <f t="shared" si="48"/>
        <v>500000</v>
      </c>
      <c r="J228" s="155">
        <f t="shared" si="48"/>
        <v>500000</v>
      </c>
      <c r="K228" s="155">
        <f t="shared" si="48"/>
        <v>1481017</v>
      </c>
      <c r="L228" s="155">
        <f>SUM(L184+L193+L196+L203+L212)</f>
        <v>1481017</v>
      </c>
    </row>
    <row r="229" spans="1:12" ht="37.5" customHeight="1">
      <c r="A229" s="774" t="s">
        <v>1208</v>
      </c>
      <c r="B229" s="188" t="s">
        <v>186</v>
      </c>
      <c r="C229" s="189" t="s">
        <v>433</v>
      </c>
      <c r="D229" s="190">
        <f>SUM(D230:D237)-D236</f>
        <v>0</v>
      </c>
      <c r="E229" s="126">
        <f aca="true" t="shared" si="49" ref="E229:J229">SUM(E230:E240)</f>
        <v>1467741672</v>
      </c>
      <c r="F229" s="126">
        <f t="shared" si="49"/>
        <v>1432639501</v>
      </c>
      <c r="G229" s="126">
        <f t="shared" si="49"/>
        <v>1445581996</v>
      </c>
      <c r="H229" s="126">
        <f t="shared" si="49"/>
        <v>1447105878</v>
      </c>
      <c r="I229" s="126">
        <f t="shared" si="49"/>
        <v>1450700996</v>
      </c>
      <c r="J229" s="126">
        <f t="shared" si="49"/>
        <v>1459658300</v>
      </c>
      <c r="K229" s="126">
        <f>SUM(K230:K240)</f>
        <v>1492126330</v>
      </c>
      <c r="L229" s="126">
        <f>SUM(L230:L240)</f>
        <v>1492132324</v>
      </c>
    </row>
    <row r="230" spans="1:12" ht="12.75" customHeight="1">
      <c r="A230" s="143" t="s">
        <v>1209</v>
      </c>
      <c r="B230" s="191"/>
      <c r="C230" s="152" t="s">
        <v>253</v>
      </c>
      <c r="D230" s="152">
        <f>D225+D175+D149+D107+D81</f>
        <v>0</v>
      </c>
      <c r="E230" s="126">
        <f aca="true" t="shared" si="50" ref="E230:F232">SUM(E81+E107+E149+E175+E225)</f>
        <v>207927482</v>
      </c>
      <c r="F230" s="126">
        <f t="shared" si="50"/>
        <v>203599951</v>
      </c>
      <c r="G230" s="126">
        <v>210606599</v>
      </c>
      <c r="H230" s="126">
        <v>210878277</v>
      </c>
      <c r="I230" s="126">
        <v>212063547</v>
      </c>
      <c r="J230" s="126">
        <v>215432267</v>
      </c>
      <c r="K230" s="126">
        <v>202958120</v>
      </c>
      <c r="L230" s="126">
        <v>202958120</v>
      </c>
    </row>
    <row r="231" spans="1:12" ht="12.75" customHeight="1">
      <c r="A231" s="774" t="s">
        <v>1210</v>
      </c>
      <c r="B231" s="191"/>
      <c r="C231" s="152" t="s">
        <v>254</v>
      </c>
      <c r="D231" s="152">
        <f>D82+D108+D150+D176+D226</f>
        <v>0</v>
      </c>
      <c r="E231" s="126">
        <f t="shared" si="50"/>
        <v>46146261</v>
      </c>
      <c r="F231" s="126">
        <f t="shared" si="50"/>
        <v>40096118</v>
      </c>
      <c r="G231" s="126">
        <v>41407095</v>
      </c>
      <c r="H231" s="126">
        <v>41459803</v>
      </c>
      <c r="I231" s="126">
        <v>41674096</v>
      </c>
      <c r="J231" s="126">
        <v>42372316</v>
      </c>
      <c r="K231" s="126">
        <v>48716977</v>
      </c>
      <c r="L231" s="126">
        <v>48716977</v>
      </c>
    </row>
    <row r="232" spans="1:12" ht="12.75" customHeight="1">
      <c r="A232" s="143" t="s">
        <v>1211</v>
      </c>
      <c r="B232" s="191"/>
      <c r="C232" s="152" t="s">
        <v>255</v>
      </c>
      <c r="D232" s="152">
        <f>D83+D109+D151+D177+D227</f>
        <v>0</v>
      </c>
      <c r="E232" s="126">
        <f t="shared" si="50"/>
        <v>138260275</v>
      </c>
      <c r="F232" s="126">
        <f t="shared" si="50"/>
        <v>136052320</v>
      </c>
      <c r="G232" s="126">
        <v>146270348</v>
      </c>
      <c r="H232" s="126">
        <f>SUM(H83+H109+H151+H177+H227)</f>
        <v>130541207</v>
      </c>
      <c r="I232" s="126">
        <f>SUM(I83+I109+I151+I177+I227)</f>
        <v>155951946</v>
      </c>
      <c r="J232" s="126">
        <v>159157371</v>
      </c>
      <c r="K232" s="126">
        <v>179424836</v>
      </c>
      <c r="L232" s="126">
        <v>179424836</v>
      </c>
    </row>
    <row r="233" spans="1:12" ht="24.75" customHeight="1">
      <c r="A233" s="774" t="s">
        <v>1212</v>
      </c>
      <c r="B233" s="191"/>
      <c r="C233" s="192" t="s">
        <v>259</v>
      </c>
      <c r="D233" s="152">
        <f>D84</f>
        <v>0</v>
      </c>
      <c r="E233" s="126">
        <f aca="true" t="shared" si="51" ref="E233:K233">SUM(E84)</f>
        <v>33983308</v>
      </c>
      <c r="F233" s="126">
        <f t="shared" si="51"/>
        <v>34762413</v>
      </c>
      <c r="G233" s="126">
        <f t="shared" si="51"/>
        <v>36221964</v>
      </c>
      <c r="H233" s="126">
        <f t="shared" si="51"/>
        <v>36221964</v>
      </c>
      <c r="I233" s="126">
        <f t="shared" si="51"/>
        <v>36221964</v>
      </c>
      <c r="J233" s="126">
        <f t="shared" si="51"/>
        <v>36221964</v>
      </c>
      <c r="K233" s="126">
        <f t="shared" si="51"/>
        <v>40766879</v>
      </c>
      <c r="L233" s="126">
        <f>SUM(L84)</f>
        <v>40766879</v>
      </c>
    </row>
    <row r="234" spans="1:12" ht="12.75" customHeight="1">
      <c r="A234" s="143" t="s">
        <v>1213</v>
      </c>
      <c r="B234" s="125"/>
      <c r="C234" s="152" t="s">
        <v>439</v>
      </c>
      <c r="D234" s="152"/>
      <c r="E234" s="126">
        <v>4659500</v>
      </c>
      <c r="F234" s="126">
        <v>5194000</v>
      </c>
      <c r="G234" s="126">
        <v>5194000</v>
      </c>
      <c r="H234" s="126">
        <v>5194000</v>
      </c>
      <c r="I234" s="126">
        <v>5194000</v>
      </c>
      <c r="J234" s="126">
        <v>5194000</v>
      </c>
      <c r="K234" s="126">
        <v>3627050</v>
      </c>
      <c r="L234" s="126">
        <v>3627050</v>
      </c>
    </row>
    <row r="235" spans="1:12" ht="12.75" customHeight="1">
      <c r="A235" s="774" t="s">
        <v>1214</v>
      </c>
      <c r="B235" s="125"/>
      <c r="C235" s="152" t="s">
        <v>252</v>
      </c>
      <c r="D235" s="152">
        <f>D86+D228+D152+D110</f>
        <v>0</v>
      </c>
      <c r="E235" s="126">
        <f aca="true" t="shared" si="52" ref="E235:K235">SUM(E86+E110+E152+E178+E228)</f>
        <v>40912643</v>
      </c>
      <c r="F235" s="126">
        <f t="shared" si="52"/>
        <v>14400000</v>
      </c>
      <c r="G235" s="126">
        <f t="shared" si="52"/>
        <v>22080313</v>
      </c>
      <c r="H235" s="126">
        <f t="shared" si="52"/>
        <v>35440313</v>
      </c>
      <c r="I235" s="126">
        <f t="shared" si="52"/>
        <v>35440313</v>
      </c>
      <c r="J235" s="126">
        <f t="shared" si="52"/>
        <v>38863771</v>
      </c>
      <c r="K235" s="126">
        <f t="shared" si="52"/>
        <v>57380504</v>
      </c>
      <c r="L235" s="126">
        <f>SUM(L86+L110+L152+L178+L228)</f>
        <v>57380504</v>
      </c>
    </row>
    <row r="236" spans="1:12" ht="12.75" customHeight="1">
      <c r="A236" s="143" t="s">
        <v>1215</v>
      </c>
      <c r="B236" s="125"/>
      <c r="C236" s="152" t="s">
        <v>440</v>
      </c>
      <c r="D236" s="152"/>
      <c r="E236" s="126">
        <f aca="true" t="shared" si="53" ref="E236:K236">SUM(E88)</f>
        <v>270216255</v>
      </c>
      <c r="F236" s="126">
        <f t="shared" si="53"/>
        <v>276570076</v>
      </c>
      <c r="G236" s="126">
        <f t="shared" si="53"/>
        <v>277401853</v>
      </c>
      <c r="H236" s="126">
        <f t="shared" si="53"/>
        <v>277604575</v>
      </c>
      <c r="I236" s="126">
        <f t="shared" si="53"/>
        <v>277720471</v>
      </c>
      <c r="J236" s="126">
        <f t="shared" si="53"/>
        <v>279099537</v>
      </c>
      <c r="K236" s="126">
        <f t="shared" si="53"/>
        <v>274808735</v>
      </c>
      <c r="L236" s="126">
        <f>SUM(L88)</f>
        <v>274808735</v>
      </c>
    </row>
    <row r="237" spans="1:12" ht="12.75" customHeight="1">
      <c r="A237" s="774" t="s">
        <v>1216</v>
      </c>
      <c r="B237" s="125"/>
      <c r="C237" s="152" t="s">
        <v>441</v>
      </c>
      <c r="D237" s="152"/>
      <c r="E237" s="126">
        <f aca="true" t="shared" si="54" ref="E237:J237">SUM(E90)</f>
        <v>715261087</v>
      </c>
      <c r="F237" s="126">
        <f t="shared" si="54"/>
        <v>715261087</v>
      </c>
      <c r="G237" s="126">
        <f t="shared" si="54"/>
        <v>699696288</v>
      </c>
      <c r="H237" s="126">
        <f t="shared" si="54"/>
        <v>702346659</v>
      </c>
      <c r="I237" s="126">
        <f t="shared" si="54"/>
        <v>678339090</v>
      </c>
      <c r="J237" s="126">
        <f t="shared" si="54"/>
        <v>674637990</v>
      </c>
      <c r="K237" s="126">
        <f>SUM(K90)</f>
        <v>664627351</v>
      </c>
      <c r="L237" s="126">
        <f>SUM(L90)</f>
        <v>664627351</v>
      </c>
    </row>
    <row r="238" spans="1:12" ht="25.5" customHeight="1">
      <c r="A238" s="143" t="s">
        <v>1217</v>
      </c>
      <c r="B238" s="125"/>
      <c r="C238" s="192" t="s">
        <v>274</v>
      </c>
      <c r="D238" s="152"/>
      <c r="E238" s="126">
        <f aca="true" t="shared" si="55" ref="E238:J238">SUM(E89)</f>
        <v>10321373</v>
      </c>
      <c r="F238" s="126">
        <f t="shared" si="55"/>
        <v>6703536</v>
      </c>
      <c r="G238" s="126">
        <f t="shared" si="55"/>
        <v>6703536</v>
      </c>
      <c r="H238" s="126">
        <f t="shared" si="55"/>
        <v>7419080</v>
      </c>
      <c r="I238" s="126">
        <f t="shared" si="55"/>
        <v>8095569</v>
      </c>
      <c r="J238" s="126">
        <f t="shared" si="55"/>
        <v>8679084</v>
      </c>
      <c r="K238" s="126">
        <f>SUM(K89)</f>
        <v>9086397</v>
      </c>
      <c r="L238" s="126">
        <f>SUM(L89)</f>
        <v>9092391</v>
      </c>
    </row>
    <row r="239" spans="1:12" ht="12.75" customHeight="1">
      <c r="A239" s="774" t="s">
        <v>1218</v>
      </c>
      <c r="B239" s="125"/>
      <c r="C239" s="192" t="s">
        <v>1180</v>
      </c>
      <c r="D239" s="152"/>
      <c r="E239" s="126">
        <v>0</v>
      </c>
      <c r="F239" s="126">
        <v>0</v>
      </c>
      <c r="G239" s="126">
        <v>0</v>
      </c>
      <c r="H239" s="126">
        <v>0</v>
      </c>
      <c r="I239" s="126">
        <v>0</v>
      </c>
      <c r="J239" s="126">
        <v>0</v>
      </c>
      <c r="K239" s="126">
        <v>10729481</v>
      </c>
      <c r="L239" s="126">
        <v>10729481</v>
      </c>
    </row>
    <row r="240" spans="1:12" ht="12.75" customHeight="1">
      <c r="A240" s="143" t="s">
        <v>1219</v>
      </c>
      <c r="B240" s="166"/>
      <c r="C240" s="193" t="s">
        <v>279</v>
      </c>
      <c r="D240" s="194"/>
      <c r="E240" s="195">
        <f aca="true" t="shared" si="56" ref="E240:J240">SUM(E91)</f>
        <v>53488</v>
      </c>
      <c r="F240" s="195">
        <f t="shared" si="56"/>
        <v>0</v>
      </c>
      <c r="G240" s="195">
        <f t="shared" si="56"/>
        <v>0</v>
      </c>
      <c r="H240" s="195">
        <f t="shared" si="56"/>
        <v>0</v>
      </c>
      <c r="I240" s="195">
        <f t="shared" si="56"/>
        <v>0</v>
      </c>
      <c r="J240" s="195">
        <f t="shared" si="56"/>
        <v>0</v>
      </c>
      <c r="K240" s="195">
        <f>SUM(K91)</f>
        <v>0</v>
      </c>
      <c r="L240" s="195">
        <f>SUM(L91)</f>
        <v>0</v>
      </c>
    </row>
    <row r="241" spans="1:2" ht="12.75" customHeight="1">
      <c r="A241" s="196"/>
      <c r="B241" s="79"/>
    </row>
    <row r="242" spans="1:2" ht="12.75" customHeight="1">
      <c r="A242" s="196"/>
      <c r="B242" s="79"/>
    </row>
    <row r="243" spans="1:2" ht="12.75" customHeight="1">
      <c r="A243" s="196"/>
      <c r="B243" s="79"/>
    </row>
    <row r="244" spans="1:2" ht="12.75" customHeight="1">
      <c r="A244" s="196"/>
      <c r="B244" s="79"/>
    </row>
    <row r="245" spans="1:2" ht="12.75" customHeight="1">
      <c r="A245" s="196"/>
      <c r="B245" s="79"/>
    </row>
    <row r="246" spans="1:2" ht="12.75" customHeight="1">
      <c r="A246" s="196"/>
      <c r="B246" s="79"/>
    </row>
    <row r="247" spans="1:2" ht="12.75" customHeight="1">
      <c r="A247" s="196"/>
      <c r="B247" s="79"/>
    </row>
    <row r="248" spans="1:2" ht="12.75" customHeight="1">
      <c r="A248" s="196"/>
      <c r="B248" s="79"/>
    </row>
    <row r="249" spans="1:2" ht="12.75" customHeight="1">
      <c r="A249" s="196"/>
      <c r="B249" s="79"/>
    </row>
    <row r="250" spans="1:2" ht="12.75" customHeight="1">
      <c r="A250" s="196"/>
      <c r="B250" s="79"/>
    </row>
    <row r="251" spans="1:2" ht="12.75" customHeight="1">
      <c r="A251" s="196"/>
      <c r="B251" s="79"/>
    </row>
    <row r="252" spans="1:2" ht="12.75" customHeight="1">
      <c r="A252" s="196"/>
      <c r="B252" s="79"/>
    </row>
    <row r="253" spans="1:2" ht="12.75" customHeight="1">
      <c r="A253" s="196"/>
      <c r="B253" s="79"/>
    </row>
    <row r="254" spans="1:2" ht="12.75" customHeight="1">
      <c r="A254" s="196"/>
      <c r="B254" s="79"/>
    </row>
    <row r="255" spans="1:2" ht="12.75" customHeight="1">
      <c r="A255" s="196"/>
      <c r="B255" s="79"/>
    </row>
    <row r="256" spans="1:2" ht="12.75" customHeight="1">
      <c r="A256" s="196"/>
      <c r="B256" s="79"/>
    </row>
    <row r="257" spans="1:2" ht="12.75" customHeight="1">
      <c r="A257" s="196"/>
      <c r="B257" s="79"/>
    </row>
    <row r="258" spans="1:2" ht="12.75" customHeight="1">
      <c r="A258" s="196"/>
      <c r="B258" s="79"/>
    </row>
    <row r="259" spans="1:2" ht="12.75" customHeight="1">
      <c r="A259" s="196"/>
      <c r="B259" s="79"/>
    </row>
    <row r="260" spans="1:2" ht="12.75" customHeight="1">
      <c r="A260" s="196"/>
      <c r="B260" s="79"/>
    </row>
    <row r="261" spans="1:2" ht="12.75" customHeight="1">
      <c r="A261" s="196"/>
      <c r="B261" s="79"/>
    </row>
    <row r="262" spans="1:2" ht="12.75" customHeight="1">
      <c r="A262" s="196"/>
      <c r="B262" s="79"/>
    </row>
    <row r="263" spans="1:2" ht="12.75" customHeight="1">
      <c r="A263" s="196"/>
      <c r="B263" s="79"/>
    </row>
    <row r="264" spans="1:2" ht="12.75" customHeight="1">
      <c r="A264" s="196"/>
      <c r="B264" s="79"/>
    </row>
    <row r="265" spans="1:2" ht="12.75" customHeight="1">
      <c r="A265" s="196"/>
      <c r="B265" s="79"/>
    </row>
    <row r="266" spans="1:2" ht="12.75" customHeight="1">
      <c r="A266" s="196"/>
      <c r="B266" s="79"/>
    </row>
    <row r="267" spans="1:2" ht="12.75" customHeight="1">
      <c r="A267" s="196"/>
      <c r="B267" s="79"/>
    </row>
  </sheetData>
  <sheetProtection selectLockedCells="1" selectUnlockedCells="1"/>
  <mergeCells count="10">
    <mergeCell ref="A2:L3"/>
    <mergeCell ref="A1:L1"/>
    <mergeCell ref="C111:D111"/>
    <mergeCell ref="C153:D153"/>
    <mergeCell ref="C179:D179"/>
    <mergeCell ref="A10:B11"/>
    <mergeCell ref="C12:D12"/>
    <mergeCell ref="C92:D92"/>
    <mergeCell ref="A5:L7"/>
    <mergeCell ref="E4:H4"/>
  </mergeCells>
  <printOptions horizontalCentered="1"/>
  <pageMargins left="0.31496062992125984" right="0.2362204724409449" top="0.4724409448818898" bottom="0.6299212598425197" header="0.5118110236220472" footer="0.2362204724409449"/>
  <pageSetup firstPageNumber="1" useFirstPageNumber="1" horizontalDpi="600" verticalDpi="600" orientation="portrait" paperSize="9" scale="46" r:id="rId1"/>
  <headerFooter alignWithMargins="0">
    <oddFooter>&amp;C&amp;P. oldal</oddFooter>
  </headerFooter>
  <rowBreaks count="2" manualBreakCount="2">
    <brk id="110" max="11" man="1"/>
    <brk id="1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Henger Zsuzsanna</dc:creator>
  <cp:keywords/>
  <dc:description/>
  <cp:lastModifiedBy>kolonics.krisztina</cp:lastModifiedBy>
  <cp:lastPrinted>2019-03-25T11:23:48Z</cp:lastPrinted>
  <dcterms:created xsi:type="dcterms:W3CDTF">2017-01-11T11:20:02Z</dcterms:created>
  <dcterms:modified xsi:type="dcterms:W3CDTF">2019-04-18T10:37:02Z</dcterms:modified>
  <cp:category/>
  <cp:version/>
  <cp:contentType/>
  <cp:contentStatus/>
</cp:coreProperties>
</file>