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tabRatio="895" firstSheet="4" activeTab="11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 Óvoda, Kult. kiad. feladat" sheetId="5" r:id="rId5"/>
    <sheet name="6. kiadások megbontása" sheetId="6" r:id="rId6"/>
    <sheet name="7. források sz. bontás" sheetId="7" r:id="rId7"/>
    <sheet name="8. létszámok" sheetId="8" r:id="rId8"/>
    <sheet name="9.felhki" sheetId="9" r:id="rId9"/>
    <sheet name="10.tartalékok" sheetId="10" r:id="rId10"/>
    <sheet name="11.normatívák" sheetId="11" r:id="rId11"/>
    <sheet name="12. EU projektek" sheetId="12" r:id="rId12"/>
    <sheet name="Munka1" sheetId="13" r:id="rId13"/>
  </sheets>
  <definedNames>
    <definedName name="_xlnm.Print_Titles" localSheetId="0">'1. bevételek'!$5:$6</definedName>
    <definedName name="_xlnm.Print_Titles" localSheetId="11">'12.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 létszámok'!$7:$7</definedName>
    <definedName name="_xlnm.Print_Titles" localSheetId="8">'9.felhki'!$6:$7</definedName>
    <definedName name="_xlnm.Print_Area" localSheetId="0">'1. bevételek'!$A$1:$J$200</definedName>
    <definedName name="_xlnm.Print_Area" localSheetId="10">'11.normatívák'!$A$1:$L$52</definedName>
    <definedName name="_xlnm.Print_Area" localSheetId="1">'2. kiadások '!$A$1:$J$77</definedName>
    <definedName name="_xlnm.Print_Area" localSheetId="3">'4.önkorm.kiad.feladat'!$D$1:$Z$56</definedName>
    <definedName name="_xlnm.Print_Area" localSheetId="4">'5. Óvoda, Kult. kiad. feladat'!$A$1:$L$35</definedName>
    <definedName name="_xlnm.Print_Area" localSheetId="5">'6. kiadások megbontása'!$A$1:$M$89</definedName>
    <definedName name="_xlnm.Print_Area" localSheetId="6">'7. források sz. bontás'!$A$1:$AC$61</definedName>
    <definedName name="_xlnm.Print_Area" localSheetId="7">'8. létszámok'!$A$1:$M$106</definedName>
    <definedName name="_xlnm.Print_Area" localSheetId="8">'9.felhki'!$A$1:$D$66</definedName>
  </definedNames>
  <calcPr fullCalcOnLoad="1"/>
</workbook>
</file>

<file path=xl/sharedStrings.xml><?xml version="1.0" encoding="utf-8"?>
<sst xmlns="http://schemas.openxmlformats.org/spreadsheetml/2006/main" count="1919" uniqueCount="1123">
  <si>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</si>
  <si>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</si>
  <si>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</si>
  <si>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</si>
  <si>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</si>
  <si>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</si>
  <si>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</si>
  <si>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</si>
  <si>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</si>
  <si>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</si>
  <si>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</si>
  <si>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</si>
  <si>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</si>
  <si>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</si>
  <si>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</si>
  <si>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</si>
  <si>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</si>
  <si>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</si>
  <si>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</si>
  <si>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</si>
  <si>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</si>
  <si>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</si>
  <si>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</si>
  <si>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</si>
  <si>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</si>
  <si>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</si>
  <si>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</si>
  <si>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</si>
  <si>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</si>
  <si>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</si>
  <si>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</si>
  <si>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</si>
  <si>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</si>
  <si>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</si>
  <si>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</si>
  <si>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</si>
  <si>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</si>
  <si>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</si>
  <si>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</si>
  <si>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</si>
  <si>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</si>
  <si>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</si>
  <si>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</si>
  <si>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</si>
  <si>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</si>
  <si>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</si>
  <si>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</si>
  <si>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</si>
  <si>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</si>
  <si>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</si>
  <si>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</si>
  <si>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</si>
  <si>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</si>
  <si>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</si>
  <si>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</si>
  <si>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</si>
  <si>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</si>
  <si>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</si>
  <si>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</si>
  <si>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</si>
  <si>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</si>
  <si>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</si>
  <si>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</si>
  <si>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</si>
  <si>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</si>
  <si>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</si>
  <si>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</si>
  <si>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</si>
  <si>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</si>
  <si>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</si>
  <si>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</si>
  <si>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</si>
  <si>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</si>
  <si>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</si>
  <si>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</si>
  <si>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</si>
  <si>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</si>
  <si>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</si>
  <si>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</si>
  <si>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</si>
  <si>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</si>
  <si>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</si>
  <si>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</si>
  <si>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</si>
  <si>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</si>
  <si>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</si>
  <si>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</si>
  <si>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</si>
  <si>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</si>
  <si>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</si>
  <si>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</si>
  <si>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</si>
  <si>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</si>
  <si>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</si>
  <si>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</si>
  <si>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</si>
  <si>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</si>
  <si>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</si>
  <si>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</si>
  <si>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</si>
  <si>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</si>
  <si>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</si>
  <si>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</si>
  <si>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</si>
  <si>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</si>
  <si>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</si>
  <si>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</si>
  <si>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</si>
  <si>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</si>
  <si>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</si>
  <si>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</si>
  <si>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</si>
  <si>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</si>
  <si>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Felhalmozás célú támogatás államháztartáson kívülre</t>
  </si>
  <si>
    <t>2.1. Helyi adók és adójellegű bevételek</t>
  </si>
  <si>
    <t>A települési önkormányzatok egyes köznevelési feladatainak támogatása</t>
  </si>
  <si>
    <t>Óvodapedagógusok, és az óvodapedagógusok nevelő munkáját közvetlenül segítők bértámogatása</t>
  </si>
  <si>
    <t>A települési önkormányzatok szociális, gyermekjóléti és gyermekétkeztetési feladatainak 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</si>
  <si>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</si>
  <si>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</si>
  <si>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</si>
  <si>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</si>
  <si>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</si>
  <si>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</si>
  <si>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</si>
  <si>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</si>
  <si>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</si>
  <si>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</si>
  <si>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</si>
  <si>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</si>
  <si>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</si>
  <si>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</si>
  <si>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</si>
  <si>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</si>
  <si>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</si>
  <si>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</si>
  <si>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</si>
  <si>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</si>
  <si>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</si>
  <si>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</si>
  <si>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</si>
  <si>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</si>
  <si>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</si>
  <si>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</si>
  <si>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</si>
  <si>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</si>
  <si>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</si>
  <si>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</si>
  <si>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</si>
  <si>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</si>
  <si>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</si>
  <si>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</si>
  <si>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</si>
  <si>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</si>
  <si>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</si>
  <si>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</si>
  <si>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</si>
  <si>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</si>
  <si>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</si>
  <si>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</si>
  <si>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</si>
  <si>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</si>
  <si>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</si>
  <si>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</si>
  <si>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</si>
  <si>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</si>
  <si>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</si>
  <si>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</si>
  <si>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</si>
  <si>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</si>
  <si>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</si>
  <si>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</si>
  <si>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</si>
  <si>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</si>
  <si>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</si>
  <si>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</si>
  <si>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</si>
  <si>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</si>
  <si>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</si>
  <si>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</si>
  <si>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</si>
  <si>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</si>
  <si>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</si>
  <si>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</si>
  <si>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</si>
  <si>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</si>
  <si>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</si>
  <si>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</si>
  <si>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</si>
  <si>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</si>
  <si>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</si>
  <si>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</si>
  <si>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</si>
  <si>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</si>
  <si>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</si>
  <si>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</si>
  <si>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</si>
  <si>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</si>
  <si>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</si>
  <si>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</si>
  <si>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</si>
  <si>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</si>
  <si>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</si>
  <si>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</si>
  <si>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</si>
  <si>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</si>
  <si>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</si>
  <si>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</si>
  <si>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</si>
  <si>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</si>
  <si>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</si>
  <si>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</si>
  <si>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</si>
  <si>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</si>
  <si>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</si>
  <si>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</si>
  <si>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</si>
  <si>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</si>
  <si>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</si>
  <si>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</si>
  <si>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</si>
  <si>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</si>
  <si>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</si>
  <si>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</si>
  <si>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</si>
  <si>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</si>
  <si>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</si>
  <si>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</si>
  <si>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</si>
  <si>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</si>
  <si>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</si>
  <si>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</si>
  <si>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</si>
  <si>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</si>
  <si>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</si>
  <si>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</si>
  <si>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</si>
  <si>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</si>
  <si>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</si>
  <si>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</si>
  <si>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</si>
  <si>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</si>
  <si>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</si>
  <si>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</si>
  <si>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</si>
  <si>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</si>
  <si>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</si>
  <si>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</si>
  <si>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</si>
  <si>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</si>
  <si>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</si>
  <si>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</si>
  <si>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</si>
  <si>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</si>
  <si>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</si>
  <si>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</si>
  <si>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</si>
  <si>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</si>
  <si>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</si>
  <si>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</si>
  <si>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</si>
  <si>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</si>
  <si>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</si>
  <si>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</si>
  <si>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</si>
  <si>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</si>
  <si>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</si>
  <si>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</si>
  <si>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</si>
  <si>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</si>
  <si>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</si>
  <si>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</si>
  <si>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</si>
  <si>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</si>
  <si>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</si>
  <si>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</si>
  <si>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</si>
  <si>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</si>
  <si>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</si>
  <si>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</si>
  <si>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</si>
  <si>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</si>
  <si>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</si>
  <si>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</si>
  <si>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</si>
  <si>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</si>
  <si>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</si>
  <si>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</si>
  <si>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</si>
  <si>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</si>
  <si>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</si>
  <si>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</si>
  <si>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</si>
  <si>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</si>
  <si>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</si>
  <si>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</si>
  <si>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</si>
  <si>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</si>
  <si>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</si>
  <si>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</si>
  <si>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</si>
  <si>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</si>
  <si>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</si>
  <si>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</si>
  <si>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</si>
  <si>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</si>
  <si>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</si>
  <si>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</si>
  <si>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</si>
  <si>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</si>
  <si>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</si>
  <si>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</si>
  <si>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</si>
  <si>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</si>
  <si>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</si>
  <si>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</si>
  <si>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</si>
  <si>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</si>
  <si>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</si>
  <si>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</si>
  <si>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</si>
  <si>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</si>
  <si>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</si>
  <si>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</si>
  <si>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</si>
  <si>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</si>
  <si>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</si>
  <si>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</si>
  <si>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</si>
  <si>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</si>
  <si>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</si>
  <si>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</si>
  <si>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</si>
  <si>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</si>
  <si>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</si>
  <si>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</si>
  <si>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</si>
  <si>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</si>
  <si>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</si>
  <si>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</si>
  <si>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</si>
  <si>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</si>
  <si>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</si>
  <si>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</si>
  <si>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</si>
  <si>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</si>
  <si>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</si>
  <si>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</si>
  <si>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</si>
  <si>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</si>
  <si>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</si>
  <si>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</si>
  <si>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</si>
  <si>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</si>
  <si>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</si>
  <si>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</si>
  <si>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</si>
  <si>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</si>
  <si>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</si>
  <si>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</si>
  <si>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</si>
  <si>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</si>
  <si>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</si>
  <si>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</si>
  <si>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Közfoglalkoztatás </t>
  </si>
  <si>
    <t>Ügyeleti Szolgálat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</si>
  <si>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</si>
  <si>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</si>
  <si>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</si>
  <si>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</si>
  <si>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</si>
  <si>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</si>
  <si>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</si>
  <si>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</si>
  <si>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</si>
  <si>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</si>
  <si>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</si>
  <si>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</si>
  <si>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</si>
  <si>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Céltartalék (felhalmozási)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</si>
  <si>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</si>
  <si>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</si>
  <si>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</si>
  <si>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</si>
  <si>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</si>
  <si>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</si>
  <si>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</si>
  <si>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</si>
  <si>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</si>
  <si>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</si>
  <si>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</si>
  <si>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</si>
  <si>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</si>
  <si>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</si>
  <si>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</si>
  <si>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</si>
  <si>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</si>
  <si>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</si>
  <si>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</si>
  <si>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</si>
  <si>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</si>
  <si>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</si>
  <si>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</si>
  <si>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</si>
  <si>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</si>
  <si>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</si>
  <si>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</si>
  <si>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</si>
  <si>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</si>
  <si>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</si>
  <si>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</si>
  <si>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</si>
  <si>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</si>
  <si>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</si>
  <si>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</si>
  <si>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</si>
  <si>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</si>
  <si>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</si>
  <si>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</si>
  <si>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</si>
  <si>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</si>
  <si>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</si>
  <si>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</si>
  <si>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</si>
  <si>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</si>
  <si>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</si>
  <si>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</si>
  <si>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</si>
  <si>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</si>
  <si>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</si>
  <si>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</si>
  <si>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</si>
  <si>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</si>
  <si>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</si>
  <si>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 xml:space="preserve">- Köztisztviselők                      </t>
  </si>
  <si>
    <t>Polgárm. Hiv. összesen: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</si>
  <si>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</si>
  <si>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</si>
  <si>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</si>
  <si>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</si>
  <si>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</si>
  <si>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</si>
  <si>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</si>
  <si>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</si>
  <si>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</si>
  <si>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</si>
  <si>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</si>
  <si>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</si>
  <si>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</si>
  <si>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</si>
  <si>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</si>
  <si>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</si>
  <si>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</si>
  <si>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</si>
  <si>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</si>
  <si>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</si>
  <si>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</si>
  <si>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</si>
  <si>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</si>
  <si>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</si>
  <si>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</si>
  <si>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</si>
  <si>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</si>
  <si>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</si>
  <si>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</si>
  <si>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</si>
  <si>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</si>
  <si>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</si>
  <si>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</si>
  <si>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</si>
  <si>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</si>
  <si>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</si>
  <si>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</si>
  <si>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</si>
  <si>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</si>
  <si>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</si>
  <si>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</si>
  <si>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</si>
  <si>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</si>
  <si>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</si>
  <si>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</si>
  <si>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</si>
  <si>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II.</t>
  </si>
  <si>
    <t>I.</t>
  </si>
  <si>
    <t>II.1</t>
  </si>
  <si>
    <t>Óvodapedagógusok bértámogatása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</si>
  <si>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</si>
  <si>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</si>
  <si>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</si>
  <si>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</si>
  <si>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</si>
  <si>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</si>
  <si>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</si>
  <si>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</si>
  <si>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</si>
  <si>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</si>
  <si>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</si>
  <si>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</si>
  <si>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</si>
  <si>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</si>
  <si>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</si>
  <si>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</si>
  <si>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</si>
  <si>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</si>
  <si>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</si>
  <si>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</si>
  <si>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</si>
  <si>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</si>
  <si>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</si>
  <si>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</si>
  <si>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</si>
  <si>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</si>
  <si>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</si>
  <si>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</si>
  <si>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</si>
  <si>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</si>
  <si>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</si>
  <si>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</si>
  <si>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</si>
  <si>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</si>
  <si>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</si>
  <si>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</si>
  <si>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</si>
  <si>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</si>
  <si>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</si>
  <si>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</si>
  <si>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</si>
  <si>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</si>
  <si>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</si>
  <si>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Család- és nővédelmi eü. gondozáshoz OEP-finanszírozás</t>
  </si>
  <si>
    <t>Tűzoltóság BM támogatása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</si>
  <si>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</si>
  <si>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</si>
  <si>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</si>
  <si>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</si>
  <si>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</si>
  <si>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</si>
  <si>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</si>
  <si>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</si>
  <si>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</si>
  <si>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</si>
  <si>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</si>
  <si>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</si>
  <si>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</si>
  <si>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</si>
  <si>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</si>
  <si>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</si>
  <si>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</si>
  <si>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</si>
  <si>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</si>
  <si>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</si>
  <si>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</si>
  <si>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</si>
  <si>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</si>
  <si>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</si>
  <si>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</si>
  <si>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</si>
  <si>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</si>
  <si>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</si>
  <si>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</si>
  <si>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</si>
  <si>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</si>
  <si>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</si>
  <si>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</si>
  <si>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</si>
  <si>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</si>
  <si>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</si>
  <si>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</si>
  <si>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</si>
  <si>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</si>
  <si>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</si>
  <si>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</si>
  <si>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</si>
  <si>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</si>
  <si>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</si>
  <si>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</si>
  <si>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</si>
  <si>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</si>
  <si>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</si>
  <si>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</si>
  <si>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</si>
  <si>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</si>
  <si>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</si>
  <si>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</si>
  <si>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</si>
  <si>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</si>
  <si>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</si>
  <si>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</si>
  <si>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</si>
  <si>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</si>
  <si>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</si>
  <si>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</si>
  <si>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</si>
  <si>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</si>
  <si>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</si>
  <si>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</si>
  <si>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</si>
  <si>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</si>
  <si>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</si>
  <si>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</si>
  <si>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</si>
  <si>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</si>
  <si>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</si>
  <si>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</si>
  <si>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</si>
  <si>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</si>
  <si>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</si>
  <si>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</si>
  <si>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</si>
  <si>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</si>
  <si>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</si>
  <si>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</si>
  <si>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</si>
  <si>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</si>
  <si>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</si>
  <si>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</si>
  <si>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</si>
  <si>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</si>
  <si>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</si>
  <si>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</si>
  <si>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</si>
  <si>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</si>
  <si>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</si>
  <si>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</si>
  <si>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</si>
  <si>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Önkormányzati bérlakások felújítása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</si>
  <si>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</si>
  <si>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</si>
  <si>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</si>
  <si>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</si>
  <si>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</si>
  <si>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</si>
  <si>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</si>
  <si>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</si>
  <si>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</si>
  <si>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</si>
  <si>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</si>
  <si>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</si>
  <si>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</si>
  <si>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</si>
  <si>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 xml:space="preserve">- Óvónő </t>
  </si>
  <si>
    <t>- Pedagógiai asszisztens</t>
  </si>
  <si>
    <t xml:space="preserve">- Óvodai dajka </t>
  </si>
  <si>
    <t>- Óvodatitkár</t>
  </si>
  <si>
    <t>- Szakmai vezető</t>
  </si>
  <si>
    <t>- Családsegítő</t>
  </si>
  <si>
    <t xml:space="preserve">Nyitnikék Gyerekház </t>
  </si>
  <si>
    <t>- Polgármester</t>
  </si>
  <si>
    <t>- Főállású alpolgármester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</si>
  <si>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</si>
  <si>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</si>
  <si>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</si>
  <si>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</si>
  <si>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</si>
  <si>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 xml:space="preserve">Általános tartalék </t>
  </si>
  <si>
    <t>Általános tartalék (működési)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</si>
  <si>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</si>
  <si>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</si>
  <si>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</si>
  <si>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</si>
  <si>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</si>
  <si>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</si>
  <si>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Kerékpárút építése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</si>
  <si>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</si>
  <si>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</si>
  <si>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</si>
  <si>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</si>
  <si>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</si>
  <si>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</si>
  <si>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</si>
  <si>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</si>
  <si>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</si>
  <si>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</si>
  <si>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</si>
  <si>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</si>
  <si>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</si>
  <si>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</si>
  <si>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</si>
  <si>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</si>
  <si>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</si>
  <si>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</si>
  <si>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</si>
  <si>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</si>
  <si>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</si>
  <si>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</si>
  <si>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</si>
  <si>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</si>
  <si>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</si>
  <si>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</si>
  <si>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</si>
  <si>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</si>
  <si>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</si>
  <si>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</si>
  <si>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</si>
  <si>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</si>
  <si>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</si>
  <si>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</si>
  <si>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</si>
  <si>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</si>
  <si>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</si>
  <si>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</si>
  <si>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</si>
  <si>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</si>
  <si>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</si>
  <si>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</si>
  <si>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</si>
  <si>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</si>
  <si>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</si>
  <si>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</si>
  <si>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</si>
  <si>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</si>
  <si>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</si>
  <si>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</si>
  <si>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</si>
  <si>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</si>
  <si>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</si>
  <si>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</si>
  <si>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</si>
  <si>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</si>
  <si>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</si>
  <si>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</si>
  <si>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</si>
  <si>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</si>
  <si>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</si>
  <si>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</si>
  <si>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</si>
  <si>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</si>
  <si>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</si>
  <si>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</si>
  <si>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</si>
  <si>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</si>
  <si>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</si>
  <si>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</si>
  <si>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</si>
  <si>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</si>
  <si>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</si>
  <si>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</si>
  <si>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</si>
  <si>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</si>
  <si>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</si>
  <si>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</si>
  <si>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</si>
  <si>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</si>
  <si>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</si>
  <si>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</si>
  <si>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</si>
  <si>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7., Közműv. tv. 73.§ (2)</t>
  </si>
  <si>
    <t>Szoc. tv. 86.§ (1) b,</t>
  </si>
  <si>
    <t>Mötv. 13.§ (1)13.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</si>
  <si>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</si>
  <si>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</si>
  <si>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</si>
  <si>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</si>
  <si>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</si>
  <si>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</si>
  <si>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</si>
  <si>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</si>
  <si>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</si>
  <si>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</si>
  <si>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</si>
  <si>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 xml:space="preserve">200/2016.(XII.15.) Kt. hat. Kiskunhalas - Jánoshalma - Mélykút kerékpárút Jánoshalma közigazgatási területét érintő szakaszának tervezési munkái - VIA Futura Mérnöki Tanácsadó és Szolgáltató Kft </t>
  </si>
  <si>
    <t>- Szakmai munkatárs</t>
  </si>
  <si>
    <t>RGYVK-hoz kapcs. természetbeni juttatás (Erzsébet utalvány) megtérítése</t>
  </si>
  <si>
    <t>Felhalmozási célú maradvány igénybevétele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</si>
  <si>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</si>
  <si>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</si>
  <si>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</si>
  <si>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</si>
  <si>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</si>
  <si>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</si>
  <si>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</si>
  <si>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</si>
  <si>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</si>
  <si>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I.5.</t>
  </si>
  <si>
    <t>Polgármesteri illetmény támogatása</t>
  </si>
  <si>
    <t>II.1 (1)1,2</t>
  </si>
  <si>
    <t>II.1 (2)1,2</t>
  </si>
  <si>
    <t>Bölcsőde, minibölcsőde támogatása</t>
  </si>
  <si>
    <t>Felsőfokú végzettségű kisgyermeknevelők, szaktanácsadók bértámogatása</t>
  </si>
  <si>
    <t>Bölcsődei dajkák, középfokú végzettségű kisgyermeknevelők, szaktanácsadók bértámogatása</t>
  </si>
  <si>
    <t>Bölcsőde üzemeltetési támogatás</t>
  </si>
  <si>
    <t>Intézményi gyermekétkeztetés támogatása</t>
  </si>
  <si>
    <t>Étkeztetési feladatot ellátók után járó bértámogatás</t>
  </si>
  <si>
    <t>A rászoruló gyermekek szünidei étkeztetésének támogatása</t>
  </si>
  <si>
    <t xml:space="preserve">Jánoshalmi tagóvodák                          </t>
  </si>
  <si>
    <t>Gyermeklánc Óvoda és Bölcsőde, Család- és Gyermekjóléti Központ</t>
  </si>
  <si>
    <t>Bölcsődei csoport</t>
  </si>
  <si>
    <t>Felsőfokú végzettségű kisgyermeknevelő</t>
  </si>
  <si>
    <t>Középfokú végzettségű kisgyermeknevelő</t>
  </si>
  <si>
    <t>Bölcsődei dajka</t>
  </si>
  <si>
    <t>Gyermekház vezető</t>
  </si>
  <si>
    <t>Szakmai munkatárs</t>
  </si>
  <si>
    <t>- Esetmenedzser és tanácsadó</t>
  </si>
  <si>
    <t>- Esetmenedzser és tanácsadó (részfoglalk. napi 4 órában)</t>
  </si>
  <si>
    <t>- Szakmai vezető (részfoglalk. napi 4 órában)</t>
  </si>
  <si>
    <t>- MT hatálya alá tartozó munkavállaló</t>
  </si>
  <si>
    <t>Önkormányzati tisztségviselők</t>
  </si>
  <si>
    <t>Igazgatási tevékenység</t>
  </si>
  <si>
    <t>- Szociális segítő</t>
  </si>
  <si>
    <t>- Közfoglalkoztatási ügyintéző</t>
  </si>
  <si>
    <t>Gyermekétkeztetés</t>
  </si>
  <si>
    <t xml:space="preserve">- Könyvtáros                      </t>
  </si>
  <si>
    <t>- Művelődésszervező</t>
  </si>
  <si>
    <t>- Technikus</t>
  </si>
  <si>
    <t>- Adminisztrátor</t>
  </si>
  <si>
    <t>Bio- és megújuló energia felhasználás programelem</t>
  </si>
  <si>
    <t>Belterületi közutak karbantartása programelem</t>
  </si>
  <si>
    <t>Belvízelvezetés programelem</t>
  </si>
  <si>
    <t xml:space="preserve">5.1. Elvonások és befizetések 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</si>
  <si>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</si>
  <si>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</si>
  <si>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</si>
  <si>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</si>
  <si>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</si>
  <si>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900090</t>
  </si>
  <si>
    <t>041232</t>
  </si>
  <si>
    <t>041233</t>
  </si>
  <si>
    <t>Óvodai étkeztetés</t>
  </si>
  <si>
    <t>Bölcsődei gyermek étkeztetés</t>
  </si>
  <si>
    <t>Közművelődés- hagyományos közösségi kult. értékek gondozása</t>
  </si>
  <si>
    <t>Mötv. 13.§ (1)12.</t>
  </si>
  <si>
    <t>Mötv. 13.§ (1)11,  21.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</si>
  <si>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</si>
  <si>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</si>
  <si>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</si>
  <si>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</si>
  <si>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Imre Z. Kult. K. és Könyvtár</t>
  </si>
  <si>
    <t>Bölcsőde támogatása</t>
  </si>
  <si>
    <t>"Jánoshalmi Művésztelep energetikai felújítása" projekt támogatása (VP)</t>
  </si>
  <si>
    <t>Ellátási díjak (ált. isk. étkezés)</t>
  </si>
  <si>
    <t>EFOP-1.4.2-16 Integrált térs. gyermekpr. "Együtt könnyebb" támogatása</t>
  </si>
  <si>
    <t>Köztemetés kiadásának megtérítése</t>
  </si>
  <si>
    <t>Könyvtári szolgáltatások ellenértéke</t>
  </si>
  <si>
    <t>Közművelődési szolgáltatások ellenértéke</t>
  </si>
  <si>
    <t xml:space="preserve">Támogatási szerződés szerinti bevételek, kiadások  (Ft)     </t>
  </si>
  <si>
    <t>évenkénti üteme</t>
  </si>
  <si>
    <t>Saját erő</t>
  </si>
  <si>
    <t>EU-s és hazai forrás együtt</t>
  </si>
  <si>
    <t>Források összesen</t>
  </si>
  <si>
    <t>Beruházási kiadások (elszámolható)</t>
  </si>
  <si>
    <t>Dologi kiadások (elszámolható)</t>
  </si>
  <si>
    <t xml:space="preserve">Saját erő </t>
  </si>
  <si>
    <t>Bér+járulék kiadások (elszámolható)</t>
  </si>
  <si>
    <t>Iparterület fejlesztése Jánoshalmán (TOP-1.1.1-15-BK1-2016-00006)</t>
  </si>
  <si>
    <t>Beruházási kiadások (nem elszámolható)</t>
  </si>
  <si>
    <t>Felújítási kiadások (elszámolható)</t>
  </si>
  <si>
    <t>Felújítási kiadások (nem elszámolható)</t>
  </si>
  <si>
    <t>Gyermekvédelmi pénzbeli és természetbeni ellátások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</si>
  <si>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</si>
  <si>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</si>
  <si>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</si>
  <si>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</si>
  <si>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</si>
  <si>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</si>
  <si>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</si>
  <si>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</si>
  <si>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</si>
  <si>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</si>
  <si>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- Gazdasági ügyintéző (térítési díjak beszedése, étkezők nyilvántartása)</t>
  </si>
  <si>
    <t>- Technikai dolgozók  (2 fő részfoglalk. napi 4 órában)</t>
  </si>
  <si>
    <t>Jánoshalma Városi Önkormányzat 2019. évi költségvetésében tervezett köponti költségvetési támogatások</t>
  </si>
  <si>
    <t>a Magyarország 2019. évi központi költségvetéséről szóló 2018. évi L. törvény 2. sz. mellékletének jogcímei szerint</t>
  </si>
  <si>
    <t>Településüzemeltetéshez kapcsolódó feladatellátás alaptámogatása</t>
  </si>
  <si>
    <t>A zöldterület-gazdálkodással kapcsolatos feladatok ellátásának alaptámogatása</t>
  </si>
  <si>
    <t>Közvilágítás fenntartásának alaptámogatása</t>
  </si>
  <si>
    <t>Köztemető-fenntartással kapcsolatos feladatok alaptámogatása</t>
  </si>
  <si>
    <t>Közutak fenntartásának alaptámogatása</t>
  </si>
  <si>
    <t>A költségvetési szerveknél foglalkoztatottak 2018. évi áthúzódó és 2019. évi kompenzációja</t>
  </si>
  <si>
    <t>Alapfokú végzettségű pedagógus II. kategóriába sorolt óvodapedagógusok kiegészítő támogatása, akik a minősítést 2018.01.01-ig szerezték meg</t>
  </si>
  <si>
    <t>Alapfokú végzettségű pedagógus II. kategóriába sorolt óvodapedagógusok kiegészítő támogatása, akik a minősítést a 2019. január 1-jei átsorolással szerezték meg</t>
  </si>
  <si>
    <t>Alapfokú végzettségű mesterpedagógus kategóriába sorolt óvodapedagógusok kiegészítő támogatása, akik a minősítést 2018.01.01-ig szerezték meg</t>
  </si>
  <si>
    <t>Alapfokú végzettségű mesterpedagógus kategóriába sorolt óvodapedagógusok kiegészítő támogatása, akik a minősítést a 2019. január 1-jei átsorolással szerezték meg</t>
  </si>
  <si>
    <t>Szociális ágazati összevont pótlék és egészségügyi kiegészítő pótlék</t>
  </si>
  <si>
    <t>III.5.aa</t>
  </si>
  <si>
    <t>III.5.ab</t>
  </si>
  <si>
    <t xml:space="preserve">III.6. </t>
  </si>
  <si>
    <t>III.6. a (1)</t>
  </si>
  <si>
    <t>III.6. a (2)</t>
  </si>
  <si>
    <t>III.6.b</t>
  </si>
  <si>
    <t>IV.3</t>
  </si>
  <si>
    <t>Kulturális illetménypótlék</t>
  </si>
  <si>
    <t>Egyéb önkormányzati feladatok támogatása (beszámítás után)</t>
  </si>
  <si>
    <t>III.3.n</t>
  </si>
  <si>
    <t>Óvodai és iskolai szociális segítő tevékenység támogatása</t>
  </si>
  <si>
    <t>Jánoshalma Városi Önkormányzat és költségvetési szervei 2019. évi költségvetésének bevételi előirányzatai</t>
  </si>
  <si>
    <t>Jánoshalma Városi Önkormányzat és költségvetési szervei 2019. évi költségvetésének kiadási előirányzatai</t>
  </si>
  <si>
    <t>Jánoshalma Város Önkormányzat 2019. évi költségvetése működési és felhalmozási célú bontásban</t>
  </si>
  <si>
    <t>Egyéb műk. c. támogatások államháztartáson belülre</t>
  </si>
  <si>
    <t>5.3. Egyéb műk. célú támogatások államh.-on belülre</t>
  </si>
  <si>
    <t>5.4. Egyéb műk. célú támogatások államh.-on kívülre</t>
  </si>
  <si>
    <t>5.5. Tartalékok</t>
  </si>
  <si>
    <t>Környezetvédelmi alap a 2019. évre tervezett talajterhelési díj bevételből</t>
  </si>
  <si>
    <t>A helyi önkormányzat által irányított költségvetési szervek 2019. évi költségvetési kiadásai feladatonként</t>
  </si>
  <si>
    <t>EFOP-3.9.2-16-2017-00057 "Járásokat összekötő humán kapacitások fejlesztése térségi szemléletben" projekt - 2 fő többletfeladat ellátása</t>
  </si>
  <si>
    <t xml:space="preserve">EFOP-3.3.2-16-2016-00284 "Kultúrával az oktatás színesítéséért" projekt </t>
  </si>
  <si>
    <t>Óvodai nevelés</t>
  </si>
  <si>
    <t xml:space="preserve">EFOP-3.2.9-16-2016-00044 "Segítsd, hogy segíthessen!" c. projekt </t>
  </si>
  <si>
    <t xml:space="preserve">EFOP-3.9.2-16-2017-00057 "Járásokat összekötő humán kapacitások fejlesztése térségi szemléletben" c. projekt </t>
  </si>
  <si>
    <t>EFOP-1.5.3-16-2017-00082 "Együtt vagyunk, otthon vagyunk és itt maradunk" c. projekt - 2 fő alkalmazása a Család- és Gyermekjóléti Szolgálatnál</t>
  </si>
  <si>
    <t>Jánoshalma Városi Önkormányzat  2019. évi költségvetési kiadásai feladatonként</t>
  </si>
  <si>
    <t>Műk. célú tám. ÁH-on belülre</t>
  </si>
  <si>
    <t>Szektorhoz nem köthető komplex gazdaságfejlesztési projektek</t>
  </si>
  <si>
    <t>Szennyvízcsatorna építése, fenntartása, üzemeltetése</t>
  </si>
  <si>
    <t>Környezetszennyezés csökkentésének igazgatása</t>
  </si>
  <si>
    <t>Településfejlesztési projektek és támogatásuk</t>
  </si>
  <si>
    <t>Üdülői szálláshely-szolgálttás és étkeztetés</t>
  </si>
  <si>
    <t>Közművelődés- közösségi és társadalmi részvétel fejlesztése</t>
  </si>
  <si>
    <t>Óvodai nevelés, ellátás működtetési feladatai</t>
  </si>
  <si>
    <t>Iskolarendszeren kívüli egyéb oktatás, képzés</t>
  </si>
  <si>
    <t>Idősek nappali ellátása</t>
  </si>
  <si>
    <t>Hajléktalanok átmeneti ellátása éjjeli menedékhelyen</t>
  </si>
  <si>
    <t>107013</t>
  </si>
  <si>
    <t>107015</t>
  </si>
  <si>
    <t>Hajléktalanok nappali ellátása - Nappali melegedő</t>
  </si>
  <si>
    <t>107052</t>
  </si>
  <si>
    <t>Házi segítségnyújtás</t>
  </si>
  <si>
    <t>107080</t>
  </si>
  <si>
    <t>Esélyegyenlőség elősegítését célzó tevékenységek és programok</t>
  </si>
  <si>
    <t>36</t>
  </si>
  <si>
    <t>37</t>
  </si>
  <si>
    <t>38</t>
  </si>
  <si>
    <t>39</t>
  </si>
  <si>
    <t>40</t>
  </si>
  <si>
    <t>41</t>
  </si>
  <si>
    <t>42</t>
  </si>
  <si>
    <t>43</t>
  </si>
  <si>
    <t>047450</t>
  </si>
  <si>
    <t>053010</t>
  </si>
  <si>
    <t>062020</t>
  </si>
  <si>
    <t>082061</t>
  </si>
  <si>
    <t>082091</t>
  </si>
  <si>
    <t>095020</t>
  </si>
  <si>
    <t>102031</t>
  </si>
  <si>
    <t>2019. évi felhalmozási kiadások feladatonként, felújítási kiadások célonként</t>
  </si>
  <si>
    <t>Q</t>
  </si>
  <si>
    <t>Polgármesteri Hivatal udvarán garázs kialakítás</t>
  </si>
  <si>
    <t>Polgármesteri Hivatal festése, ablakcsere</t>
  </si>
  <si>
    <t>Start-munka program -Téli közfoglalkoztatás - Hulladékgyűjtő konténer beszerzés</t>
  </si>
  <si>
    <t>Vízkárelhárítási terv</t>
  </si>
  <si>
    <t>Csatorna beruházáshoz kapcsolódó visszatérítés (háztartásoknak, vállalkozásoknak)</t>
  </si>
  <si>
    <t>TOP-3.2.1-16-BK1-2017-00059 "Jánoshalma Polgármesteri Hivatal energetikai rendszerek korszerűsítése" c. projekt kiadásai</t>
  </si>
  <si>
    <t>TOP-1.1.1-15-BK1-2016-00006 - "Iparterület fejlesztése Jánoshalmán" c. projekt kiadásai</t>
  </si>
  <si>
    <t>TOP-1.1.2-16-BK1 -2017-00005 "Jánoshalma térségi szerepének erősítése a mezőgazdaságban" c. projekt kiadásai</t>
  </si>
  <si>
    <t>TOP-1.1.3-16-BK1 -2017-00007  "Agrárlogisztikai központ építése Jánoshalmán c. projekt kiadásai</t>
  </si>
  <si>
    <t>TOP-2.1.3-16-BK1 -2017 - 00010  "Jánoshalma belvíz elvezetése I. ütem" c. projekt kiadásai</t>
  </si>
  <si>
    <t xml:space="preserve">120/2018.(VII.18.) Kt. hat. alapján  önerő maradvány - a Konyhafejlesztési VP 6-7.2.1-7.4.1.3-17 kódszámú pályázathoz </t>
  </si>
  <si>
    <t>224/2017.(XII.14) Kt. hat.  és 17/2018(I.25) Kt. határozatok alapján önerő maradvány a VP6-19.2.1-32-1-17  "Települések élhetőbbé tétele" c. pályázathoz (gépjármű tároló építése a Mélykúti u. 7. sz. alatt)</t>
  </si>
  <si>
    <t>TOP-2.1.2-16-BK1 - "Zöld tér felújítása Jánoshalmán" c. projekt kiadásai</t>
  </si>
  <si>
    <t>51/2016.(III.24.) Kt. hat. VP-6-7.4.1.1-16 "Jánoshalmi Művésztelep energetikai felújítása" projekt pályázati  önerő és támogatás kiadási maradványa</t>
  </si>
  <si>
    <t>Viziközművek fejlesztése a viziközművek 2019. évi bérleti díj bevételéből és a Viziközmű fejlesztési tartalékból</t>
  </si>
  <si>
    <t>Rendezési Terv ("Jánoshalma város településfejlesztési koncepció, új településrendezési eszközök elkészítése" Városökológia Bt.)</t>
  </si>
  <si>
    <t>Energiamegtakarítási intézkedési terv</t>
  </si>
  <si>
    <t>Jánoshalmi Művésztelep (Kossuth u. 5.sz.) - 2 db ágy, 2 db ruhás szekrény, 5 db asztal, 15 db szék beszerzése</t>
  </si>
  <si>
    <t>63/2018.(IV.26.) Kt. hat. Radnóti utcai óvoda energetikai felújítása (önerő és központi támogatás)</t>
  </si>
  <si>
    <t>EFOP-1.4.2-16-2016 - 00020  "Együtt a közösségeinkért" c. projekt kiadásai</t>
  </si>
  <si>
    <t>EFOP-1.5.3-16-2017-00082  "Együtt vagyunk, otthon vagyunk és itt maradunk" c. projekt kiadásai</t>
  </si>
  <si>
    <t>EFOP-1.5.3-16-2017-00082  "Együtt vagyunk, otthon vagyunk és itt maradunk" c. projekt felújítási kiadásai</t>
  </si>
  <si>
    <t>Számítógép, monitor, további eszközbeszerzések</t>
  </si>
  <si>
    <t>Hordozható mikrofon, kontroll hangfal, fénytechnika</t>
  </si>
  <si>
    <t>Óvodai nevelés beruházási kiadásai - Panda vírusírtó 10.000 Ft + Áfa /gép - (Jánoshalmi óvoda 9 gép, Nyitnikék Gyerekház 2 gép); óvodai ágyak 25 db; 1 db ágytároló szekrény; takarítógép</t>
  </si>
  <si>
    <t xml:space="preserve"> Család- és Gyermekjóléti Központ beruházási kiadásai - Panda vírusirtó; ventillátorok irodánként</t>
  </si>
  <si>
    <t xml:space="preserve"> Család- és Gyermekjóléti Szolgálat beruházási kiadásai - 3 fő részére íróasztal, szék és ventilátor az irodába; Panda vírusirtó 7 gépre</t>
  </si>
  <si>
    <t>EFOP-3.3.2-16-2016-00284  "Kultúrával az oktatás színesítéséért" c. projekt kiadásai</t>
  </si>
  <si>
    <t>Jánoshalma Városi Önkormányzat és költségvetési szerveinek 2019. évi költségvetési kiadásai kötelező-, önként vállalt-, és állami (államigazgatási) feladatok szerinti bontásban</t>
  </si>
  <si>
    <t>Mötv. 13.§ (1) 11. 21.</t>
  </si>
  <si>
    <t>Mötv. 13.§ (1) 1. 7. 9. 14.</t>
  </si>
  <si>
    <t>013320</t>
  </si>
  <si>
    <t>Köztemető-fenntartás és működtetés</t>
  </si>
  <si>
    <t>44</t>
  </si>
  <si>
    <t>Üdülői szálláshely szolgáltatás és étkeztetés</t>
  </si>
  <si>
    <t>Közművelődés-közösségi és társadalmi részvétel fejlesztése</t>
  </si>
  <si>
    <t>Szoc. tv. 86.§ (1) d,</t>
  </si>
  <si>
    <t>Hajléktalanok átmeneti ellátása - éjjeli menedékhelyen</t>
  </si>
  <si>
    <t>Hajléktalanok nappali ellátása</t>
  </si>
  <si>
    <t>Mötv. 13.§ (1) 10.</t>
  </si>
  <si>
    <t>Szoc. tv. 86.§ (1) c,</t>
  </si>
  <si>
    <t>45</t>
  </si>
  <si>
    <t>46</t>
  </si>
  <si>
    <t xml:space="preserve">Óvodai nevelés, ellátás </t>
  </si>
  <si>
    <t>Jánoshalma Városi Önkormányzat  és költségvetési szerveinek 2019. évi költségvetési bevételei és  kiadásai kötelező-, önként vállalt-, és állami (államigazgatási) feladatok szerinti bontásban</t>
  </si>
  <si>
    <t>Intézményi gyermekétkeztetési feladatok támogatása (bölcsődei étkeztetés)</t>
  </si>
  <si>
    <t>Startmunka programok műk. c. támogatása</t>
  </si>
  <si>
    <t>Hosszabb időtartamú közfogl. műk. c.  tám.</t>
  </si>
  <si>
    <t>Startmunka programok felh. c. támogatása</t>
  </si>
  <si>
    <t>TOP-3.2.1.-16 Polg. Hiv. energetikai korsz. projekt, TOP-2.1.2-16 "Zöld tér felújítása projekt, TOP-2.1.3-16 "Jh. belvíz elvezetése I. ütem" c. projekt és VP 6-7.2.1-7.4.1.3-17  Konyhafejlesztési pályázat támogatása</t>
  </si>
  <si>
    <t>VP6-7.2.1-7.4.1.2-16 kódsz. önk-i utak karbantartásához gép beszerzés támogatása</t>
  </si>
  <si>
    <t>EFOP-3.3.2-16-2016-00284 "Kulturával az oktatás színesítéséért"pr.műk. c.támogatása</t>
  </si>
  <si>
    <t>EFOP-3.3.2-16-2016-00284 "Kulturával az oktatás színesítéséért"pr. felh. c.  támogatása</t>
  </si>
  <si>
    <t>A 2019. évi költségvetésben tervezett, EU-forrásból finanszírozott  támogatással megvalósuló projektek kiadásai, a helyi önkormányzat ilyen projektekhez történő hozzájárulásai</t>
  </si>
  <si>
    <t>Jánoshalma Városi Önkormányzat ASP központhoz való csatlakozása (KÖFOP-1.2.1-VEKOP-16-2017-00938)</t>
  </si>
  <si>
    <t>Integrált térségi gyermekprogramok  - "Együtt könnyebb" komplex prevenciós és társadalmi felzárkóztató program a gyermekszegénység ellen (EFOP-1.4.2-16-2016-00020)</t>
  </si>
  <si>
    <t>"Együtt vagyunk, otthon vagyunk és itt maradunk" c. projekt (EFOP-1.5.3-16-2017-00082)</t>
  </si>
  <si>
    <t xml:space="preserve">"Járásokat összekötő humán kapacitások fejlesztése térségi szemléletben" c. projekt (EFOP-3.9.2-16-2017-00057) </t>
  </si>
  <si>
    <t>Támogatás (elszámolható)</t>
  </si>
  <si>
    <t xml:space="preserve">"Kulturával az oktatás színesítéséért" c. projekt (EFOP-3.3.2-16-2016-00284) </t>
  </si>
  <si>
    <t>Jánoshalma térségi szerepének erősítése a mg-ban (TOP-1.1.2-16-BK1-2017-00005)</t>
  </si>
  <si>
    <t>Agrárlogisztikai központ építése Jánoshalmán (TOP-1.1.3-16-BK1-2017-00007)</t>
  </si>
  <si>
    <t>Zöld tér felújítása Jánoshalmán (TOP-2.1.2-16-BK1-2017-00003)</t>
  </si>
  <si>
    <t>Jánoshalma belvíz elvezetése I. ütem (TOP-2.1.3-16-BK1-2017-00010)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</si>
  <si>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</si>
  <si>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</si>
  <si>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"Segítsd, hogy segíthessen!" c. projekt (EFOP-3.2.9-16-2016-00044)</t>
  </si>
  <si>
    <t>2019. évi költségvetésben tervezett 2018. évi maradvány igénybevétel</t>
  </si>
  <si>
    <t xml:space="preserve">2019. évi költségvetésben tervezett bevételi előirányzatok    </t>
  </si>
  <si>
    <t xml:space="preserve">2019. évi költségvetésben tervezett kiadási előirányzatok   </t>
  </si>
  <si>
    <t>"Közétkeztetés fejlesztése" (Vidékfejlesztési Program VP6-7.2.1-7.4.1.3-17)</t>
  </si>
  <si>
    <t>"A Jánoshalmi Művésztelep energetikai felújítása" (Vidékfejlesztési Program VP6-7.2.1-7.4.1.1-16)</t>
  </si>
  <si>
    <t>"Önkormányzati utak karbantartásához szükséges erő- és munkagépek beszerzése" (Vidékfejlesztési Program VP6-7.2.1-7.4.1.2-16)</t>
  </si>
  <si>
    <t>Bér+járulék kiadások (elszámolható) Polgármesteri Hivatalnál</t>
  </si>
  <si>
    <t>Bér+járulék kiadások (elszámolható) Gyermekjóléti Szolgálatnál</t>
  </si>
  <si>
    <t>EFOP-1.4.2-16-2016-00020 "Együtt könnyebb" komplex prevenciós és társadalmi felzárkóztató program a gyermekszegénység ellen (GYEP-II.)</t>
  </si>
  <si>
    <t>- Szakterületi koordinátor  / és Coach (1 fő napi 4 órában/ heti 20 órában)</t>
  </si>
  <si>
    <t>EFOP-1.5.3-16-2017-00082 "Együtt vagyunk, otthon vagyunk és itt maradunk" projekt</t>
  </si>
  <si>
    <t>Szakmai vezető</t>
  </si>
  <si>
    <t>Ifjúsági referens</t>
  </si>
  <si>
    <t>Közösségszervező</t>
  </si>
  <si>
    <t>Közösség szervező munkatárs</t>
  </si>
  <si>
    <t>TOP-5.3.1-16-BK1-2017-00015 "Együtt a közösségeinkért" projekt</t>
  </si>
  <si>
    <t>Közösségfejlesztő</t>
  </si>
  <si>
    <t>EFOP-3.9.2-16-2017-00057 "Járásokat összekötő humán kapacitások fejlesztése térségi szemléletben" projekt</t>
  </si>
  <si>
    <t>EFOP-3.3.2-16-2016-00284 "Kultúrával az oktatás színesítéséért" projekt</t>
  </si>
  <si>
    <t>Start-munka program - Téli közfoglalkoztatás (2018. évről áthúzódó programok 2019.02.28-ig)</t>
  </si>
  <si>
    <t>Illegális hulladéklerakó-helyek felszámolása programelem</t>
  </si>
  <si>
    <t>Hosszabb időtartamú közfoglalkoztatás (2018. évről áthúzódó programok 2019.02.28-ig)</t>
  </si>
  <si>
    <t xml:space="preserve">23 fő álláskereső közfoglalkoztatása </t>
  </si>
  <si>
    <t>Esélyegyenlőség elősegítését célzó tevékenységek és programok (EFOP-1.5.3-16-2017-00082 pr.)</t>
  </si>
  <si>
    <t>Család- és Gyermekjóléti Központ (EFOP 3.2.9-16-2016-00044 pr.)</t>
  </si>
  <si>
    <t>Iskolarendszeren kívüli egyéb oktatás, képzés (EFOP-3.9.2-16-2017-00057 pr.)</t>
  </si>
  <si>
    <t>A települési önkormányzatok szociális feladatainak egyéb támogatása</t>
  </si>
  <si>
    <t>- Iskolai és óvodai szoc. segítő tev.</t>
  </si>
  <si>
    <t>EFOP-3.2.9-16-2016-00044 "Segítsd hogy segíthessen" projekt</t>
  </si>
  <si>
    <t>Szociális segítő</t>
  </si>
  <si>
    <t>Szociális segítő (1 fő részm. napi 4 óra)</t>
  </si>
  <si>
    <t>Fejlesztő pedagógus</t>
  </si>
  <si>
    <t>Fejlesztő pedagógus (2 fő nap 4 órában)</t>
  </si>
  <si>
    <t>Kiegészítő fejlesztés zeneovi és angol (2 fő heti 2 és 1 órában)</t>
  </si>
  <si>
    <t>Gyógypedagógus (1 fő heti 10 órában)</t>
  </si>
  <si>
    <t>Szakmai koordinátor (1 fő heti 20 órában)</t>
  </si>
  <si>
    <t>Pénzügyi asszisztens (napi 4 óra)</t>
  </si>
  <si>
    <t>Nem elszámolható kiadásokra további önkormányzati forrás biztosítása</t>
  </si>
  <si>
    <t>- Önkormányzati EFOP-1.5.3-16-2017-00082 projekt 2 fő prevenciós munkatárs</t>
  </si>
  <si>
    <t>- Pénzügyi vezető (részm. napi 4 órában)</t>
  </si>
  <si>
    <t>- Projektmenedzser (részm. napi 4 órában)</t>
  </si>
  <si>
    <t xml:space="preserve">- Szakterületi koordinátor </t>
  </si>
  <si>
    <t>- Szakmai asszisztens (2 fő, ebből 1 fő napi 4 órában)</t>
  </si>
  <si>
    <t>mentor vezető (részm. napi 4 órában)</t>
  </si>
  <si>
    <t>mentor (10 fő részm. napi 2 órában)</t>
  </si>
  <si>
    <t>Angol nyelvtanár (2 fő részm. napi 1 órában)</t>
  </si>
  <si>
    <t>Mentor  (4 fő részm. napi 1 órában)</t>
  </si>
  <si>
    <t xml:space="preserve">20 fő álláskereső közfoglalkoztatása </t>
  </si>
  <si>
    <t>Gyermeklánc Óvoda és Bölcsőde, Család- és Gyermekjóléti Központ  összesen:</t>
  </si>
  <si>
    <t>Működési célú tartalék - elektronikus közbeszerzés rendszerhasználati díja</t>
  </si>
  <si>
    <t>Céltartalék -elektr. közbesz. rendszer- haszn. díja</t>
  </si>
  <si>
    <t xml:space="preserve">16/2019.(I.24.) Kt. hat. alapján további 1 millió Ft-os keret a VP 6-7.2.1-7.4.1.3-17 kódszámú "Közétkeztetés fejlesztése" pályázat megvalósítása során felmerült plusz kiadásokhoz </t>
  </si>
  <si>
    <t>Elektronikus közbeszerzési eljárás során fizetendő rendszerhasználati díj (amennyiben a TOP-projektekben nem elszámolható ktg.)</t>
  </si>
  <si>
    <t>Imre Zoltán Művelődési Központ és Könyvtár kiadásai össz.:</t>
  </si>
  <si>
    <t>utak használata ellenében beszedett használati díj, pótdíj, elektr. útdíj</t>
  </si>
  <si>
    <t>Alaptevékenység maradványából képzett tartalék</t>
  </si>
  <si>
    <t>Vállalkozási tevékenység maradványából képzett tartalék</t>
  </si>
  <si>
    <t>Működési célú tartalék - EFOP-2-1-2-16-2018-00075 projekt tartaléka</t>
  </si>
  <si>
    <t>Önkormányzatok elszámolásai a központi költségvetéssel</t>
  </si>
  <si>
    <t>018010</t>
  </si>
  <si>
    <t>061040</t>
  </si>
  <si>
    <t>Telepszerű lakókörnyezetek felszámolását célzó programok</t>
  </si>
  <si>
    <t>Céltartalék -EFOP-2.1.2-16-2018-00075 pr. taraléka</t>
  </si>
  <si>
    <t>Alaptev. maradványból képzett tartalék</t>
  </si>
  <si>
    <t>Vállalk. maradv-ból képzett tartalék</t>
  </si>
  <si>
    <t>Céltartalék -Téli rezsi csökk. tartaléka</t>
  </si>
  <si>
    <t>24. Egészségügyi ellátás</t>
  </si>
  <si>
    <t>Európai Parlament tagjainak 2019. évi választása</t>
  </si>
  <si>
    <t>EFOP-1.4.2-16-2016-00020 "Együtt könnyebb" projekt - 1 fő többletfeladat ellátása</t>
  </si>
  <si>
    <t>Ve.</t>
  </si>
  <si>
    <t>2013. évi XXXVI.törvány a választási eljárásról</t>
  </si>
  <si>
    <t>47</t>
  </si>
  <si>
    <t>48</t>
  </si>
  <si>
    <t>EFOP-2.1.2-16-2018-00075  "Egy fedél alatt" c. pr. támogatása</t>
  </si>
  <si>
    <t>2019.évi és 2018. áthúzódó bérkompenzáció</t>
  </si>
  <si>
    <t>Szociális ágazati összevont pótlék</t>
  </si>
  <si>
    <t>Kulturális ágazati illetménypótlék</t>
  </si>
  <si>
    <t>Állami kv-ből megigényelt bérkiegyenlítő alap</t>
  </si>
  <si>
    <t xml:space="preserve">I.Szent István király szobor felállításának támogatása </t>
  </si>
  <si>
    <t xml:space="preserve">Európai Parlament tagjainak 2019. választására </t>
  </si>
  <si>
    <t>Hosszabb időtartamú közfoglalkoztatás (2019. március 1-től indult programok 2020.02.29-ig)</t>
  </si>
  <si>
    <t>Start-munka program - Téli közfoglalkoztatás (2019. március 1-től indult programok 2020.02.29-ig)</t>
  </si>
  <si>
    <t>48 fő álláskereső közfoglalkoztatása</t>
  </si>
  <si>
    <t>Szociális jellegű program programelem</t>
  </si>
  <si>
    <t>54/2019.(IV.25.) Kt. hat. Önk-i feladatellátást szolgáló fejlesztések támogatása pályázati önerő (Óvoda épület hőszigetelése)</t>
  </si>
  <si>
    <t>2019. márc. 1-től induló Start-munka program kisértékű tárgyi eszköz beszerzése</t>
  </si>
  <si>
    <t>EFOP-2.1.2-16-2018-00075  "Egy fedél alatt" c. projekt kiadásai</t>
  </si>
  <si>
    <t>3. melléklet jogcímei mindösszesen:</t>
  </si>
  <si>
    <t xml:space="preserve">I.12. </t>
  </si>
  <si>
    <t>Kiegyenlítő bérrendezési alap</t>
  </si>
  <si>
    <t xml:space="preserve">"Egy fedél alatt" c. projekt (EFOP-2.1.2-16-2018-00075) </t>
  </si>
  <si>
    <t>Tartalék (elszámolható)</t>
  </si>
  <si>
    <t>Környezetvédelmi alap (előző évek maradványa)</t>
  </si>
  <si>
    <t>Környezetvédelmi alap összesen:</t>
  </si>
  <si>
    <t>Céltartalék (működési) összesen:</t>
  </si>
  <si>
    <t>Elektronikus közbeszerzési eljárás során fizetendő rendszerhasználati díj összesen:</t>
  </si>
  <si>
    <t>2018. évi alaptevékenység maradványából tartalék képzés</t>
  </si>
  <si>
    <t>2018. évi maradványt terhelő kötelezettségek</t>
  </si>
  <si>
    <t>2018. évi vállalkozási tevékenység maradványából tartalék képzés</t>
  </si>
  <si>
    <t>54/2019.(IV.25) Kt. hat. Önk-i feladatellátást szolgáló fejlesztések támogatása pályázati önerő (Óvoda épület hőszigetelése)</t>
  </si>
  <si>
    <t>56/2019.(IV.25) Kt. hat. Főépítészi szerződés megkötése új Rendezési Terv készítéséhez</t>
  </si>
  <si>
    <t>58/2019.(IV.25) Kt. hat. Parkban lévő kutak vízjogi engedélyezési eljárása</t>
  </si>
  <si>
    <t>EFOP-2.1.2-16-2018-00075 "Egy fedél alatt" c. projekt tartaléka</t>
  </si>
  <si>
    <t>EFOP-2.1.2-16-2018-00075 "Egy fedél alatt" c. projekt tartaléka összesen:</t>
  </si>
  <si>
    <t>Téli rezsicsökkentési támogatás tartaléka (2018. évi maradvány)</t>
  </si>
  <si>
    <t>Téli rezsicsökkentési támogatás - 2019. évi felhasználás</t>
  </si>
  <si>
    <t>Téli rezsicsökkentési támogatás tartaléka összesen:</t>
  </si>
  <si>
    <r>
      <t xml:space="preserve">1. melléklet a 2/2019.(II.18.) önkormányzati rendelethez </t>
    </r>
    <r>
      <rPr>
        <vertAlign val="superscript"/>
        <sz val="10"/>
        <color indexed="30"/>
        <rFont val="Times New Roman"/>
        <family val="1"/>
      </rPr>
      <t>6</t>
    </r>
  </si>
  <si>
    <t>Módosította, a 7/2019.(V.27.) ör. 4.§, Hatályos:2019. május 28.</t>
  </si>
  <si>
    <t>Módosította, a 7/2019.(V.27.) ör. 4.§, Hatályos: 2019. május 28.</t>
  </si>
  <si>
    <r>
      <t>2. melléklet a  2/2019.(II.18.)) önkormányzati rendelethez</t>
    </r>
    <r>
      <rPr>
        <vertAlign val="superscript"/>
        <sz val="10"/>
        <color indexed="30"/>
        <rFont val="Times New Roman"/>
        <family val="1"/>
      </rPr>
      <t>7</t>
    </r>
  </si>
  <si>
    <r>
      <t>3. melléklet a  2/2019.(II.18.).) önkormányzati rendelethez</t>
    </r>
    <r>
      <rPr>
        <vertAlign val="superscript"/>
        <sz val="11"/>
        <color indexed="30"/>
        <rFont val="Times New Roman CE"/>
        <family val="0"/>
      </rPr>
      <t>8</t>
    </r>
  </si>
  <si>
    <r>
      <t>5. melléklet a  2/2019.(II.18.) önkormányzati rendelethez</t>
    </r>
    <r>
      <rPr>
        <vertAlign val="superscript"/>
        <sz val="11"/>
        <color indexed="30"/>
        <rFont val="Times New Roman"/>
        <family val="1"/>
      </rPr>
      <t>10</t>
    </r>
  </si>
  <si>
    <r>
      <t>4. melléklet a  2/2019.(II.18.) önkormányzati rendelethez</t>
    </r>
    <r>
      <rPr>
        <vertAlign val="superscript"/>
        <sz val="11"/>
        <color indexed="30"/>
        <rFont val="Times New Roman"/>
        <family val="1"/>
      </rPr>
      <t>9</t>
    </r>
  </si>
  <si>
    <r>
      <t>6. melléklet a  2/2019.(II.18.) önkormányzati rendelethez</t>
    </r>
    <r>
      <rPr>
        <vertAlign val="superscript"/>
        <sz val="10"/>
        <color indexed="30"/>
        <rFont val="Times New Roman"/>
        <family val="1"/>
      </rPr>
      <t>11</t>
    </r>
  </si>
  <si>
    <r>
      <t>7. melléklet a  2/2019.(II.18.) önkormányzati rendelethez</t>
    </r>
    <r>
      <rPr>
        <vertAlign val="superscript"/>
        <sz val="11"/>
        <color indexed="30"/>
        <rFont val="Times New Roman"/>
        <family val="1"/>
      </rPr>
      <t>12</t>
    </r>
  </si>
  <si>
    <r>
      <t>8. melléklet a  2/2019.(II.18.) önkormányzati rendelethez</t>
    </r>
    <r>
      <rPr>
        <vertAlign val="superscript"/>
        <sz val="11"/>
        <color indexed="30"/>
        <rFont val="Times New Roman CE"/>
        <family val="0"/>
      </rPr>
      <t>13</t>
    </r>
  </si>
  <si>
    <r>
      <t>9. melléklet a  2/2019.(II.18.) önkormányzati rendelethez</t>
    </r>
    <r>
      <rPr>
        <vertAlign val="superscript"/>
        <sz val="11"/>
        <color indexed="30"/>
        <rFont val="Times New Roman CE"/>
        <family val="0"/>
      </rPr>
      <t>14</t>
    </r>
  </si>
  <si>
    <r>
      <t>10. melléklet a  2/2019.(II.18.) önkormányzati rendelethez</t>
    </r>
    <r>
      <rPr>
        <vertAlign val="superscript"/>
        <sz val="11"/>
        <color indexed="30"/>
        <rFont val="Times New Roman CE"/>
        <family val="0"/>
      </rPr>
      <t>15</t>
    </r>
  </si>
  <si>
    <r>
      <t>11. melléklet a  2/2019.(II.18.) önkormányzati rendelethez</t>
    </r>
    <r>
      <rPr>
        <vertAlign val="superscript"/>
        <sz val="11"/>
        <color indexed="30"/>
        <rFont val="Times New Roman"/>
        <family val="1"/>
      </rPr>
      <t>17</t>
    </r>
  </si>
  <si>
    <r>
      <t>12. melléklet a  2/2019.(II.18.) önkormányzati rendelethez</t>
    </r>
    <r>
      <rPr>
        <vertAlign val="superscript"/>
        <sz val="11"/>
        <color indexed="30"/>
        <rFont val="Times New Roman CE"/>
        <family val="0"/>
      </rPr>
      <t>17</t>
    </r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</si>
</sst>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0.0"/>
    <numFmt numFmtId="168" formatCode="#,##0.0\ &quot;Ft&quot;"/>
    <numFmt numFmtId="169" formatCode="#,##0.0\ _F_t"/>
    <numFmt numFmtId="170" formatCode="#,##0\ _F_t"/>
    <numFmt numFmtId="171" formatCode="#,##0.0"/>
    <numFmt numFmtId="172" formatCode="yyyy/\ mmmm\ d\."/>
    <numFmt numFmtId="173" formatCode="mmm/yyyy"/>
    <numFmt numFmtId="174" formatCode="[$-40E]yyyy\.\ mmmm\ d\."/>
    <numFmt numFmtId="175" formatCode="&quot;H-&quot;0000"/>
    <numFmt numFmtId="176" formatCode="0.0000"/>
    <numFmt numFmtId="177" formatCode="#,##0.0000"/>
    <numFmt numFmtId="178" formatCode="#,##0.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.00\ [$CHF]"/>
    <numFmt numFmtId="183" formatCode="#,##0.00\ &quot;Ft&quot;"/>
    <numFmt numFmtId="184" formatCode="#,##0_ ;\-#,##0\ "/>
    <numFmt numFmtId="185" formatCode="_-* #,##0.000\ _F_t_-;\-* #,##0.000\ _F_t_-;_-* &quot;-&quot;??\ _F_t_-;_-@_-"/>
    <numFmt numFmtId="186" formatCode="_-* #,##0.0\ _F_t_-;\-* #,##0.0\ _F_t_-;_-* &quot;-&quot;??\ _F_t_-;_-@_-"/>
    <numFmt numFmtId="187" formatCode="_-* #,##0\ _F_t_-;\-* #,##0\ _F_t_-;_-* &quot;-&quot;??\ _F_t_-;_-@_-"/>
    <numFmt numFmtId="188" formatCode="[$€-2]\ #\ ##,000_);[Red]\([$€-2]\ #\ ##,000\)"/>
    <numFmt numFmtId="189" formatCode="#,##0\ [$CHF]"/>
    <numFmt numFmtId="190" formatCode="0.0000000%"/>
    <numFmt numFmtId="191" formatCode="0.000000%"/>
    <numFmt numFmtId="192" formatCode="[$¥€-2]\ #\ ##,000_);[Red]\([$€-2]\ #\ ##,000\)"/>
  </numFmts>
  <fonts count="11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9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40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color indexed="30"/>
      <name val="Times New Roman"/>
      <family val="1"/>
    </font>
    <font>
      <vertAlign val="superscript"/>
      <sz val="11"/>
      <color indexed="30"/>
      <name val="Times New Roman CE"/>
      <family val="0"/>
    </font>
    <font>
      <vertAlign val="superscript"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00B0F0"/>
      <name val="Times New Roman"/>
      <family val="1"/>
    </font>
    <font>
      <b/>
      <sz val="10"/>
      <color rgb="FF0070C0"/>
      <name val="Times New Roman"/>
      <family val="1"/>
    </font>
    <font>
      <sz val="11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00FF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 style="thick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medium"/>
      <right>
        <color indexed="63"/>
      </right>
      <top style="thick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6" fillId="19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2" applyNumberFormat="0" applyFill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1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0" fillId="21" borderId="7" applyNumberFormat="0" applyFont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104" fillId="28" borderId="0" applyNumberFormat="0" applyBorder="0" applyAlignment="0" applyProtection="0"/>
    <xf numFmtId="0" fontId="105" fillId="29" borderId="8" applyNumberFormat="0" applyAlignment="0" applyProtection="0"/>
    <xf numFmtId="0" fontId="1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0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30" borderId="0" applyNumberFormat="0" applyBorder="0" applyAlignment="0" applyProtection="0"/>
    <xf numFmtId="0" fontId="109" fillId="31" borderId="0" applyNumberFormat="0" applyBorder="0" applyAlignment="0" applyProtection="0"/>
    <xf numFmtId="0" fontId="110" fillId="29" borderId="1" applyNumberFormat="0" applyAlignment="0" applyProtection="0"/>
    <xf numFmtId="9" fontId="0" fillId="0" borderId="0" applyFont="0" applyFill="0" applyBorder="0" applyAlignment="0" applyProtection="0"/>
  </cellStyleXfs>
  <cellXfs count="13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4" fillId="0" borderId="22" xfId="61" applyNumberFormat="1" applyBorder="1" applyAlignment="1">
      <alignment vertical="center"/>
      <protection/>
    </xf>
    <xf numFmtId="3" fontId="14" fillId="0" borderId="0" xfId="61" applyNumberFormat="1">
      <alignment/>
      <protection/>
    </xf>
    <xf numFmtId="0" fontId="14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4" fillId="0" borderId="0" xfId="61" applyNumberFormat="1">
      <alignment/>
      <protection/>
    </xf>
    <xf numFmtId="0" fontId="29" fillId="0" borderId="0" xfId="0" applyFont="1" applyFill="1" applyAlignment="1">
      <alignment vertical="center"/>
    </xf>
    <xf numFmtId="0" fontId="17" fillId="0" borderId="0" xfId="57" applyFont="1">
      <alignment/>
      <protection/>
    </xf>
    <xf numFmtId="0" fontId="16" fillId="0" borderId="0" xfId="57" applyFont="1" applyAlignment="1">
      <alignment vertical="center"/>
      <protection/>
    </xf>
    <xf numFmtId="0" fontId="18" fillId="0" borderId="22" xfId="57" applyFont="1" applyBorder="1" applyAlignment="1">
      <alignment horizontal="center" vertical="center" wrapText="1"/>
      <protection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>
      <alignment/>
      <protection/>
    </xf>
    <xf numFmtId="0" fontId="19" fillId="0" borderId="22" xfId="57" applyFont="1" applyBorder="1">
      <alignment/>
      <protection/>
    </xf>
    <xf numFmtId="0" fontId="19" fillId="0" borderId="0" xfId="57" applyFont="1">
      <alignment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3" fillId="0" borderId="22" xfId="57" applyFont="1" applyBorder="1">
      <alignment/>
      <protection/>
    </xf>
    <xf numFmtId="0" fontId="25" fillId="0" borderId="0" xfId="57" applyFont="1">
      <alignment/>
      <protection/>
    </xf>
    <xf numFmtId="0" fontId="19" fillId="0" borderId="0" xfId="57" applyFont="1" applyBorder="1">
      <alignment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23" fillId="0" borderId="22" xfId="57" applyFont="1" applyBorder="1" applyAlignment="1">
      <alignment horizontal="left" vertical="center" indent="2"/>
      <protection/>
    </xf>
    <xf numFmtId="16" fontId="23" fillId="0" borderId="22" xfId="57" applyNumberFormat="1" applyFont="1" applyBorder="1" applyAlignment="1">
      <alignment horizontal="left" vertical="center" indent="2"/>
      <protection/>
    </xf>
    <xf numFmtId="0" fontId="23" fillId="0" borderId="22" xfId="57" applyFont="1" applyBorder="1" applyAlignment="1">
      <alignment horizontal="left" indent="2"/>
      <protection/>
    </xf>
    <xf numFmtId="3" fontId="20" fillId="0" borderId="22" xfId="42" applyNumberFormat="1" applyFont="1" applyBorder="1" applyAlignment="1">
      <alignment horizontal="right"/>
    </xf>
    <xf numFmtId="3" fontId="19" fillId="0" borderId="22" xfId="42" applyNumberFormat="1" applyFont="1" applyBorder="1" applyAlignment="1">
      <alignment horizontal="right"/>
    </xf>
    <xf numFmtId="3" fontId="23" fillId="0" borderId="22" xfId="42" applyNumberFormat="1" applyFont="1" applyBorder="1" applyAlignment="1">
      <alignment horizontal="right"/>
    </xf>
    <xf numFmtId="0" fontId="30" fillId="0" borderId="22" xfId="57" applyFont="1" applyBorder="1" applyAlignment="1">
      <alignment horizontal="left" vertical="center" wrapText="1"/>
      <protection/>
    </xf>
    <xf numFmtId="0" fontId="30" fillId="0" borderId="0" xfId="57" applyFont="1" applyAlignment="1">
      <alignment horizontal="center" vertical="center" wrapText="1"/>
      <protection/>
    </xf>
    <xf numFmtId="3" fontId="30" fillId="0" borderId="22" xfId="42" applyNumberFormat="1" applyFont="1" applyBorder="1" applyAlignment="1">
      <alignment horizontal="right"/>
    </xf>
    <xf numFmtId="0" fontId="30" fillId="0" borderId="22" xfId="57" applyFont="1" applyBorder="1">
      <alignment/>
      <protection/>
    </xf>
    <xf numFmtId="0" fontId="31" fillId="0" borderId="0" xfId="57" applyFont="1">
      <alignment/>
      <protection/>
    </xf>
    <xf numFmtId="0" fontId="32" fillId="0" borderId="22" xfId="57" applyFont="1" applyBorder="1" applyAlignment="1">
      <alignment horizontal="right"/>
      <protection/>
    </xf>
    <xf numFmtId="0" fontId="33" fillId="0" borderId="0" xfId="57" applyFont="1">
      <alignment/>
      <protection/>
    </xf>
    <xf numFmtId="0" fontId="34" fillId="0" borderId="22" xfId="57" applyFont="1" applyBorder="1" applyAlignment="1">
      <alignment vertical="center"/>
      <protection/>
    </xf>
    <xf numFmtId="3" fontId="34" fillId="0" borderId="22" xfId="42" applyNumberFormat="1" applyFont="1" applyBorder="1" applyAlignment="1">
      <alignment horizontal="right"/>
    </xf>
    <xf numFmtId="0" fontId="34" fillId="0" borderId="22" xfId="57" applyFont="1" applyBorder="1">
      <alignment/>
      <protection/>
    </xf>
    <xf numFmtId="0" fontId="34" fillId="0" borderId="0" xfId="57" applyFont="1">
      <alignment/>
      <protection/>
    </xf>
    <xf numFmtId="0" fontId="34" fillId="0" borderId="22" xfId="57" applyFont="1" applyBorder="1" applyAlignment="1">
      <alignment vertical="center" wrapText="1"/>
      <protection/>
    </xf>
    <xf numFmtId="0" fontId="34" fillId="0" borderId="22" xfId="57" applyFont="1" applyBorder="1" applyAlignment="1">
      <alignment horizontal="left" vertical="center"/>
      <protection/>
    </xf>
    <xf numFmtId="0" fontId="35" fillId="0" borderId="0" xfId="57" applyFont="1">
      <alignment/>
      <protection/>
    </xf>
    <xf numFmtId="0" fontId="34" fillId="0" borderId="22" xfId="57" applyFont="1" applyBorder="1" applyAlignment="1">
      <alignment horizontal="left" vertical="center" wrapText="1"/>
      <protection/>
    </xf>
    <xf numFmtId="0" fontId="36" fillId="0" borderId="0" xfId="57" applyFont="1">
      <alignment/>
      <protection/>
    </xf>
    <xf numFmtId="0" fontId="20" fillId="0" borderId="22" xfId="57" applyFont="1" applyBorder="1" applyAlignment="1">
      <alignment horizontal="left" vertical="center" indent="1"/>
      <protection/>
    </xf>
    <xf numFmtId="0" fontId="20" fillId="0" borderId="22" xfId="57" applyFont="1" applyBorder="1" applyAlignment="1">
      <alignment horizontal="left" indent="1"/>
      <protection/>
    </xf>
    <xf numFmtId="3" fontId="37" fillId="0" borderId="22" xfId="57" applyNumberFormat="1" applyFont="1" applyBorder="1" applyAlignment="1">
      <alignment horizontal="right" vertical="center"/>
      <protection/>
    </xf>
    <xf numFmtId="0" fontId="30" fillId="0" borderId="22" xfId="57" applyFont="1" applyBorder="1" applyAlignment="1">
      <alignment vertical="top"/>
      <protection/>
    </xf>
    <xf numFmtId="3" fontId="37" fillId="0" borderId="22" xfId="42" applyNumberFormat="1" applyFont="1" applyBorder="1" applyAlignment="1">
      <alignment horizontal="right"/>
    </xf>
    <xf numFmtId="0" fontId="20" fillId="0" borderId="22" xfId="57" applyFont="1" applyBorder="1" applyAlignment="1">
      <alignment horizontal="left" vertical="top" indent="1"/>
      <protection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1" fillId="0" borderId="22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22" fillId="0" borderId="22" xfId="0" applyFont="1" applyBorder="1" applyAlignment="1">
      <alignment horizontal="center"/>
    </xf>
    <xf numFmtId="0" fontId="22" fillId="32" borderId="22" xfId="0" applyFont="1" applyFill="1" applyBorder="1" applyAlignment="1">
      <alignment/>
    </xf>
    <xf numFmtId="0" fontId="27" fillId="0" borderId="22" xfId="0" applyFont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/>
    </xf>
    <xf numFmtId="0" fontId="14" fillId="0" borderId="22" xfId="61" applyFont="1" applyBorder="1">
      <alignment/>
      <protection/>
    </xf>
    <xf numFmtId="0" fontId="14" fillId="0" borderId="14" xfId="61" applyFont="1" applyBorder="1">
      <alignment/>
      <protection/>
    </xf>
    <xf numFmtId="49" fontId="22" fillId="0" borderId="22" xfId="61" applyNumberFormat="1" applyFont="1" applyBorder="1" applyAlignment="1">
      <alignment vertical="center"/>
      <protection/>
    </xf>
    <xf numFmtId="0" fontId="22" fillId="0" borderId="22" xfId="61" applyFont="1" applyBorder="1">
      <alignment/>
      <protection/>
    </xf>
    <xf numFmtId="0" fontId="22" fillId="0" borderId="14" xfId="61" applyFont="1" applyBorder="1" applyAlignment="1">
      <alignment wrapText="1"/>
      <protection/>
    </xf>
    <xf numFmtId="3" fontId="22" fillId="0" borderId="0" xfId="61" applyNumberFormat="1" applyFont="1">
      <alignment/>
      <protection/>
    </xf>
    <xf numFmtId="0" fontId="22" fillId="0" borderId="0" xfId="61" applyFont="1">
      <alignment/>
      <protection/>
    </xf>
    <xf numFmtId="0" fontId="22" fillId="0" borderId="14" xfId="61" applyFont="1" applyBorder="1">
      <alignment/>
      <protection/>
    </xf>
    <xf numFmtId="3" fontId="22" fillId="0" borderId="0" xfId="61" applyNumberFormat="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49" fontId="22" fillId="0" borderId="22" xfId="61" applyNumberFormat="1" applyFont="1" applyBorder="1" applyAlignment="1">
      <alignment horizontal="center" vertical="center"/>
      <protection/>
    </xf>
    <xf numFmtId="49" fontId="22" fillId="33" borderId="22" xfId="61" applyNumberFormat="1" applyFont="1" applyFill="1" applyBorder="1" applyAlignment="1">
      <alignment horizontal="center" vertical="center"/>
      <protection/>
    </xf>
    <xf numFmtId="0" fontId="22" fillId="33" borderId="22" xfId="61" applyFont="1" applyFill="1" applyBorder="1" applyAlignment="1">
      <alignment vertical="center"/>
      <protection/>
    </xf>
    <xf numFmtId="0" fontId="22" fillId="33" borderId="14" xfId="61" applyFont="1" applyFill="1" applyBorder="1" applyAlignment="1">
      <alignment vertical="center" wrapText="1"/>
      <protection/>
    </xf>
    <xf numFmtId="3" fontId="22" fillId="33" borderId="21" xfId="61" applyNumberFormat="1" applyFont="1" applyFill="1" applyBorder="1" applyAlignment="1">
      <alignment vertical="center"/>
      <protection/>
    </xf>
    <xf numFmtId="3" fontId="22" fillId="33" borderId="22" xfId="61" applyNumberFormat="1" applyFont="1" applyFill="1" applyBorder="1" applyAlignment="1">
      <alignment vertical="center"/>
      <protection/>
    </xf>
    <xf numFmtId="3" fontId="22" fillId="33" borderId="23" xfId="61" applyNumberFormat="1" applyFont="1" applyFill="1" applyBorder="1" applyAlignment="1">
      <alignment vertical="center"/>
      <protection/>
    </xf>
    <xf numFmtId="3" fontId="22" fillId="33" borderId="17" xfId="61" applyNumberFormat="1" applyFont="1" applyFill="1" applyBorder="1" applyAlignment="1">
      <alignment vertical="center"/>
      <protection/>
    </xf>
    <xf numFmtId="0" fontId="14" fillId="33" borderId="22" xfId="61" applyFill="1" applyBorder="1">
      <alignment/>
      <protection/>
    </xf>
    <xf numFmtId="0" fontId="22" fillId="33" borderId="22" xfId="61" applyFont="1" applyFill="1" applyBorder="1">
      <alignment/>
      <protection/>
    </xf>
    <xf numFmtId="3" fontId="18" fillId="0" borderId="22" xfId="57" applyNumberFormat="1" applyFont="1" applyBorder="1" applyAlignment="1">
      <alignment vertical="center"/>
      <protection/>
    </xf>
    <xf numFmtId="0" fontId="22" fillId="32" borderId="2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22" fillId="0" borderId="21" xfId="0" applyFont="1" applyBorder="1" applyAlignment="1">
      <alignment horizontal="center"/>
    </xf>
    <xf numFmtId="0" fontId="27" fillId="0" borderId="21" xfId="0" applyFont="1" applyBorder="1" applyAlignment="1">
      <alignment wrapText="1"/>
    </xf>
    <xf numFmtId="0" fontId="22" fillId="32" borderId="21" xfId="0" applyFont="1" applyFill="1" applyBorder="1" applyAlignment="1">
      <alignment vertical="center" wrapText="1"/>
    </xf>
    <xf numFmtId="49" fontId="27" fillId="0" borderId="21" xfId="0" applyNumberFormat="1" applyFont="1" applyBorder="1" applyAlignment="1">
      <alignment/>
    </xf>
    <xf numFmtId="49" fontId="27" fillId="0" borderId="21" xfId="0" applyNumberFormat="1" applyFont="1" applyBorder="1" applyAlignment="1">
      <alignment wrapText="1"/>
    </xf>
    <xf numFmtId="0" fontId="22" fillId="0" borderId="21" xfId="0" applyFont="1" applyFill="1" applyBorder="1" applyAlignment="1">
      <alignment/>
    </xf>
    <xf numFmtId="49" fontId="28" fillId="0" borderId="21" xfId="0" applyNumberFormat="1" applyFont="1" applyBorder="1" applyAlignment="1">
      <alignment/>
    </xf>
    <xf numFmtId="0" fontId="22" fillId="5" borderId="21" xfId="0" applyFont="1" applyFill="1" applyBorder="1" applyAlignment="1">
      <alignment wrapText="1"/>
    </xf>
    <xf numFmtId="0" fontId="38" fillId="0" borderId="30" xfId="61" applyFont="1" applyBorder="1" applyAlignment="1">
      <alignment horizontal="center" vertical="center" wrapText="1"/>
      <protection/>
    </xf>
    <xf numFmtId="3" fontId="22" fillId="33" borderId="31" xfId="61" applyNumberFormat="1" applyFont="1" applyFill="1" applyBorder="1" applyAlignment="1">
      <alignment vertical="center"/>
      <protection/>
    </xf>
    <xf numFmtId="3" fontId="111" fillId="0" borderId="0" xfId="61" applyNumberFormat="1" applyFont="1">
      <alignment/>
      <protection/>
    </xf>
    <xf numFmtId="3" fontId="111" fillId="0" borderId="0" xfId="61" applyNumberFormat="1" applyFont="1" applyAlignment="1">
      <alignment vertical="center"/>
      <protection/>
    </xf>
    <xf numFmtId="0" fontId="41" fillId="0" borderId="0" xfId="0" applyFont="1" applyAlignment="1">
      <alignment/>
    </xf>
    <xf numFmtId="0" fontId="27" fillId="0" borderId="22" xfId="0" applyFont="1" applyFill="1" applyBorder="1" applyAlignment="1">
      <alignment/>
    </xf>
    <xf numFmtId="0" fontId="14" fillId="0" borderId="14" xfId="61" applyFont="1" applyBorder="1" applyAlignment="1">
      <alignment wrapText="1"/>
      <protection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32" borderId="21" xfId="0" applyFont="1" applyFill="1" applyBorder="1" applyAlignment="1">
      <alignment vertical="center"/>
    </xf>
    <xf numFmtId="49" fontId="14" fillId="34" borderId="21" xfId="0" applyNumberFormat="1" applyFont="1" applyFill="1" applyBorder="1" applyAlignment="1">
      <alignment vertical="center" wrapText="1"/>
    </xf>
    <xf numFmtId="0" fontId="14" fillId="34" borderId="22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27" fillId="0" borderId="0" xfId="0" applyFont="1" applyFill="1" applyAlignment="1">
      <alignment/>
    </xf>
    <xf numFmtId="49" fontId="27" fillId="0" borderId="21" xfId="0" applyNumberFormat="1" applyFont="1" applyBorder="1" applyAlignment="1">
      <alignment/>
    </xf>
    <xf numFmtId="0" fontId="22" fillId="0" borderId="0" xfId="0" applyFont="1" applyFill="1" applyAlignment="1">
      <alignment vertical="center"/>
    </xf>
    <xf numFmtId="3" fontId="14" fillId="0" borderId="0" xfId="61" applyNumberFormat="1" applyFont="1">
      <alignment/>
      <protection/>
    </xf>
    <xf numFmtId="0" fontId="14" fillId="0" borderId="0" xfId="61" applyAlignment="1">
      <alignment/>
      <protection/>
    </xf>
    <xf numFmtId="166" fontId="17" fillId="0" borderId="22" xfId="0" applyNumberFormat="1" applyFont="1" applyBorder="1" applyAlignment="1">
      <alignment vertical="center"/>
    </xf>
    <xf numFmtId="166" fontId="18" fillId="0" borderId="22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2" fillId="0" borderId="22" xfId="58" applyFont="1" applyBorder="1">
      <alignment/>
      <protection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3" fontId="42" fillId="0" borderId="22" xfId="58" applyNumberFormat="1" applyFont="1" applyBorder="1">
      <alignment/>
      <protection/>
    </xf>
    <xf numFmtId="3" fontId="20" fillId="0" borderId="22" xfId="58" applyNumberFormat="1" applyFont="1" applyBorder="1">
      <alignment/>
      <protection/>
    </xf>
    <xf numFmtId="0" fontId="19" fillId="0" borderId="0" xfId="0" applyFont="1" applyAlignment="1">
      <alignment/>
    </xf>
    <xf numFmtId="0" fontId="43" fillId="0" borderId="22" xfId="58" applyFont="1" applyBorder="1">
      <alignment/>
      <protection/>
    </xf>
    <xf numFmtId="3" fontId="43" fillId="0" borderId="22" xfId="58" applyNumberFormat="1" applyFont="1" applyBorder="1">
      <alignment/>
      <protection/>
    </xf>
    <xf numFmtId="0" fontId="44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42" fillId="0" borderId="0" xfId="58" applyFont="1" applyFill="1" applyAlignment="1">
      <alignment horizontal="center" vertical="center"/>
      <protection/>
    </xf>
    <xf numFmtId="0" fontId="19" fillId="0" borderId="0" xfId="58" applyFont="1" applyFill="1" applyAlignment="1">
      <alignment vertical="center"/>
      <protection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22" xfId="58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20" fillId="0" borderId="22" xfId="58" applyFont="1" applyBorder="1">
      <alignment/>
      <protection/>
    </xf>
    <xf numFmtId="3" fontId="47" fillId="0" borderId="22" xfId="58" applyNumberFormat="1" applyFont="1" applyBorder="1">
      <alignment/>
      <protection/>
    </xf>
    <xf numFmtId="0" fontId="48" fillId="0" borderId="22" xfId="58" applyFont="1" applyBorder="1">
      <alignment/>
      <protection/>
    </xf>
    <xf numFmtId="0" fontId="48" fillId="0" borderId="22" xfId="58" applyFont="1" applyBorder="1" applyAlignment="1">
      <alignment horizontal="left"/>
      <protection/>
    </xf>
    <xf numFmtId="3" fontId="48" fillId="0" borderId="22" xfId="58" applyNumberFormat="1" applyFont="1" applyBorder="1">
      <alignment/>
      <protection/>
    </xf>
    <xf numFmtId="0" fontId="19" fillId="0" borderId="22" xfId="58" applyFont="1" applyBorder="1">
      <alignment/>
      <protection/>
    </xf>
    <xf numFmtId="0" fontId="48" fillId="0" borderId="22" xfId="58" applyFont="1" applyBorder="1" applyAlignment="1">
      <alignment horizontal="right"/>
      <protection/>
    </xf>
    <xf numFmtId="0" fontId="48" fillId="0" borderId="14" xfId="58" applyFont="1" applyBorder="1" applyAlignment="1">
      <alignment horizontal="left"/>
      <protection/>
    </xf>
    <xf numFmtId="0" fontId="48" fillId="0" borderId="17" xfId="58" applyFont="1" applyBorder="1" applyAlignment="1">
      <alignment horizontal="left"/>
      <protection/>
    </xf>
    <xf numFmtId="0" fontId="19" fillId="0" borderId="14" xfId="58" applyFont="1" applyBorder="1">
      <alignment/>
      <protection/>
    </xf>
    <xf numFmtId="0" fontId="19" fillId="0" borderId="0" xfId="58" applyFont="1">
      <alignment/>
      <protection/>
    </xf>
    <xf numFmtId="3" fontId="20" fillId="0" borderId="14" xfId="58" applyNumberFormat="1" applyFont="1" applyBorder="1">
      <alignment/>
      <protection/>
    </xf>
    <xf numFmtId="3" fontId="19" fillId="0" borderId="16" xfId="58" applyNumberFormat="1" applyFont="1" applyBorder="1">
      <alignment/>
      <protection/>
    </xf>
    <xf numFmtId="3" fontId="20" fillId="0" borderId="17" xfId="58" applyNumberFormat="1" applyFont="1" applyBorder="1">
      <alignment/>
      <protection/>
    </xf>
    <xf numFmtId="3" fontId="16" fillId="0" borderId="22" xfId="58" applyNumberFormat="1" applyFont="1" applyBorder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/>
    </xf>
    <xf numFmtId="3" fontId="49" fillId="0" borderId="22" xfId="0" applyNumberFormat="1" applyFont="1" applyBorder="1" applyAlignment="1">
      <alignment/>
    </xf>
    <xf numFmtId="0" fontId="50" fillId="0" borderId="0" xfId="0" applyFont="1" applyAlignment="1">
      <alignment/>
    </xf>
    <xf numFmtId="0" fontId="42" fillId="0" borderId="22" xfId="0" applyFont="1" applyBorder="1" applyAlignment="1">
      <alignment/>
    </xf>
    <xf numFmtId="3" fontId="42" fillId="0" borderId="22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43" fillId="0" borderId="22" xfId="0" applyFont="1" applyBorder="1" applyAlignment="1">
      <alignment/>
    </xf>
    <xf numFmtId="3" fontId="43" fillId="0" borderId="22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0" fontId="51" fillId="0" borderId="22" xfId="0" applyFont="1" applyBorder="1" applyAlignment="1">
      <alignment/>
    </xf>
    <xf numFmtId="0" fontId="19" fillId="0" borderId="2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2" xfId="0" applyFont="1" applyBorder="1" applyAlignment="1">
      <alignment horizontal="left"/>
    </xf>
    <xf numFmtId="3" fontId="48" fillId="0" borderId="22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0" fontId="48" fillId="0" borderId="22" xfId="0" applyFont="1" applyFill="1" applyBorder="1" applyAlignment="1">
      <alignment/>
    </xf>
    <xf numFmtId="0" fontId="48" fillId="0" borderId="22" xfId="0" applyFont="1" applyFill="1" applyBorder="1" applyAlignment="1">
      <alignment horizontal="left"/>
    </xf>
    <xf numFmtId="0" fontId="23" fillId="0" borderId="22" xfId="0" applyFont="1" applyBorder="1" applyAlignment="1">
      <alignment/>
    </xf>
    <xf numFmtId="0" fontId="48" fillId="0" borderId="22" xfId="0" applyFont="1" applyBorder="1" applyAlignment="1">
      <alignment horizontal="left" vertical="center" wrapText="1"/>
    </xf>
    <xf numFmtId="3" fontId="48" fillId="35" borderId="22" xfId="0" applyNumberFormat="1" applyFont="1" applyFill="1" applyBorder="1" applyAlignment="1">
      <alignment/>
    </xf>
    <xf numFmtId="0" fontId="48" fillId="0" borderId="22" xfId="0" applyFont="1" applyBorder="1" applyAlignment="1">
      <alignment horizontal="left" vertical="top"/>
    </xf>
    <xf numFmtId="0" fontId="48" fillId="0" borderId="22" xfId="0" applyFont="1" applyBorder="1" applyAlignment="1">
      <alignment horizontal="left" wrapText="1"/>
    </xf>
    <xf numFmtId="3" fontId="48" fillId="0" borderId="32" xfId="0" applyNumberFormat="1" applyFont="1" applyFill="1" applyBorder="1" applyAlignment="1">
      <alignment/>
    </xf>
    <xf numFmtId="0" fontId="53" fillId="0" borderId="22" xfId="0" applyFont="1" applyBorder="1" applyAlignment="1">
      <alignment/>
    </xf>
    <xf numFmtId="3" fontId="53" fillId="0" borderId="22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 horizontal="right"/>
    </xf>
    <xf numFmtId="3" fontId="55" fillId="0" borderId="22" xfId="0" applyNumberFormat="1" applyFont="1" applyBorder="1" applyAlignment="1">
      <alignment/>
    </xf>
    <xf numFmtId="3" fontId="56" fillId="0" borderId="22" xfId="0" applyNumberFormat="1" applyFont="1" applyBorder="1" applyAlignment="1">
      <alignment/>
    </xf>
    <xf numFmtId="0" fontId="23" fillId="0" borderId="0" xfId="0" applyFont="1" applyAlignment="1">
      <alignment/>
    </xf>
    <xf numFmtId="3" fontId="20" fillId="0" borderId="22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0" fontId="15" fillId="0" borderId="0" xfId="0" applyFont="1" applyAlignment="1">
      <alignment/>
    </xf>
    <xf numFmtId="0" fontId="57" fillId="0" borderId="22" xfId="58" applyFont="1" applyBorder="1" applyAlignment="1">
      <alignment horizontal="left"/>
      <protection/>
    </xf>
    <xf numFmtId="49" fontId="42" fillId="0" borderId="0" xfId="60" applyNumberFormat="1" applyFont="1" applyFill="1" applyAlignment="1">
      <alignment horizontal="center" vertical="center"/>
      <protection/>
    </xf>
    <xf numFmtId="0" fontId="42" fillId="0" borderId="0" xfId="60" applyFont="1" applyFill="1" applyAlignment="1">
      <alignment vertical="center"/>
      <protection/>
    </xf>
    <xf numFmtId="0" fontId="58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60" applyFont="1" applyAlignment="1">
      <alignment horizontal="left"/>
      <protection/>
    </xf>
    <xf numFmtId="0" fontId="20" fillId="0" borderId="0" xfId="60" applyFont="1" applyFill="1" applyAlignment="1">
      <alignment vertical="center"/>
      <protection/>
    </xf>
    <xf numFmtId="0" fontId="20" fillId="0" borderId="0" xfId="60" applyFont="1" applyFill="1" applyAlignment="1">
      <alignment horizontal="left" vertical="center"/>
      <protection/>
    </xf>
    <xf numFmtId="0" fontId="43" fillId="0" borderId="33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 wrapText="1"/>
      <protection/>
    </xf>
    <xf numFmtId="0" fontId="21" fillId="0" borderId="18" xfId="60" applyFont="1" applyFill="1" applyBorder="1" applyAlignment="1">
      <alignment horizontal="center" vertical="center" wrapText="1"/>
      <protection/>
    </xf>
    <xf numFmtId="0" fontId="21" fillId="0" borderId="34" xfId="60" applyFont="1" applyFill="1" applyBorder="1" applyAlignment="1">
      <alignment horizontal="center" vertical="center" wrapText="1"/>
      <protection/>
    </xf>
    <xf numFmtId="0" fontId="21" fillId="0" borderId="20" xfId="60" applyFont="1" applyFill="1" applyBorder="1" applyAlignment="1">
      <alignment horizontal="center" vertical="center" wrapText="1"/>
      <protection/>
    </xf>
    <xf numFmtId="49" fontId="42" fillId="0" borderId="35" xfId="60" applyNumberFormat="1" applyFont="1" applyFill="1" applyBorder="1" applyAlignment="1">
      <alignment horizontal="center" vertical="center"/>
      <protection/>
    </xf>
    <xf numFmtId="0" fontId="21" fillId="0" borderId="36" xfId="60" applyFont="1" applyFill="1" applyBorder="1" applyAlignment="1">
      <alignment vertical="center" wrapText="1"/>
      <protection/>
    </xf>
    <xf numFmtId="3" fontId="43" fillId="0" borderId="10" xfId="60" applyNumberFormat="1" applyFont="1" applyFill="1" applyBorder="1" applyAlignment="1">
      <alignment vertical="center" wrapText="1"/>
      <protection/>
    </xf>
    <xf numFmtId="3" fontId="43" fillId="0" borderId="37" xfId="60" applyNumberFormat="1" applyFont="1" applyFill="1" applyBorder="1" applyAlignment="1">
      <alignment vertical="center" wrapText="1"/>
      <protection/>
    </xf>
    <xf numFmtId="3" fontId="43" fillId="0" borderId="38" xfId="60" applyNumberFormat="1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 wrapText="1"/>
      <protection/>
    </xf>
    <xf numFmtId="3" fontId="43" fillId="0" borderId="39" xfId="60" applyNumberFormat="1" applyFont="1" applyFill="1" applyBorder="1" applyAlignment="1">
      <alignment vertical="center" wrapText="1"/>
      <protection/>
    </xf>
    <xf numFmtId="3" fontId="42" fillId="0" borderId="39" xfId="60" applyNumberFormat="1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vertical="center"/>
      <protection/>
    </xf>
    <xf numFmtId="3" fontId="21" fillId="0" borderId="31" xfId="60" applyNumberFormat="1" applyFont="1" applyFill="1" applyBorder="1" applyAlignment="1">
      <alignment vertical="center"/>
      <protection/>
    </xf>
    <xf numFmtId="49" fontId="42" fillId="0" borderId="37" xfId="60" applyNumberFormat="1" applyFont="1" applyFill="1" applyBorder="1" applyAlignment="1">
      <alignment horizontal="center" vertical="center"/>
      <protection/>
    </xf>
    <xf numFmtId="3" fontId="43" fillId="0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vertical="center" wrapText="1"/>
      <protection/>
    </xf>
    <xf numFmtId="3" fontId="59" fillId="0" borderId="23" xfId="60" applyNumberFormat="1" applyFont="1" applyFill="1" applyBorder="1" applyAlignment="1">
      <alignment vertical="center"/>
      <protection/>
    </xf>
    <xf numFmtId="49" fontId="42" fillId="0" borderId="21" xfId="60" applyNumberFormat="1" applyFont="1" applyFill="1" applyBorder="1" applyAlignment="1">
      <alignment horizontal="center" vertical="center"/>
      <protection/>
    </xf>
    <xf numFmtId="3" fontId="43" fillId="0" borderId="21" xfId="60" applyNumberFormat="1" applyFont="1" applyFill="1" applyBorder="1" applyAlignment="1">
      <alignment vertical="center" wrapText="1"/>
      <protection/>
    </xf>
    <xf numFmtId="3" fontId="43" fillId="0" borderId="22" xfId="60" applyNumberFormat="1" applyFont="1" applyFill="1" applyBorder="1" applyAlignment="1">
      <alignment vertical="center" wrapText="1"/>
      <protection/>
    </xf>
    <xf numFmtId="3" fontId="43" fillId="0" borderId="17" xfId="60" applyNumberFormat="1" applyFont="1" applyFill="1" applyBorder="1" applyAlignment="1">
      <alignment vertical="center" wrapText="1"/>
      <protection/>
    </xf>
    <xf numFmtId="3" fontId="42" fillId="0" borderId="17" xfId="60" applyNumberFormat="1" applyFont="1" applyFill="1" applyBorder="1" applyAlignment="1">
      <alignment vertical="center"/>
      <protection/>
    </xf>
    <xf numFmtId="3" fontId="42" fillId="0" borderId="22" xfId="60" applyNumberFormat="1" applyFont="1" applyFill="1" applyBorder="1" applyAlignment="1">
      <alignment vertical="center"/>
      <protection/>
    </xf>
    <xf numFmtId="0" fontId="21" fillId="0" borderId="15" xfId="60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horizontal="right" vertical="center" wrapText="1"/>
      <protection/>
    </xf>
    <xf numFmtId="3" fontId="43" fillId="0" borderId="23" xfId="60" applyNumberFormat="1" applyFont="1" applyFill="1" applyBorder="1" applyAlignment="1">
      <alignment horizontal="left" vertical="center" wrapText="1"/>
      <protection/>
    </xf>
    <xf numFmtId="3" fontId="43" fillId="0" borderId="21" xfId="60" applyNumberFormat="1" applyFont="1" applyFill="1" applyBorder="1" applyAlignment="1">
      <alignment vertical="center"/>
      <protection/>
    </xf>
    <xf numFmtId="3" fontId="43" fillId="0" borderId="22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vertical="center"/>
      <protection/>
    </xf>
    <xf numFmtId="3" fontId="43" fillId="35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horizontal="left" vertical="center" wrapText="1"/>
      <protection/>
    </xf>
    <xf numFmtId="3" fontId="59" fillId="0" borderId="22" xfId="60" applyNumberFormat="1" applyFont="1" applyFill="1" applyBorder="1" applyAlignment="1">
      <alignment vertical="center"/>
      <protection/>
    </xf>
    <xf numFmtId="3" fontId="57" fillId="0" borderId="17" xfId="60" applyNumberFormat="1" applyFont="1" applyFill="1" applyBorder="1" applyAlignment="1">
      <alignment vertical="center"/>
      <protection/>
    </xf>
    <xf numFmtId="3" fontId="59" fillId="0" borderId="17" xfId="60" applyNumberFormat="1" applyFont="1" applyFill="1" applyBorder="1" applyAlignment="1">
      <alignment vertical="center"/>
      <protection/>
    </xf>
    <xf numFmtId="3" fontId="53" fillId="0" borderId="34" xfId="60" applyNumberFormat="1" applyFont="1" applyFill="1" applyBorder="1" applyAlignment="1">
      <alignment vertical="center"/>
      <protection/>
    </xf>
    <xf numFmtId="3" fontId="43" fillId="0" borderId="35" xfId="60" applyNumberFormat="1" applyFont="1" applyFill="1" applyBorder="1" applyAlignment="1">
      <alignment vertical="center" wrapText="1"/>
      <protection/>
    </xf>
    <xf numFmtId="3" fontId="43" fillId="0" borderId="36" xfId="60" applyNumberFormat="1" applyFont="1" applyFill="1" applyBorder="1" applyAlignment="1">
      <alignment vertical="center" wrapText="1"/>
      <protection/>
    </xf>
    <xf numFmtId="0" fontId="21" fillId="0" borderId="22" xfId="60" applyFont="1" applyFill="1" applyBorder="1" applyAlignment="1">
      <alignment vertical="center" wrapText="1"/>
      <protection/>
    </xf>
    <xf numFmtId="3" fontId="43" fillId="0" borderId="11" xfId="60" applyNumberFormat="1" applyFont="1" applyFill="1" applyBorder="1" applyAlignment="1">
      <alignment vertical="center" wrapText="1"/>
      <protection/>
    </xf>
    <xf numFmtId="3" fontId="24" fillId="0" borderId="41" xfId="60" applyNumberFormat="1" applyFont="1" applyFill="1" applyBorder="1" applyAlignment="1">
      <alignment vertical="center"/>
      <protection/>
    </xf>
    <xf numFmtId="3" fontId="24" fillId="0" borderId="42" xfId="60" applyNumberFormat="1" applyFont="1" applyFill="1" applyBorder="1" applyAlignment="1">
      <alignment vertical="center"/>
      <protection/>
    </xf>
    <xf numFmtId="3" fontId="43" fillId="0" borderId="43" xfId="60" applyNumberFormat="1" applyFont="1" applyFill="1" applyBorder="1" applyAlignment="1">
      <alignment vertical="center" wrapText="1"/>
      <protection/>
    </xf>
    <xf numFmtId="0" fontId="21" fillId="0" borderId="44" xfId="60" applyFont="1" applyFill="1" applyBorder="1" applyAlignment="1">
      <alignment vertical="center" wrapText="1"/>
      <protection/>
    </xf>
    <xf numFmtId="3" fontId="43" fillId="0" borderId="45" xfId="60" applyNumberFormat="1" applyFont="1" applyFill="1" applyBorder="1" applyAlignment="1">
      <alignment vertical="center" wrapText="1"/>
      <protection/>
    </xf>
    <xf numFmtId="3" fontId="43" fillId="0" borderId="44" xfId="60" applyNumberFormat="1" applyFont="1" applyFill="1" applyBorder="1" applyAlignment="1">
      <alignment vertical="center" wrapText="1"/>
      <protection/>
    </xf>
    <xf numFmtId="3" fontId="24" fillId="0" borderId="46" xfId="60" applyNumberFormat="1" applyFont="1" applyFill="1" applyBorder="1" applyAlignment="1">
      <alignment horizontal="right" vertical="center"/>
      <protection/>
    </xf>
    <xf numFmtId="3" fontId="60" fillId="0" borderId="26" xfId="60" applyNumberFormat="1" applyFont="1" applyFill="1" applyBorder="1" applyAlignment="1">
      <alignment vertical="center"/>
      <protection/>
    </xf>
    <xf numFmtId="3" fontId="60" fillId="0" borderId="33" xfId="60" applyNumberFormat="1" applyFont="1" applyFill="1" applyBorder="1" applyAlignment="1">
      <alignment vertical="center"/>
      <protection/>
    </xf>
    <xf numFmtId="3" fontId="60" fillId="0" borderId="42" xfId="60" applyNumberFormat="1" applyFont="1" applyFill="1" applyBorder="1" applyAlignment="1">
      <alignment vertical="center"/>
      <protection/>
    </xf>
    <xf numFmtId="166" fontId="7" fillId="0" borderId="23" xfId="0" applyNumberFormat="1" applyFont="1" applyFill="1" applyBorder="1" applyAlignment="1">
      <alignment vertical="center"/>
    </xf>
    <xf numFmtId="166" fontId="8" fillId="0" borderId="23" xfId="0" applyNumberFormat="1" applyFont="1" applyFill="1" applyBorder="1" applyAlignment="1">
      <alignment vertical="center"/>
    </xf>
    <xf numFmtId="166" fontId="8" fillId="0" borderId="23" xfId="0" applyNumberFormat="1" applyFont="1" applyFill="1" applyBorder="1" applyAlignment="1">
      <alignment vertical="center"/>
    </xf>
    <xf numFmtId="166" fontId="7" fillId="0" borderId="47" xfId="0" applyNumberFormat="1" applyFont="1" applyFill="1" applyBorder="1" applyAlignment="1">
      <alignment vertical="center"/>
    </xf>
    <xf numFmtId="166" fontId="8" fillId="0" borderId="40" xfId="0" applyNumberFormat="1" applyFont="1" applyFill="1" applyBorder="1" applyAlignment="1">
      <alignment horizontal="right" vertical="center"/>
    </xf>
    <xf numFmtId="166" fontId="7" fillId="0" borderId="48" xfId="0" applyNumberFormat="1" applyFont="1" applyFill="1" applyBorder="1" applyAlignment="1">
      <alignment vertical="center"/>
    </xf>
    <xf numFmtId="166" fontId="7" fillId="0" borderId="13" xfId="0" applyNumberFormat="1" applyFont="1" applyFill="1" applyBorder="1" applyAlignment="1">
      <alignment vertical="center"/>
    </xf>
    <xf numFmtId="3" fontId="43" fillId="0" borderId="43" xfId="60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/>
    </xf>
    <xf numFmtId="0" fontId="19" fillId="0" borderId="49" xfId="0" applyFont="1" applyBorder="1" applyAlignment="1">
      <alignment/>
    </xf>
    <xf numFmtId="0" fontId="20" fillId="0" borderId="50" xfId="59" applyFont="1" applyBorder="1" applyAlignment="1">
      <alignment horizontal="center"/>
      <protection/>
    </xf>
    <xf numFmtId="0" fontId="20" fillId="0" borderId="51" xfId="60" applyFont="1" applyFill="1" applyBorder="1" applyAlignment="1">
      <alignment horizontal="center" vertical="center" wrapText="1"/>
      <protection/>
    </xf>
    <xf numFmtId="0" fontId="23" fillId="0" borderId="52" xfId="59" applyFont="1" applyBorder="1">
      <alignment/>
      <protection/>
    </xf>
    <xf numFmtId="0" fontId="23" fillId="0" borderId="0" xfId="59" applyFont="1" applyBorder="1">
      <alignment/>
      <protection/>
    </xf>
    <xf numFmtId="0" fontId="23" fillId="0" borderId="53" xfId="59" applyFont="1" applyBorder="1">
      <alignment/>
      <protection/>
    </xf>
    <xf numFmtId="0" fontId="23" fillId="0" borderId="54" xfId="59" applyFont="1" applyBorder="1">
      <alignment/>
      <protection/>
    </xf>
    <xf numFmtId="0" fontId="23" fillId="0" borderId="55" xfId="59" applyFont="1" applyBorder="1">
      <alignment/>
      <protection/>
    </xf>
    <xf numFmtId="3" fontId="23" fillId="0" borderId="0" xfId="59" applyNumberFormat="1" applyFont="1" applyBorder="1">
      <alignment/>
      <protection/>
    </xf>
    <xf numFmtId="3" fontId="23" fillId="0" borderId="56" xfId="59" applyNumberFormat="1" applyFont="1" applyBorder="1">
      <alignment/>
      <protection/>
    </xf>
    <xf numFmtId="0" fontId="23" fillId="0" borderId="0" xfId="59" applyFont="1" applyBorder="1" applyAlignment="1">
      <alignment horizontal="left"/>
      <protection/>
    </xf>
    <xf numFmtId="3" fontId="16" fillId="0" borderId="57" xfId="59" applyNumberFormat="1" applyFont="1" applyBorder="1" applyAlignment="1">
      <alignment horizontal="right" vertical="center"/>
      <protection/>
    </xf>
    <xf numFmtId="3" fontId="16" fillId="0" borderId="32" xfId="59" applyNumberFormat="1" applyFont="1" applyBorder="1" applyAlignment="1">
      <alignment horizontal="right" vertical="center"/>
      <protection/>
    </xf>
    <xf numFmtId="3" fontId="16" fillId="0" borderId="0" xfId="59" applyNumberFormat="1" applyFont="1" applyBorder="1" applyAlignment="1">
      <alignment horizontal="right" vertical="center"/>
      <protection/>
    </xf>
    <xf numFmtId="0" fontId="16" fillId="0" borderId="57" xfId="60" applyFont="1" applyFill="1" applyBorder="1" applyAlignment="1">
      <alignment horizontal="center" vertical="center" wrapText="1"/>
      <protection/>
    </xf>
    <xf numFmtId="0" fontId="16" fillId="0" borderId="32" xfId="60" applyFont="1" applyFill="1" applyBorder="1" applyAlignment="1">
      <alignment horizontal="center" vertical="center" wrapText="1"/>
      <protection/>
    </xf>
    <xf numFmtId="0" fontId="16" fillId="0" borderId="58" xfId="60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3" fontId="16" fillId="0" borderId="52" xfId="59" applyNumberFormat="1" applyFont="1" applyBorder="1" applyAlignment="1">
      <alignment horizontal="right" vertical="center"/>
      <protection/>
    </xf>
    <xf numFmtId="3" fontId="23" fillId="0" borderId="59" xfId="59" applyNumberFormat="1" applyFont="1" applyBorder="1">
      <alignment/>
      <protection/>
    </xf>
    <xf numFmtId="0" fontId="23" fillId="0" borderId="32" xfId="59" applyFont="1" applyBorder="1">
      <alignment/>
      <protection/>
    </xf>
    <xf numFmtId="0" fontId="60" fillId="0" borderId="55" xfId="59" applyFont="1" applyBorder="1" applyAlignment="1">
      <alignment horizontal="right" vertical="center"/>
      <protection/>
    </xf>
    <xf numFmtId="0" fontId="24" fillId="0" borderId="52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4" xfId="59" applyFont="1" applyBorder="1" applyAlignment="1">
      <alignment horizontal="right"/>
      <protection/>
    </xf>
    <xf numFmtId="3" fontId="20" fillId="0" borderId="54" xfId="59" applyNumberFormat="1" applyFont="1" applyBorder="1" applyAlignment="1">
      <alignment horizontal="right"/>
      <protection/>
    </xf>
    <xf numFmtId="3" fontId="20" fillId="0" borderId="0" xfId="59" applyNumberFormat="1" applyFont="1" applyBorder="1">
      <alignment/>
      <protection/>
    </xf>
    <xf numFmtId="3" fontId="20" fillId="0" borderId="55" xfId="59" applyNumberFormat="1" applyFont="1" applyBorder="1">
      <alignment/>
      <protection/>
    </xf>
    <xf numFmtId="3" fontId="60" fillId="0" borderId="52" xfId="59" applyNumberFormat="1" applyFont="1" applyBorder="1" applyAlignment="1">
      <alignment horizontal="right" vertical="center"/>
      <protection/>
    </xf>
    <xf numFmtId="3" fontId="60" fillId="0" borderId="32" xfId="59" applyNumberFormat="1" applyFont="1" applyBorder="1" applyAlignment="1">
      <alignment horizontal="right" vertical="center"/>
      <protection/>
    </xf>
    <xf numFmtId="3" fontId="23" fillId="0" borderId="52" xfId="59" applyNumberFormat="1" applyFont="1" applyBorder="1">
      <alignment/>
      <protection/>
    </xf>
    <xf numFmtId="3" fontId="23" fillId="0" borderId="32" xfId="59" applyNumberFormat="1" applyFont="1" applyBorder="1">
      <alignment/>
      <protection/>
    </xf>
    <xf numFmtId="3" fontId="60" fillId="0" borderId="55" xfId="59" applyNumberFormat="1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4" xfId="59" applyFont="1" applyBorder="1" applyAlignment="1">
      <alignment horizontal="right"/>
      <protection/>
    </xf>
    <xf numFmtId="0" fontId="60" fillId="0" borderId="55" xfId="59" applyFont="1" applyBorder="1">
      <alignment/>
      <protection/>
    </xf>
    <xf numFmtId="3" fontId="23" fillId="0" borderId="60" xfId="59" applyNumberFormat="1" applyFont="1" applyBorder="1">
      <alignment/>
      <protection/>
    </xf>
    <xf numFmtId="3" fontId="60" fillId="0" borderId="52" xfId="59" applyNumberFormat="1" applyFont="1" applyBorder="1">
      <alignment/>
      <protection/>
    </xf>
    <xf numFmtId="3" fontId="60" fillId="0" borderId="32" xfId="59" applyNumberFormat="1" applyFont="1" applyBorder="1">
      <alignment/>
      <protection/>
    </xf>
    <xf numFmtId="3" fontId="60" fillId="0" borderId="59" xfId="59" applyNumberFormat="1" applyFont="1" applyBorder="1">
      <alignment/>
      <protection/>
    </xf>
    <xf numFmtId="3" fontId="60" fillId="0" borderId="55" xfId="59" applyNumberFormat="1" applyFont="1" applyBorder="1">
      <alignment/>
      <protection/>
    </xf>
    <xf numFmtId="0" fontId="19" fillId="0" borderId="52" xfId="59" applyFont="1" applyBorder="1" applyAlignment="1">
      <alignment horizontal="right"/>
      <protection/>
    </xf>
    <xf numFmtId="0" fontId="19" fillId="0" borderId="0" xfId="59" applyFont="1" applyBorder="1" applyAlignment="1">
      <alignment horizontal="right"/>
      <protection/>
    </xf>
    <xf numFmtId="0" fontId="19" fillId="0" borderId="54" xfId="59" applyFont="1" applyBorder="1" applyAlignment="1">
      <alignment horizontal="right"/>
      <protection/>
    </xf>
    <xf numFmtId="0" fontId="19" fillId="0" borderId="0" xfId="59" applyFont="1" applyBorder="1">
      <alignment/>
      <protection/>
    </xf>
    <xf numFmtId="0" fontId="19" fillId="0" borderId="55" xfId="59" applyFont="1" applyBorder="1">
      <alignment/>
      <protection/>
    </xf>
    <xf numFmtId="3" fontId="61" fillId="0" borderId="0" xfId="59" applyNumberFormat="1" applyFont="1" applyBorder="1">
      <alignment/>
      <protection/>
    </xf>
    <xf numFmtId="0" fontId="61" fillId="0" borderId="52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61" fillId="0" borderId="57" xfId="59" applyFont="1" applyBorder="1" applyAlignment="1">
      <alignment horizontal="left"/>
      <protection/>
    </xf>
    <xf numFmtId="0" fontId="61" fillId="0" borderId="56" xfId="59" applyFont="1" applyBorder="1" applyAlignment="1">
      <alignment horizontal="left"/>
      <protection/>
    </xf>
    <xf numFmtId="0" fontId="61" fillId="0" borderId="56" xfId="59" applyFont="1" applyBorder="1">
      <alignment/>
      <protection/>
    </xf>
    <xf numFmtId="3" fontId="23" fillId="0" borderId="61" xfId="59" applyNumberFormat="1" applyFont="1" applyBorder="1">
      <alignment/>
      <protection/>
    </xf>
    <xf numFmtId="0" fontId="61" fillId="0" borderId="0" xfId="59" applyFont="1" applyBorder="1">
      <alignment/>
      <protection/>
    </xf>
    <xf numFmtId="0" fontId="19" fillId="0" borderId="49" xfId="59" applyFont="1" applyBorder="1" applyAlignment="1">
      <alignment horizontal="right"/>
      <protection/>
    </xf>
    <xf numFmtId="0" fontId="19" fillId="0" borderId="62" xfId="59" applyFont="1" applyBorder="1" applyAlignment="1">
      <alignment horizontal="right"/>
      <protection/>
    </xf>
    <xf numFmtId="0" fontId="19" fillId="0" borderId="49" xfId="59" applyFont="1" applyBorder="1">
      <alignment/>
      <protection/>
    </xf>
    <xf numFmtId="0" fontId="19" fillId="0" borderId="63" xfId="59" applyFont="1" applyBorder="1">
      <alignment/>
      <protection/>
    </xf>
    <xf numFmtId="0" fontId="23" fillId="0" borderId="49" xfId="59" applyFont="1" applyBorder="1" applyAlignment="1">
      <alignment horizontal="left"/>
      <protection/>
    </xf>
    <xf numFmtId="0" fontId="61" fillId="0" borderId="64" xfId="59" applyFont="1" applyBorder="1" applyAlignment="1">
      <alignment horizontal="left"/>
      <protection/>
    </xf>
    <xf numFmtId="0" fontId="61" fillId="0" borderId="49" xfId="59" applyFont="1" applyBorder="1" applyAlignment="1">
      <alignment horizontal="left"/>
      <protection/>
    </xf>
    <xf numFmtId="3" fontId="61" fillId="0" borderId="49" xfId="59" applyNumberFormat="1" applyFont="1" applyFill="1" applyBorder="1">
      <alignment/>
      <protection/>
    </xf>
    <xf numFmtId="3" fontId="16" fillId="0" borderId="64" xfId="59" applyNumberFormat="1" applyFont="1" applyBorder="1" applyAlignment="1">
      <alignment horizontal="right" vertical="center"/>
      <protection/>
    </xf>
    <xf numFmtId="3" fontId="60" fillId="0" borderId="65" xfId="59" applyNumberFormat="1" applyFont="1" applyBorder="1" applyAlignment="1">
      <alignment horizontal="right" vertical="center"/>
      <protection/>
    </xf>
    <xf numFmtId="3" fontId="60" fillId="0" borderId="66" xfId="59" applyNumberFormat="1" applyFont="1" applyBorder="1" applyAlignment="1">
      <alignment horizontal="right" vertical="center"/>
      <protection/>
    </xf>
    <xf numFmtId="3" fontId="23" fillId="0" borderId="67" xfId="59" applyNumberFormat="1" applyFont="1" applyBorder="1">
      <alignment/>
      <protection/>
    </xf>
    <xf numFmtId="3" fontId="23" fillId="0" borderId="65" xfId="59" applyNumberFormat="1" applyFont="1" applyBorder="1">
      <alignment/>
      <protection/>
    </xf>
    <xf numFmtId="3" fontId="23" fillId="0" borderId="66" xfId="59" applyNumberFormat="1" applyFont="1" applyBorder="1">
      <alignment/>
      <protection/>
    </xf>
    <xf numFmtId="3" fontId="60" fillId="0" borderId="63" xfId="59" applyNumberFormat="1" applyFont="1" applyBorder="1" applyAlignment="1">
      <alignment horizontal="right" vertical="center"/>
      <protection/>
    </xf>
    <xf numFmtId="3" fontId="60" fillId="0" borderId="68" xfId="59" applyNumberFormat="1" applyFont="1" applyBorder="1" applyAlignment="1">
      <alignment horizontal="right" vertical="center"/>
      <protection/>
    </xf>
    <xf numFmtId="0" fontId="19" fillId="0" borderId="69" xfId="59" applyFont="1" applyBorder="1">
      <alignment/>
      <protection/>
    </xf>
    <xf numFmtId="0" fontId="19" fillId="0" borderId="54" xfId="59" applyFont="1" applyBorder="1">
      <alignment/>
      <protection/>
    </xf>
    <xf numFmtId="0" fontId="19" fillId="0" borderId="32" xfId="59" applyFont="1" applyBorder="1">
      <alignment/>
      <protection/>
    </xf>
    <xf numFmtId="3" fontId="61" fillId="0" borderId="60" xfId="59" applyNumberFormat="1" applyFont="1" applyBorder="1" applyAlignment="1">
      <alignment/>
      <protection/>
    </xf>
    <xf numFmtId="0" fontId="19" fillId="0" borderId="70" xfId="59" applyFont="1" applyBorder="1">
      <alignment/>
      <protection/>
    </xf>
    <xf numFmtId="0" fontId="19" fillId="0" borderId="66" xfId="59" applyFont="1" applyBorder="1">
      <alignment/>
      <protection/>
    </xf>
    <xf numFmtId="0" fontId="19" fillId="0" borderId="71" xfId="59" applyFont="1" applyBorder="1">
      <alignment/>
      <protection/>
    </xf>
    <xf numFmtId="3" fontId="20" fillId="0" borderId="32" xfId="59" applyNumberFormat="1" applyFont="1" applyBorder="1" applyAlignment="1">
      <alignment horizontal="right"/>
      <protection/>
    </xf>
    <xf numFmtId="0" fontId="23" fillId="0" borderId="52" xfId="59" applyFont="1" applyBorder="1" applyAlignment="1">
      <alignment horizontal="left"/>
      <protection/>
    </xf>
    <xf numFmtId="3" fontId="60" fillId="0" borderId="72" xfId="59" applyNumberFormat="1" applyFont="1" applyBorder="1" applyAlignment="1">
      <alignment horizontal="right"/>
      <protection/>
    </xf>
    <xf numFmtId="3" fontId="60" fillId="0" borderId="52" xfId="59" applyNumberFormat="1" applyFont="1" applyBorder="1" applyAlignment="1">
      <alignment horizontal="right"/>
      <protection/>
    </xf>
    <xf numFmtId="0" fontId="19" fillId="36" borderId="73" xfId="59" applyFont="1" applyFill="1" applyBorder="1">
      <alignment/>
      <protection/>
    </xf>
    <xf numFmtId="3" fontId="60" fillId="36" borderId="74" xfId="59" applyNumberFormat="1" applyFont="1" applyFill="1" applyBorder="1" applyAlignment="1">
      <alignment horizontal="right"/>
      <protection/>
    </xf>
    <xf numFmtId="3" fontId="60" fillId="36" borderId="75" xfId="59" applyNumberFormat="1" applyFont="1" applyFill="1" applyBorder="1">
      <alignment/>
      <protection/>
    </xf>
    <xf numFmtId="3" fontId="60" fillId="36" borderId="76" xfId="59" applyNumberFormat="1" applyFont="1" applyFill="1" applyBorder="1">
      <alignment/>
      <protection/>
    </xf>
    <xf numFmtId="3" fontId="60" fillId="36" borderId="74" xfId="59" applyNumberFormat="1" applyFont="1" applyFill="1" applyBorder="1">
      <alignment/>
      <protection/>
    </xf>
    <xf numFmtId="0" fontId="19" fillId="0" borderId="77" xfId="0" applyFont="1" applyBorder="1" applyAlignment="1">
      <alignment/>
    </xf>
    <xf numFmtId="0" fontId="16" fillId="0" borderId="0" xfId="59" applyFont="1" applyBorder="1" applyAlignment="1">
      <alignment horizontal="right" vertical="center"/>
      <protection/>
    </xf>
    <xf numFmtId="0" fontId="16" fillId="0" borderId="78" xfId="59" applyFont="1" applyBorder="1" applyAlignment="1">
      <alignment horizontal="right" vertical="center"/>
      <protection/>
    </xf>
    <xf numFmtId="0" fontId="23" fillId="0" borderId="59" xfId="59" applyFont="1" applyBorder="1">
      <alignment/>
      <protection/>
    </xf>
    <xf numFmtId="0" fontId="19" fillId="0" borderId="52" xfId="59" applyFont="1" applyBorder="1">
      <alignment/>
      <protection/>
    </xf>
    <xf numFmtId="0" fontId="19" fillId="0" borderId="32" xfId="59" applyFont="1" applyBorder="1" applyAlignment="1">
      <alignment horizontal="right"/>
      <protection/>
    </xf>
    <xf numFmtId="3" fontId="60" fillId="0" borderId="0" xfId="59" applyNumberFormat="1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5" xfId="59" applyNumberFormat="1" applyFont="1" applyBorder="1">
      <alignment/>
      <protection/>
    </xf>
    <xf numFmtId="0" fontId="23" fillId="0" borderId="0" xfId="0" applyFont="1" applyFill="1" applyBorder="1" applyAlignment="1">
      <alignment/>
    </xf>
    <xf numFmtId="3" fontId="60" fillId="0" borderId="79" xfId="59" applyNumberFormat="1" applyFont="1" applyBorder="1">
      <alignment/>
      <protection/>
    </xf>
    <xf numFmtId="0" fontId="19" fillId="0" borderId="80" xfId="59" applyFont="1" applyBorder="1">
      <alignment/>
      <protection/>
    </xf>
    <xf numFmtId="0" fontId="19" fillId="0" borderId="81" xfId="59" applyFont="1" applyBorder="1" applyAlignment="1">
      <alignment horizontal="right"/>
      <protection/>
    </xf>
    <xf numFmtId="0" fontId="19" fillId="0" borderId="82" xfId="59" applyFont="1" applyBorder="1" applyAlignment="1">
      <alignment horizontal="right"/>
      <protection/>
    </xf>
    <xf numFmtId="0" fontId="19" fillId="0" borderId="81" xfId="59" applyFont="1" applyBorder="1">
      <alignment/>
      <protection/>
    </xf>
    <xf numFmtId="0" fontId="19" fillId="0" borderId="68" xfId="59" applyFont="1" applyBorder="1">
      <alignment/>
      <protection/>
    </xf>
    <xf numFmtId="0" fontId="19" fillId="0" borderId="81" xfId="59" applyFont="1" applyBorder="1" applyAlignment="1">
      <alignment/>
      <protection/>
    </xf>
    <xf numFmtId="0" fontId="16" fillId="0" borderId="83" xfId="59" applyFont="1" applyBorder="1" applyAlignment="1">
      <alignment horizontal="right"/>
      <protection/>
    </xf>
    <xf numFmtId="0" fontId="19" fillId="0" borderId="84" xfId="59" applyFont="1" applyBorder="1">
      <alignment/>
      <protection/>
    </xf>
    <xf numFmtId="3" fontId="16" fillId="0" borderId="85" xfId="59" applyNumberFormat="1" applyFont="1" applyBorder="1" applyAlignment="1">
      <alignment horizontal="right"/>
      <protection/>
    </xf>
    <xf numFmtId="0" fontId="16" fillId="0" borderId="81" xfId="59" applyFont="1" applyBorder="1" applyAlignment="1">
      <alignment horizontal="right"/>
      <protection/>
    </xf>
    <xf numFmtId="0" fontId="16" fillId="0" borderId="82" xfId="59" applyFont="1" applyBorder="1" applyAlignment="1">
      <alignment horizontal="right"/>
      <protection/>
    </xf>
    <xf numFmtId="0" fontId="19" fillId="0" borderId="86" xfId="59" applyFont="1" applyBorder="1">
      <alignment/>
      <protection/>
    </xf>
    <xf numFmtId="0" fontId="19" fillId="0" borderId="82" xfId="59" applyFont="1" applyBorder="1">
      <alignment/>
      <protection/>
    </xf>
    <xf numFmtId="0" fontId="60" fillId="0" borderId="87" xfId="59" applyFont="1" applyBorder="1" applyAlignment="1">
      <alignment horizontal="right" vertical="center"/>
      <protection/>
    </xf>
    <xf numFmtId="0" fontId="19" fillId="0" borderId="0" xfId="59" applyFont="1">
      <alignment/>
      <protection/>
    </xf>
    <xf numFmtId="0" fontId="19" fillId="0" borderId="59" xfId="59" applyFont="1" applyBorder="1">
      <alignment/>
      <protection/>
    </xf>
    <xf numFmtId="0" fontId="23" fillId="0" borderId="60" xfId="59" applyFont="1" applyBorder="1">
      <alignment/>
      <protection/>
    </xf>
    <xf numFmtId="3" fontId="60" fillId="0" borderId="0" xfId="59" applyNumberFormat="1" applyFont="1" applyBorder="1">
      <alignment/>
      <protection/>
    </xf>
    <xf numFmtId="3" fontId="60" fillId="0" borderId="72" xfId="59" applyNumberFormat="1" applyFont="1" applyBorder="1">
      <alignment/>
      <protection/>
    </xf>
    <xf numFmtId="0" fontId="19" fillId="0" borderId="0" xfId="0" applyFont="1" applyBorder="1" applyAlignment="1">
      <alignment horizontal="right"/>
    </xf>
    <xf numFmtId="0" fontId="19" fillId="0" borderId="60" xfId="59" applyFont="1" applyBorder="1">
      <alignment/>
      <protection/>
    </xf>
    <xf numFmtId="0" fontId="24" fillId="0" borderId="57" xfId="59" applyFont="1" applyBorder="1" applyAlignment="1">
      <alignment horizontal="right"/>
      <protection/>
    </xf>
    <xf numFmtId="0" fontId="19" fillId="0" borderId="56" xfId="0" applyFont="1" applyBorder="1" applyAlignment="1">
      <alignment horizontal="right"/>
    </xf>
    <xf numFmtId="3" fontId="20" fillId="0" borderId="78" xfId="59" applyNumberFormat="1" applyFont="1" applyBorder="1" applyAlignment="1">
      <alignment horizontal="right"/>
      <protection/>
    </xf>
    <xf numFmtId="3" fontId="20" fillId="0" borderId="56" xfId="59" applyNumberFormat="1" applyFont="1" applyBorder="1">
      <alignment/>
      <protection/>
    </xf>
    <xf numFmtId="3" fontId="20" fillId="0" borderId="58" xfId="59" applyNumberFormat="1" applyFont="1" applyBorder="1">
      <alignment/>
      <protection/>
    </xf>
    <xf numFmtId="3" fontId="23" fillId="0" borderId="61" xfId="59" applyNumberFormat="1" applyFont="1" applyBorder="1" applyAlignment="1">
      <alignment/>
      <protection/>
    </xf>
    <xf numFmtId="0" fontId="19" fillId="0" borderId="88" xfId="59" applyFont="1" applyBorder="1">
      <alignment/>
      <protection/>
    </xf>
    <xf numFmtId="0" fontId="19" fillId="0" borderId="56" xfId="59" applyFont="1" applyBorder="1">
      <alignment/>
      <protection/>
    </xf>
    <xf numFmtId="0" fontId="19" fillId="0" borderId="61" xfId="59" applyFont="1" applyBorder="1">
      <alignment/>
      <protection/>
    </xf>
    <xf numFmtId="3" fontId="60" fillId="0" borderId="57" xfId="59" applyNumberFormat="1" applyFont="1" applyBorder="1" applyAlignment="1">
      <alignment horizontal="right" vertical="center"/>
      <protection/>
    </xf>
    <xf numFmtId="3" fontId="60" fillId="0" borderId="78" xfId="59" applyNumberFormat="1" applyFont="1" applyBorder="1" applyAlignment="1">
      <alignment horizontal="right" vertical="center"/>
      <protection/>
    </xf>
    <xf numFmtId="3" fontId="60" fillId="0" borderId="89" xfId="59" applyNumberFormat="1" applyFont="1" applyBorder="1">
      <alignment/>
      <protection/>
    </xf>
    <xf numFmtId="3" fontId="60" fillId="0" borderId="57" xfId="59" applyNumberFormat="1" applyFont="1" applyBorder="1">
      <alignment/>
      <protection/>
    </xf>
    <xf numFmtId="3" fontId="60" fillId="0" borderId="78" xfId="59" applyNumberFormat="1" applyFont="1" applyBorder="1">
      <alignment/>
      <protection/>
    </xf>
    <xf numFmtId="3" fontId="60" fillId="0" borderId="58" xfId="59" applyNumberFormat="1" applyFont="1" applyBorder="1" applyAlignment="1">
      <alignment horizontal="right" vertical="center"/>
      <protection/>
    </xf>
    <xf numFmtId="3" fontId="61" fillId="0" borderId="0" xfId="59" applyNumberFormat="1" applyFont="1" applyBorder="1" applyAlignment="1">
      <alignment/>
      <protection/>
    </xf>
    <xf numFmtId="3" fontId="16" fillId="0" borderId="90" xfId="59" applyNumberFormat="1" applyFont="1" applyBorder="1">
      <alignment/>
      <protection/>
    </xf>
    <xf numFmtId="0" fontId="62" fillId="0" borderId="91" xfId="59" applyFont="1" applyBorder="1">
      <alignment/>
      <protection/>
    </xf>
    <xf numFmtId="0" fontId="62" fillId="0" borderId="33" xfId="59" applyFont="1" applyBorder="1">
      <alignment/>
      <protection/>
    </xf>
    <xf numFmtId="0" fontId="62" fillId="0" borderId="48" xfId="59" applyFont="1" applyBorder="1">
      <alignment/>
      <protection/>
    </xf>
    <xf numFmtId="3" fontId="60" fillId="0" borderId="91" xfId="59" applyNumberFormat="1" applyFont="1" applyBorder="1" applyAlignment="1">
      <alignment horizontal="right" vertical="center"/>
      <protection/>
    </xf>
    <xf numFmtId="3" fontId="60" fillId="0" borderId="92" xfId="59" applyNumberFormat="1" applyFont="1" applyBorder="1" applyAlignment="1">
      <alignment horizontal="right" vertical="center"/>
      <protection/>
    </xf>
    <xf numFmtId="3" fontId="60" fillId="0" borderId="91" xfId="59" applyNumberFormat="1" applyFont="1" applyBorder="1">
      <alignment/>
      <protection/>
    </xf>
    <xf numFmtId="3" fontId="60" fillId="0" borderId="92" xfId="59" applyNumberFormat="1" applyFont="1" applyBorder="1">
      <alignment/>
      <protection/>
    </xf>
    <xf numFmtId="3" fontId="60" fillId="0" borderId="90" xfId="59" applyNumberFormat="1" applyFont="1" applyBorder="1" applyAlignment="1">
      <alignment horizontal="right" vertical="center"/>
      <protection/>
    </xf>
    <xf numFmtId="0" fontId="19" fillId="36" borderId="93" xfId="59" applyFont="1" applyFill="1" applyBorder="1">
      <alignment/>
      <protection/>
    </xf>
    <xf numFmtId="3" fontId="46" fillId="0" borderId="94" xfId="59" applyNumberFormat="1" applyFont="1" applyBorder="1" applyAlignment="1">
      <alignment horizontal="center"/>
      <protection/>
    </xf>
    <xf numFmtId="3" fontId="46" fillId="0" borderId="95" xfId="59" applyNumberFormat="1" applyFont="1" applyBorder="1">
      <alignment/>
      <protection/>
    </xf>
    <xf numFmtId="0" fontId="23" fillId="0" borderId="96" xfId="59" applyFont="1" applyBorder="1" applyAlignment="1">
      <alignment horizontal="left"/>
      <protection/>
    </xf>
    <xf numFmtId="0" fontId="19" fillId="0" borderId="96" xfId="59" applyFont="1" applyBorder="1">
      <alignment/>
      <protection/>
    </xf>
    <xf numFmtId="3" fontId="16" fillId="0" borderId="97" xfId="59" applyNumberFormat="1" applyFont="1" applyBorder="1">
      <alignment/>
      <protection/>
    </xf>
    <xf numFmtId="0" fontId="19" fillId="0" borderId="77" xfId="59" applyFont="1" applyBorder="1">
      <alignment/>
      <protection/>
    </xf>
    <xf numFmtId="3" fontId="46" fillId="0" borderId="94" xfId="59" applyNumberFormat="1" applyFont="1" applyBorder="1">
      <alignment/>
      <protection/>
    </xf>
    <xf numFmtId="3" fontId="46" fillId="0" borderId="98" xfId="59" applyNumberFormat="1" applyFont="1" applyBorder="1">
      <alignment/>
      <protection/>
    </xf>
    <xf numFmtId="0" fontId="23" fillId="0" borderId="49" xfId="59" applyFont="1" applyBorder="1">
      <alignment/>
      <protection/>
    </xf>
    <xf numFmtId="0" fontId="20" fillId="0" borderId="0" xfId="59" applyFont="1" applyAlignment="1">
      <alignment horizontal="center"/>
      <protection/>
    </xf>
    <xf numFmtId="0" fontId="20" fillId="0" borderId="0" xfId="59" applyFont="1" applyAlignment="1">
      <alignment horizontal="right"/>
      <protection/>
    </xf>
    <xf numFmtId="0" fontId="15" fillId="0" borderId="0" xfId="59" applyFont="1">
      <alignment/>
      <protection/>
    </xf>
    <xf numFmtId="0" fontId="20" fillId="0" borderId="0" xfId="59" applyFont="1" applyAlignment="1">
      <alignment horizontal="left"/>
      <protection/>
    </xf>
    <xf numFmtId="3" fontId="19" fillId="0" borderId="0" xfId="59" applyNumberFormat="1" applyFont="1">
      <alignment/>
      <protection/>
    </xf>
    <xf numFmtId="0" fontId="23" fillId="0" borderId="0" xfId="59" applyFont="1" applyFill="1" applyBorder="1">
      <alignment/>
      <protection/>
    </xf>
    <xf numFmtId="0" fontId="42" fillId="0" borderId="27" xfId="59" applyFont="1" applyBorder="1">
      <alignment/>
      <protection/>
    </xf>
    <xf numFmtId="3" fontId="19" fillId="0" borderId="27" xfId="59" applyNumberFormat="1" applyFont="1" applyBorder="1">
      <alignment/>
      <protection/>
    </xf>
    <xf numFmtId="0" fontId="19" fillId="0" borderId="27" xfId="59" applyFont="1" applyBorder="1">
      <alignment/>
      <protection/>
    </xf>
    <xf numFmtId="0" fontId="19" fillId="0" borderId="0" xfId="59" applyFont="1" applyAlignment="1">
      <alignment horizontal="right"/>
      <protection/>
    </xf>
    <xf numFmtId="0" fontId="19" fillId="0" borderId="0" xfId="59" applyFont="1" applyAlignment="1">
      <alignment/>
      <protection/>
    </xf>
    <xf numFmtId="0" fontId="19" fillId="0" borderId="0" xfId="0" applyFont="1" applyAlignment="1">
      <alignment horizontal="left"/>
    </xf>
    <xf numFmtId="0" fontId="20" fillId="0" borderId="0" xfId="59" applyFont="1">
      <alignment/>
      <protection/>
    </xf>
    <xf numFmtId="3" fontId="20" fillId="0" borderId="0" xfId="59" applyNumberFormat="1" applyFont="1">
      <alignment/>
      <protection/>
    </xf>
    <xf numFmtId="0" fontId="20" fillId="0" borderId="99" xfId="59" applyFont="1" applyBorder="1" applyAlignment="1">
      <alignment horizontal="center"/>
      <protection/>
    </xf>
    <xf numFmtId="0" fontId="20" fillId="0" borderId="91" xfId="59" applyFont="1" applyBorder="1" applyAlignment="1">
      <alignment horizontal="center" vertical="center"/>
      <protection/>
    </xf>
    <xf numFmtId="0" fontId="20" fillId="0" borderId="99" xfId="59" applyFont="1" applyBorder="1" applyAlignment="1">
      <alignment horizontal="center" vertical="center"/>
      <protection/>
    </xf>
    <xf numFmtId="49" fontId="27" fillId="0" borderId="21" xfId="0" applyNumberFormat="1" applyFont="1" applyBorder="1" applyAlignment="1">
      <alignment vertical="center" wrapText="1"/>
    </xf>
    <xf numFmtId="0" fontId="27" fillId="0" borderId="22" xfId="0" applyFont="1" applyBorder="1" applyAlignment="1">
      <alignment vertical="center"/>
    </xf>
    <xf numFmtId="0" fontId="22" fillId="5" borderId="2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3" fillId="0" borderId="69" xfId="59" applyFont="1" applyBorder="1" applyAlignment="1">
      <alignment horizontal="left" wrapText="1"/>
      <protection/>
    </xf>
    <xf numFmtId="0" fontId="61" fillId="0" borderId="69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3" fontId="20" fillId="36" borderId="74" xfId="59" applyNumberFormat="1" applyFont="1" applyFill="1" applyBorder="1" applyAlignment="1">
      <alignment horizontal="right"/>
      <protection/>
    </xf>
    <xf numFmtId="3" fontId="23" fillId="0" borderId="61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0" fontId="23" fillId="36" borderId="76" xfId="59" applyFont="1" applyFill="1" applyBorder="1" applyAlignment="1">
      <alignment horizontal="left"/>
      <protection/>
    </xf>
    <xf numFmtId="3" fontId="16" fillId="36" borderId="100" xfId="59" applyNumberFormat="1" applyFont="1" applyFill="1" applyBorder="1" applyAlignment="1">
      <alignment horizontal="right"/>
      <protection/>
    </xf>
    <xf numFmtId="3" fontId="16" fillId="36" borderId="101" xfId="59" applyNumberFormat="1" applyFont="1" applyFill="1" applyBorder="1" applyAlignment="1">
      <alignment horizontal="right"/>
      <protection/>
    </xf>
    <xf numFmtId="3" fontId="60" fillId="36" borderId="93" xfId="59" applyNumberFormat="1" applyFont="1" applyFill="1" applyBorder="1" applyAlignment="1">
      <alignment horizontal="right"/>
      <protection/>
    </xf>
    <xf numFmtId="3" fontId="60" fillId="36" borderId="102" xfId="59" applyNumberFormat="1" applyFont="1" applyFill="1" applyBorder="1" applyAlignment="1">
      <alignment horizontal="right" vertical="center"/>
      <protection/>
    </xf>
    <xf numFmtId="0" fontId="19" fillId="0" borderId="53" xfId="0" applyFont="1" applyBorder="1" applyAlignment="1">
      <alignment horizontal="right"/>
    </xf>
    <xf numFmtId="0" fontId="19" fillId="36" borderId="73" xfId="59" applyFont="1" applyFill="1" applyBorder="1" applyAlignment="1">
      <alignment vertical="center"/>
      <protection/>
    </xf>
    <xf numFmtId="3" fontId="16" fillId="36" borderId="100" xfId="59" applyNumberFormat="1" applyFont="1" applyFill="1" applyBorder="1" applyAlignment="1">
      <alignment vertical="center"/>
      <protection/>
    </xf>
    <xf numFmtId="0" fontId="19" fillId="36" borderId="93" xfId="59" applyFont="1" applyFill="1" applyBorder="1" applyAlignment="1">
      <alignment vertical="center"/>
      <protection/>
    </xf>
    <xf numFmtId="3" fontId="60" fillId="36" borderId="103" xfId="59" applyNumberFormat="1" applyFont="1" applyFill="1" applyBorder="1" applyAlignment="1">
      <alignment vertical="center"/>
      <protection/>
    </xf>
    <xf numFmtId="3" fontId="60" fillId="36" borderId="94" xfId="59" applyNumberFormat="1" applyFont="1" applyFill="1" applyBorder="1" applyAlignment="1">
      <alignment vertical="center"/>
      <protection/>
    </xf>
    <xf numFmtId="3" fontId="60" fillId="36" borderId="87" xfId="59" applyNumberFormat="1" applyFont="1" applyFill="1" applyBorder="1" applyAlignment="1">
      <alignment vertical="center"/>
      <protection/>
    </xf>
    <xf numFmtId="3" fontId="60" fillId="36" borderId="104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0" fontId="23" fillId="0" borderId="69" xfId="59" applyFont="1" applyBorder="1" applyAlignment="1">
      <alignment wrapText="1"/>
      <protection/>
    </xf>
    <xf numFmtId="0" fontId="23" fillId="0" borderId="0" xfId="59" applyFont="1" applyBorder="1" applyAlignment="1">
      <alignment wrapText="1"/>
      <protection/>
    </xf>
    <xf numFmtId="3" fontId="23" fillId="0" borderId="0" xfId="59" applyNumberFormat="1" applyFont="1" applyBorder="1" applyAlignment="1">
      <alignment horizontal="right" vertical="center"/>
      <protection/>
    </xf>
    <xf numFmtId="3" fontId="23" fillId="0" borderId="60" xfId="59" applyNumberFormat="1" applyFont="1" applyBorder="1" applyAlignment="1">
      <alignment/>
      <protection/>
    </xf>
    <xf numFmtId="3" fontId="23" fillId="0" borderId="60" xfId="59" applyNumberFormat="1" applyFont="1" applyBorder="1" applyAlignment="1">
      <alignment vertical="center"/>
      <protection/>
    </xf>
    <xf numFmtId="3" fontId="23" fillId="0" borderId="48" xfId="59" applyNumberFormat="1" applyFont="1" applyFill="1" applyBorder="1" applyAlignment="1">
      <alignment vertical="center"/>
      <protection/>
    </xf>
    <xf numFmtId="3" fontId="23" fillId="0" borderId="60" xfId="59" applyNumberFormat="1" applyFont="1" applyFill="1" applyBorder="1" applyAlignment="1">
      <alignment vertical="center"/>
      <protection/>
    </xf>
    <xf numFmtId="3" fontId="23" fillId="0" borderId="60" xfId="59" applyNumberFormat="1" applyFont="1" applyFill="1" applyBorder="1" applyAlignment="1">
      <alignment horizontal="right" vertical="center"/>
      <protection/>
    </xf>
    <xf numFmtId="3" fontId="23" fillId="0" borderId="0" xfId="59" applyNumberFormat="1" applyFont="1" applyBorder="1" applyAlignment="1">
      <alignment vertical="center"/>
      <protection/>
    </xf>
    <xf numFmtId="3" fontId="23" fillId="0" borderId="61" xfId="59" applyNumberFormat="1" applyFont="1" applyFill="1" applyBorder="1" applyAlignment="1">
      <alignment vertical="center"/>
      <protection/>
    </xf>
    <xf numFmtId="0" fontId="45" fillId="0" borderId="0" xfId="60" applyFont="1" applyFill="1" applyAlignment="1">
      <alignment vertical="center" wrapText="1"/>
      <protection/>
    </xf>
    <xf numFmtId="0" fontId="45" fillId="0" borderId="81" xfId="60" applyFont="1" applyFill="1" applyBorder="1" applyAlignment="1">
      <alignment vertical="center" wrapText="1"/>
      <protection/>
    </xf>
    <xf numFmtId="0" fontId="19" fillId="0" borderId="65" xfId="59" applyFont="1" applyBorder="1" applyAlignment="1">
      <alignment horizontal="right"/>
      <protection/>
    </xf>
    <xf numFmtId="3" fontId="23" fillId="0" borderId="105" xfId="0" applyNumberFormat="1" applyFont="1" applyBorder="1" applyAlignment="1">
      <alignment/>
    </xf>
    <xf numFmtId="3" fontId="24" fillId="0" borderId="106" xfId="60" applyNumberFormat="1" applyFont="1" applyFill="1" applyBorder="1" applyAlignment="1">
      <alignment horizontal="right" vertical="center"/>
      <protection/>
    </xf>
    <xf numFmtId="3" fontId="24" fillId="0" borderId="99" xfId="60" applyNumberFormat="1" applyFont="1" applyFill="1" applyBorder="1" applyAlignment="1">
      <alignment horizontal="right" vertical="center"/>
      <protection/>
    </xf>
    <xf numFmtId="3" fontId="60" fillId="0" borderId="41" xfId="60" applyNumberFormat="1" applyFont="1" applyFill="1" applyBorder="1" applyAlignment="1">
      <alignment vertical="center"/>
      <protection/>
    </xf>
    <xf numFmtId="3" fontId="23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42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3" fontId="43" fillId="0" borderId="38" xfId="0" applyNumberFormat="1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49" fontId="42" fillId="0" borderId="37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 wrapText="1"/>
    </xf>
    <xf numFmtId="3" fontId="58" fillId="0" borderId="24" xfId="0" applyNumberFormat="1" applyFont="1" applyFill="1" applyBorder="1" applyAlignment="1">
      <alignment vertical="center"/>
    </xf>
    <xf numFmtId="3" fontId="43" fillId="0" borderId="39" xfId="0" applyNumberFormat="1" applyFont="1" applyFill="1" applyBorder="1" applyAlignment="1">
      <alignment vertical="center"/>
    </xf>
    <xf numFmtId="3" fontId="43" fillId="0" borderId="38" xfId="0" applyNumberFormat="1" applyFont="1" applyFill="1" applyBorder="1" applyAlignment="1">
      <alignment vertical="center"/>
    </xf>
    <xf numFmtId="3" fontId="43" fillId="0" borderId="22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9" fontId="42" fillId="0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3" fontId="58" fillId="0" borderId="11" xfId="0" applyNumberFormat="1" applyFont="1" applyFill="1" applyBorder="1" applyAlignment="1">
      <alignment vertical="center"/>
    </xf>
    <xf numFmtId="3" fontId="43" fillId="0" borderId="17" xfId="0" applyNumberFormat="1" applyFont="1" applyFill="1" applyBorder="1" applyAlignment="1">
      <alignment vertical="center"/>
    </xf>
    <xf numFmtId="3" fontId="58" fillId="0" borderId="16" xfId="0" applyNumberFormat="1" applyFont="1" applyFill="1" applyBorder="1" applyAlignment="1">
      <alignment vertical="center"/>
    </xf>
    <xf numFmtId="3" fontId="42" fillId="0" borderId="0" xfId="0" applyNumberFormat="1" applyFont="1" applyFill="1" applyAlignment="1">
      <alignment vertical="center"/>
    </xf>
    <xf numFmtId="3" fontId="58" fillId="0" borderId="22" xfId="0" applyNumberFormat="1" applyFont="1" applyFill="1" applyBorder="1" applyAlignment="1">
      <alignment vertical="center"/>
    </xf>
    <xf numFmtId="3" fontId="58" fillId="0" borderId="22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left" vertical="center" wrapText="1"/>
    </xf>
    <xf numFmtId="3" fontId="43" fillId="0" borderId="22" xfId="0" applyNumberFormat="1" applyFont="1" applyFill="1" applyBorder="1" applyAlignment="1">
      <alignment horizontal="right" vertical="center"/>
    </xf>
    <xf numFmtId="49" fontId="42" fillId="0" borderId="45" xfId="0" applyNumberFormat="1" applyFont="1" applyFill="1" applyBorder="1" applyAlignment="1">
      <alignment horizontal="center" vertical="center"/>
    </xf>
    <xf numFmtId="3" fontId="43" fillId="0" borderId="44" xfId="0" applyNumberFormat="1" applyFont="1" applyFill="1" applyBorder="1" applyAlignment="1">
      <alignment vertical="center"/>
    </xf>
    <xf numFmtId="3" fontId="58" fillId="0" borderId="15" xfId="0" applyNumberFormat="1" applyFont="1" applyFill="1" applyBorder="1" applyAlignment="1">
      <alignment vertical="center"/>
    </xf>
    <xf numFmtId="3" fontId="43" fillId="0" borderId="25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1" fillId="0" borderId="44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49" fontId="20" fillId="0" borderId="29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3" fontId="65" fillId="0" borderId="34" xfId="0" applyNumberFormat="1" applyFont="1" applyFill="1" applyBorder="1" applyAlignment="1">
      <alignment vertical="center"/>
    </xf>
    <xf numFmtId="3" fontId="20" fillId="0" borderId="20" xfId="0" applyNumberFormat="1" applyFont="1" applyFill="1" applyBorder="1" applyAlignment="1">
      <alignment vertical="center"/>
    </xf>
    <xf numFmtId="3" fontId="20" fillId="0" borderId="34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56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58" fillId="0" borderId="0" xfId="0" applyNumberFormat="1" applyFont="1" applyFill="1" applyAlignment="1">
      <alignment vertical="center"/>
    </xf>
    <xf numFmtId="0" fontId="19" fillId="0" borderId="0" xfId="61" applyFont="1" applyAlignment="1">
      <alignment/>
      <protection/>
    </xf>
    <xf numFmtId="0" fontId="17" fillId="0" borderId="0" xfId="61" applyFont="1" applyAlignment="1">
      <alignment/>
      <protection/>
    </xf>
    <xf numFmtId="0" fontId="12" fillId="0" borderId="37" xfId="0" applyFont="1" applyFill="1" applyBorder="1" applyAlignment="1">
      <alignment horizontal="center" vertical="center"/>
    </xf>
    <xf numFmtId="4" fontId="22" fillId="0" borderId="21" xfId="61" applyNumberFormat="1" applyFont="1" applyBorder="1" applyAlignment="1">
      <alignment vertical="center"/>
      <protection/>
    </xf>
    <xf numFmtId="3" fontId="22" fillId="0" borderId="22" xfId="61" applyNumberFormat="1" applyFont="1" applyBorder="1" applyAlignment="1">
      <alignment vertical="center"/>
      <protection/>
    </xf>
    <xf numFmtId="3" fontId="22" fillId="0" borderId="23" xfId="61" applyNumberFormat="1" applyFont="1" applyBorder="1" applyAlignment="1">
      <alignment vertical="center"/>
      <protection/>
    </xf>
    <xf numFmtId="3" fontId="22" fillId="0" borderId="21" xfId="61" applyNumberFormat="1" applyFont="1" applyBorder="1" applyAlignment="1">
      <alignment vertical="center"/>
      <protection/>
    </xf>
    <xf numFmtId="3" fontId="22" fillId="0" borderId="17" xfId="61" applyNumberFormat="1" applyFont="1" applyBorder="1" applyAlignment="1">
      <alignment vertical="center"/>
      <protection/>
    </xf>
    <xf numFmtId="3" fontId="22" fillId="0" borderId="31" xfId="61" applyNumberFormat="1" applyFont="1" applyBorder="1" applyAlignment="1">
      <alignment vertical="center"/>
      <protection/>
    </xf>
    <xf numFmtId="3" fontId="14" fillId="0" borderId="21" xfId="61" applyNumberFormat="1" applyBorder="1" applyAlignment="1">
      <alignment vertical="center"/>
      <protection/>
    </xf>
    <xf numFmtId="3" fontId="14" fillId="0" borderId="22" xfId="61" applyNumberFormat="1" applyBorder="1" applyAlignment="1">
      <alignment vertical="center"/>
      <protection/>
    </xf>
    <xf numFmtId="3" fontId="14" fillId="0" borderId="23" xfId="61" applyNumberFormat="1" applyBorder="1" applyAlignment="1">
      <alignment vertical="center"/>
      <protection/>
    </xf>
    <xf numFmtId="3" fontId="14" fillId="0" borderId="17" xfId="61" applyNumberFormat="1" applyBorder="1" applyAlignment="1">
      <alignment vertical="center"/>
      <protection/>
    </xf>
    <xf numFmtId="3" fontId="14" fillId="0" borderId="31" xfId="61" applyNumberFormat="1" applyBorder="1" applyAlignment="1">
      <alignment vertical="center"/>
      <protection/>
    </xf>
    <xf numFmtId="3" fontId="14" fillId="33" borderId="21" xfId="61" applyNumberFormat="1" applyFill="1" applyBorder="1" applyAlignment="1">
      <alignment vertical="center"/>
      <protection/>
    </xf>
    <xf numFmtId="3" fontId="14" fillId="33" borderId="22" xfId="61" applyNumberFormat="1" applyFill="1" applyBorder="1" applyAlignment="1">
      <alignment vertical="center"/>
      <protection/>
    </xf>
    <xf numFmtId="3" fontId="14" fillId="33" borderId="17" xfId="61" applyNumberFormat="1" applyFill="1" applyBorder="1" applyAlignment="1">
      <alignment vertical="center"/>
      <protection/>
    </xf>
    <xf numFmtId="171" fontId="14" fillId="0" borderId="21" xfId="61" applyNumberFormat="1" applyBorder="1" applyAlignment="1">
      <alignment vertical="center"/>
      <protection/>
    </xf>
    <xf numFmtId="171" fontId="14" fillId="0" borderId="17" xfId="61" applyNumberForma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vertical="center"/>
      <protection/>
    </xf>
    <xf numFmtId="3" fontId="22" fillId="0" borderId="22" xfId="61" applyNumberFormat="1" applyFont="1" applyFill="1" applyBorder="1" applyAlignment="1">
      <alignment vertical="center"/>
      <protection/>
    </xf>
    <xf numFmtId="171" fontId="22" fillId="0" borderId="21" xfId="61" applyNumberFormat="1" applyFont="1" applyBorder="1" applyAlignment="1">
      <alignment vertical="center"/>
      <protection/>
    </xf>
    <xf numFmtId="171" fontId="22" fillId="0" borderId="17" xfId="61" applyNumberFormat="1" applyFon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horizontal="center" vertical="center"/>
      <protection/>
    </xf>
    <xf numFmtId="3" fontId="22" fillId="0" borderId="22" xfId="61" applyNumberFormat="1" applyFont="1" applyFill="1" applyBorder="1" applyAlignment="1">
      <alignment horizontal="center" vertical="center"/>
      <protection/>
    </xf>
    <xf numFmtId="4" fontId="22" fillId="33" borderId="21" xfId="61" applyNumberFormat="1" applyFont="1" applyFill="1" applyBorder="1" applyAlignment="1">
      <alignment vertical="center"/>
      <protection/>
    </xf>
    <xf numFmtId="4" fontId="22" fillId="33" borderId="17" xfId="61" applyNumberFormat="1" applyFont="1" applyFill="1" applyBorder="1" applyAlignment="1">
      <alignment vertical="center"/>
      <protection/>
    </xf>
    <xf numFmtId="2" fontId="14" fillId="0" borderId="21" xfId="61" applyNumberFormat="1" applyBorder="1" applyAlignment="1">
      <alignment vertical="center"/>
      <protection/>
    </xf>
    <xf numFmtId="2" fontId="14" fillId="0" borderId="17" xfId="61" applyNumberFormat="1" applyBorder="1" applyAlignment="1">
      <alignment vertical="center"/>
      <protection/>
    </xf>
    <xf numFmtId="4" fontId="14" fillId="0" borderId="21" xfId="61" applyNumberFormat="1" applyBorder="1" applyAlignment="1">
      <alignment vertical="center"/>
      <protection/>
    </xf>
    <xf numFmtId="3" fontId="14" fillId="0" borderId="22" xfId="61" applyNumberFormat="1" applyFill="1" applyBorder="1" applyAlignment="1">
      <alignment vertical="center"/>
      <protection/>
    </xf>
    <xf numFmtId="3" fontId="14" fillId="0" borderId="31" xfId="61" applyNumberFormat="1" applyFont="1" applyBorder="1" applyAlignment="1">
      <alignment vertical="center"/>
      <protection/>
    </xf>
    <xf numFmtId="4" fontId="14" fillId="0" borderId="21" xfId="61" applyNumberFormat="1" applyFill="1" applyBorder="1" applyAlignment="1">
      <alignment vertical="center"/>
      <protection/>
    </xf>
    <xf numFmtId="3" fontId="14" fillId="0" borderId="17" xfId="61" applyNumberFormat="1" applyFill="1" applyBorder="1" applyAlignment="1">
      <alignment vertical="center"/>
      <protection/>
    </xf>
    <xf numFmtId="3" fontId="2" fillId="33" borderId="21" xfId="61" applyNumberFormat="1" applyFont="1" applyFill="1" applyBorder="1" applyAlignment="1">
      <alignment horizontal="center" vertical="center"/>
      <protection/>
    </xf>
    <xf numFmtId="3" fontId="2" fillId="33" borderId="22" xfId="61" applyNumberFormat="1" applyFont="1" applyFill="1" applyBorder="1" applyAlignment="1">
      <alignment horizontal="center" vertical="center"/>
      <protection/>
    </xf>
    <xf numFmtId="3" fontId="1" fillId="33" borderId="23" xfId="61" applyNumberFormat="1" applyFont="1" applyFill="1" applyBorder="1" applyAlignment="1">
      <alignment vertical="center"/>
      <protection/>
    </xf>
    <xf numFmtId="3" fontId="2" fillId="33" borderId="17" xfId="61" applyNumberFormat="1" applyFont="1" applyFill="1" applyBorder="1" applyAlignment="1">
      <alignment horizontal="center" vertical="center"/>
      <protection/>
    </xf>
    <xf numFmtId="3" fontId="22" fillId="33" borderId="31" xfId="61" applyNumberFormat="1" applyFont="1" applyFill="1" applyBorder="1" applyAlignment="1">
      <alignment vertical="center"/>
      <protection/>
    </xf>
    <xf numFmtId="3" fontId="40" fillId="33" borderId="21" xfId="61" applyNumberFormat="1" applyFont="1" applyFill="1" applyBorder="1" applyAlignment="1">
      <alignment horizontal="center" vertical="center"/>
      <protection/>
    </xf>
    <xf numFmtId="3" fontId="40" fillId="33" borderId="22" xfId="61" applyNumberFormat="1" applyFont="1" applyFill="1" applyBorder="1" applyAlignment="1">
      <alignment horizontal="center" vertical="center"/>
      <protection/>
    </xf>
    <xf numFmtId="3" fontId="40" fillId="33" borderId="23" xfId="61" applyNumberFormat="1" applyFont="1" applyFill="1" applyBorder="1" applyAlignment="1">
      <alignment vertical="center"/>
      <protection/>
    </xf>
    <xf numFmtId="3" fontId="40" fillId="33" borderId="17" xfId="61" applyNumberFormat="1" applyFont="1" applyFill="1" applyBorder="1" applyAlignment="1">
      <alignment horizontal="center" vertical="center"/>
      <protection/>
    </xf>
    <xf numFmtId="0" fontId="42" fillId="0" borderId="22" xfId="0" applyFont="1" applyBorder="1" applyAlignment="1">
      <alignment horizontal="left"/>
    </xf>
    <xf numFmtId="49" fontId="66" fillId="34" borderId="21" xfId="0" applyNumberFormat="1" applyFont="1" applyFill="1" applyBorder="1" applyAlignment="1">
      <alignment vertical="center" wrapText="1"/>
    </xf>
    <xf numFmtId="0" fontId="66" fillId="34" borderId="22" xfId="0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17" fillId="0" borderId="0" xfId="0" applyFont="1" applyBorder="1" applyAlignment="1">
      <alignment/>
    </xf>
    <xf numFmtId="3" fontId="49" fillId="0" borderId="108" xfId="0" applyNumberFormat="1" applyFont="1" applyBorder="1" applyAlignment="1">
      <alignment/>
    </xf>
    <xf numFmtId="3" fontId="21" fillId="0" borderId="108" xfId="0" applyNumberFormat="1" applyFont="1" applyBorder="1" applyAlignment="1">
      <alignment/>
    </xf>
    <xf numFmtId="3" fontId="47" fillId="0" borderId="108" xfId="0" applyNumberFormat="1" applyFont="1" applyBorder="1" applyAlignment="1">
      <alignment/>
    </xf>
    <xf numFmtId="3" fontId="52" fillId="0" borderId="108" xfId="0" applyNumberFormat="1" applyFont="1" applyBorder="1" applyAlignment="1">
      <alignment/>
    </xf>
    <xf numFmtId="3" fontId="54" fillId="0" borderId="108" xfId="0" applyNumberFormat="1" applyFont="1" applyBorder="1" applyAlignment="1">
      <alignment/>
    </xf>
    <xf numFmtId="3" fontId="56" fillId="0" borderId="108" xfId="0" applyNumberFormat="1" applyFont="1" applyBorder="1" applyAlignment="1">
      <alignment/>
    </xf>
    <xf numFmtId="3" fontId="20" fillId="0" borderId="108" xfId="0" applyNumberFormat="1" applyFont="1" applyBorder="1" applyAlignment="1">
      <alignment/>
    </xf>
    <xf numFmtId="3" fontId="16" fillId="0" borderId="108" xfId="0" applyNumberFormat="1" applyFont="1" applyBorder="1" applyAlignment="1">
      <alignment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23" fillId="0" borderId="0" xfId="59" applyFont="1" applyBorder="1" applyAlignment="1">
      <alignment horizontal="left" wrapText="1"/>
      <protection/>
    </xf>
    <xf numFmtId="0" fontId="23" fillId="0" borderId="57" xfId="59" applyFont="1" applyBorder="1" applyAlignment="1">
      <alignment horizontal="left"/>
      <protection/>
    </xf>
    <xf numFmtId="0" fontId="23" fillId="0" borderId="56" xfId="59" applyFont="1" applyBorder="1" applyAlignment="1">
      <alignment horizontal="left"/>
      <protection/>
    </xf>
    <xf numFmtId="0" fontId="19" fillId="0" borderId="54" xfId="0" applyFont="1" applyBorder="1" applyAlignment="1">
      <alignment horizontal="right"/>
    </xf>
    <xf numFmtId="0" fontId="48" fillId="0" borderId="17" xfId="58" applyFont="1" applyBorder="1" applyAlignment="1">
      <alignment horizontal="left" wrapText="1"/>
      <protection/>
    </xf>
    <xf numFmtId="3" fontId="20" fillId="0" borderId="108" xfId="58" applyNumberFormat="1" applyFont="1" applyBorder="1">
      <alignment/>
      <protection/>
    </xf>
    <xf numFmtId="3" fontId="47" fillId="0" borderId="108" xfId="58" applyNumberFormat="1" applyFont="1" applyBorder="1">
      <alignment/>
      <protection/>
    </xf>
    <xf numFmtId="0" fontId="42" fillId="0" borderId="0" xfId="0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 wrapText="1"/>
    </xf>
    <xf numFmtId="3" fontId="17" fillId="0" borderId="17" xfId="0" applyNumberFormat="1" applyFont="1" applyFill="1" applyBorder="1" applyAlignment="1">
      <alignment vertical="center"/>
    </xf>
    <xf numFmtId="3" fontId="17" fillId="0" borderId="22" xfId="0" applyNumberFormat="1" applyFont="1" applyFill="1" applyBorder="1" applyAlignment="1">
      <alignment vertical="center"/>
    </xf>
    <xf numFmtId="3" fontId="18" fillId="0" borderId="23" xfId="0" applyNumberFormat="1" applyFont="1" applyFill="1" applyBorder="1" applyAlignment="1">
      <alignment vertical="center"/>
    </xf>
    <xf numFmtId="49" fontId="17" fillId="0" borderId="45" xfId="0" applyNumberFormat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vertical="center" wrapText="1"/>
    </xf>
    <xf numFmtId="3" fontId="17" fillId="0" borderId="25" xfId="0" applyNumberFormat="1" applyFont="1" applyFill="1" applyBorder="1" applyAlignment="1">
      <alignment vertical="center"/>
    </xf>
    <xf numFmtId="3" fontId="18" fillId="0" borderId="43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41" xfId="0" applyNumberFormat="1" applyFont="1" applyFill="1" applyBorder="1" applyAlignment="1">
      <alignment horizontal="center" vertical="center"/>
    </xf>
    <xf numFmtId="0" fontId="18" fillId="0" borderId="99" xfId="0" applyFont="1" applyFill="1" applyBorder="1" applyAlignment="1">
      <alignment vertical="center"/>
    </xf>
    <xf numFmtId="3" fontId="18" fillId="0" borderId="109" xfId="0" applyNumberFormat="1" applyFont="1" applyFill="1" applyBorder="1" applyAlignment="1">
      <alignment vertical="center"/>
    </xf>
    <xf numFmtId="3" fontId="18" fillId="0" borderId="11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12" fillId="0" borderId="37" xfId="60" applyNumberFormat="1" applyFont="1" applyFill="1" applyBorder="1" applyAlignment="1">
      <alignment vertical="center" wrapText="1"/>
      <protection/>
    </xf>
    <xf numFmtId="3" fontId="112" fillId="0" borderId="38" xfId="60" applyNumberFormat="1" applyFont="1" applyFill="1" applyBorder="1" applyAlignment="1">
      <alignment vertical="center" wrapText="1"/>
      <protection/>
    </xf>
    <xf numFmtId="3" fontId="112" fillId="0" borderId="21" xfId="60" applyNumberFormat="1" applyFont="1" applyFill="1" applyBorder="1" applyAlignment="1">
      <alignment vertical="center" wrapText="1"/>
      <protection/>
    </xf>
    <xf numFmtId="3" fontId="112" fillId="0" borderId="22" xfId="60" applyNumberFormat="1" applyFont="1" applyFill="1" applyBorder="1" applyAlignment="1">
      <alignment vertical="center" wrapText="1"/>
      <protection/>
    </xf>
    <xf numFmtId="3" fontId="112" fillId="0" borderId="21" xfId="60" applyNumberFormat="1" applyFont="1" applyFill="1" applyBorder="1" applyAlignment="1">
      <alignment vertical="center"/>
      <protection/>
    </xf>
    <xf numFmtId="3" fontId="112" fillId="0" borderId="22" xfId="60" applyNumberFormat="1" applyFont="1" applyFill="1" applyBorder="1" applyAlignment="1">
      <alignment vertical="center"/>
      <protection/>
    </xf>
    <xf numFmtId="3" fontId="112" fillId="0" borderId="39" xfId="60" applyNumberFormat="1" applyFont="1" applyFill="1" applyBorder="1" applyAlignment="1">
      <alignment vertical="center" wrapText="1"/>
      <protection/>
    </xf>
    <xf numFmtId="3" fontId="112" fillId="0" borderId="17" xfId="60" applyNumberFormat="1" applyFont="1" applyFill="1" applyBorder="1" applyAlignment="1">
      <alignment vertical="center" wrapText="1"/>
      <protection/>
    </xf>
    <xf numFmtId="3" fontId="112" fillId="35" borderId="17" xfId="60" applyNumberFormat="1" applyFont="1" applyFill="1" applyBorder="1" applyAlignment="1">
      <alignment horizontal="right" vertical="center" wrapText="1"/>
      <protection/>
    </xf>
    <xf numFmtId="3" fontId="112" fillId="0" borderId="17" xfId="60" applyNumberFormat="1" applyFont="1" applyFill="1" applyBorder="1" applyAlignment="1">
      <alignment vertical="center"/>
      <protection/>
    </xf>
    <xf numFmtId="3" fontId="60" fillId="0" borderId="110" xfId="60" applyNumberFormat="1" applyFont="1" applyFill="1" applyBorder="1" applyAlignment="1">
      <alignment vertical="center"/>
      <protection/>
    </xf>
    <xf numFmtId="3" fontId="60" fillId="0" borderId="109" xfId="60" applyNumberFormat="1" applyFont="1" applyFill="1" applyBorder="1" applyAlignment="1">
      <alignment vertical="center"/>
      <protection/>
    </xf>
    <xf numFmtId="3" fontId="60" fillId="0" borderId="111" xfId="60" applyNumberFormat="1" applyFont="1" applyFill="1" applyBorder="1" applyAlignment="1">
      <alignment vertical="center"/>
      <protection/>
    </xf>
    <xf numFmtId="3" fontId="112" fillId="0" borderId="45" xfId="60" applyNumberFormat="1" applyFont="1" applyFill="1" applyBorder="1" applyAlignment="1">
      <alignment vertical="center"/>
      <protection/>
    </xf>
    <xf numFmtId="3" fontId="112" fillId="0" borderId="44" xfId="60" applyNumberFormat="1" applyFont="1" applyFill="1" applyBorder="1" applyAlignment="1">
      <alignment vertical="center"/>
      <protection/>
    </xf>
    <xf numFmtId="3" fontId="43" fillId="0" borderId="25" xfId="60" applyNumberFormat="1" applyFont="1" applyFill="1" applyBorder="1" applyAlignment="1">
      <alignment vertical="center"/>
      <protection/>
    </xf>
    <xf numFmtId="3" fontId="42" fillId="0" borderId="25" xfId="60" applyNumberFormat="1" applyFont="1" applyFill="1" applyBorder="1" applyAlignment="1">
      <alignment vertical="center"/>
      <protection/>
    </xf>
    <xf numFmtId="3" fontId="21" fillId="0" borderId="112" xfId="60" applyNumberFormat="1" applyFont="1" applyFill="1" applyBorder="1" applyAlignment="1">
      <alignment vertical="center"/>
      <protection/>
    </xf>
    <xf numFmtId="3" fontId="24" fillId="0" borderId="109" xfId="60" applyNumberFormat="1" applyFont="1" applyFill="1" applyBorder="1" applyAlignment="1">
      <alignment vertical="center"/>
      <protection/>
    </xf>
    <xf numFmtId="3" fontId="24" fillId="0" borderId="110" xfId="60" applyNumberFormat="1" applyFont="1" applyFill="1" applyBorder="1" applyAlignment="1">
      <alignment vertical="center"/>
      <protection/>
    </xf>
    <xf numFmtId="3" fontId="23" fillId="0" borderId="48" xfId="59" applyNumberFormat="1" applyFont="1" applyBorder="1" applyAlignment="1">
      <alignment vertical="center"/>
      <protection/>
    </xf>
    <xf numFmtId="3" fontId="46" fillId="0" borderId="87" xfId="59" applyNumberFormat="1" applyFont="1" applyBorder="1">
      <alignment/>
      <protection/>
    </xf>
    <xf numFmtId="166" fontId="6" fillId="0" borderId="40" xfId="0" applyNumberFormat="1" applyFont="1" applyFill="1" applyBorder="1" applyAlignment="1">
      <alignment vertical="center"/>
    </xf>
    <xf numFmtId="166" fontId="6" fillId="0" borderId="23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1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 wrapText="1"/>
    </xf>
    <xf numFmtId="0" fontId="20" fillId="0" borderId="11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/>
    </xf>
    <xf numFmtId="0" fontId="0" fillId="0" borderId="60" xfId="0" applyBorder="1" applyAlignment="1">
      <alignment/>
    </xf>
    <xf numFmtId="0" fontId="19" fillId="0" borderId="31" xfId="0" applyFont="1" applyBorder="1" applyAlignment="1">
      <alignment horizontal="center"/>
    </xf>
    <xf numFmtId="0" fontId="0" fillId="0" borderId="119" xfId="0" applyBorder="1" applyAlignment="1">
      <alignment/>
    </xf>
    <xf numFmtId="3" fontId="22" fillId="4" borderId="119" xfId="0" applyNumberFormat="1" applyFont="1" applyFill="1" applyBorder="1" applyAlignment="1">
      <alignment/>
    </xf>
    <xf numFmtId="3" fontId="0" fillId="0" borderId="36" xfId="0" applyNumberFormat="1" applyBorder="1" applyAlignment="1">
      <alignment/>
    </xf>
    <xf numFmtId="3" fontId="0" fillId="37" borderId="36" xfId="0" applyNumberFormat="1" applyFill="1" applyBorder="1" applyAlignment="1">
      <alignment/>
    </xf>
    <xf numFmtId="3" fontId="0" fillId="4" borderId="120" xfId="0" applyNumberFormat="1" applyFill="1" applyBorder="1" applyAlignment="1">
      <alignment/>
    </xf>
    <xf numFmtId="0" fontId="0" fillId="0" borderId="121" xfId="0" applyBorder="1" applyAlignment="1">
      <alignment/>
    </xf>
    <xf numFmtId="3" fontId="22" fillId="4" borderId="122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37" borderId="22" xfId="0" applyNumberFormat="1" applyFill="1" applyBorder="1" applyAlignment="1">
      <alignment/>
    </xf>
    <xf numFmtId="3" fontId="0" fillId="4" borderId="31" xfId="0" applyNumberFormat="1" applyFill="1" applyBorder="1" applyAlignment="1">
      <alignment/>
    </xf>
    <xf numFmtId="0" fontId="22" fillId="0" borderId="42" xfId="0" applyFont="1" applyBorder="1" applyAlignment="1">
      <alignment/>
    </xf>
    <xf numFmtId="3" fontId="22" fillId="4" borderId="46" xfId="0" applyNumberFormat="1" applyFont="1" applyFill="1" applyBorder="1" applyAlignment="1">
      <alignment/>
    </xf>
    <xf numFmtId="3" fontId="22" fillId="38" borderId="99" xfId="0" applyNumberFormat="1" applyFont="1" applyFill="1" applyBorder="1" applyAlignment="1">
      <alignment/>
    </xf>
    <xf numFmtId="3" fontId="22" fillId="37" borderId="99" xfId="0" applyNumberFormat="1" applyFont="1" applyFill="1" applyBorder="1" applyAlignment="1">
      <alignment/>
    </xf>
    <xf numFmtId="3" fontId="22" fillId="37" borderId="123" xfId="0" applyNumberFormat="1" applyFont="1" applyFill="1" applyBorder="1" applyAlignment="1">
      <alignment/>
    </xf>
    <xf numFmtId="3" fontId="22" fillId="37" borderId="110" xfId="0" applyNumberFormat="1" applyFont="1" applyFill="1" applyBorder="1" applyAlignment="1">
      <alignment/>
    </xf>
    <xf numFmtId="3" fontId="22" fillId="4" borderId="41" xfId="0" applyNumberFormat="1" applyFont="1" applyFill="1" applyBorder="1" applyAlignment="1">
      <alignment/>
    </xf>
    <xf numFmtId="0" fontId="19" fillId="0" borderId="112" xfId="0" applyFont="1" applyBorder="1" applyAlignment="1">
      <alignment horizontal="center"/>
    </xf>
    <xf numFmtId="0" fontId="0" fillId="0" borderId="37" xfId="0" applyBorder="1" applyAlignment="1">
      <alignment horizontal="left"/>
    </xf>
    <xf numFmtId="3" fontId="0" fillId="4" borderId="35" xfId="0" applyNumberFormat="1" applyFill="1" applyBorder="1" applyAlignment="1">
      <alignment/>
    </xf>
    <xf numFmtId="0" fontId="0" fillId="0" borderId="124" xfId="0" applyBorder="1" applyAlignment="1">
      <alignment horizontal="right"/>
    </xf>
    <xf numFmtId="0" fontId="0" fillId="0" borderId="45" xfId="0" applyBorder="1" applyAlignment="1">
      <alignment horizontal="left"/>
    </xf>
    <xf numFmtId="3" fontId="0" fillId="4" borderId="21" xfId="0" applyNumberFormat="1" applyFill="1" applyBorder="1" applyAlignment="1">
      <alignment/>
    </xf>
    <xf numFmtId="0" fontId="19" fillId="0" borderId="117" xfId="0" applyFont="1" applyBorder="1" applyAlignment="1">
      <alignment horizontal="center" vertical="center"/>
    </xf>
    <xf numFmtId="0" fontId="22" fillId="0" borderId="73" xfId="0" applyFont="1" applyBorder="1" applyAlignment="1">
      <alignment/>
    </xf>
    <xf numFmtId="3" fontId="22" fillId="4" borderId="73" xfId="0" applyNumberFormat="1" applyFont="1" applyFill="1" applyBorder="1" applyAlignment="1">
      <alignment/>
    </xf>
    <xf numFmtId="3" fontId="22" fillId="38" borderId="125" xfId="0" applyNumberFormat="1" applyFont="1" applyFill="1" applyBorder="1" applyAlignment="1">
      <alignment horizontal="right"/>
    </xf>
    <xf numFmtId="3" fontId="22" fillId="4" borderId="100" xfId="0" applyNumberFormat="1" applyFont="1" applyFill="1" applyBorder="1" applyAlignment="1">
      <alignment/>
    </xf>
    <xf numFmtId="0" fontId="19" fillId="0" borderId="113" xfId="0" applyFont="1" applyBorder="1" applyAlignment="1">
      <alignment horizontal="center" vertical="center"/>
    </xf>
    <xf numFmtId="3" fontId="14" fillId="4" borderId="35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 vertical="center"/>
    </xf>
    <xf numFmtId="0" fontId="19" fillId="0" borderId="31" xfId="0" applyFont="1" applyBorder="1" applyAlignment="1">
      <alignment horizontal="center" vertical="center"/>
    </xf>
    <xf numFmtId="3" fontId="14" fillId="4" borderId="45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19" fillId="0" borderId="117" xfId="0" applyFont="1" applyBorder="1" applyAlignment="1">
      <alignment horizontal="center"/>
    </xf>
    <xf numFmtId="0" fontId="22" fillId="0" borderId="100" xfId="0" applyFont="1" applyBorder="1" applyAlignment="1">
      <alignment/>
    </xf>
    <xf numFmtId="3" fontId="22" fillId="38" borderId="74" xfId="0" applyNumberFormat="1" applyFont="1" applyFill="1" applyBorder="1" applyAlignment="1">
      <alignment/>
    </xf>
    <xf numFmtId="0" fontId="19" fillId="0" borderId="113" xfId="0" applyFont="1" applyBorder="1" applyAlignment="1">
      <alignment horizontal="center"/>
    </xf>
    <xf numFmtId="3" fontId="0" fillId="0" borderId="124" xfId="0" applyNumberFormat="1" applyBorder="1" applyAlignment="1">
      <alignment/>
    </xf>
    <xf numFmtId="3" fontId="0" fillId="37" borderId="78" xfId="0" applyNumberFormat="1" applyFill="1" applyBorder="1" applyAlignment="1">
      <alignment/>
    </xf>
    <xf numFmtId="3" fontId="0" fillId="37" borderId="18" xfId="0" applyNumberFormat="1" applyFill="1" applyBorder="1" applyAlignment="1">
      <alignment/>
    </xf>
    <xf numFmtId="3" fontId="0" fillId="37" borderId="34" xfId="0" applyNumberFormat="1" applyFill="1" applyBorder="1" applyAlignment="1">
      <alignment/>
    </xf>
    <xf numFmtId="0" fontId="0" fillId="0" borderId="126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127" xfId="0" applyBorder="1" applyAlignment="1">
      <alignment/>
    </xf>
    <xf numFmtId="3" fontId="0" fillId="4" borderId="29" xfId="0" applyNumberFormat="1" applyFill="1" applyBorder="1" applyAlignment="1">
      <alignment/>
    </xf>
    <xf numFmtId="3" fontId="0" fillId="37" borderId="99" xfId="0" applyNumberFormat="1" applyFill="1" applyBorder="1" applyAlignment="1">
      <alignment/>
    </xf>
    <xf numFmtId="3" fontId="0" fillId="37" borderId="110" xfId="0" applyNumberFormat="1" applyFill="1" applyBorder="1" applyAlignment="1">
      <alignment/>
    </xf>
    <xf numFmtId="3" fontId="0" fillId="37" borderId="74" xfId="0" applyNumberFormat="1" applyFill="1" applyBorder="1" applyAlignment="1">
      <alignment/>
    </xf>
    <xf numFmtId="3" fontId="0" fillId="37" borderId="128" xfId="0" applyNumberFormat="1" applyFill="1" applyBorder="1" applyAlignment="1">
      <alignment/>
    </xf>
    <xf numFmtId="0" fontId="15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120" xfId="0" applyBorder="1" applyAlignment="1">
      <alignment/>
    </xf>
    <xf numFmtId="3" fontId="23" fillId="0" borderId="61" xfId="59" applyNumberFormat="1" applyFont="1" applyBorder="1" applyAlignment="1">
      <alignment vertical="center"/>
      <protection/>
    </xf>
    <xf numFmtId="3" fontId="23" fillId="0" borderId="105" xfId="59" applyNumberFormat="1" applyFont="1" applyBorder="1" applyAlignment="1">
      <alignment vertical="center"/>
      <protection/>
    </xf>
    <xf numFmtId="3" fontId="23" fillId="0" borderId="129" xfId="59" applyNumberFormat="1" applyFont="1" applyBorder="1" applyAlignment="1">
      <alignment vertical="center"/>
      <protection/>
    </xf>
    <xf numFmtId="3" fontId="23" fillId="0" borderId="0" xfId="59" applyNumberFormat="1" applyFont="1" applyFill="1" applyBorder="1" applyAlignment="1">
      <alignment vertical="center"/>
      <protection/>
    </xf>
    <xf numFmtId="0" fontId="23" fillId="36" borderId="73" xfId="59" applyFont="1" applyFill="1" applyBorder="1" applyAlignment="1">
      <alignment horizontal="left" vertical="center" wrapText="1"/>
      <protection/>
    </xf>
    <xf numFmtId="3" fontId="20" fillId="36" borderId="74" xfId="59" applyNumberFormat="1" applyFont="1" applyFill="1" applyBorder="1" applyAlignment="1">
      <alignment horizontal="right" vertical="center"/>
      <protection/>
    </xf>
    <xf numFmtId="3" fontId="20" fillId="36" borderId="93" xfId="59" applyNumberFormat="1" applyFont="1" applyFill="1" applyBorder="1" applyAlignment="1">
      <alignment vertical="center"/>
      <protection/>
    </xf>
    <xf numFmtId="3" fontId="20" fillId="36" borderId="102" xfId="59" applyNumberFormat="1" applyFont="1" applyFill="1" applyBorder="1" applyAlignment="1">
      <alignment vertical="center"/>
      <protection/>
    </xf>
    <xf numFmtId="0" fontId="23" fillId="36" borderId="76" xfId="59" applyFont="1" applyFill="1" applyBorder="1" applyAlignment="1">
      <alignment horizontal="left" vertical="center"/>
      <protection/>
    </xf>
    <xf numFmtId="3" fontId="16" fillId="36" borderId="100" xfId="59" applyNumberFormat="1" applyFont="1" applyFill="1" applyBorder="1" applyAlignment="1">
      <alignment horizontal="right" vertical="center"/>
      <protection/>
    </xf>
    <xf numFmtId="3" fontId="16" fillId="36" borderId="101" xfId="59" applyNumberFormat="1" applyFont="1" applyFill="1" applyBorder="1" applyAlignment="1">
      <alignment horizontal="right" vertical="center"/>
      <protection/>
    </xf>
    <xf numFmtId="3" fontId="60" fillId="36" borderId="93" xfId="59" applyNumberFormat="1" applyFont="1" applyFill="1" applyBorder="1" applyAlignment="1">
      <alignment horizontal="right" vertical="center"/>
      <protection/>
    </xf>
    <xf numFmtId="3" fontId="60" fillId="36" borderId="74" xfId="59" applyNumberFormat="1" applyFont="1" applyFill="1" applyBorder="1" applyAlignment="1">
      <alignment horizontal="right" vertical="center"/>
      <protection/>
    </xf>
    <xf numFmtId="3" fontId="60" fillId="36" borderId="75" xfId="59" applyNumberFormat="1" applyFont="1" applyFill="1" applyBorder="1" applyAlignment="1">
      <alignment vertical="center"/>
      <protection/>
    </xf>
    <xf numFmtId="3" fontId="60" fillId="36" borderId="76" xfId="59" applyNumberFormat="1" applyFont="1" applyFill="1" applyBorder="1" applyAlignment="1">
      <alignment vertical="center"/>
      <protection/>
    </xf>
    <xf numFmtId="3" fontId="60" fillId="36" borderId="74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horizontal="center"/>
    </xf>
    <xf numFmtId="0" fontId="20" fillId="0" borderId="130" xfId="59" applyFont="1" applyBorder="1" applyAlignment="1">
      <alignment horizontal="center" vertical="center"/>
      <protection/>
    </xf>
    <xf numFmtId="3" fontId="16" fillId="0" borderId="96" xfId="59" applyNumberFormat="1" applyFont="1" applyBorder="1">
      <alignment/>
      <protection/>
    </xf>
    <xf numFmtId="3" fontId="46" fillId="0" borderId="103" xfId="59" applyNumberFormat="1" applyFont="1" applyBorder="1">
      <alignment/>
      <protection/>
    </xf>
    <xf numFmtId="3" fontId="60" fillId="0" borderId="72" xfId="59" applyNumberFormat="1" applyFont="1" applyBorder="1" applyAlignment="1">
      <alignment horizontal="right" vertical="center"/>
      <protection/>
    </xf>
    <xf numFmtId="0" fontId="16" fillId="0" borderId="131" xfId="59" applyFont="1" applyBorder="1" applyAlignment="1">
      <alignment horizontal="right" vertical="center"/>
      <protection/>
    </xf>
    <xf numFmtId="3" fontId="60" fillId="0" borderId="132" xfId="59" applyNumberFormat="1" applyFont="1" applyBorder="1" applyAlignment="1">
      <alignment horizontal="right" vertical="center"/>
      <protection/>
    </xf>
    <xf numFmtId="0" fontId="20" fillId="0" borderId="50" xfId="59" applyFont="1" applyBorder="1" applyAlignment="1">
      <alignment horizontal="center" vertical="center"/>
      <protection/>
    </xf>
    <xf numFmtId="0" fontId="20" fillId="0" borderId="133" xfId="60" applyFont="1" applyFill="1" applyBorder="1" applyAlignment="1">
      <alignment horizontal="center" vertical="center" wrapText="1"/>
      <protection/>
    </xf>
    <xf numFmtId="0" fontId="20" fillId="0" borderId="46" xfId="59" applyFont="1" applyBorder="1" applyAlignment="1">
      <alignment horizontal="center" vertical="center"/>
      <protection/>
    </xf>
    <xf numFmtId="0" fontId="20" fillId="0" borderId="123" xfId="59" applyFont="1" applyBorder="1" applyAlignment="1">
      <alignment horizontal="center" vertical="center"/>
      <protection/>
    </xf>
    <xf numFmtId="0" fontId="24" fillId="0" borderId="80" xfId="59" applyFont="1" applyBorder="1" applyAlignment="1">
      <alignment horizontal="right" vertical="center"/>
      <protection/>
    </xf>
    <xf numFmtId="3" fontId="20" fillId="0" borderId="82" xfId="59" applyNumberFormat="1" applyFont="1" applyBorder="1" applyAlignment="1">
      <alignment horizontal="right" vertical="center"/>
      <protection/>
    </xf>
    <xf numFmtId="3" fontId="20" fillId="0" borderId="81" xfId="59" applyNumberFormat="1" applyFont="1" applyBorder="1" applyAlignment="1">
      <alignment vertical="center"/>
      <protection/>
    </xf>
    <xf numFmtId="3" fontId="20" fillId="0" borderId="68" xfId="59" applyNumberFormat="1" applyFont="1" applyBorder="1" applyAlignment="1">
      <alignment vertical="center"/>
      <protection/>
    </xf>
    <xf numFmtId="3" fontId="61" fillId="0" borderId="81" xfId="59" applyNumberFormat="1" applyFont="1" applyBorder="1" applyAlignment="1">
      <alignment vertical="center"/>
      <protection/>
    </xf>
    <xf numFmtId="3" fontId="24" fillId="0" borderId="81" xfId="59" applyNumberFormat="1" applyFont="1" applyFill="1" applyBorder="1" applyAlignment="1">
      <alignment vertical="center"/>
      <protection/>
    </xf>
    <xf numFmtId="3" fontId="16" fillId="0" borderId="84" xfId="59" applyNumberFormat="1" applyFont="1" applyBorder="1" applyAlignment="1">
      <alignment vertical="center"/>
      <protection/>
    </xf>
    <xf numFmtId="3" fontId="60" fillId="0" borderId="80" xfId="59" applyNumberFormat="1" applyFont="1" applyBorder="1" applyAlignment="1">
      <alignment vertical="center"/>
      <protection/>
    </xf>
    <xf numFmtId="3" fontId="60" fillId="0" borderId="82" xfId="59" applyNumberFormat="1" applyFont="1" applyBorder="1" applyAlignment="1">
      <alignment vertical="center"/>
      <protection/>
    </xf>
    <xf numFmtId="3" fontId="60" fillId="0" borderId="86" xfId="59" applyNumberFormat="1" applyFont="1" applyBorder="1" applyAlignment="1">
      <alignment vertical="center"/>
      <protection/>
    </xf>
    <xf numFmtId="0" fontId="20" fillId="0" borderId="106" xfId="59" applyFont="1" applyBorder="1" applyAlignment="1">
      <alignment horizontal="center"/>
      <protection/>
    </xf>
    <xf numFmtId="0" fontId="20" fillId="0" borderId="106" xfId="59" applyFont="1" applyBorder="1" applyAlignment="1">
      <alignment horizontal="center" vertical="center"/>
      <protection/>
    </xf>
    <xf numFmtId="3" fontId="20" fillId="36" borderId="100" xfId="59" applyNumberFormat="1" applyFont="1" applyFill="1" applyBorder="1" applyAlignment="1">
      <alignment horizontal="right" vertical="center"/>
      <protection/>
    </xf>
    <xf numFmtId="3" fontId="60" fillId="36" borderId="76" xfId="59" applyNumberFormat="1" applyFont="1" applyFill="1" applyBorder="1" applyAlignment="1">
      <alignment horizontal="right" vertical="center"/>
      <protection/>
    </xf>
    <xf numFmtId="3" fontId="60" fillId="36" borderId="102" xfId="59" applyNumberFormat="1" applyFont="1" applyFill="1" applyBorder="1" applyAlignment="1">
      <alignment vertical="center"/>
      <protection/>
    </xf>
    <xf numFmtId="3" fontId="14" fillId="0" borderId="21" xfId="61" applyNumberFormat="1" applyFont="1" applyFill="1" applyBorder="1" applyAlignment="1">
      <alignment vertical="center"/>
      <protection/>
    </xf>
    <xf numFmtId="3" fontId="14" fillId="0" borderId="22" xfId="61" applyNumberFormat="1" applyFont="1" applyFill="1" applyBorder="1" applyAlignment="1">
      <alignment vertical="center"/>
      <protection/>
    </xf>
    <xf numFmtId="3" fontId="14" fillId="0" borderId="23" xfId="61" applyNumberFormat="1" applyFont="1" applyBorder="1" applyAlignment="1">
      <alignment vertical="center"/>
      <protection/>
    </xf>
    <xf numFmtId="0" fontId="23" fillId="0" borderId="69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3" fontId="14" fillId="35" borderId="23" xfId="61" applyNumberFormat="1" applyFill="1" applyBorder="1" applyAlignment="1">
      <alignment vertical="center"/>
      <protection/>
    </xf>
    <xf numFmtId="49" fontId="17" fillId="0" borderId="126" xfId="0" applyNumberFormat="1" applyFont="1" applyFill="1" applyBorder="1" applyAlignment="1">
      <alignment horizontal="center" vertical="center"/>
    </xf>
    <xf numFmtId="3" fontId="17" fillId="0" borderId="54" xfId="0" applyNumberFormat="1" applyFont="1" applyFill="1" applyBorder="1" applyAlignment="1">
      <alignment vertical="center"/>
    </xf>
    <xf numFmtId="3" fontId="18" fillId="0" borderId="134" xfId="0" applyNumberFormat="1" applyFont="1" applyFill="1" applyBorder="1" applyAlignment="1">
      <alignment vertical="center"/>
    </xf>
    <xf numFmtId="3" fontId="18" fillId="0" borderId="111" xfId="0" applyNumberFormat="1" applyFont="1" applyFill="1" applyBorder="1" applyAlignment="1">
      <alignment vertical="center"/>
    </xf>
    <xf numFmtId="0" fontId="23" fillId="0" borderId="0" xfId="59" applyFont="1" applyBorder="1" applyAlignment="1">
      <alignment horizontal="left" vertical="center" wrapText="1"/>
      <protection/>
    </xf>
    <xf numFmtId="3" fontId="16" fillId="0" borderId="135" xfId="59" applyNumberFormat="1" applyFont="1" applyBorder="1" applyAlignment="1">
      <alignment horizontal="right" vertical="center"/>
      <protection/>
    </xf>
    <xf numFmtId="3" fontId="16" fillId="0" borderId="136" xfId="59" applyNumberFormat="1" applyFont="1" applyBorder="1" applyAlignment="1">
      <alignment horizontal="right" vertical="center"/>
      <protection/>
    </xf>
    <xf numFmtId="0" fontId="6" fillId="0" borderId="22" xfId="0" applyFont="1" applyFill="1" applyBorder="1" applyAlignment="1">
      <alignment horizontal="left" vertical="center" wrapText="1"/>
    </xf>
    <xf numFmtId="3" fontId="43" fillId="35" borderId="17" xfId="60" applyNumberFormat="1" applyFont="1" applyFill="1" applyBorder="1" applyAlignment="1">
      <alignment horizontal="right" vertical="center" wrapText="1"/>
      <protection/>
    </xf>
    <xf numFmtId="3" fontId="43" fillId="0" borderId="45" xfId="60" applyNumberFormat="1" applyFont="1" applyFill="1" applyBorder="1" applyAlignment="1">
      <alignment vertical="center"/>
      <protection/>
    </xf>
    <xf numFmtId="3" fontId="43" fillId="0" borderId="44" xfId="60" applyNumberFormat="1" applyFont="1" applyFill="1" applyBorder="1" applyAlignment="1">
      <alignment vertical="center"/>
      <protection/>
    </xf>
    <xf numFmtId="49" fontId="42" fillId="0" borderId="29" xfId="60" applyNumberFormat="1" applyFont="1" applyFill="1" applyBorder="1" applyAlignment="1">
      <alignment horizontal="center" vertical="center"/>
      <protection/>
    </xf>
    <xf numFmtId="3" fontId="19" fillId="0" borderId="28" xfId="59" applyNumberFormat="1" applyFont="1" applyBorder="1">
      <alignment/>
      <protection/>
    </xf>
    <xf numFmtId="0" fontId="23" fillId="0" borderId="28" xfId="59" applyFont="1" applyBorder="1" applyAlignment="1">
      <alignment horizontal="left"/>
      <protection/>
    </xf>
    <xf numFmtId="0" fontId="23" fillId="0" borderId="28" xfId="0" applyFont="1" applyFill="1" applyBorder="1" applyAlignment="1">
      <alignment/>
    </xf>
    <xf numFmtId="3" fontId="16" fillId="0" borderId="137" xfId="59" applyNumberFormat="1" applyFont="1" applyBorder="1" applyAlignment="1">
      <alignment horizontal="right" vertical="center"/>
      <protection/>
    </xf>
    <xf numFmtId="0" fontId="23" fillId="0" borderId="122" xfId="59" applyFont="1" applyBorder="1" applyAlignment="1">
      <alignment horizontal="left" vertical="center" wrapText="1"/>
      <protection/>
    </xf>
    <xf numFmtId="0" fontId="23" fillId="0" borderId="28" xfId="59" applyFont="1" applyBorder="1" applyAlignment="1">
      <alignment horizontal="left" vertical="center" wrapText="1"/>
      <protection/>
    </xf>
    <xf numFmtId="3" fontId="23" fillId="0" borderId="13" xfId="59" applyNumberFormat="1" applyFont="1" applyBorder="1" applyAlignment="1">
      <alignment vertical="center"/>
      <protection/>
    </xf>
    <xf numFmtId="3" fontId="23" fillId="0" borderId="28" xfId="59" applyNumberFormat="1" applyFont="1" applyBorder="1" applyAlignment="1">
      <alignment vertical="center"/>
      <protection/>
    </xf>
    <xf numFmtId="3" fontId="16" fillId="0" borderId="138" xfId="59" applyNumberFormat="1" applyFont="1" applyBorder="1" applyAlignment="1">
      <alignment horizontal="right" vertical="center"/>
      <protection/>
    </xf>
    <xf numFmtId="3" fontId="60" fillId="0" borderId="28" xfId="59" applyNumberFormat="1" applyFont="1" applyBorder="1" applyAlignment="1">
      <alignment horizontal="right" vertical="center"/>
      <protection/>
    </xf>
    <xf numFmtId="3" fontId="60" fillId="0" borderId="18" xfId="59" applyNumberFormat="1" applyFont="1" applyBorder="1" applyAlignment="1">
      <alignment horizontal="right" vertical="center"/>
      <protection/>
    </xf>
    <xf numFmtId="3" fontId="60" fillId="0" borderId="139" xfId="59" applyNumberFormat="1" applyFont="1" applyBorder="1" applyAlignment="1">
      <alignment horizontal="right" vertical="center"/>
      <protection/>
    </xf>
    <xf numFmtId="3" fontId="20" fillId="0" borderId="18" xfId="59" applyNumberFormat="1" applyFont="1" applyBorder="1" applyAlignment="1">
      <alignment horizontal="right"/>
      <protection/>
    </xf>
    <xf numFmtId="3" fontId="20" fillId="0" borderId="139" xfId="59" applyNumberFormat="1" applyFont="1" applyBorder="1">
      <alignment/>
      <protection/>
    </xf>
    <xf numFmtId="0" fontId="19" fillId="0" borderId="72" xfId="59" applyFont="1" applyBorder="1">
      <alignment/>
      <protection/>
    </xf>
    <xf numFmtId="0" fontId="19" fillId="39" borderId="97" xfId="0" applyFont="1" applyFill="1" applyBorder="1" applyAlignment="1">
      <alignment horizontal="center"/>
    </xf>
    <xf numFmtId="0" fontId="19" fillId="0" borderId="14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105" xfId="0" applyBorder="1" applyAlignment="1">
      <alignment vertical="center"/>
    </xf>
    <xf numFmtId="3" fontId="0" fillId="4" borderId="113" xfId="0" applyNumberFormat="1" applyFill="1" applyBorder="1" applyAlignment="1">
      <alignment/>
    </xf>
    <xf numFmtId="0" fontId="19" fillId="0" borderId="97" xfId="0" applyFont="1" applyBorder="1" applyAlignment="1">
      <alignment horizontal="center" vertical="center"/>
    </xf>
    <xf numFmtId="3" fontId="0" fillId="37" borderId="36" xfId="0" applyNumberFormat="1" applyFill="1" applyBorder="1" applyAlignment="1">
      <alignment horizontal="right" vertical="center"/>
    </xf>
    <xf numFmtId="3" fontId="0" fillId="37" borderId="17" xfId="0" applyNumberFormat="1" applyFill="1" applyBorder="1" applyAlignment="1">
      <alignment/>
    </xf>
    <xf numFmtId="3" fontId="0" fillId="37" borderId="141" xfId="0" applyNumberFormat="1" applyFill="1" applyBorder="1" applyAlignment="1">
      <alignment horizontal="right" vertical="center"/>
    </xf>
    <xf numFmtId="3" fontId="0" fillId="4" borderId="121" xfId="0" applyNumberFormat="1" applyFill="1" applyBorder="1" applyAlignment="1">
      <alignment/>
    </xf>
    <xf numFmtId="3" fontId="0" fillId="37" borderId="14" xfId="0" applyNumberFormat="1" applyFill="1" applyBorder="1" applyAlignment="1">
      <alignment/>
    </xf>
    <xf numFmtId="0" fontId="0" fillId="0" borderId="31" xfId="0" applyBorder="1" applyAlignment="1">
      <alignment horizontal="left"/>
    </xf>
    <xf numFmtId="3" fontId="0" fillId="4" borderId="127" xfId="0" applyNumberFormat="1" applyFill="1" applyBorder="1" applyAlignment="1">
      <alignment/>
    </xf>
    <xf numFmtId="3" fontId="22" fillId="37" borderId="14" xfId="0" applyNumberFormat="1" applyFont="1" applyFill="1" applyBorder="1" applyAlignment="1">
      <alignment/>
    </xf>
    <xf numFmtId="0" fontId="0" fillId="0" borderId="137" xfId="0" applyBorder="1" applyAlignment="1">
      <alignment horizontal="left"/>
    </xf>
    <xf numFmtId="3" fontId="0" fillId="37" borderId="142" xfId="0" applyNumberFormat="1" applyFill="1" applyBorder="1" applyAlignment="1">
      <alignment horizontal="right" vertical="center"/>
    </xf>
    <xf numFmtId="3" fontId="0" fillId="0" borderId="20" xfId="0" applyNumberFormat="1" applyBorder="1" applyAlignment="1">
      <alignment/>
    </xf>
    <xf numFmtId="3" fontId="0" fillId="4" borderId="137" xfId="0" applyNumberFormat="1" applyFill="1" applyBorder="1" applyAlignment="1">
      <alignment/>
    </xf>
    <xf numFmtId="3" fontId="0" fillId="4" borderId="143" xfId="0" applyNumberFormat="1" applyFill="1" applyBorder="1" applyAlignment="1">
      <alignment/>
    </xf>
    <xf numFmtId="3" fontId="0" fillId="4" borderId="37" xfId="0" applyNumberFormat="1" applyFill="1" applyBorder="1" applyAlignment="1">
      <alignment/>
    </xf>
    <xf numFmtId="0" fontId="22" fillId="0" borderId="69" xfId="0" applyFont="1" applyBorder="1" applyAlignment="1">
      <alignment/>
    </xf>
    <xf numFmtId="3" fontId="22" fillId="4" borderId="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22" fillId="38" borderId="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 horizontal="center"/>
    </xf>
    <xf numFmtId="3" fontId="22" fillId="4" borderId="60" xfId="0" applyNumberFormat="1" applyFont="1" applyFill="1" applyBorder="1" applyAlignment="1">
      <alignment/>
    </xf>
    <xf numFmtId="3" fontId="0" fillId="35" borderId="36" xfId="0" applyNumberFormat="1" applyFill="1" applyBorder="1" applyAlignment="1">
      <alignment/>
    </xf>
    <xf numFmtId="0" fontId="22" fillId="0" borderId="84" xfId="0" applyFont="1" applyBorder="1" applyAlignment="1">
      <alignment/>
    </xf>
    <xf numFmtId="3" fontId="22" fillId="35" borderId="81" xfId="0" applyNumberFormat="1" applyFont="1" applyFill="1" applyBorder="1" applyAlignment="1">
      <alignment/>
    </xf>
    <xf numFmtId="3" fontId="0" fillId="35" borderId="81" xfId="0" applyNumberFormat="1" applyFill="1" applyBorder="1" applyAlignment="1">
      <alignment/>
    </xf>
    <xf numFmtId="3" fontId="0" fillId="35" borderId="81" xfId="0" applyNumberFormat="1" applyFill="1" applyBorder="1" applyAlignment="1">
      <alignment horizontal="center"/>
    </xf>
    <xf numFmtId="3" fontId="22" fillId="35" borderId="129" xfId="0" applyNumberFormat="1" applyFont="1" applyFill="1" applyBorder="1" applyAlignment="1">
      <alignment/>
    </xf>
    <xf numFmtId="3" fontId="0" fillId="35" borderId="78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34" xfId="0" applyNumberFormat="1" applyFill="1" applyBorder="1" applyAlignment="1">
      <alignment/>
    </xf>
    <xf numFmtId="3" fontId="0" fillId="35" borderId="38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0" fontId="19" fillId="39" borderId="97" xfId="0" applyFont="1" applyFill="1" applyBorder="1" applyAlignment="1">
      <alignment horizontal="center" vertical="center"/>
    </xf>
    <xf numFmtId="0" fontId="0" fillId="0" borderId="144" xfId="0" applyBorder="1" applyAlignment="1">
      <alignment vertical="center"/>
    </xf>
    <xf numFmtId="3" fontId="14" fillId="4" borderId="37" xfId="0" applyNumberFormat="1" applyFont="1" applyFill="1" applyBorder="1" applyAlignment="1">
      <alignment horizontal="right"/>
    </xf>
    <xf numFmtId="3" fontId="0" fillId="37" borderId="38" xfId="0" applyNumberFormat="1" applyFill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4" borderId="30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0" fontId="19" fillId="0" borderId="145" xfId="0" applyFont="1" applyBorder="1" applyAlignment="1">
      <alignment horizontal="center"/>
    </xf>
    <xf numFmtId="3" fontId="0" fillId="37" borderId="108" xfId="0" applyNumberFormat="1" applyFill="1" applyBorder="1" applyAlignment="1">
      <alignment horizontal="right" vertical="center"/>
    </xf>
    <xf numFmtId="3" fontId="0" fillId="0" borderId="39" xfId="0" applyNumberFormat="1" applyBorder="1" applyAlignment="1">
      <alignment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/>
    </xf>
    <xf numFmtId="3" fontId="0" fillId="35" borderId="17" xfId="0" applyNumberFormat="1" applyFill="1" applyBorder="1" applyAlignment="1">
      <alignment/>
    </xf>
    <xf numFmtId="3" fontId="0" fillId="35" borderId="54" xfId="0" applyNumberFormat="1" applyFill="1" applyBorder="1" applyAlignment="1">
      <alignment/>
    </xf>
    <xf numFmtId="3" fontId="0" fillId="0" borderId="22" xfId="0" applyNumberFormat="1" applyBorder="1" applyAlignment="1">
      <alignment horizontal="right"/>
    </xf>
    <xf numFmtId="0" fontId="0" fillId="0" borderId="0" xfId="0" applyFont="1" applyAlignment="1">
      <alignment/>
    </xf>
    <xf numFmtId="0" fontId="21" fillId="35" borderId="14" xfId="60" applyFont="1" applyFill="1" applyBorder="1" applyAlignment="1">
      <alignment horizontal="left" vertical="center" wrapText="1"/>
      <protection/>
    </xf>
    <xf numFmtId="3" fontId="0" fillId="4" borderId="126" xfId="0" applyNumberFormat="1" applyFill="1" applyBorder="1" applyAlignment="1">
      <alignment/>
    </xf>
    <xf numFmtId="3" fontId="0" fillId="37" borderId="32" xfId="0" applyNumberFormat="1" applyFill="1" applyBorder="1" applyAlignment="1">
      <alignment/>
    </xf>
    <xf numFmtId="3" fontId="0" fillId="37" borderId="108" xfId="0" applyNumberFormat="1" applyFill="1" applyBorder="1" applyAlignment="1">
      <alignment/>
    </xf>
    <xf numFmtId="0" fontId="0" fillId="0" borderId="127" xfId="0" applyBorder="1" applyAlignment="1">
      <alignment wrapText="1"/>
    </xf>
    <xf numFmtId="3" fontId="60" fillId="0" borderId="131" xfId="59" applyNumberFormat="1" applyFont="1" applyBorder="1" applyAlignment="1">
      <alignment horizontal="right" vertical="center"/>
      <protection/>
    </xf>
    <xf numFmtId="3" fontId="20" fillId="0" borderId="78" xfId="59" applyNumberFormat="1" applyFont="1" applyBorder="1" applyAlignment="1">
      <alignment horizontal="right" vertical="center"/>
      <protection/>
    </xf>
    <xf numFmtId="3" fontId="20" fillId="0" borderId="58" xfId="59" applyNumberFormat="1" applyFont="1" applyBorder="1" applyAlignment="1">
      <alignment horizontal="right" vertical="center"/>
      <protection/>
    </xf>
    <xf numFmtId="3" fontId="16" fillId="0" borderId="88" xfId="59" applyNumberFormat="1" applyFont="1" applyBorder="1" applyAlignment="1">
      <alignment horizontal="right" vertical="center"/>
      <protection/>
    </xf>
    <xf numFmtId="3" fontId="16" fillId="0" borderId="146" xfId="59" applyNumberFormat="1" applyFont="1" applyBorder="1" applyAlignment="1">
      <alignment horizontal="right" vertical="center"/>
      <protection/>
    </xf>
    <xf numFmtId="3" fontId="60" fillId="0" borderId="131" xfId="59" applyNumberFormat="1" applyFont="1" applyBorder="1" applyAlignment="1">
      <alignment horizontal="center" vertical="center"/>
      <protection/>
    </xf>
    <xf numFmtId="3" fontId="23" fillId="0" borderId="48" xfId="59" applyNumberFormat="1" applyFont="1" applyBorder="1" applyAlignment="1">
      <alignment/>
      <protection/>
    </xf>
    <xf numFmtId="3" fontId="20" fillId="36" borderId="74" xfId="59" applyNumberFormat="1" applyFont="1" applyFill="1" applyBorder="1" applyAlignment="1">
      <alignment vertical="center"/>
      <protection/>
    </xf>
    <xf numFmtId="3" fontId="20" fillId="36" borderId="147" xfId="59" applyNumberFormat="1" applyFont="1" applyFill="1" applyBorder="1" applyAlignment="1">
      <alignment vertical="center"/>
      <protection/>
    </xf>
    <xf numFmtId="3" fontId="20" fillId="36" borderId="128" xfId="59" applyNumberFormat="1" applyFont="1" applyFill="1" applyBorder="1" applyAlignment="1">
      <alignment vertical="center"/>
      <protection/>
    </xf>
    <xf numFmtId="3" fontId="60" fillId="0" borderId="102" xfId="59" applyNumberFormat="1" applyFont="1" applyBorder="1" applyAlignment="1">
      <alignment horizontal="right" vertical="center"/>
      <protection/>
    </xf>
    <xf numFmtId="0" fontId="23" fillId="0" borderId="69" xfId="59" applyFont="1" applyBorder="1" applyAlignment="1">
      <alignment horizontal="left" vertical="center" wrapText="1"/>
      <protection/>
    </xf>
    <xf numFmtId="3" fontId="23" fillId="0" borderId="0" xfId="0" applyNumberFormat="1" applyFont="1" applyBorder="1" applyAlignment="1">
      <alignment/>
    </xf>
    <xf numFmtId="3" fontId="113" fillId="0" borderId="22" xfId="58" applyNumberFormat="1" applyFont="1" applyBorder="1">
      <alignment/>
      <protection/>
    </xf>
    <xf numFmtId="0" fontId="43" fillId="0" borderId="22" xfId="0" applyFont="1" applyBorder="1" applyAlignment="1">
      <alignment vertical="center"/>
    </xf>
    <xf numFmtId="0" fontId="48" fillId="35" borderId="22" xfId="58" applyFont="1" applyFill="1" applyBorder="1">
      <alignment/>
      <protection/>
    </xf>
    <xf numFmtId="0" fontId="48" fillId="35" borderId="22" xfId="58" applyFont="1" applyFill="1" applyBorder="1" applyAlignment="1">
      <alignment horizontal="left"/>
      <protection/>
    </xf>
    <xf numFmtId="0" fontId="48" fillId="35" borderId="14" xfId="58" applyFont="1" applyFill="1" applyBorder="1" applyAlignment="1">
      <alignment horizontal="left"/>
      <protection/>
    </xf>
    <xf numFmtId="0" fontId="48" fillId="35" borderId="17" xfId="58" applyFont="1" applyFill="1" applyBorder="1" applyAlignment="1">
      <alignment horizontal="left" vertical="center" wrapText="1"/>
      <protection/>
    </xf>
    <xf numFmtId="3" fontId="48" fillId="35" borderId="22" xfId="58" applyNumberFormat="1" applyFont="1" applyFill="1" applyBorder="1" applyAlignment="1">
      <alignment vertical="center"/>
      <protection/>
    </xf>
    <xf numFmtId="3" fontId="47" fillId="35" borderId="22" xfId="58" applyNumberFormat="1" applyFont="1" applyFill="1" applyBorder="1" applyAlignment="1">
      <alignment vertical="center"/>
      <protection/>
    </xf>
    <xf numFmtId="3" fontId="47" fillId="35" borderId="108" xfId="58" applyNumberFormat="1" applyFont="1" applyFill="1" applyBorder="1">
      <alignment/>
      <protection/>
    </xf>
    <xf numFmtId="0" fontId="19" fillId="35" borderId="0" xfId="0" applyFont="1" applyFill="1" applyAlignment="1">
      <alignment/>
    </xf>
    <xf numFmtId="49" fontId="42" fillId="35" borderId="21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 wrapText="1"/>
    </xf>
    <xf numFmtId="0" fontId="18" fillId="0" borderId="22" xfId="0" applyFont="1" applyBorder="1" applyAlignment="1">
      <alignment horizontal="left" vertical="center"/>
    </xf>
    <xf numFmtId="3" fontId="43" fillId="0" borderId="148" xfId="60" applyNumberFormat="1" applyFont="1" applyFill="1" applyBorder="1" applyAlignment="1">
      <alignment vertical="center" wrapText="1"/>
      <protection/>
    </xf>
    <xf numFmtId="49" fontId="42" fillId="35" borderId="37" xfId="60" applyNumberFormat="1" applyFont="1" applyFill="1" applyBorder="1" applyAlignment="1">
      <alignment horizontal="center" vertical="center"/>
      <protection/>
    </xf>
    <xf numFmtId="3" fontId="60" fillId="0" borderId="139" xfId="59" applyNumberFormat="1" applyFont="1" applyBorder="1">
      <alignment/>
      <protection/>
    </xf>
    <xf numFmtId="3" fontId="60" fillId="0" borderId="149" xfId="59" applyNumberFormat="1" applyFont="1" applyBorder="1">
      <alignment/>
      <protection/>
    </xf>
    <xf numFmtId="3" fontId="60" fillId="0" borderId="18" xfId="59" applyNumberFormat="1" applyFont="1" applyBorder="1">
      <alignment/>
      <protection/>
    </xf>
    <xf numFmtId="3" fontId="0" fillId="4" borderId="35" xfId="0" applyNumberFormat="1" applyFill="1" applyBorder="1" applyAlignment="1">
      <alignment horizontal="right" vertical="center"/>
    </xf>
    <xf numFmtId="3" fontId="0" fillId="4" borderId="21" xfId="0" applyNumberFormat="1" applyFill="1" applyBorder="1" applyAlignment="1">
      <alignment horizontal="right" vertical="center"/>
    </xf>
    <xf numFmtId="3" fontId="0" fillId="4" borderId="29" xfId="0" applyNumberFormat="1" applyFill="1" applyBorder="1" applyAlignment="1">
      <alignment horizontal="right" vertical="center"/>
    </xf>
    <xf numFmtId="0" fontId="70" fillId="0" borderId="22" xfId="0" applyFont="1" applyBorder="1" applyAlignment="1">
      <alignment horizontal="right" vertical="center"/>
    </xf>
    <xf numFmtId="0" fontId="70" fillId="0" borderId="22" xfId="0" applyFont="1" applyBorder="1" applyAlignment="1">
      <alignment horizontal="right" vertical="center" wrapText="1"/>
    </xf>
    <xf numFmtId="166" fontId="70" fillId="0" borderId="22" xfId="0" applyNumberFormat="1" applyFont="1" applyBorder="1" applyAlignment="1">
      <alignment vertical="center"/>
    </xf>
    <xf numFmtId="166" fontId="114" fillId="0" borderId="22" xfId="0" applyNumberFormat="1" applyFont="1" applyBorder="1" applyAlignment="1">
      <alignment vertical="center"/>
    </xf>
    <xf numFmtId="0" fontId="42" fillId="0" borderId="22" xfId="0" applyFont="1" applyBorder="1" applyAlignment="1">
      <alignment horizontal="left"/>
    </xf>
    <xf numFmtId="0" fontId="46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2" fillId="0" borderId="22" xfId="0" applyFont="1" applyBorder="1" applyAlignment="1">
      <alignment horizontal="left" wrapText="1"/>
    </xf>
    <xf numFmtId="0" fontId="43" fillId="0" borderId="22" xfId="0" applyFont="1" applyBorder="1" applyAlignment="1">
      <alignment horizontal="left" wrapText="1"/>
    </xf>
    <xf numFmtId="0" fontId="16" fillId="0" borderId="22" xfId="0" applyFont="1" applyBorder="1" applyAlignment="1">
      <alignment horizontal="lef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2" fillId="0" borderId="22" xfId="58" applyFont="1" applyBorder="1" applyAlignment="1">
      <alignment horizontal="left"/>
      <protection/>
    </xf>
    <xf numFmtId="0" fontId="20" fillId="0" borderId="14" xfId="58" applyFont="1" applyBorder="1" applyAlignment="1">
      <alignment horizontal="left"/>
      <protection/>
    </xf>
    <xf numFmtId="0" fontId="20" fillId="0" borderId="16" xfId="58" applyFont="1" applyBorder="1" applyAlignment="1">
      <alignment horizontal="left"/>
      <protection/>
    </xf>
    <xf numFmtId="0" fontId="20" fillId="0" borderId="17" xfId="58" applyFont="1" applyBorder="1" applyAlignment="1">
      <alignment horizontal="left"/>
      <protection/>
    </xf>
    <xf numFmtId="0" fontId="16" fillId="0" borderId="14" xfId="58" applyFont="1" applyBorder="1" applyAlignment="1">
      <alignment horizontal="left"/>
      <protection/>
    </xf>
    <xf numFmtId="0" fontId="16" fillId="0" borderId="16" xfId="58" applyFont="1" applyBorder="1" applyAlignment="1">
      <alignment horizontal="left"/>
      <protection/>
    </xf>
    <xf numFmtId="0" fontId="16" fillId="0" borderId="17" xfId="58" applyFont="1" applyBorder="1" applyAlignment="1">
      <alignment horizontal="left"/>
      <protection/>
    </xf>
    <xf numFmtId="0" fontId="42" fillId="0" borderId="14" xfId="58" applyFont="1" applyBorder="1" applyAlignment="1">
      <alignment horizontal="left" wrapText="1"/>
      <protection/>
    </xf>
    <xf numFmtId="0" fontId="42" fillId="0" borderId="17" xfId="58" applyFont="1" applyBorder="1" applyAlignment="1">
      <alignment horizontal="left" wrapText="1"/>
      <protection/>
    </xf>
    <xf numFmtId="0" fontId="43" fillId="0" borderId="14" xfId="58" applyFont="1" applyBorder="1" applyAlignment="1">
      <alignment horizontal="left" wrapText="1"/>
      <protection/>
    </xf>
    <xf numFmtId="0" fontId="43" fillId="0" borderId="17" xfId="58" applyFont="1" applyBorder="1" applyAlignment="1">
      <alignment horizontal="left" wrapText="1"/>
      <protection/>
    </xf>
    <xf numFmtId="0" fontId="20" fillId="0" borderId="22" xfId="58" applyFont="1" applyBorder="1" applyAlignment="1">
      <alignment horizontal="left"/>
      <protection/>
    </xf>
    <xf numFmtId="0" fontId="42" fillId="0" borderId="14" xfId="58" applyFont="1" applyBorder="1" applyAlignment="1">
      <alignment horizontal="left" vertical="center" wrapText="1"/>
      <protection/>
    </xf>
    <xf numFmtId="0" fontId="42" fillId="0" borderId="17" xfId="58" applyFont="1" applyBorder="1" applyAlignment="1">
      <alignment horizontal="left" vertical="center" wrapText="1"/>
      <protection/>
    </xf>
    <xf numFmtId="0" fontId="19" fillId="0" borderId="0" xfId="58" applyFont="1" applyAlignment="1">
      <alignment horizontal="right" vertical="center"/>
      <protection/>
    </xf>
    <xf numFmtId="0" fontId="45" fillId="0" borderId="0" xfId="58" applyFont="1" applyFill="1" applyAlignment="1">
      <alignment horizontal="center" vertical="center"/>
      <protection/>
    </xf>
    <xf numFmtId="0" fontId="46" fillId="0" borderId="14" xfId="58" applyFont="1" applyFill="1" applyBorder="1" applyAlignment="1">
      <alignment horizontal="center" vertical="center" wrapText="1"/>
      <protection/>
    </xf>
    <xf numFmtId="0" fontId="20" fillId="0" borderId="16" xfId="58" applyFont="1" applyFill="1" applyBorder="1" applyAlignment="1">
      <alignment horizontal="center" vertical="center" wrapText="1"/>
      <protection/>
    </xf>
    <xf numFmtId="0" fontId="20" fillId="0" borderId="17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7" fillId="0" borderId="17" xfId="58" applyFont="1" applyBorder="1" applyAlignment="1">
      <alignment horizontal="center" vertical="center" wrapText="1"/>
      <protection/>
    </xf>
    <xf numFmtId="0" fontId="42" fillId="0" borderId="14" xfId="58" applyFont="1" applyBorder="1" applyAlignment="1">
      <alignment horizontal="left"/>
      <protection/>
    </xf>
    <xf numFmtId="0" fontId="42" fillId="0" borderId="16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0" fontId="21" fillId="0" borderId="14" xfId="57" applyFont="1" applyBorder="1" applyAlignment="1">
      <alignment horizontal="center" vertical="center" wrapText="1"/>
      <protection/>
    </xf>
    <xf numFmtId="0" fontId="21" fillId="0" borderId="16" xfId="57" applyFont="1" applyBorder="1" applyAlignment="1">
      <alignment horizontal="center" vertical="center" wrapText="1"/>
      <protection/>
    </xf>
    <xf numFmtId="0" fontId="21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41" fillId="0" borderId="0" xfId="0" applyFont="1" applyAlignment="1">
      <alignment horizontal="right"/>
    </xf>
    <xf numFmtId="0" fontId="16" fillId="0" borderId="0" xfId="57" applyFont="1" applyAlignment="1">
      <alignment horizontal="center"/>
      <protection/>
    </xf>
    <xf numFmtId="0" fontId="16" fillId="0" borderId="22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 vertic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18" fillId="0" borderId="14" xfId="57" applyFont="1" applyBorder="1" applyAlignment="1">
      <alignment horizontal="right" vertical="center"/>
      <protection/>
    </xf>
    <xf numFmtId="0" fontId="18" fillId="0" borderId="16" xfId="57" applyFont="1" applyBorder="1" applyAlignment="1">
      <alignment horizontal="right" vertical="center"/>
      <protection/>
    </xf>
    <xf numFmtId="49" fontId="43" fillId="0" borderId="21" xfId="0" applyNumberFormat="1" applyFont="1" applyFill="1" applyBorder="1" applyAlignment="1">
      <alignment horizontal="center" textRotation="90"/>
    </xf>
    <xf numFmtId="0" fontId="4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 applyFill="1" applyAlignment="1">
      <alignment horizontal="center" vertical="center"/>
    </xf>
    <xf numFmtId="49" fontId="21" fillId="0" borderId="143" xfId="0" applyNumberFormat="1" applyFont="1" applyFill="1" applyBorder="1" applyAlignment="1">
      <alignment horizontal="center" vertical="center"/>
    </xf>
    <xf numFmtId="49" fontId="21" fillId="0" borderId="126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64" fillId="0" borderId="141" xfId="0" applyFont="1" applyFill="1" applyBorder="1" applyAlignment="1">
      <alignment horizontal="center" vertical="center" wrapText="1"/>
    </xf>
    <xf numFmtId="0" fontId="64" fillId="0" borderId="108" xfId="0" applyFont="1" applyFill="1" applyBorder="1" applyAlignment="1">
      <alignment horizontal="center" vertical="center" wrapText="1"/>
    </xf>
    <xf numFmtId="0" fontId="64" fillId="0" borderId="107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21" fillId="0" borderId="150" xfId="0" applyFont="1" applyFill="1" applyBorder="1" applyAlignment="1">
      <alignment horizontal="center" vertical="center"/>
    </xf>
    <xf numFmtId="0" fontId="21" fillId="0" borderId="151" xfId="0" applyFont="1" applyFill="1" applyBorder="1" applyAlignment="1">
      <alignment horizontal="center" vertical="center"/>
    </xf>
    <xf numFmtId="0" fontId="21" fillId="0" borderId="124" xfId="0" applyFont="1" applyFill="1" applyBorder="1" applyAlignment="1">
      <alignment horizontal="center" vertical="center"/>
    </xf>
    <xf numFmtId="0" fontId="21" fillId="0" borderId="148" xfId="0" applyFont="1" applyFill="1" applyBorder="1" applyAlignment="1">
      <alignment horizontal="center" vertical="center" wrapText="1"/>
    </xf>
    <xf numFmtId="0" fontId="21" fillId="0" borderId="134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46" fillId="0" borderId="121" xfId="0" applyNumberFormat="1" applyFont="1" applyFill="1" applyBorder="1" applyAlignment="1">
      <alignment horizontal="left" vertical="center"/>
    </xf>
    <xf numFmtId="49" fontId="46" fillId="0" borderId="16" xfId="0" applyNumberFormat="1" applyFont="1" applyFill="1" applyBorder="1" applyAlignment="1">
      <alignment horizontal="left" vertical="center"/>
    </xf>
    <xf numFmtId="49" fontId="46" fillId="0" borderId="11" xfId="0" applyNumberFormat="1" applyFont="1" applyFill="1" applyBorder="1" applyAlignment="1">
      <alignment horizontal="left" vertical="center"/>
    </xf>
    <xf numFmtId="49" fontId="46" fillId="0" borderId="127" xfId="0" applyNumberFormat="1" applyFont="1" applyFill="1" applyBorder="1" applyAlignment="1">
      <alignment horizontal="left" vertical="center"/>
    </xf>
    <xf numFmtId="49" fontId="46" fillId="0" borderId="27" xfId="0" applyNumberFormat="1" applyFont="1" applyFill="1" applyBorder="1" applyAlignment="1">
      <alignment horizontal="left" vertical="center"/>
    </xf>
    <xf numFmtId="49" fontId="46" fillId="0" borderId="24" xfId="0" applyNumberFormat="1" applyFont="1" applyFill="1" applyBorder="1" applyAlignment="1">
      <alignment horizontal="left" vertical="center"/>
    </xf>
    <xf numFmtId="49" fontId="46" fillId="0" borderId="119" xfId="0" applyNumberFormat="1" applyFont="1" applyFill="1" applyBorder="1" applyAlignment="1">
      <alignment horizontal="left" vertical="center"/>
    </xf>
    <xf numFmtId="49" fontId="46" fillId="0" borderId="151" xfId="0" applyNumberFormat="1" applyFont="1" applyFill="1" applyBorder="1" applyAlignment="1">
      <alignment horizontal="left" vertical="center"/>
    </xf>
    <xf numFmtId="49" fontId="46" fillId="0" borderId="152" xfId="0" applyNumberFormat="1" applyFont="1" applyFill="1" applyBorder="1" applyAlignment="1">
      <alignment horizontal="left" vertical="center"/>
    </xf>
    <xf numFmtId="0" fontId="19" fillId="0" borderId="0" xfId="60" applyFont="1" applyFill="1" applyAlignment="1">
      <alignment horizontal="right" vertical="center"/>
      <protection/>
    </xf>
    <xf numFmtId="0" fontId="19" fillId="0" borderId="0" xfId="60" applyFont="1" applyAlignment="1">
      <alignment horizontal="right"/>
      <protection/>
    </xf>
    <xf numFmtId="0" fontId="18" fillId="0" borderId="136" xfId="60" applyFont="1" applyFill="1" applyBorder="1" applyAlignment="1">
      <alignment horizontal="center" vertical="center" wrapText="1"/>
      <protection/>
    </xf>
    <xf numFmtId="0" fontId="18" fillId="0" borderId="113" xfId="60" applyFont="1" applyFill="1" applyBorder="1" applyAlignment="1">
      <alignment horizontal="center" vertical="center" wrapText="1"/>
      <protection/>
    </xf>
    <xf numFmtId="0" fontId="18" fillId="0" borderId="135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21" fillId="0" borderId="61" xfId="60" applyFont="1" applyFill="1" applyBorder="1" applyAlignment="1">
      <alignment horizontal="center" vertical="center" wrapText="1"/>
      <protection/>
    </xf>
    <xf numFmtId="0" fontId="21" fillId="0" borderId="60" xfId="60" applyFont="1" applyFill="1" applyBorder="1" applyAlignment="1">
      <alignment horizontal="center" vertical="center" wrapText="1"/>
      <protection/>
    </xf>
    <xf numFmtId="0" fontId="21" fillId="0" borderId="48" xfId="60" applyFont="1" applyFill="1" applyBorder="1" applyAlignment="1">
      <alignment horizontal="center" vertical="center" wrapText="1"/>
      <protection/>
    </xf>
    <xf numFmtId="0" fontId="21" fillId="0" borderId="39" xfId="60" applyFont="1" applyFill="1" applyBorder="1" applyAlignment="1">
      <alignment horizontal="center" vertical="center" wrapText="1"/>
      <protection/>
    </xf>
    <xf numFmtId="0" fontId="21" fillId="0" borderId="38" xfId="60" applyFont="1" applyFill="1" applyBorder="1" applyAlignment="1">
      <alignment horizontal="center" vertical="center" wrapText="1"/>
      <protection/>
    </xf>
    <xf numFmtId="0" fontId="21" fillId="0" borderId="40" xfId="60" applyFont="1" applyFill="1" applyBorder="1" applyAlignment="1">
      <alignment horizontal="center" vertical="center" wrapText="1"/>
      <protection/>
    </xf>
    <xf numFmtId="0" fontId="21" fillId="0" borderId="17" xfId="60" applyFont="1" applyFill="1" applyBorder="1" applyAlignment="1">
      <alignment horizontal="center" vertical="center" wrapText="1"/>
      <protection/>
    </xf>
    <xf numFmtId="0" fontId="21" fillId="0" borderId="22" xfId="60" applyFont="1" applyFill="1" applyBorder="1" applyAlignment="1">
      <alignment horizontal="center" vertical="center" wrapText="1"/>
      <protection/>
    </xf>
    <xf numFmtId="0" fontId="21" fillId="0" borderId="23" xfId="60" applyFont="1" applyFill="1" applyBorder="1" applyAlignment="1">
      <alignment horizontal="center" vertical="center" wrapText="1"/>
      <protection/>
    </xf>
    <xf numFmtId="0" fontId="60" fillId="0" borderId="122" xfId="60" applyFont="1" applyFill="1" applyBorder="1" applyAlignment="1">
      <alignment horizontal="left" vertical="center"/>
      <protection/>
    </xf>
    <xf numFmtId="0" fontId="60" fillId="0" borderId="28" xfId="60" applyFont="1" applyFill="1" applyBorder="1" applyAlignment="1">
      <alignment horizontal="left" vertical="center"/>
      <protection/>
    </xf>
    <xf numFmtId="0" fontId="60" fillId="0" borderId="13" xfId="60" applyFont="1" applyFill="1" applyBorder="1" applyAlignment="1">
      <alignment horizontal="left" vertical="center"/>
      <protection/>
    </xf>
    <xf numFmtId="0" fontId="24" fillId="0" borderId="46" xfId="60" applyFont="1" applyFill="1" applyBorder="1" applyAlignment="1">
      <alignment horizontal="left" vertical="center"/>
      <protection/>
    </xf>
    <xf numFmtId="0" fontId="24" fillId="0" borderId="106" xfId="60" applyFont="1" applyFill="1" applyBorder="1" applyAlignment="1">
      <alignment horizontal="left" vertical="center"/>
      <protection/>
    </xf>
    <xf numFmtId="0" fontId="24" fillId="0" borderId="111" xfId="60" applyFont="1" applyFill="1" applyBorder="1" applyAlignment="1">
      <alignment horizontal="left" vertical="center"/>
      <protection/>
    </xf>
    <xf numFmtId="0" fontId="24" fillId="0" borderId="46" xfId="60" applyFont="1" applyFill="1" applyBorder="1" applyAlignment="1">
      <alignment horizontal="left" vertical="center" wrapText="1"/>
      <protection/>
    </xf>
    <xf numFmtId="0" fontId="24" fillId="0" borderId="106" xfId="60" applyFont="1" applyFill="1" applyBorder="1" applyAlignment="1">
      <alignment horizontal="left" vertical="center" wrapText="1"/>
      <protection/>
    </xf>
    <xf numFmtId="0" fontId="24" fillId="0" borderId="111" xfId="60" applyFont="1" applyFill="1" applyBorder="1" applyAlignment="1">
      <alignment horizontal="left" vertical="center" wrapText="1"/>
      <protection/>
    </xf>
    <xf numFmtId="0" fontId="21" fillId="0" borderId="78" xfId="60" applyFont="1" applyFill="1" applyBorder="1" applyAlignment="1">
      <alignment horizontal="center" vertical="center"/>
      <protection/>
    </xf>
    <xf numFmtId="0" fontId="21" fillId="0" borderId="32" xfId="60" applyFont="1" applyFill="1" applyBorder="1" applyAlignment="1">
      <alignment horizontal="center" vertical="center"/>
      <protection/>
    </xf>
    <xf numFmtId="0" fontId="21" fillId="0" borderId="92" xfId="60" applyFont="1" applyFill="1" applyBorder="1" applyAlignment="1">
      <alignment horizontal="center" vertical="center"/>
      <protection/>
    </xf>
    <xf numFmtId="49" fontId="21" fillId="0" borderId="143" xfId="60" applyNumberFormat="1" applyFont="1" applyFill="1" applyBorder="1" applyAlignment="1">
      <alignment horizontal="center" vertical="center"/>
      <protection/>
    </xf>
    <xf numFmtId="49" fontId="21" fillId="0" borderId="126" xfId="60" applyNumberFormat="1" applyFont="1" applyFill="1" applyBorder="1" applyAlignment="1">
      <alignment horizontal="center" vertical="center"/>
      <protection/>
    </xf>
    <xf numFmtId="49" fontId="21" fillId="0" borderId="153" xfId="60" applyNumberFormat="1" applyFont="1" applyFill="1" applyBorder="1" applyAlignment="1">
      <alignment horizontal="center" vertical="center"/>
      <protection/>
    </xf>
    <xf numFmtId="0" fontId="16" fillId="0" borderId="106" xfId="60" applyFont="1" applyFill="1" applyBorder="1" applyAlignment="1">
      <alignment horizontal="center" vertical="center"/>
      <protection/>
    </xf>
    <xf numFmtId="0" fontId="16" fillId="0" borderId="111" xfId="60" applyFont="1" applyFill="1" applyBorder="1" applyAlignment="1">
      <alignment horizontal="center" vertical="center"/>
      <protection/>
    </xf>
    <xf numFmtId="0" fontId="23" fillId="0" borderId="88" xfId="59" applyFont="1" applyBorder="1" applyAlignment="1">
      <alignment horizontal="left" wrapText="1"/>
      <protection/>
    </xf>
    <xf numFmtId="0" fontId="23" fillId="0" borderId="56" xfId="59" applyFont="1" applyBorder="1" applyAlignment="1">
      <alignment horizontal="left" wrapText="1"/>
      <protection/>
    </xf>
    <xf numFmtId="0" fontId="61" fillId="0" borderId="69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60" fillId="36" borderId="93" xfId="59" applyFont="1" applyFill="1" applyBorder="1" applyAlignment="1">
      <alignment/>
      <protection/>
    </xf>
    <xf numFmtId="0" fontId="60" fillId="36" borderId="154" xfId="59" applyFont="1" applyFill="1" applyBorder="1" applyAlignment="1">
      <alignment/>
      <protection/>
    </xf>
    <xf numFmtId="3" fontId="16" fillId="0" borderId="136" xfId="59" applyNumberFormat="1" applyFont="1" applyBorder="1" applyAlignment="1">
      <alignment horizontal="right" vertical="center"/>
      <protection/>
    </xf>
    <xf numFmtId="3" fontId="16" fillId="0" borderId="69" xfId="59" applyNumberFormat="1" applyFont="1" applyBorder="1" applyAlignment="1">
      <alignment horizontal="right" vertical="center"/>
      <protection/>
    </xf>
    <xf numFmtId="3" fontId="16" fillId="0" borderId="135" xfId="59" applyNumberFormat="1" applyFont="1" applyBorder="1" applyAlignment="1">
      <alignment horizontal="right" vertical="center"/>
      <protection/>
    </xf>
    <xf numFmtId="0" fontId="16" fillId="0" borderId="155" xfId="60" applyFont="1" applyFill="1" applyBorder="1" applyAlignment="1">
      <alignment horizontal="center" vertical="center" wrapText="1"/>
      <protection/>
    </xf>
    <xf numFmtId="0" fontId="19" fillId="0" borderId="156" xfId="0" applyFont="1" applyBorder="1" applyAlignment="1">
      <alignment horizontal="center" vertical="center" wrapText="1"/>
    </xf>
    <xf numFmtId="0" fontId="19" fillId="0" borderId="157" xfId="0" applyFont="1" applyBorder="1" applyAlignment="1">
      <alignment horizontal="center" vertical="center" wrapText="1"/>
    </xf>
    <xf numFmtId="0" fontId="16" fillId="0" borderId="64" xfId="60" applyFont="1" applyFill="1" applyBorder="1" applyAlignment="1">
      <alignment horizontal="center" vertical="center" wrapText="1"/>
      <protection/>
    </xf>
    <xf numFmtId="0" fontId="19" fillId="0" borderId="49" xfId="0" applyFont="1" applyBorder="1" applyAlignment="1">
      <alignment horizontal="center" vertical="center" wrapText="1"/>
    </xf>
    <xf numFmtId="0" fontId="23" fillId="0" borderId="69" xfId="59" applyFont="1" applyBorder="1" applyAlignment="1">
      <alignment horizontal="left" wrapText="1"/>
      <protection/>
    </xf>
    <xf numFmtId="0" fontId="23" fillId="0" borderId="0" xfId="59" applyFont="1" applyBorder="1" applyAlignment="1">
      <alignment horizontal="left" wrapText="1"/>
      <protection/>
    </xf>
    <xf numFmtId="0" fontId="60" fillId="36" borderId="93" xfId="59" applyFont="1" applyFill="1" applyBorder="1" applyAlignment="1">
      <alignment vertical="center"/>
      <protection/>
    </xf>
    <xf numFmtId="0" fontId="60" fillId="36" borderId="154" xfId="59" applyFont="1" applyFill="1" applyBorder="1" applyAlignment="1">
      <alignment vertical="center"/>
      <protection/>
    </xf>
    <xf numFmtId="0" fontId="23" fillId="0" borderId="69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3" fontId="16" fillId="0" borderId="113" xfId="59" applyNumberFormat="1" applyFont="1" applyBorder="1" applyAlignment="1">
      <alignment horizontal="right" vertical="center"/>
      <protection/>
    </xf>
    <xf numFmtId="3" fontId="23" fillId="0" borderId="61" xfId="59" applyNumberFormat="1" applyFont="1" applyBorder="1" applyAlignment="1">
      <alignment horizontal="right" vertical="center"/>
      <protection/>
    </xf>
    <xf numFmtId="3" fontId="23" fillId="0" borderId="60" xfId="59" applyNumberFormat="1" applyFont="1" applyBorder="1" applyAlignment="1">
      <alignment horizontal="right" vertical="center"/>
      <protection/>
    </xf>
    <xf numFmtId="0" fontId="23" fillId="0" borderId="158" xfId="59" applyFont="1" applyBorder="1" applyAlignment="1">
      <alignment horizontal="left" vertical="center"/>
      <protection/>
    </xf>
    <xf numFmtId="0" fontId="23" fillId="0" borderId="33" xfId="59" applyFont="1" applyBorder="1" applyAlignment="1">
      <alignment horizontal="left" vertical="center"/>
      <protection/>
    </xf>
    <xf numFmtId="0" fontId="24" fillId="0" borderId="0" xfId="59" applyFont="1" applyBorder="1" applyAlignment="1">
      <alignment horizontal="right"/>
      <protection/>
    </xf>
    <xf numFmtId="0" fontId="24" fillId="0" borderId="54" xfId="59" applyFont="1" applyBorder="1" applyAlignment="1">
      <alignment horizontal="right"/>
      <protection/>
    </xf>
    <xf numFmtId="3" fontId="16" fillId="0" borderId="88" xfId="59" applyNumberFormat="1" applyFont="1" applyBorder="1" applyAlignment="1">
      <alignment horizontal="right" vertical="center"/>
      <protection/>
    </xf>
    <xf numFmtId="0" fontId="16" fillId="36" borderId="76" xfId="59" applyFont="1" applyFill="1" applyBorder="1" applyAlignment="1">
      <alignment horizontal="right" vertical="center" wrapText="1"/>
      <protection/>
    </xf>
    <xf numFmtId="0" fontId="19" fillId="36" borderId="93" xfId="0" applyFont="1" applyFill="1" applyBorder="1" applyAlignment="1">
      <alignment horizontal="right" vertical="center" wrapText="1"/>
    </xf>
    <xf numFmtId="0" fontId="19" fillId="36" borderId="147" xfId="0" applyFont="1" applyFill="1" applyBorder="1" applyAlignment="1">
      <alignment horizontal="right" vertical="center" wrapText="1"/>
    </xf>
    <xf numFmtId="0" fontId="16" fillId="36" borderId="93" xfId="59" applyFont="1" applyFill="1" applyBorder="1" applyAlignment="1">
      <alignment vertical="center"/>
      <protection/>
    </xf>
    <xf numFmtId="0" fontId="16" fillId="36" borderId="93" xfId="0" applyFont="1" applyFill="1" applyBorder="1" applyAlignment="1">
      <alignment vertical="center"/>
    </xf>
    <xf numFmtId="0" fontId="16" fillId="36" borderId="154" xfId="0" applyFont="1" applyFill="1" applyBorder="1" applyAlignment="1">
      <alignment vertical="center"/>
    </xf>
    <xf numFmtId="0" fontId="24" fillId="0" borderId="52" xfId="59" applyFont="1" applyBorder="1" applyAlignment="1">
      <alignment horizontal="right"/>
      <protection/>
    </xf>
    <xf numFmtId="0" fontId="23" fillId="0" borderId="57" xfId="59" applyFont="1" applyBorder="1" applyAlignment="1">
      <alignment horizontal="left"/>
      <protection/>
    </xf>
    <xf numFmtId="0" fontId="23" fillId="0" borderId="56" xfId="59" applyFont="1" applyBorder="1" applyAlignment="1">
      <alignment horizontal="left"/>
      <protection/>
    </xf>
    <xf numFmtId="0" fontId="60" fillId="0" borderId="65" xfId="59" applyFont="1" applyBorder="1" applyAlignment="1">
      <alignment horizontal="center" vertical="center" wrapText="1"/>
      <protection/>
    </xf>
    <xf numFmtId="0" fontId="19" fillId="0" borderId="49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19" fillId="0" borderId="91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60" fillId="0" borderId="64" xfId="60" applyFont="1" applyFill="1" applyBorder="1" applyAlignment="1">
      <alignment horizontal="center" vertical="center" wrapText="1"/>
      <protection/>
    </xf>
    <xf numFmtId="0" fontId="19" fillId="0" borderId="49" xfId="0" applyFont="1" applyBorder="1" applyAlignment="1">
      <alignment/>
    </xf>
    <xf numFmtId="0" fontId="19" fillId="0" borderId="67" xfId="0" applyFont="1" applyBorder="1" applyAlignment="1">
      <alignment/>
    </xf>
    <xf numFmtId="0" fontId="19" fillId="0" borderId="158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105" xfId="0" applyFont="1" applyBorder="1" applyAlignment="1">
      <alignment/>
    </xf>
    <xf numFmtId="0" fontId="19" fillId="0" borderId="48" xfId="0" applyFont="1" applyBorder="1" applyAlignment="1">
      <alignment/>
    </xf>
    <xf numFmtId="0" fontId="16" fillId="0" borderId="71" xfId="60" applyFont="1" applyFill="1" applyBorder="1" applyAlignment="1">
      <alignment horizontal="center" vertical="center" wrapText="1"/>
      <protection/>
    </xf>
    <xf numFmtId="0" fontId="60" fillId="0" borderId="65" xfId="59" applyFont="1" applyBorder="1" applyAlignment="1">
      <alignment horizontal="center" vertical="center"/>
      <protection/>
    </xf>
    <xf numFmtId="0" fontId="19" fillId="0" borderId="91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52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/>
      <protection/>
    </xf>
    <xf numFmtId="0" fontId="23" fillId="0" borderId="52" xfId="59" applyFont="1" applyBorder="1" applyAlignment="1">
      <alignment horizontal="left" wrapText="1"/>
      <protection/>
    </xf>
    <xf numFmtId="0" fontId="20" fillId="0" borderId="0" xfId="59" applyFont="1" applyAlignment="1">
      <alignment horizontal="center"/>
      <protection/>
    </xf>
    <xf numFmtId="0" fontId="19" fillId="0" borderId="0" xfId="0" applyFont="1" applyAlignment="1">
      <alignment/>
    </xf>
    <xf numFmtId="3" fontId="16" fillId="0" borderId="136" xfId="59" applyNumberFormat="1" applyFont="1" applyBorder="1" applyAlignment="1">
      <alignment horizontal="center" vertical="center"/>
      <protection/>
    </xf>
    <xf numFmtId="3" fontId="16" fillId="0" borderId="113" xfId="59" applyNumberFormat="1" applyFont="1" applyBorder="1" applyAlignment="1">
      <alignment horizontal="center" vertical="center"/>
      <protection/>
    </xf>
    <xf numFmtId="0" fontId="23" fillId="0" borderId="69" xfId="59" applyFont="1" applyBorder="1" applyAlignment="1">
      <alignment horizontal="left" vertical="center" wrapText="1"/>
      <protection/>
    </xf>
    <xf numFmtId="0" fontId="23" fillId="0" borderId="0" xfId="59" applyFont="1" applyBorder="1" applyAlignment="1">
      <alignment horizontal="left" vertical="center" wrapText="1"/>
      <protection/>
    </xf>
    <xf numFmtId="0" fontId="23" fillId="0" borderId="158" xfId="59" applyFont="1" applyBorder="1" applyAlignment="1">
      <alignment horizontal="left" wrapText="1"/>
      <protection/>
    </xf>
    <xf numFmtId="0" fontId="23" fillId="0" borderId="33" xfId="59" applyFont="1" applyBorder="1" applyAlignment="1">
      <alignment horizontal="left" wrapText="1"/>
      <protection/>
    </xf>
    <xf numFmtId="0" fontId="19" fillId="0" borderId="0" xfId="59" applyFont="1" applyAlignment="1">
      <alignment horizontal="center"/>
      <protection/>
    </xf>
    <xf numFmtId="3" fontId="16" fillId="0" borderId="146" xfId="59" applyNumberFormat="1" applyFont="1" applyBorder="1" applyAlignment="1">
      <alignment horizontal="right" vertical="center"/>
      <protection/>
    </xf>
    <xf numFmtId="3" fontId="16" fillId="0" borderId="159" xfId="59" applyNumberFormat="1" applyFont="1" applyBorder="1" applyAlignment="1">
      <alignment horizontal="right" vertical="center"/>
      <protection/>
    </xf>
    <xf numFmtId="0" fontId="60" fillId="0" borderId="81" xfId="59" applyFont="1" applyBorder="1" applyAlignment="1">
      <alignment/>
      <protection/>
    </xf>
    <xf numFmtId="0" fontId="60" fillId="0" borderId="129" xfId="59" applyFont="1" applyBorder="1" applyAlignment="1">
      <alignment/>
      <protection/>
    </xf>
    <xf numFmtId="0" fontId="23" fillId="0" borderId="52" xfId="59" applyFont="1" applyBorder="1" applyAlignment="1">
      <alignment horizontal="left" vertical="center" wrapText="1"/>
      <protection/>
    </xf>
    <xf numFmtId="0" fontId="60" fillId="0" borderId="49" xfId="60" applyFont="1" applyFill="1" applyBorder="1" applyAlignment="1">
      <alignment horizontal="center" vertical="center" wrapText="1"/>
      <protection/>
    </xf>
    <xf numFmtId="0" fontId="60" fillId="0" borderId="67" xfId="60" applyFont="1" applyFill="1" applyBorder="1" applyAlignment="1">
      <alignment horizontal="center" vertical="center" wrapText="1"/>
      <protection/>
    </xf>
    <xf numFmtId="0" fontId="60" fillId="0" borderId="158" xfId="60" applyFont="1" applyFill="1" applyBorder="1" applyAlignment="1">
      <alignment horizontal="center" vertical="center" wrapText="1"/>
      <protection/>
    </xf>
    <xf numFmtId="0" fontId="60" fillId="0" borderId="33" xfId="60" applyFont="1" applyFill="1" applyBorder="1" applyAlignment="1">
      <alignment horizontal="center" vertical="center" wrapText="1"/>
      <protection/>
    </xf>
    <xf numFmtId="0" fontId="60" fillId="0" borderId="79" xfId="60" applyFont="1" applyFill="1" applyBorder="1" applyAlignment="1">
      <alignment horizontal="center" vertical="center" wrapText="1"/>
      <protection/>
    </xf>
    <xf numFmtId="0" fontId="60" fillId="0" borderId="65" xfId="59" applyFont="1" applyBorder="1" applyAlignment="1">
      <alignment horizontal="center" wrapText="1"/>
      <protection/>
    </xf>
    <xf numFmtId="0" fontId="60" fillId="0" borderId="49" xfId="59" applyFont="1" applyBorder="1" applyAlignment="1">
      <alignment horizontal="center" wrapText="1"/>
      <protection/>
    </xf>
    <xf numFmtId="0" fontId="60" fillId="0" borderId="91" xfId="59" applyFont="1" applyBorder="1" applyAlignment="1">
      <alignment horizontal="center" wrapText="1"/>
      <protection/>
    </xf>
    <xf numFmtId="0" fontId="60" fillId="0" borderId="33" xfId="59" applyFont="1" applyBorder="1" applyAlignment="1">
      <alignment horizontal="center" wrapText="1"/>
      <protection/>
    </xf>
    <xf numFmtId="0" fontId="60" fillId="0" borderId="49" xfId="59" applyFont="1" applyBorder="1" applyAlignment="1">
      <alignment horizontal="center" vertical="center"/>
      <protection/>
    </xf>
    <xf numFmtId="0" fontId="60" fillId="0" borderId="105" xfId="59" applyFont="1" applyBorder="1" applyAlignment="1">
      <alignment horizontal="center" vertical="center"/>
      <protection/>
    </xf>
    <xf numFmtId="0" fontId="60" fillId="0" borderId="91" xfId="59" applyFont="1" applyBorder="1" applyAlignment="1">
      <alignment horizontal="center" vertical="center"/>
      <protection/>
    </xf>
    <xf numFmtId="0" fontId="60" fillId="0" borderId="33" xfId="59" applyFont="1" applyBorder="1" applyAlignment="1">
      <alignment horizontal="center" vertical="center"/>
      <protection/>
    </xf>
    <xf numFmtId="0" fontId="60" fillId="0" borderId="48" xfId="59" applyFont="1" applyBorder="1" applyAlignment="1">
      <alignment horizontal="center" vertical="center"/>
      <protection/>
    </xf>
    <xf numFmtId="0" fontId="24" fillId="0" borderId="57" xfId="59" applyFont="1" applyBorder="1" applyAlignment="1">
      <alignment horizontal="right" vertical="center"/>
      <protection/>
    </xf>
    <xf numFmtId="0" fontId="24" fillId="0" borderId="56" xfId="59" applyFont="1" applyBorder="1" applyAlignment="1">
      <alignment horizontal="right" vertical="center"/>
      <protection/>
    </xf>
    <xf numFmtId="0" fontId="24" fillId="0" borderId="53" xfId="59" applyFont="1" applyBorder="1" applyAlignment="1">
      <alignment horizontal="right" vertical="center"/>
      <protection/>
    </xf>
    <xf numFmtId="0" fontId="23" fillId="0" borderId="91" xfId="59" applyFont="1" applyBorder="1" applyAlignment="1">
      <alignment horizontal="left" vertical="center" wrapText="1"/>
      <protection/>
    </xf>
    <xf numFmtId="0" fontId="23" fillId="0" borderId="33" xfId="59" applyFont="1" applyBorder="1" applyAlignment="1">
      <alignment horizontal="left" vertical="center" wrapText="1"/>
      <protection/>
    </xf>
    <xf numFmtId="0" fontId="60" fillId="0" borderId="105" xfId="60" applyFont="1" applyFill="1" applyBorder="1" applyAlignment="1">
      <alignment horizontal="center" vertical="center" wrapText="1"/>
      <protection/>
    </xf>
    <xf numFmtId="0" fontId="60" fillId="0" borderId="48" xfId="60" applyFont="1" applyFill="1" applyBorder="1" applyAlignment="1">
      <alignment horizontal="center" vertical="center" wrapText="1"/>
      <protection/>
    </xf>
    <xf numFmtId="0" fontId="46" fillId="0" borderId="160" xfId="59" applyFont="1" applyBorder="1" applyAlignment="1">
      <alignment horizontal="center"/>
      <protection/>
    </xf>
    <xf numFmtId="0" fontId="19" fillId="0" borderId="77" xfId="0" applyFont="1" applyBorder="1" applyAlignment="1">
      <alignment horizontal="center"/>
    </xf>
    <xf numFmtId="0" fontId="19" fillId="0" borderId="104" xfId="0" applyFont="1" applyBorder="1" applyAlignment="1">
      <alignment horizontal="center"/>
    </xf>
    <xf numFmtId="0" fontId="46" fillId="0" borderId="49" xfId="59" applyFont="1" applyBorder="1" applyAlignment="1">
      <alignment horizontal="center"/>
      <protection/>
    </xf>
    <xf numFmtId="0" fontId="19" fillId="0" borderId="49" xfId="0" applyFont="1" applyBorder="1" applyAlignment="1">
      <alignment horizontal="center"/>
    </xf>
    <xf numFmtId="0" fontId="23" fillId="0" borderId="57" xfId="59" applyFont="1" applyBorder="1" applyAlignment="1">
      <alignment horizontal="left" wrapText="1"/>
      <protection/>
    </xf>
    <xf numFmtId="0" fontId="61" fillId="0" borderId="69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0" fontId="19" fillId="0" borderId="0" xfId="0" applyFont="1" applyBorder="1" applyAlignment="1">
      <alignment horizontal="right"/>
    </xf>
    <xf numFmtId="0" fontId="19" fillId="0" borderId="54" xfId="0" applyFont="1" applyBorder="1" applyAlignment="1">
      <alignment horizontal="right"/>
    </xf>
    <xf numFmtId="0" fontId="60" fillId="36" borderId="76" xfId="59" applyFont="1" applyFill="1" applyBorder="1" applyAlignment="1">
      <alignment vertical="center" wrapText="1"/>
      <protection/>
    </xf>
    <xf numFmtId="0" fontId="15" fillId="36" borderId="93" xfId="0" applyFont="1" applyFill="1" applyBorder="1" applyAlignment="1">
      <alignment vertical="center" wrapText="1"/>
    </xf>
    <xf numFmtId="0" fontId="15" fillId="36" borderId="147" xfId="0" applyFont="1" applyFill="1" applyBorder="1" applyAlignment="1">
      <alignment vertical="center" wrapText="1"/>
    </xf>
    <xf numFmtId="0" fontId="16" fillId="0" borderId="81" xfId="59" applyFont="1" applyBorder="1" applyAlignment="1">
      <alignment/>
      <protection/>
    </xf>
    <xf numFmtId="0" fontId="16" fillId="0" borderId="81" xfId="0" applyFont="1" applyBorder="1" applyAlignment="1">
      <alignment/>
    </xf>
    <xf numFmtId="0" fontId="16" fillId="0" borderId="129" xfId="0" applyFont="1" applyBorder="1" applyAlignment="1">
      <alignment/>
    </xf>
    <xf numFmtId="0" fontId="23" fillId="0" borderId="57" xfId="59" applyFont="1" applyBorder="1" applyAlignment="1">
      <alignment horizontal="left" vertical="center" wrapText="1"/>
      <protection/>
    </xf>
    <xf numFmtId="0" fontId="23" fillId="0" borderId="56" xfId="59" applyFont="1" applyBorder="1" applyAlignment="1">
      <alignment horizontal="left" vertical="center" wrapText="1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88" xfId="59" applyFont="1" applyBorder="1" applyAlignment="1">
      <alignment horizontal="left" vertical="center" wrapText="1"/>
      <protection/>
    </xf>
    <xf numFmtId="0" fontId="16" fillId="36" borderId="76" xfId="59" applyFont="1" applyFill="1" applyBorder="1" applyAlignment="1">
      <alignment horizontal="right"/>
      <protection/>
    </xf>
    <xf numFmtId="0" fontId="19" fillId="36" borderId="93" xfId="0" applyFont="1" applyFill="1" applyBorder="1" applyAlignment="1">
      <alignment horizontal="right"/>
    </xf>
    <xf numFmtId="0" fontId="19" fillId="36" borderId="147" xfId="0" applyFont="1" applyFill="1" applyBorder="1" applyAlignment="1">
      <alignment horizontal="right"/>
    </xf>
    <xf numFmtId="0" fontId="16" fillId="36" borderId="93" xfId="59" applyFont="1" applyFill="1" applyBorder="1" applyAlignment="1">
      <alignment/>
      <protection/>
    </xf>
    <xf numFmtId="0" fontId="16" fillId="36" borderId="93" xfId="0" applyFont="1" applyFill="1" applyBorder="1" applyAlignment="1">
      <alignment/>
    </xf>
    <xf numFmtId="0" fontId="16" fillId="36" borderId="154" xfId="0" applyFont="1" applyFill="1" applyBorder="1" applyAlignment="1">
      <alignment/>
    </xf>
    <xf numFmtId="3" fontId="16" fillId="0" borderId="61" xfId="59" applyNumberFormat="1" applyFont="1" applyBorder="1" applyAlignment="1">
      <alignment horizontal="right" vertical="center"/>
      <protection/>
    </xf>
    <xf numFmtId="0" fontId="23" fillId="0" borderId="57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3" fontId="23" fillId="0" borderId="61" xfId="0" applyNumberFormat="1" applyFont="1" applyBorder="1" applyAlignment="1">
      <alignment horizontal="center" vertical="center"/>
    </xf>
    <xf numFmtId="3" fontId="23" fillId="0" borderId="60" xfId="0" applyNumberFormat="1" applyFont="1" applyBorder="1" applyAlignment="1">
      <alignment horizontal="center" vertical="center"/>
    </xf>
    <xf numFmtId="0" fontId="24" fillId="0" borderId="149" xfId="59" applyFont="1" applyBorder="1" applyAlignment="1">
      <alignment horizontal="right"/>
      <protection/>
    </xf>
    <xf numFmtId="0" fontId="24" fillId="0" borderId="28" xfId="59" applyFont="1" applyBorder="1" applyAlignment="1">
      <alignment horizontal="right"/>
      <protection/>
    </xf>
    <xf numFmtId="0" fontId="24" fillId="0" borderId="20" xfId="59" applyFont="1" applyBorder="1" applyAlignment="1">
      <alignment horizontal="right"/>
      <protection/>
    </xf>
    <xf numFmtId="0" fontId="23" fillId="0" borderId="64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19" fillId="0" borderId="79" xfId="0" applyFont="1" applyBorder="1" applyAlignment="1">
      <alignment/>
    </xf>
    <xf numFmtId="0" fontId="24" fillId="0" borderId="81" xfId="59" applyFont="1" applyBorder="1" applyAlignment="1">
      <alignment horizontal="right" vertical="center"/>
      <protection/>
    </xf>
    <xf numFmtId="0" fontId="24" fillId="0" borderId="161" xfId="59" applyFont="1" applyBorder="1" applyAlignment="1">
      <alignment horizontal="right" vertical="center"/>
      <protection/>
    </xf>
    <xf numFmtId="0" fontId="16" fillId="36" borderId="76" xfId="59" applyFont="1" applyFill="1" applyBorder="1" applyAlignment="1">
      <alignment horizontal="right" vertical="center"/>
      <protection/>
    </xf>
    <xf numFmtId="0" fontId="19" fillId="36" borderId="93" xfId="0" applyFont="1" applyFill="1" applyBorder="1" applyAlignment="1">
      <alignment horizontal="right" vertical="center"/>
    </xf>
    <xf numFmtId="0" fontId="19" fillId="36" borderId="147" xfId="0" applyFont="1" applyFill="1" applyBorder="1" applyAlignment="1">
      <alignment horizontal="right" vertical="center"/>
    </xf>
    <xf numFmtId="0" fontId="17" fillId="0" borderId="0" xfId="60" applyFont="1" applyFill="1" applyAlignment="1">
      <alignment horizontal="right" vertical="center"/>
      <protection/>
    </xf>
    <xf numFmtId="0" fontId="17" fillId="0" borderId="0" xfId="60" applyFont="1" applyAlignment="1">
      <alignment horizontal="right"/>
      <protection/>
    </xf>
    <xf numFmtId="0" fontId="17" fillId="0" borderId="0" xfId="0" applyFont="1" applyAlignment="1">
      <alignment/>
    </xf>
    <xf numFmtId="0" fontId="16" fillId="0" borderId="65" xfId="60" applyFont="1" applyFill="1" applyBorder="1" applyAlignment="1">
      <alignment horizontal="center" vertical="center" wrapText="1"/>
      <protection/>
    </xf>
    <xf numFmtId="3" fontId="16" fillId="0" borderId="146" xfId="59" applyNumberFormat="1" applyFont="1" applyBorder="1" applyAlignment="1">
      <alignment horizontal="center" vertical="center"/>
      <protection/>
    </xf>
    <xf numFmtId="3" fontId="16" fillId="0" borderId="159" xfId="59" applyNumberFormat="1" applyFont="1" applyBorder="1" applyAlignment="1">
      <alignment horizontal="center" vertical="center"/>
      <protection/>
    </xf>
    <xf numFmtId="3" fontId="16" fillId="0" borderId="64" xfId="59" applyNumberFormat="1" applyFont="1" applyBorder="1" applyAlignment="1">
      <alignment horizontal="right" vertical="center"/>
      <protection/>
    </xf>
    <xf numFmtId="3" fontId="16" fillId="0" borderId="158" xfId="59" applyNumberFormat="1" applyFont="1" applyBorder="1" applyAlignment="1">
      <alignment horizontal="right" vertical="center"/>
      <protection/>
    </xf>
    <xf numFmtId="0" fontId="19" fillId="0" borderId="49" xfId="59" applyFont="1" applyBorder="1" applyAlignment="1">
      <alignment horizontal="center" vertical="center"/>
      <protection/>
    </xf>
    <xf numFmtId="0" fontId="19" fillId="0" borderId="105" xfId="59" applyFont="1" applyBorder="1" applyAlignment="1">
      <alignment horizontal="center" vertical="center"/>
      <protection/>
    </xf>
    <xf numFmtId="0" fontId="19" fillId="0" borderId="91" xfId="59" applyFont="1" applyBorder="1" applyAlignment="1">
      <alignment horizontal="center" vertical="center"/>
      <protection/>
    </xf>
    <xf numFmtId="0" fontId="19" fillId="0" borderId="33" xfId="59" applyFont="1" applyBorder="1" applyAlignment="1">
      <alignment horizontal="center" vertical="center"/>
      <protection/>
    </xf>
    <xf numFmtId="0" fontId="19" fillId="0" borderId="48" xfId="59" applyFont="1" applyBorder="1" applyAlignment="1">
      <alignment horizontal="center" vertical="center"/>
      <protection/>
    </xf>
    <xf numFmtId="0" fontId="45" fillId="0" borderId="0" xfId="60" applyFont="1" applyFill="1" applyAlignment="1">
      <alignment horizontal="center" vertical="center" wrapText="1"/>
      <protection/>
    </xf>
    <xf numFmtId="0" fontId="23" fillId="0" borderId="88" xfId="59" applyFont="1" applyBorder="1" applyAlignment="1">
      <alignment horizontal="left"/>
      <protection/>
    </xf>
    <xf numFmtId="3" fontId="16" fillId="0" borderId="162" xfId="59" applyNumberFormat="1" applyFont="1" applyBorder="1" applyAlignment="1">
      <alignment horizontal="right" vertical="center"/>
      <protection/>
    </xf>
    <xf numFmtId="3" fontId="16" fillId="0" borderId="83" xfId="59" applyNumberFormat="1" applyFont="1" applyBorder="1" applyAlignment="1">
      <alignment horizontal="right" vertical="center"/>
      <protection/>
    </xf>
    <xf numFmtId="0" fontId="23" fillId="0" borderId="69" xfId="59" applyFont="1" applyBorder="1" applyAlignment="1">
      <alignment horizontal="left"/>
      <protection/>
    </xf>
    <xf numFmtId="0" fontId="23" fillId="0" borderId="65" xfId="59" applyFont="1" applyBorder="1" applyAlignment="1">
      <alignment horizontal="left"/>
      <protection/>
    </xf>
    <xf numFmtId="0" fontId="23" fillId="0" borderId="49" xfId="59" applyFont="1" applyBorder="1" applyAlignment="1">
      <alignment horizontal="left"/>
      <protection/>
    </xf>
    <xf numFmtId="0" fontId="61" fillId="0" borderId="80" xfId="59" applyFont="1" applyBorder="1" applyAlignment="1">
      <alignment horizontal="left" vertical="center"/>
      <protection/>
    </xf>
    <xf numFmtId="0" fontId="61" fillId="0" borderId="81" xfId="59" applyFont="1" applyBorder="1" applyAlignment="1">
      <alignment horizontal="left" vertical="center"/>
      <protection/>
    </xf>
    <xf numFmtId="3" fontId="16" fillId="0" borderId="136" xfId="59" applyNumberFormat="1" applyFont="1" applyBorder="1" applyAlignment="1">
      <alignment horizontal="right" vertical="center" wrapText="1"/>
      <protection/>
    </xf>
    <xf numFmtId="3" fontId="16" fillId="0" borderId="113" xfId="59" applyNumberFormat="1" applyFont="1" applyBorder="1" applyAlignment="1">
      <alignment horizontal="right" vertical="center" wrapText="1"/>
      <protection/>
    </xf>
    <xf numFmtId="0" fontId="23" fillId="0" borderId="88" xfId="59" applyFont="1" applyBorder="1" applyAlignment="1">
      <alignment horizontal="left" vertical="center"/>
      <protection/>
    </xf>
    <xf numFmtId="0" fontId="23" fillId="0" borderId="127" xfId="59" applyFont="1" applyBorder="1" applyAlignment="1">
      <alignment horizontal="center" vertical="center" wrapText="1"/>
      <protection/>
    </xf>
    <xf numFmtId="0" fontId="23" fillId="0" borderId="27" xfId="59" applyFont="1" applyBorder="1" applyAlignment="1">
      <alignment horizontal="center" vertical="center" wrapText="1"/>
      <protection/>
    </xf>
    <xf numFmtId="0" fontId="23" fillId="0" borderId="84" xfId="59" applyFont="1" applyBorder="1" applyAlignment="1">
      <alignment horizontal="left" vertical="center"/>
      <protection/>
    </xf>
    <xf numFmtId="0" fontId="23" fillId="0" borderId="81" xfId="59" applyFont="1" applyBorder="1" applyAlignment="1">
      <alignment horizontal="left" vertical="center"/>
      <protection/>
    </xf>
    <xf numFmtId="0" fontId="22" fillId="0" borderId="0" xfId="0" applyFont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1" fillId="0" borderId="0" xfId="0" applyFont="1" applyAlignment="1">
      <alignment/>
    </xf>
    <xf numFmtId="0" fontId="63" fillId="0" borderId="0" xfId="0" applyFont="1" applyFill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50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24" xfId="61" applyFont="1" applyBorder="1" applyAlignment="1">
      <alignment horizontal="center" vertical="center" wrapText="1"/>
      <protection/>
    </xf>
    <xf numFmtId="0" fontId="1" fillId="0" borderId="36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2" fillId="33" borderId="22" xfId="61" applyFont="1" applyFill="1" applyBorder="1" applyAlignment="1">
      <alignment horizontal="right"/>
      <protection/>
    </xf>
    <xf numFmtId="0" fontId="2" fillId="33" borderId="14" xfId="61" applyFont="1" applyFill="1" applyBorder="1" applyAlignment="1">
      <alignment horizontal="right"/>
      <protection/>
    </xf>
    <xf numFmtId="0" fontId="40" fillId="33" borderId="22" xfId="61" applyFont="1" applyFill="1" applyBorder="1" applyAlignment="1">
      <alignment horizontal="left"/>
      <protection/>
    </xf>
    <xf numFmtId="0" fontId="40" fillId="33" borderId="14" xfId="61" applyFont="1" applyFill="1" applyBorder="1" applyAlignment="1">
      <alignment horizontal="left"/>
      <protection/>
    </xf>
    <xf numFmtId="0" fontId="1" fillId="0" borderId="136" xfId="61" applyFont="1" applyBorder="1" applyAlignment="1">
      <alignment horizontal="center" vertical="center" wrapText="1"/>
      <protection/>
    </xf>
    <xf numFmtId="0" fontId="14" fillId="0" borderId="30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horizontal="center" wrapText="1"/>
    </xf>
    <xf numFmtId="0" fontId="20" fillId="0" borderId="136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66" fillId="0" borderId="88" xfId="0" applyFont="1" applyBorder="1" applyAlignment="1">
      <alignment horizontal="center" vertical="center"/>
    </xf>
    <xf numFmtId="0" fontId="66" fillId="0" borderId="69" xfId="0" applyFont="1" applyBorder="1" applyAlignment="1">
      <alignment horizontal="center" vertical="center"/>
    </xf>
    <xf numFmtId="0" fontId="66" fillId="0" borderId="127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50" xfId="0" applyFont="1" applyBorder="1" applyAlignment="1">
      <alignment horizontal="center" vertical="center" wrapText="1"/>
    </xf>
    <xf numFmtId="0" fontId="67" fillId="0" borderId="136" xfId="0" applyFont="1" applyBorder="1" applyAlignment="1">
      <alignment horizontal="center" vertical="center" wrapText="1"/>
    </xf>
    <xf numFmtId="0" fontId="67" fillId="0" borderId="113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3" fontId="0" fillId="37" borderId="136" xfId="0" applyNumberFormat="1" applyFill="1" applyBorder="1" applyAlignment="1">
      <alignment horizontal="center"/>
    </xf>
    <xf numFmtId="3" fontId="0" fillId="37" borderId="113" xfId="0" applyNumberFormat="1" applyFill="1" applyBorder="1" applyAlignment="1">
      <alignment horizontal="center"/>
    </xf>
    <xf numFmtId="3" fontId="0" fillId="37" borderId="83" xfId="0" applyNumberFormat="1" applyFill="1" applyBorder="1" applyAlignment="1">
      <alignment horizontal="center"/>
    </xf>
    <xf numFmtId="0" fontId="68" fillId="40" borderId="96" xfId="0" applyFont="1" applyFill="1" applyBorder="1" applyAlignment="1">
      <alignment horizontal="center" vertical="center"/>
    </xf>
    <xf numFmtId="0" fontId="68" fillId="40" borderId="77" xfId="0" applyFont="1" applyFill="1" applyBorder="1" applyAlignment="1">
      <alignment horizontal="center" vertical="center"/>
    </xf>
    <xf numFmtId="0" fontId="68" fillId="40" borderId="163" xfId="0" applyFont="1" applyFill="1" applyBorder="1" applyAlignment="1">
      <alignment horizontal="center" vertical="center"/>
    </xf>
    <xf numFmtId="0" fontId="69" fillId="0" borderId="164" xfId="0" applyFont="1" applyBorder="1" applyAlignment="1">
      <alignment horizontal="left" vertical="center"/>
    </xf>
    <xf numFmtId="0" fontId="69" fillId="0" borderId="165" xfId="0" applyFont="1" applyBorder="1" applyAlignment="1">
      <alignment horizontal="left" vertical="center"/>
    </xf>
    <xf numFmtId="0" fontId="69" fillId="0" borderId="166" xfId="0" applyFont="1" applyBorder="1" applyAlignment="1">
      <alignment horizontal="left" vertical="center"/>
    </xf>
    <xf numFmtId="3" fontId="0" fillId="37" borderId="135" xfId="0" applyNumberForma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1" xfId="0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105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0" xfId="0" applyBorder="1" applyAlignment="1">
      <alignment horizontal="center"/>
    </xf>
    <xf numFmtId="0" fontId="69" fillId="0" borderId="164" xfId="0" applyFont="1" applyBorder="1" applyAlignment="1">
      <alignment horizontal="left" vertical="center" wrapText="1"/>
    </xf>
    <xf numFmtId="0" fontId="69" fillId="0" borderId="165" xfId="0" applyFont="1" applyBorder="1" applyAlignment="1">
      <alignment horizontal="left" vertical="center" wrapText="1"/>
    </xf>
    <xf numFmtId="0" fontId="69" fillId="0" borderId="166" xfId="0" applyFont="1" applyBorder="1" applyAlignment="1">
      <alignment horizontal="left" vertical="center" wrapText="1"/>
    </xf>
    <xf numFmtId="3" fontId="0" fillId="37" borderId="61" xfId="0" applyNumberFormat="1" applyFill="1" applyBorder="1" applyAlignment="1">
      <alignment horizontal="center"/>
    </xf>
    <xf numFmtId="3" fontId="0" fillId="37" borderId="60" xfId="0" applyNumberFormat="1" applyFill="1" applyBorder="1" applyAlignment="1">
      <alignment horizontal="center"/>
    </xf>
    <xf numFmtId="0" fontId="69" fillId="0" borderId="167" xfId="0" applyFont="1" applyBorder="1" applyAlignment="1">
      <alignment horizontal="left" vertical="center" wrapText="1"/>
    </xf>
    <xf numFmtId="0" fontId="69" fillId="0" borderId="156" xfId="0" applyFont="1" applyBorder="1" applyAlignment="1">
      <alignment horizontal="left" vertical="center" wrapText="1"/>
    </xf>
    <xf numFmtId="3" fontId="0" fillId="4" borderId="143" xfId="0" applyNumberFormat="1" applyFill="1" applyBorder="1" applyAlignment="1">
      <alignment horizontal="right" vertical="center"/>
    </xf>
    <xf numFmtId="3" fontId="0" fillId="4" borderId="37" xfId="0" applyNumberFormat="1" applyFill="1" applyBorder="1" applyAlignment="1">
      <alignment horizontal="right" vertical="center"/>
    </xf>
    <xf numFmtId="3" fontId="22" fillId="35" borderId="160" xfId="0" applyNumberFormat="1" applyFont="1" applyFill="1" applyBorder="1" applyAlignment="1">
      <alignment horizontal="center"/>
    </xf>
    <xf numFmtId="3" fontId="22" fillId="35" borderId="77" xfId="0" applyNumberFormat="1" applyFont="1" applyFill="1" applyBorder="1" applyAlignment="1">
      <alignment horizontal="center"/>
    </xf>
    <xf numFmtId="3" fontId="22" fillId="35" borderId="98" xfId="0" applyNumberFormat="1" applyFont="1" applyFill="1" applyBorder="1" applyAlignment="1">
      <alignment horizontal="center"/>
    </xf>
    <xf numFmtId="0" fontId="69" fillId="0" borderId="64" xfId="0" applyFont="1" applyBorder="1" applyAlignment="1">
      <alignment horizontal="left" vertical="center" wrapText="1"/>
    </xf>
    <xf numFmtId="0" fontId="69" fillId="0" borderId="49" xfId="0" applyFont="1" applyBorder="1" applyAlignment="1">
      <alignment horizontal="left" vertical="center" wrapText="1"/>
    </xf>
    <xf numFmtId="0" fontId="69" fillId="0" borderId="105" xfId="0" applyFont="1" applyBorder="1" applyAlignment="1">
      <alignment horizontal="left" vertical="center" wrapText="1"/>
    </xf>
    <xf numFmtId="0" fontId="115" fillId="0" borderId="0" xfId="0" applyFont="1" applyAlignment="1">
      <alignment/>
    </xf>
    <xf numFmtId="0" fontId="116" fillId="0" borderId="0" xfId="0" applyFont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4"/>
  <sheetViews>
    <sheetView zoomScalePageLayoutView="0" workbookViewId="0" topLeftCell="A1">
      <selection activeCell="F1" sqref="F1:J1"/>
    </sheetView>
  </sheetViews>
  <sheetFormatPr defaultColWidth="9.00390625" defaultRowHeight="12.75"/>
  <cols>
    <col min="1" max="1" width="5.125" style="187" customWidth="1"/>
    <col min="2" max="3" width="9.125" style="187" customWidth="1"/>
    <col min="4" max="4" width="5.875" style="187" customWidth="1"/>
    <col min="5" max="5" width="49.875" style="187" customWidth="1"/>
    <col min="6" max="6" width="16.125" style="187" bestFit="1" customWidth="1"/>
    <col min="7" max="7" width="13.625" style="187" customWidth="1"/>
    <col min="8" max="9" width="15.125" style="187" customWidth="1"/>
    <col min="10" max="10" width="15.875" style="187" bestFit="1" customWidth="1"/>
    <col min="11" max="11" width="9.125" style="322" customWidth="1"/>
    <col min="12" max="16384" width="9.125" style="187" customWidth="1"/>
  </cols>
  <sheetData>
    <row r="1" spans="1:10" ht="15.75">
      <c r="A1" s="93"/>
      <c r="B1" s="214"/>
      <c r="C1" s="214"/>
      <c r="D1" s="214"/>
      <c r="E1" s="215"/>
      <c r="F1" s="965" t="s">
        <v>1109</v>
      </c>
      <c r="G1" s="966"/>
      <c r="H1" s="966"/>
      <c r="I1" s="966"/>
      <c r="J1" s="966"/>
    </row>
    <row r="2" spans="1:10" ht="15.75">
      <c r="A2" s="970" t="s">
        <v>884</v>
      </c>
      <c r="B2" s="970"/>
      <c r="C2" s="970"/>
      <c r="D2" s="970"/>
      <c r="E2" s="970"/>
      <c r="F2" s="970"/>
      <c r="G2" s="970"/>
      <c r="H2" s="970"/>
      <c r="I2" s="970"/>
      <c r="J2" s="970"/>
    </row>
    <row r="3" spans="1:10" ht="12.75">
      <c r="A3" s="93"/>
      <c r="B3" s="93"/>
      <c r="C3" s="93"/>
      <c r="D3" s="93"/>
      <c r="E3" s="93"/>
      <c r="F3" s="214"/>
      <c r="G3" s="214"/>
      <c r="H3" s="214"/>
      <c r="I3" s="214"/>
      <c r="J3" s="214"/>
    </row>
    <row r="4" spans="1:10" ht="12.75">
      <c r="A4" s="93"/>
      <c r="B4" s="214"/>
      <c r="C4" s="214"/>
      <c r="D4" s="214"/>
      <c r="E4" s="214"/>
      <c r="F4" s="214"/>
      <c r="G4" s="214"/>
      <c r="H4" s="214"/>
      <c r="I4" s="214"/>
      <c r="J4" s="215" t="s">
        <v>656</v>
      </c>
    </row>
    <row r="5" spans="1:10" ht="60">
      <c r="A5" s="956" t="s">
        <v>0</v>
      </c>
      <c r="B5" s="957"/>
      <c r="C5" s="957"/>
      <c r="D5" s="957"/>
      <c r="E5" s="958"/>
      <c r="F5" s="194" t="s">
        <v>87</v>
      </c>
      <c r="G5" s="194" t="s">
        <v>380</v>
      </c>
      <c r="H5" s="194" t="s">
        <v>785</v>
      </c>
      <c r="I5" s="194" t="s">
        <v>852</v>
      </c>
      <c r="J5" s="194" t="s">
        <v>373</v>
      </c>
    </row>
    <row r="6" spans="1:11" s="198" customFormat="1" ht="15">
      <c r="A6" s="216" t="s">
        <v>442</v>
      </c>
      <c r="B6" s="967" t="s">
        <v>443</v>
      </c>
      <c r="C6" s="968"/>
      <c r="D6" s="968"/>
      <c r="E6" s="969"/>
      <c r="F6" s="217" t="s">
        <v>444</v>
      </c>
      <c r="G6" s="217" t="s">
        <v>445</v>
      </c>
      <c r="H6" s="217" t="s">
        <v>446</v>
      </c>
      <c r="I6" s="217" t="s">
        <v>447</v>
      </c>
      <c r="J6" s="217" t="s">
        <v>449</v>
      </c>
      <c r="K6" s="645"/>
    </row>
    <row r="7" spans="1:11" s="220" customFormat="1" ht="12.75">
      <c r="A7" s="218" t="s">
        <v>214</v>
      </c>
      <c r="B7" s="959" t="s">
        <v>215</v>
      </c>
      <c r="C7" s="959"/>
      <c r="D7" s="959"/>
      <c r="E7" s="959"/>
      <c r="F7" s="219">
        <f>SUM(F8+F15+F16+F17+F28+F29)</f>
        <v>660150270</v>
      </c>
      <c r="G7" s="219">
        <f>SUM(G8+G15+G16+G17+G28+G29)</f>
        <v>1960719</v>
      </c>
      <c r="H7" s="219">
        <f>SUM(H8+H15+H16+H17+H28+H29)</f>
        <v>0</v>
      </c>
      <c r="I7" s="219">
        <f>SUM(I8+I15+I16+I17+I28+I29)</f>
        <v>22502900</v>
      </c>
      <c r="J7" s="219">
        <f>SUM(F7:I7)</f>
        <v>684613889</v>
      </c>
      <c r="K7" s="646"/>
    </row>
    <row r="8" spans="1:11" ht="12.75">
      <c r="A8" s="221"/>
      <c r="B8" s="221" t="s">
        <v>216</v>
      </c>
      <c r="C8" s="955" t="s">
        <v>217</v>
      </c>
      <c r="D8" s="955"/>
      <c r="E8" s="955"/>
      <c r="F8" s="222">
        <f>SUM(F9:F14)</f>
        <v>497170953</v>
      </c>
      <c r="G8" s="222">
        <f>SUM(G9:G14)</f>
        <v>0</v>
      </c>
      <c r="H8" s="222">
        <f>SUM(H9:H14)</f>
        <v>0</v>
      </c>
      <c r="I8" s="222">
        <f>SUM(I9:I14)</f>
        <v>0</v>
      </c>
      <c r="J8" s="223">
        <f aca="true" t="shared" si="0" ref="J8:J72">SUM(F8:I8)</f>
        <v>497170953</v>
      </c>
      <c r="K8" s="647"/>
    </row>
    <row r="9" spans="1:11" ht="12.75">
      <c r="A9" s="224"/>
      <c r="B9" s="224"/>
      <c r="C9" s="224" t="s">
        <v>218</v>
      </c>
      <c r="D9" s="224"/>
      <c r="E9" s="224" t="s">
        <v>678</v>
      </c>
      <c r="F9" s="225">
        <f>187405500+593921+81261</f>
        <v>188080682</v>
      </c>
      <c r="G9" s="225">
        <v>0</v>
      </c>
      <c r="H9" s="225">
        <v>0</v>
      </c>
      <c r="I9" s="225">
        <v>0</v>
      </c>
      <c r="J9" s="226">
        <f t="shared" si="0"/>
        <v>188080682</v>
      </c>
      <c r="K9" s="648"/>
    </row>
    <row r="10" spans="1:11" ht="12.75">
      <c r="A10" s="224"/>
      <c r="B10" s="227"/>
      <c r="C10" s="224" t="s">
        <v>219</v>
      </c>
      <c r="D10" s="224"/>
      <c r="E10" s="224" t="s">
        <v>684</v>
      </c>
      <c r="F10" s="225">
        <v>113053183</v>
      </c>
      <c r="G10" s="225">
        <v>0</v>
      </c>
      <c r="H10" s="225">
        <v>0</v>
      </c>
      <c r="I10" s="225">
        <v>0</v>
      </c>
      <c r="J10" s="226">
        <f t="shared" si="0"/>
        <v>113053183</v>
      </c>
      <c r="K10" s="648"/>
    </row>
    <row r="11" spans="1:11" ht="12.75">
      <c r="A11" s="224"/>
      <c r="B11" s="224"/>
      <c r="C11" s="224" t="s">
        <v>220</v>
      </c>
      <c r="D11" s="224"/>
      <c r="E11" s="224" t="s">
        <v>657</v>
      </c>
      <c r="F11" s="225">
        <f>163358480+10844656</f>
        <v>174203136</v>
      </c>
      <c r="G11" s="225">
        <v>0</v>
      </c>
      <c r="H11" s="225">
        <v>0</v>
      </c>
      <c r="I11" s="225">
        <v>0</v>
      </c>
      <c r="J11" s="226">
        <f t="shared" si="0"/>
        <v>174203136</v>
      </c>
      <c r="K11" s="648"/>
    </row>
    <row r="12" spans="1:11" ht="12.75">
      <c r="A12" s="224"/>
      <c r="B12" s="224"/>
      <c r="C12" s="224" t="s">
        <v>221</v>
      </c>
      <c r="D12" s="224"/>
      <c r="E12" s="224" t="s">
        <v>685</v>
      </c>
      <c r="F12" s="225">
        <f>10507640+862312</f>
        <v>11369952</v>
      </c>
      <c r="G12" s="225">
        <v>0</v>
      </c>
      <c r="H12" s="225">
        <v>0</v>
      </c>
      <c r="I12" s="225">
        <v>0</v>
      </c>
      <c r="J12" s="226">
        <f t="shared" si="0"/>
        <v>11369952</v>
      </c>
      <c r="K12" s="648"/>
    </row>
    <row r="13" spans="1:11" ht="11.25" customHeight="1">
      <c r="A13" s="224"/>
      <c r="B13" s="224"/>
      <c r="C13" s="224" t="s">
        <v>222</v>
      </c>
      <c r="D13" s="224"/>
      <c r="E13" s="224" t="s">
        <v>679</v>
      </c>
      <c r="F13" s="225">
        <v>10464000</v>
      </c>
      <c r="G13" s="225">
        <v>0</v>
      </c>
      <c r="H13" s="225">
        <v>0</v>
      </c>
      <c r="I13" s="225">
        <v>0</v>
      </c>
      <c r="J13" s="226">
        <f t="shared" si="0"/>
        <v>10464000</v>
      </c>
      <c r="K13" s="648"/>
    </row>
    <row r="14" spans="1:11" ht="0.75" customHeight="1" hidden="1">
      <c r="A14" s="228"/>
      <c r="B14" s="228"/>
      <c r="C14" s="224" t="s">
        <v>223</v>
      </c>
      <c r="D14" s="228"/>
      <c r="E14" s="224" t="s">
        <v>563</v>
      </c>
      <c r="F14" s="225">
        <v>0</v>
      </c>
      <c r="G14" s="225">
        <v>0</v>
      </c>
      <c r="H14" s="225">
        <v>0</v>
      </c>
      <c r="I14" s="225">
        <v>0</v>
      </c>
      <c r="J14" s="226">
        <f t="shared" si="0"/>
        <v>0</v>
      </c>
      <c r="K14" s="648"/>
    </row>
    <row r="15" spans="1:11" ht="12.75">
      <c r="A15" s="221"/>
      <c r="B15" s="221" t="s">
        <v>224</v>
      </c>
      <c r="C15" s="955" t="s">
        <v>225</v>
      </c>
      <c r="D15" s="955"/>
      <c r="E15" s="955"/>
      <c r="F15" s="222">
        <v>0</v>
      </c>
      <c r="G15" s="222">
        <v>0</v>
      </c>
      <c r="H15" s="222">
        <v>0</v>
      </c>
      <c r="I15" s="222">
        <v>0</v>
      </c>
      <c r="J15" s="223">
        <f t="shared" si="0"/>
        <v>0</v>
      </c>
      <c r="K15" s="647"/>
    </row>
    <row r="16" spans="1:11" ht="12.75">
      <c r="A16" s="221"/>
      <c r="B16" s="221" t="s">
        <v>226</v>
      </c>
      <c r="C16" s="955" t="s">
        <v>680</v>
      </c>
      <c r="D16" s="955"/>
      <c r="E16" s="955"/>
      <c r="F16" s="222">
        <v>0</v>
      </c>
      <c r="G16" s="222">
        <v>0</v>
      </c>
      <c r="H16" s="222">
        <v>0</v>
      </c>
      <c r="I16" s="222">
        <v>0</v>
      </c>
      <c r="J16" s="223">
        <f t="shared" si="0"/>
        <v>0</v>
      </c>
      <c r="K16" s="647"/>
    </row>
    <row r="17" spans="1:11" ht="12.75">
      <c r="A17" s="221"/>
      <c r="B17" s="221" t="s">
        <v>227</v>
      </c>
      <c r="C17" s="955" t="s">
        <v>681</v>
      </c>
      <c r="D17" s="955"/>
      <c r="E17" s="955"/>
      <c r="F17" s="222">
        <f>SUM(F18:F27)</f>
        <v>0</v>
      </c>
      <c r="G17" s="222">
        <f>SUM(G18:G27)</f>
        <v>0</v>
      </c>
      <c r="H17" s="222">
        <f>SUM(H18:H27)</f>
        <v>0</v>
      </c>
      <c r="I17" s="222">
        <f>SUM(I18:I27)</f>
        <v>0</v>
      </c>
      <c r="J17" s="223">
        <f t="shared" si="0"/>
        <v>0</v>
      </c>
      <c r="K17" s="647"/>
    </row>
    <row r="18" spans="1:11" ht="12.75" hidden="1">
      <c r="A18" s="229"/>
      <c r="B18" s="229"/>
      <c r="C18" s="230" t="s">
        <v>2</v>
      </c>
      <c r="D18" s="230" t="s">
        <v>152</v>
      </c>
      <c r="E18" s="230" t="s">
        <v>153</v>
      </c>
      <c r="F18" s="231">
        <v>0</v>
      </c>
      <c r="G18" s="231">
        <v>0</v>
      </c>
      <c r="H18" s="231">
        <v>0</v>
      </c>
      <c r="I18" s="231">
        <v>0</v>
      </c>
      <c r="J18" s="232">
        <f t="shared" si="0"/>
        <v>0</v>
      </c>
      <c r="K18" s="649"/>
    </row>
    <row r="19" spans="1:11" ht="12.75" hidden="1">
      <c r="A19" s="229"/>
      <c r="B19" s="229"/>
      <c r="C19" s="230"/>
      <c r="D19" s="230" t="s">
        <v>154</v>
      </c>
      <c r="E19" s="230" t="s">
        <v>155</v>
      </c>
      <c r="F19" s="231">
        <v>0</v>
      </c>
      <c r="G19" s="231">
        <v>0</v>
      </c>
      <c r="H19" s="231">
        <v>0</v>
      </c>
      <c r="I19" s="231">
        <v>0</v>
      </c>
      <c r="J19" s="232">
        <f t="shared" si="0"/>
        <v>0</v>
      </c>
      <c r="K19" s="649"/>
    </row>
    <row r="20" spans="1:11" ht="12.75" hidden="1">
      <c r="A20" s="229"/>
      <c r="B20" s="229"/>
      <c r="C20" s="230"/>
      <c r="D20" s="230" t="s">
        <v>156</v>
      </c>
      <c r="E20" s="230" t="s">
        <v>228</v>
      </c>
      <c r="F20" s="231">
        <v>0</v>
      </c>
      <c r="G20" s="231">
        <v>0</v>
      </c>
      <c r="H20" s="231">
        <v>0</v>
      </c>
      <c r="I20" s="231">
        <v>0</v>
      </c>
      <c r="J20" s="232">
        <f t="shared" si="0"/>
        <v>0</v>
      </c>
      <c r="K20" s="649"/>
    </row>
    <row r="21" spans="1:11" ht="12.75" hidden="1">
      <c r="A21" s="229"/>
      <c r="B21" s="229"/>
      <c r="C21" s="230"/>
      <c r="D21" s="230" t="s">
        <v>158</v>
      </c>
      <c r="E21" s="230" t="s">
        <v>159</v>
      </c>
      <c r="F21" s="231">
        <v>0</v>
      </c>
      <c r="G21" s="231">
        <v>0</v>
      </c>
      <c r="H21" s="231">
        <v>0</v>
      </c>
      <c r="I21" s="231">
        <v>0</v>
      </c>
      <c r="J21" s="232">
        <f t="shared" si="0"/>
        <v>0</v>
      </c>
      <c r="K21" s="649"/>
    </row>
    <row r="22" spans="1:11" ht="12.75" hidden="1">
      <c r="A22" s="229"/>
      <c r="B22" s="229"/>
      <c r="C22" s="230"/>
      <c r="D22" s="230" t="s">
        <v>160</v>
      </c>
      <c r="E22" s="230" t="s">
        <v>161</v>
      </c>
      <c r="F22" s="231">
        <v>0</v>
      </c>
      <c r="G22" s="231">
        <v>0</v>
      </c>
      <c r="H22" s="231">
        <v>0</v>
      </c>
      <c r="I22" s="231">
        <v>0</v>
      </c>
      <c r="J22" s="232">
        <f t="shared" si="0"/>
        <v>0</v>
      </c>
      <c r="K22" s="649"/>
    </row>
    <row r="23" spans="1:11" ht="12.75" hidden="1">
      <c r="A23" s="229"/>
      <c r="B23" s="229"/>
      <c r="C23" s="230"/>
      <c r="D23" s="230" t="s">
        <v>162</v>
      </c>
      <c r="E23" s="230" t="s">
        <v>163</v>
      </c>
      <c r="F23" s="231">
        <v>0</v>
      </c>
      <c r="G23" s="231">
        <v>0</v>
      </c>
      <c r="H23" s="231">
        <v>0</v>
      </c>
      <c r="I23" s="231">
        <v>0</v>
      </c>
      <c r="J23" s="232">
        <f t="shared" si="0"/>
        <v>0</v>
      </c>
      <c r="K23" s="649"/>
    </row>
    <row r="24" spans="1:11" ht="12.75" hidden="1">
      <c r="A24" s="229"/>
      <c r="B24" s="229"/>
      <c r="C24" s="230"/>
      <c r="D24" s="230" t="s">
        <v>164</v>
      </c>
      <c r="E24" s="230" t="s">
        <v>165</v>
      </c>
      <c r="F24" s="231">
        <v>0</v>
      </c>
      <c r="G24" s="231">
        <v>0</v>
      </c>
      <c r="H24" s="231">
        <v>0</v>
      </c>
      <c r="I24" s="231">
        <v>0</v>
      </c>
      <c r="J24" s="232">
        <f t="shared" si="0"/>
        <v>0</v>
      </c>
      <c r="K24" s="649"/>
    </row>
    <row r="25" spans="1:11" ht="12.75" hidden="1">
      <c r="A25" s="229"/>
      <c r="B25" s="229"/>
      <c r="C25" s="230"/>
      <c r="D25" s="230" t="s">
        <v>166</v>
      </c>
      <c r="E25" s="230" t="s">
        <v>167</v>
      </c>
      <c r="F25" s="231"/>
      <c r="G25" s="231">
        <v>0</v>
      </c>
      <c r="H25" s="231">
        <v>0</v>
      </c>
      <c r="I25" s="231">
        <v>0</v>
      </c>
      <c r="J25" s="232">
        <f t="shared" si="0"/>
        <v>0</v>
      </c>
      <c r="K25" s="649"/>
    </row>
    <row r="26" spans="1:11" ht="12.75" hidden="1">
      <c r="A26" s="229"/>
      <c r="B26" s="229"/>
      <c r="C26" s="230"/>
      <c r="D26" s="230" t="s">
        <v>168</v>
      </c>
      <c r="E26" s="230" t="s">
        <v>169</v>
      </c>
      <c r="F26" s="231">
        <v>0</v>
      </c>
      <c r="G26" s="231">
        <v>0</v>
      </c>
      <c r="H26" s="231">
        <v>0</v>
      </c>
      <c r="I26" s="231">
        <v>0</v>
      </c>
      <c r="J26" s="232">
        <f t="shared" si="0"/>
        <v>0</v>
      </c>
      <c r="K26" s="649"/>
    </row>
    <row r="27" spans="1:11" ht="12.75" hidden="1">
      <c r="A27" s="229"/>
      <c r="B27" s="229"/>
      <c r="C27" s="230"/>
      <c r="D27" s="230" t="s">
        <v>170</v>
      </c>
      <c r="E27" s="230" t="s">
        <v>171</v>
      </c>
      <c r="F27" s="231">
        <v>0</v>
      </c>
      <c r="G27" s="231">
        <v>0</v>
      </c>
      <c r="H27" s="231">
        <v>0</v>
      </c>
      <c r="I27" s="231">
        <v>0</v>
      </c>
      <c r="J27" s="232">
        <f t="shared" si="0"/>
        <v>0</v>
      </c>
      <c r="K27" s="649"/>
    </row>
    <row r="28" spans="1:11" ht="12.75">
      <c r="A28" s="221"/>
      <c r="B28" s="221" t="s">
        <v>229</v>
      </c>
      <c r="C28" s="955" t="s">
        <v>682</v>
      </c>
      <c r="D28" s="955"/>
      <c r="E28" s="955"/>
      <c r="F28" s="222">
        <v>0</v>
      </c>
      <c r="G28" s="222">
        <v>0</v>
      </c>
      <c r="H28" s="222">
        <v>0</v>
      </c>
      <c r="I28" s="222">
        <v>0</v>
      </c>
      <c r="J28" s="223">
        <f t="shared" si="0"/>
        <v>0</v>
      </c>
      <c r="K28" s="647"/>
    </row>
    <row r="29" spans="1:11" ht="12.75">
      <c r="A29" s="221"/>
      <c r="B29" s="221" t="s">
        <v>230</v>
      </c>
      <c r="C29" s="955" t="s">
        <v>683</v>
      </c>
      <c r="D29" s="955"/>
      <c r="E29" s="955"/>
      <c r="F29" s="222">
        <f>SUM(F30:F39)</f>
        <v>162979317</v>
      </c>
      <c r="G29" s="222">
        <f>SUM(G30:G39)</f>
        <v>1960719</v>
      </c>
      <c r="H29" s="222">
        <f>SUM(H30:H39)</f>
        <v>0</v>
      </c>
      <c r="I29" s="222">
        <f>SUM(I30:I39)</f>
        <v>22502900</v>
      </c>
      <c r="J29" s="223">
        <f t="shared" si="0"/>
        <v>187442936</v>
      </c>
      <c r="K29" s="647"/>
    </row>
    <row r="30" spans="1:11" ht="12.75" hidden="1">
      <c r="A30" s="229"/>
      <c r="B30" s="229"/>
      <c r="C30" s="230" t="s">
        <v>2</v>
      </c>
      <c r="D30" s="230" t="s">
        <v>152</v>
      </c>
      <c r="E30" s="230" t="s">
        <v>153</v>
      </c>
      <c r="F30" s="231">
        <v>0</v>
      </c>
      <c r="G30" s="231">
        <v>0</v>
      </c>
      <c r="H30" s="231">
        <v>0</v>
      </c>
      <c r="I30" s="231">
        <v>0</v>
      </c>
      <c r="J30" s="232">
        <f t="shared" si="0"/>
        <v>0</v>
      </c>
      <c r="K30" s="649"/>
    </row>
    <row r="31" spans="1:11" ht="12.75" hidden="1">
      <c r="A31" s="229"/>
      <c r="B31" s="229"/>
      <c r="C31" s="230"/>
      <c r="D31" s="230" t="s">
        <v>154</v>
      </c>
      <c r="E31" s="230" t="s">
        <v>155</v>
      </c>
      <c r="F31" s="231">
        <v>0</v>
      </c>
      <c r="G31" s="231">
        <v>0</v>
      </c>
      <c r="H31" s="231">
        <v>0</v>
      </c>
      <c r="I31" s="231">
        <v>0</v>
      </c>
      <c r="J31" s="232">
        <f t="shared" si="0"/>
        <v>0</v>
      </c>
      <c r="K31" s="649"/>
    </row>
    <row r="32" spans="1:11" ht="12.75">
      <c r="A32" s="233"/>
      <c r="B32" s="233"/>
      <c r="C32" s="230" t="s">
        <v>2</v>
      </c>
      <c r="D32" s="234"/>
      <c r="E32" s="234" t="s">
        <v>686</v>
      </c>
      <c r="F32" s="231">
        <f>52411853+3303941+2000000</f>
        <v>57715794</v>
      </c>
      <c r="G32" s="231">
        <v>0</v>
      </c>
      <c r="H32" s="231">
        <v>0</v>
      </c>
      <c r="I32" s="231">
        <v>22502900</v>
      </c>
      <c r="J32" s="232">
        <f t="shared" si="0"/>
        <v>80218694</v>
      </c>
      <c r="K32" s="649"/>
    </row>
    <row r="33" spans="1:11" ht="12.75">
      <c r="A33" s="229"/>
      <c r="B33" s="229"/>
      <c r="C33" s="230"/>
      <c r="D33" s="230"/>
      <c r="E33" s="230" t="s">
        <v>159</v>
      </c>
      <c r="F33" s="231">
        <f>15675115-2000000</f>
        <v>13675115</v>
      </c>
      <c r="G33" s="231">
        <v>1960719</v>
      </c>
      <c r="H33" s="231">
        <v>0</v>
      </c>
      <c r="I33" s="231">
        <v>0</v>
      </c>
      <c r="J33" s="232">
        <f t="shared" si="0"/>
        <v>15635834</v>
      </c>
      <c r="K33" s="649"/>
    </row>
    <row r="34" spans="1:11" ht="12.75">
      <c r="A34" s="229"/>
      <c r="B34" s="229"/>
      <c r="C34" s="230"/>
      <c r="D34" s="230"/>
      <c r="E34" s="230" t="s">
        <v>161</v>
      </c>
      <c r="F34" s="231">
        <v>21228000</v>
      </c>
      <c r="G34" s="231">
        <v>0</v>
      </c>
      <c r="H34" s="231">
        <v>0</v>
      </c>
      <c r="I34" s="231">
        <v>0</v>
      </c>
      <c r="J34" s="232">
        <f t="shared" si="0"/>
        <v>21228000</v>
      </c>
      <c r="K34" s="649"/>
    </row>
    <row r="35" spans="1:11" ht="12.75">
      <c r="A35" s="229"/>
      <c r="B35" s="229"/>
      <c r="C35" s="230"/>
      <c r="D35" s="230"/>
      <c r="E35" s="230" t="s">
        <v>163</v>
      </c>
      <c r="F35" s="231">
        <f>23113977-6854236-6737965+42621100+16507503</f>
        <v>68650379</v>
      </c>
      <c r="G35" s="231">
        <v>0</v>
      </c>
      <c r="H35" s="231">
        <v>0</v>
      </c>
      <c r="I35" s="231">
        <v>0</v>
      </c>
      <c r="J35" s="232">
        <f t="shared" si="0"/>
        <v>68650379</v>
      </c>
      <c r="K35" s="649"/>
    </row>
    <row r="36" spans="1:11" ht="12.75">
      <c r="A36" s="229"/>
      <c r="B36" s="229"/>
      <c r="C36" s="230"/>
      <c r="D36" s="230"/>
      <c r="E36" s="230" t="s">
        <v>165</v>
      </c>
      <c r="F36" s="231">
        <v>1710029</v>
      </c>
      <c r="G36" s="231">
        <v>0</v>
      </c>
      <c r="H36" s="231">
        <v>0</v>
      </c>
      <c r="I36" s="231">
        <v>0</v>
      </c>
      <c r="J36" s="232">
        <f t="shared" si="0"/>
        <v>1710029</v>
      </c>
      <c r="K36" s="649"/>
    </row>
    <row r="37" spans="1:11" ht="12.75" hidden="1">
      <c r="A37" s="229"/>
      <c r="B37" s="229"/>
      <c r="C37" s="230"/>
      <c r="D37" s="230"/>
      <c r="E37" s="230" t="s">
        <v>167</v>
      </c>
      <c r="F37" s="231">
        <v>0</v>
      </c>
      <c r="G37" s="231">
        <v>0</v>
      </c>
      <c r="H37" s="231">
        <v>0</v>
      </c>
      <c r="I37" s="231">
        <v>0</v>
      </c>
      <c r="J37" s="232">
        <f t="shared" si="0"/>
        <v>0</v>
      </c>
      <c r="K37" s="649"/>
    </row>
    <row r="38" spans="1:11" ht="12.75" hidden="1">
      <c r="A38" s="229"/>
      <c r="B38" s="229"/>
      <c r="C38" s="230"/>
      <c r="D38" s="230"/>
      <c r="E38" s="230" t="s">
        <v>687</v>
      </c>
      <c r="F38" s="231">
        <v>0</v>
      </c>
      <c r="G38" s="231">
        <v>0</v>
      </c>
      <c r="H38" s="231">
        <v>0</v>
      </c>
      <c r="I38" s="231">
        <v>0</v>
      </c>
      <c r="J38" s="232">
        <f t="shared" si="0"/>
        <v>0</v>
      </c>
      <c r="K38" s="649"/>
    </row>
    <row r="39" spans="1:11" ht="12.75" hidden="1">
      <c r="A39" s="229"/>
      <c r="B39" s="229"/>
      <c r="C39" s="230"/>
      <c r="D39" s="230"/>
      <c r="E39" s="230" t="s">
        <v>688</v>
      </c>
      <c r="F39" s="231">
        <v>0</v>
      </c>
      <c r="G39" s="231">
        <v>0</v>
      </c>
      <c r="H39" s="231">
        <v>0</v>
      </c>
      <c r="I39" s="231">
        <v>0</v>
      </c>
      <c r="J39" s="232">
        <f t="shared" si="0"/>
        <v>0</v>
      </c>
      <c r="K39" s="649"/>
    </row>
    <row r="40" spans="1:11" s="220" customFormat="1" ht="12.75">
      <c r="A40" s="218" t="s">
        <v>231</v>
      </c>
      <c r="B40" s="959" t="s">
        <v>694</v>
      </c>
      <c r="C40" s="959"/>
      <c r="D40" s="959"/>
      <c r="E40" s="959"/>
      <c r="F40" s="219">
        <f>SUM(F41:F45)</f>
        <v>26948878</v>
      </c>
      <c r="G40" s="219">
        <f>SUM(G41:G45)</f>
        <v>0</v>
      </c>
      <c r="H40" s="219">
        <f>SUM(H41:H45)</f>
        <v>0</v>
      </c>
      <c r="I40" s="219">
        <f>SUM(I41:I45)</f>
        <v>2497100</v>
      </c>
      <c r="J40" s="219">
        <f t="shared" si="0"/>
        <v>29445978</v>
      </c>
      <c r="K40" s="646"/>
    </row>
    <row r="41" spans="1:11" ht="12.75" hidden="1">
      <c r="A41" s="221"/>
      <c r="B41" s="221" t="s">
        <v>232</v>
      </c>
      <c r="C41" s="955" t="s">
        <v>689</v>
      </c>
      <c r="D41" s="955"/>
      <c r="E41" s="955"/>
      <c r="F41" s="222">
        <v>0</v>
      </c>
      <c r="G41" s="222">
        <v>0</v>
      </c>
      <c r="H41" s="222">
        <v>0</v>
      </c>
      <c r="I41" s="222">
        <v>0</v>
      </c>
      <c r="J41" s="223">
        <f t="shared" si="0"/>
        <v>0</v>
      </c>
      <c r="K41" s="647"/>
    </row>
    <row r="42" spans="1:11" ht="12.75" hidden="1">
      <c r="A42" s="221"/>
      <c r="B42" s="221" t="s">
        <v>233</v>
      </c>
      <c r="C42" s="955" t="s">
        <v>690</v>
      </c>
      <c r="D42" s="955"/>
      <c r="E42" s="955"/>
      <c r="F42" s="222">
        <v>0</v>
      </c>
      <c r="G42" s="222">
        <v>0</v>
      </c>
      <c r="H42" s="222">
        <v>0</v>
      </c>
      <c r="I42" s="222">
        <v>0</v>
      </c>
      <c r="J42" s="223">
        <f t="shared" si="0"/>
        <v>0</v>
      </c>
      <c r="K42" s="647"/>
    </row>
    <row r="43" spans="1:11" ht="12.75" hidden="1">
      <c r="A43" s="221"/>
      <c r="B43" s="221" t="s">
        <v>234</v>
      </c>
      <c r="C43" s="955" t="s">
        <v>691</v>
      </c>
      <c r="D43" s="955"/>
      <c r="E43" s="955"/>
      <c r="F43" s="222">
        <v>0</v>
      </c>
      <c r="G43" s="222">
        <v>0</v>
      </c>
      <c r="H43" s="222">
        <v>0</v>
      </c>
      <c r="I43" s="222">
        <v>0</v>
      </c>
      <c r="J43" s="223">
        <f t="shared" si="0"/>
        <v>0</v>
      </c>
      <c r="K43" s="647"/>
    </row>
    <row r="44" spans="1:11" ht="12.75" hidden="1">
      <c r="A44" s="221"/>
      <c r="B44" s="221" t="s">
        <v>235</v>
      </c>
      <c r="C44" s="955" t="s">
        <v>692</v>
      </c>
      <c r="D44" s="955"/>
      <c r="E44" s="955"/>
      <c r="F44" s="222">
        <v>0</v>
      </c>
      <c r="G44" s="222">
        <v>0</v>
      </c>
      <c r="H44" s="222">
        <v>0</v>
      </c>
      <c r="I44" s="222">
        <v>0</v>
      </c>
      <c r="J44" s="223">
        <f t="shared" si="0"/>
        <v>0</v>
      </c>
      <c r="K44" s="647"/>
    </row>
    <row r="45" spans="1:11" ht="12.75">
      <c r="A45" s="221"/>
      <c r="B45" s="221" t="s">
        <v>236</v>
      </c>
      <c r="C45" s="955" t="s">
        <v>693</v>
      </c>
      <c r="D45" s="955"/>
      <c r="E45" s="955"/>
      <c r="F45" s="222">
        <f>SUM(F46:F56)</f>
        <v>26948878</v>
      </c>
      <c r="G45" s="222">
        <f>SUM(G46:G56)</f>
        <v>0</v>
      </c>
      <c r="H45" s="222">
        <f>SUM(H46:H56)</f>
        <v>0</v>
      </c>
      <c r="I45" s="222">
        <f>SUM(I46:I56)</f>
        <v>2497100</v>
      </c>
      <c r="J45" s="223">
        <f t="shared" si="0"/>
        <v>29445978</v>
      </c>
      <c r="K45" s="647"/>
    </row>
    <row r="46" spans="1:11" ht="12.75" hidden="1">
      <c r="A46" s="229"/>
      <c r="B46" s="229"/>
      <c r="C46" s="230" t="s">
        <v>2</v>
      </c>
      <c r="D46" s="230" t="s">
        <v>152</v>
      </c>
      <c r="E46" s="230" t="s">
        <v>153</v>
      </c>
      <c r="F46" s="231">
        <v>0</v>
      </c>
      <c r="G46" s="231">
        <v>0</v>
      </c>
      <c r="H46" s="231">
        <v>0</v>
      </c>
      <c r="I46" s="231">
        <v>0</v>
      </c>
      <c r="J46" s="232">
        <f t="shared" si="0"/>
        <v>0</v>
      </c>
      <c r="K46" s="649"/>
    </row>
    <row r="47" spans="1:11" ht="12.75" hidden="1">
      <c r="A47" s="229"/>
      <c r="B47" s="229"/>
      <c r="C47" s="230"/>
      <c r="D47" s="230" t="s">
        <v>154</v>
      </c>
      <c r="E47" s="230" t="s">
        <v>155</v>
      </c>
      <c r="F47" s="231">
        <v>0</v>
      </c>
      <c r="G47" s="231">
        <v>0</v>
      </c>
      <c r="H47" s="231">
        <v>0</v>
      </c>
      <c r="I47" s="231">
        <v>0</v>
      </c>
      <c r="J47" s="232">
        <f t="shared" si="0"/>
        <v>0</v>
      </c>
      <c r="K47" s="649"/>
    </row>
    <row r="48" spans="1:11" ht="12" customHeight="1">
      <c r="A48" s="233"/>
      <c r="B48" s="233"/>
      <c r="C48" s="230" t="s">
        <v>2</v>
      </c>
      <c r="D48" s="234"/>
      <c r="E48" s="234" t="s">
        <v>228</v>
      </c>
      <c r="F48" s="231">
        <f>24880301+779383</f>
        <v>25659684</v>
      </c>
      <c r="G48" s="231">
        <v>0</v>
      </c>
      <c r="H48" s="231">
        <v>0</v>
      </c>
      <c r="I48" s="231">
        <v>2497100</v>
      </c>
      <c r="J48" s="232">
        <f t="shared" si="0"/>
        <v>28156784</v>
      </c>
      <c r="K48" s="649"/>
    </row>
    <row r="49" spans="1:11" ht="12.75" hidden="1">
      <c r="A49" s="229"/>
      <c r="B49" s="229"/>
      <c r="C49" s="230"/>
      <c r="D49" s="230" t="s">
        <v>158</v>
      </c>
      <c r="E49" s="230" t="s">
        <v>159</v>
      </c>
      <c r="F49" s="231">
        <v>0</v>
      </c>
      <c r="G49" s="231">
        <v>0</v>
      </c>
      <c r="H49" s="231">
        <v>0</v>
      </c>
      <c r="I49" s="231">
        <v>0</v>
      </c>
      <c r="J49" s="232">
        <f t="shared" si="0"/>
        <v>0</v>
      </c>
      <c r="K49" s="649"/>
    </row>
    <row r="50" spans="1:11" ht="12.75" hidden="1">
      <c r="A50" s="229"/>
      <c r="B50" s="229"/>
      <c r="C50" s="230"/>
      <c r="D50" s="230" t="s">
        <v>160</v>
      </c>
      <c r="E50" s="230" t="s">
        <v>161</v>
      </c>
      <c r="F50" s="231">
        <v>0</v>
      </c>
      <c r="G50" s="231">
        <v>0</v>
      </c>
      <c r="H50" s="231">
        <v>0</v>
      </c>
      <c r="I50" s="231">
        <v>0</v>
      </c>
      <c r="J50" s="232">
        <f t="shared" si="0"/>
        <v>0</v>
      </c>
      <c r="K50" s="649"/>
    </row>
    <row r="51" spans="1:11" ht="12.75" hidden="1">
      <c r="A51" s="229"/>
      <c r="B51" s="229"/>
      <c r="C51" s="230"/>
      <c r="D51" s="230" t="s">
        <v>162</v>
      </c>
      <c r="E51" s="230" t="s">
        <v>163</v>
      </c>
      <c r="F51" s="231"/>
      <c r="G51" s="231">
        <v>0</v>
      </c>
      <c r="H51" s="231">
        <v>0</v>
      </c>
      <c r="I51" s="231">
        <v>0</v>
      </c>
      <c r="J51" s="232">
        <f t="shared" si="0"/>
        <v>0</v>
      </c>
      <c r="K51" s="649"/>
    </row>
    <row r="52" spans="1:11" ht="12.75" hidden="1">
      <c r="A52" s="229"/>
      <c r="B52" s="229"/>
      <c r="C52" s="230"/>
      <c r="D52" s="230" t="s">
        <v>164</v>
      </c>
      <c r="E52" s="230" t="s">
        <v>165</v>
      </c>
      <c r="F52" s="231">
        <v>0</v>
      </c>
      <c r="G52" s="231">
        <v>0</v>
      </c>
      <c r="H52" s="231">
        <v>0</v>
      </c>
      <c r="I52" s="231">
        <v>0</v>
      </c>
      <c r="J52" s="232">
        <f t="shared" si="0"/>
        <v>0</v>
      </c>
      <c r="K52" s="649"/>
    </row>
    <row r="53" spans="1:11" ht="12.75" hidden="1">
      <c r="A53" s="229"/>
      <c r="B53" s="229"/>
      <c r="C53" s="230"/>
      <c r="D53" s="230" t="s">
        <v>166</v>
      </c>
      <c r="E53" s="230" t="s">
        <v>167</v>
      </c>
      <c r="F53" s="231">
        <v>0</v>
      </c>
      <c r="G53" s="231">
        <v>0</v>
      </c>
      <c r="H53" s="231">
        <v>0</v>
      </c>
      <c r="I53" s="231">
        <v>0</v>
      </c>
      <c r="J53" s="232">
        <f t="shared" si="0"/>
        <v>0</v>
      </c>
      <c r="K53" s="649"/>
    </row>
    <row r="54" spans="1:11" ht="12.75" hidden="1">
      <c r="A54" s="229"/>
      <c r="B54" s="229"/>
      <c r="C54" s="230"/>
      <c r="D54" s="230" t="s">
        <v>168</v>
      </c>
      <c r="E54" s="230" t="s">
        <v>169</v>
      </c>
      <c r="F54" s="231">
        <v>0</v>
      </c>
      <c r="G54" s="231">
        <v>0</v>
      </c>
      <c r="H54" s="231">
        <v>0</v>
      </c>
      <c r="I54" s="231">
        <v>0</v>
      </c>
      <c r="J54" s="232">
        <f t="shared" si="0"/>
        <v>0</v>
      </c>
      <c r="K54" s="649"/>
    </row>
    <row r="55" spans="1:11" ht="12.75" hidden="1">
      <c r="A55" s="229"/>
      <c r="B55" s="229"/>
      <c r="C55" s="230"/>
      <c r="D55" s="230" t="s">
        <v>170</v>
      </c>
      <c r="E55" s="230" t="s">
        <v>171</v>
      </c>
      <c r="F55" s="231">
        <v>0</v>
      </c>
      <c r="G55" s="231">
        <v>0</v>
      </c>
      <c r="H55" s="231">
        <v>0</v>
      </c>
      <c r="I55" s="231">
        <v>0</v>
      </c>
      <c r="J55" s="232">
        <f t="shared" si="0"/>
        <v>0</v>
      </c>
      <c r="K55" s="649"/>
    </row>
    <row r="56" spans="1:11" ht="12.75">
      <c r="A56" s="229"/>
      <c r="B56" s="229"/>
      <c r="C56" s="230"/>
      <c r="D56" s="230"/>
      <c r="E56" s="230" t="s">
        <v>163</v>
      </c>
      <c r="F56" s="231">
        <f>289870-39360+138684+900000</f>
        <v>1289194</v>
      </c>
      <c r="G56" s="231">
        <v>0</v>
      </c>
      <c r="H56" s="231">
        <v>0</v>
      </c>
      <c r="I56" s="231">
        <v>0</v>
      </c>
      <c r="J56" s="232">
        <f t="shared" si="0"/>
        <v>1289194</v>
      </c>
      <c r="K56" s="649"/>
    </row>
    <row r="57" spans="1:11" s="220" customFormat="1" ht="12.75">
      <c r="A57" s="218" t="s">
        <v>237</v>
      </c>
      <c r="B57" s="959" t="s">
        <v>238</v>
      </c>
      <c r="C57" s="959"/>
      <c r="D57" s="959"/>
      <c r="E57" s="959"/>
      <c r="F57" s="219">
        <f>SUM(F58+F59+F60+F61+F64+F75)</f>
        <v>254780000</v>
      </c>
      <c r="G57" s="219">
        <f>SUM(G58+G59+G60+G61+G64+G75)</f>
        <v>0</v>
      </c>
      <c r="H57" s="219">
        <f>SUM(H58+H59+H60+H61+H64+H75)</f>
        <v>0</v>
      </c>
      <c r="I57" s="219">
        <f>SUM(I58+I59+I60+I61+I64+I75)</f>
        <v>0</v>
      </c>
      <c r="J57" s="219">
        <f t="shared" si="0"/>
        <v>254780000</v>
      </c>
      <c r="K57" s="646"/>
    </row>
    <row r="58" spans="1:11" ht="12.75">
      <c r="A58" s="221"/>
      <c r="B58" s="221" t="s">
        <v>239</v>
      </c>
      <c r="C58" s="955" t="s">
        <v>240</v>
      </c>
      <c r="D58" s="955"/>
      <c r="E58" s="955"/>
      <c r="F58" s="222">
        <v>50000</v>
      </c>
      <c r="G58" s="222">
        <v>0</v>
      </c>
      <c r="H58" s="222">
        <v>0</v>
      </c>
      <c r="I58" s="222">
        <v>0</v>
      </c>
      <c r="J58" s="223">
        <f t="shared" si="0"/>
        <v>50000</v>
      </c>
      <c r="K58" s="647"/>
    </row>
    <row r="59" spans="1:11" ht="12.75">
      <c r="A59" s="221"/>
      <c r="B59" s="221" t="s">
        <v>241</v>
      </c>
      <c r="C59" s="955" t="s">
        <v>242</v>
      </c>
      <c r="D59" s="955"/>
      <c r="E59" s="955"/>
      <c r="F59" s="222">
        <v>0</v>
      </c>
      <c r="G59" s="222">
        <v>0</v>
      </c>
      <c r="H59" s="222">
        <v>0</v>
      </c>
      <c r="I59" s="222">
        <v>0</v>
      </c>
      <c r="J59" s="223">
        <f t="shared" si="0"/>
        <v>0</v>
      </c>
      <c r="K59" s="647"/>
    </row>
    <row r="60" spans="1:11" ht="12.75">
      <c r="A60" s="221"/>
      <c r="B60" s="221" t="s">
        <v>243</v>
      </c>
      <c r="C60" s="955" t="s">
        <v>244</v>
      </c>
      <c r="D60" s="955"/>
      <c r="E60" s="955"/>
      <c r="F60" s="222">
        <v>0</v>
      </c>
      <c r="G60" s="222">
        <v>0</v>
      </c>
      <c r="H60" s="222">
        <v>0</v>
      </c>
      <c r="I60" s="222">
        <v>0</v>
      </c>
      <c r="J60" s="223">
        <f t="shared" si="0"/>
        <v>0</v>
      </c>
      <c r="K60" s="647"/>
    </row>
    <row r="61" spans="1:11" ht="12.75">
      <c r="A61" s="221"/>
      <c r="B61" s="221" t="s">
        <v>245</v>
      </c>
      <c r="C61" s="955" t="s">
        <v>246</v>
      </c>
      <c r="D61" s="955"/>
      <c r="E61" s="955"/>
      <c r="F61" s="222">
        <f>SUM(F62:F63)</f>
        <v>38930000</v>
      </c>
      <c r="G61" s="222">
        <f>SUM(G62:G63)</f>
        <v>0</v>
      </c>
      <c r="H61" s="222">
        <v>0</v>
      </c>
      <c r="I61" s="222">
        <v>0</v>
      </c>
      <c r="J61" s="223">
        <f t="shared" si="0"/>
        <v>38930000</v>
      </c>
      <c r="K61" s="647"/>
    </row>
    <row r="62" spans="1:11" ht="12.75">
      <c r="A62" s="229"/>
      <c r="B62" s="229"/>
      <c r="C62" s="230"/>
      <c r="D62" s="230"/>
      <c r="E62" s="230" t="s">
        <v>247</v>
      </c>
      <c r="F62" s="231">
        <v>38000000</v>
      </c>
      <c r="G62" s="231">
        <v>0</v>
      </c>
      <c r="H62" s="231">
        <v>0</v>
      </c>
      <c r="I62" s="231">
        <v>0</v>
      </c>
      <c r="J62" s="232">
        <f t="shared" si="0"/>
        <v>38000000</v>
      </c>
      <c r="K62" s="649"/>
    </row>
    <row r="63" spans="1:11" ht="12.75">
      <c r="A63" s="229"/>
      <c r="B63" s="229"/>
      <c r="C63" s="230"/>
      <c r="D63" s="230"/>
      <c r="E63" s="230" t="s">
        <v>248</v>
      </c>
      <c r="F63" s="231">
        <v>930000</v>
      </c>
      <c r="G63" s="231">
        <v>0</v>
      </c>
      <c r="H63" s="231">
        <v>0</v>
      </c>
      <c r="I63" s="231">
        <v>0</v>
      </c>
      <c r="J63" s="232">
        <f t="shared" si="0"/>
        <v>930000</v>
      </c>
      <c r="K63" s="649"/>
    </row>
    <row r="64" spans="1:11" ht="12.75">
      <c r="A64" s="221"/>
      <c r="B64" s="221" t="s">
        <v>249</v>
      </c>
      <c r="C64" s="955" t="s">
        <v>250</v>
      </c>
      <c r="D64" s="955"/>
      <c r="E64" s="955"/>
      <c r="F64" s="222">
        <f>SUM(F65+F68+F70+F71+F73)</f>
        <v>215200000</v>
      </c>
      <c r="G64" s="222">
        <f>SUM(G65+G68+G70+G71+G73)</f>
        <v>0</v>
      </c>
      <c r="H64" s="222">
        <v>0</v>
      </c>
      <c r="I64" s="222">
        <v>0</v>
      </c>
      <c r="J64" s="223">
        <f t="shared" si="0"/>
        <v>215200000</v>
      </c>
      <c r="K64" s="647"/>
    </row>
    <row r="65" spans="1:11" ht="12.75">
      <c r="A65" s="224"/>
      <c r="B65" s="224"/>
      <c r="C65" s="224" t="s">
        <v>251</v>
      </c>
      <c r="D65" s="224" t="s">
        <v>252</v>
      </c>
      <c r="E65" s="224"/>
      <c r="F65" s="225">
        <f>SUM(F66:F67)</f>
        <v>193200000</v>
      </c>
      <c r="G65" s="225">
        <f>SUM(G66:G67)</f>
        <v>0</v>
      </c>
      <c r="H65" s="225">
        <v>0</v>
      </c>
      <c r="I65" s="225">
        <v>0</v>
      </c>
      <c r="J65" s="226">
        <f t="shared" si="0"/>
        <v>193200000</v>
      </c>
      <c r="K65" s="648"/>
    </row>
    <row r="66" spans="1:11" ht="12.75">
      <c r="A66" s="229"/>
      <c r="B66" s="229"/>
      <c r="C66" s="230"/>
      <c r="D66" s="230"/>
      <c r="E66" s="230" t="s">
        <v>695</v>
      </c>
      <c r="F66" s="231">
        <v>193000000</v>
      </c>
      <c r="G66" s="231">
        <v>0</v>
      </c>
      <c r="H66" s="231">
        <v>0</v>
      </c>
      <c r="I66" s="231">
        <v>0</v>
      </c>
      <c r="J66" s="232">
        <f t="shared" si="0"/>
        <v>193000000</v>
      </c>
      <c r="K66" s="649"/>
    </row>
    <row r="67" spans="1:11" ht="12.75">
      <c r="A67" s="229"/>
      <c r="B67" s="229"/>
      <c r="C67" s="230"/>
      <c r="D67" s="230"/>
      <c r="E67" s="230" t="s">
        <v>696</v>
      </c>
      <c r="F67" s="231">
        <v>200000</v>
      </c>
      <c r="G67" s="231">
        <v>0</v>
      </c>
      <c r="H67" s="231">
        <v>0</v>
      </c>
      <c r="I67" s="231">
        <v>0</v>
      </c>
      <c r="J67" s="232">
        <f t="shared" si="0"/>
        <v>200000</v>
      </c>
      <c r="K67" s="649"/>
    </row>
    <row r="68" spans="1:11" ht="12.75">
      <c r="A68" s="224"/>
      <c r="B68" s="224"/>
      <c r="C68" s="224" t="s">
        <v>253</v>
      </c>
      <c r="D68" s="224" t="s">
        <v>607</v>
      </c>
      <c r="E68" s="224"/>
      <c r="F68" s="225">
        <f>SUM(F69)</f>
        <v>0</v>
      </c>
      <c r="G68" s="225">
        <f>SUM(G69)</f>
        <v>0</v>
      </c>
      <c r="H68" s="225">
        <f>SUM(H69)</f>
        <v>0</v>
      </c>
      <c r="I68" s="225">
        <f>SUM(I69)</f>
        <v>0</v>
      </c>
      <c r="J68" s="226">
        <f t="shared" si="0"/>
        <v>0</v>
      </c>
      <c r="K68" s="648"/>
    </row>
    <row r="69" spans="1:11" ht="12.75" hidden="1">
      <c r="A69" s="224"/>
      <c r="B69" s="224"/>
      <c r="C69" s="224"/>
      <c r="D69" s="224"/>
      <c r="E69" s="230" t="s">
        <v>608</v>
      </c>
      <c r="F69" s="225">
        <v>0</v>
      </c>
      <c r="G69" s="225">
        <v>0</v>
      </c>
      <c r="H69" s="225">
        <v>0</v>
      </c>
      <c r="I69" s="225">
        <v>0</v>
      </c>
      <c r="J69" s="226">
        <f t="shared" si="0"/>
        <v>0</v>
      </c>
      <c r="K69" s="648"/>
    </row>
    <row r="70" spans="1:11" ht="12.75">
      <c r="A70" s="224"/>
      <c r="B70" s="224"/>
      <c r="C70" s="224" t="s">
        <v>254</v>
      </c>
      <c r="D70" s="224" t="s">
        <v>255</v>
      </c>
      <c r="E70" s="224"/>
      <c r="F70" s="225">
        <v>0</v>
      </c>
      <c r="G70" s="225">
        <v>0</v>
      </c>
      <c r="H70" s="225">
        <v>0</v>
      </c>
      <c r="I70" s="225">
        <v>0</v>
      </c>
      <c r="J70" s="226">
        <f t="shared" si="0"/>
        <v>0</v>
      </c>
      <c r="K70" s="648"/>
    </row>
    <row r="71" spans="1:11" ht="12.75">
      <c r="A71" s="224"/>
      <c r="B71" s="224"/>
      <c r="C71" s="224" t="s">
        <v>256</v>
      </c>
      <c r="D71" s="224" t="s">
        <v>257</v>
      </c>
      <c r="E71" s="224"/>
      <c r="F71" s="225">
        <f>SUM(F72)</f>
        <v>22000000</v>
      </c>
      <c r="G71" s="225">
        <f>SUM(G72:G72)</f>
        <v>0</v>
      </c>
      <c r="H71" s="225">
        <v>0</v>
      </c>
      <c r="I71" s="225">
        <v>0</v>
      </c>
      <c r="J71" s="226">
        <f t="shared" si="0"/>
        <v>22000000</v>
      </c>
      <c r="K71" s="648"/>
    </row>
    <row r="72" spans="1:11" ht="12.75">
      <c r="A72" s="229"/>
      <c r="B72" s="229"/>
      <c r="C72" s="229"/>
      <c r="D72" s="230"/>
      <c r="E72" s="230" t="s">
        <v>697</v>
      </c>
      <c r="F72" s="231">
        <v>22000000</v>
      </c>
      <c r="G72" s="231">
        <v>0</v>
      </c>
      <c r="H72" s="231">
        <v>0</v>
      </c>
      <c r="I72" s="231">
        <v>0</v>
      </c>
      <c r="J72" s="232">
        <f t="shared" si="0"/>
        <v>22000000</v>
      </c>
      <c r="K72" s="649"/>
    </row>
    <row r="73" spans="1:11" ht="12.75">
      <c r="A73" s="224"/>
      <c r="B73" s="224"/>
      <c r="C73" s="224" t="s">
        <v>258</v>
      </c>
      <c r="D73" s="224" t="s">
        <v>259</v>
      </c>
      <c r="E73" s="224"/>
      <c r="F73" s="225">
        <f>SUM(F74:F74)</f>
        <v>0</v>
      </c>
      <c r="G73" s="225">
        <v>0</v>
      </c>
      <c r="H73" s="225">
        <v>0</v>
      </c>
      <c r="I73" s="225">
        <v>0</v>
      </c>
      <c r="J73" s="226">
        <f aca="true" t="shared" si="1" ref="J73:J136">SUM(F73:I73)</f>
        <v>0</v>
      </c>
      <c r="K73" s="648"/>
    </row>
    <row r="74" spans="1:11" ht="12.75" hidden="1">
      <c r="A74" s="229"/>
      <c r="B74" s="229"/>
      <c r="C74" s="229"/>
      <c r="D74" s="230"/>
      <c r="E74" s="230" t="s">
        <v>261</v>
      </c>
      <c r="F74" s="231">
        <v>0</v>
      </c>
      <c r="G74" s="231">
        <v>0</v>
      </c>
      <c r="H74" s="231">
        <v>0</v>
      </c>
      <c r="I74" s="231">
        <v>0</v>
      </c>
      <c r="J74" s="232">
        <f t="shared" si="1"/>
        <v>0</v>
      </c>
      <c r="K74" s="649"/>
    </row>
    <row r="75" spans="1:11" ht="12.75">
      <c r="A75" s="221"/>
      <c r="B75" s="221" t="s">
        <v>262</v>
      </c>
      <c r="C75" s="955" t="s">
        <v>263</v>
      </c>
      <c r="D75" s="955"/>
      <c r="E75" s="955"/>
      <c r="F75" s="222">
        <f>SUM(F76:F85)</f>
        <v>600000</v>
      </c>
      <c r="G75" s="222">
        <f>SUM(G76:G85)</f>
        <v>0</v>
      </c>
      <c r="H75" s="222">
        <f>SUM(H76:H85)</f>
        <v>0</v>
      </c>
      <c r="I75" s="222">
        <f>SUM(I76:I85)</f>
        <v>0</v>
      </c>
      <c r="J75" s="223">
        <f t="shared" si="1"/>
        <v>600000</v>
      </c>
      <c r="K75" s="647"/>
    </row>
    <row r="76" spans="1:11" ht="12.75" hidden="1">
      <c r="A76" s="235"/>
      <c r="B76" s="235"/>
      <c r="C76" s="235"/>
      <c r="D76" s="230"/>
      <c r="E76" s="230" t="s">
        <v>264</v>
      </c>
      <c r="F76" s="231">
        <v>0</v>
      </c>
      <c r="G76" s="231">
        <v>0</v>
      </c>
      <c r="H76" s="231">
        <v>0</v>
      </c>
      <c r="I76" s="231">
        <v>0</v>
      </c>
      <c r="J76" s="232">
        <f t="shared" si="1"/>
        <v>0</v>
      </c>
      <c r="K76" s="649"/>
    </row>
    <row r="77" spans="1:11" ht="12.75" hidden="1">
      <c r="A77" s="229"/>
      <c r="B77" s="229"/>
      <c r="C77" s="229"/>
      <c r="D77" s="230"/>
      <c r="E77" s="230" t="s">
        <v>265</v>
      </c>
      <c r="F77" s="231">
        <v>0</v>
      </c>
      <c r="G77" s="231"/>
      <c r="H77" s="231">
        <v>0</v>
      </c>
      <c r="I77" s="231">
        <v>0</v>
      </c>
      <c r="J77" s="232">
        <f t="shared" si="1"/>
        <v>0</v>
      </c>
      <c r="K77" s="649"/>
    </row>
    <row r="78" spans="1:11" ht="12.75" hidden="1">
      <c r="A78" s="235"/>
      <c r="B78" s="235"/>
      <c r="C78" s="235"/>
      <c r="D78" s="230"/>
      <c r="E78" s="230" t="s">
        <v>266</v>
      </c>
      <c r="F78" s="231">
        <v>0</v>
      </c>
      <c r="G78" s="231">
        <v>0</v>
      </c>
      <c r="H78" s="231">
        <v>0</v>
      </c>
      <c r="I78" s="231">
        <v>0</v>
      </c>
      <c r="J78" s="232">
        <f t="shared" si="1"/>
        <v>0</v>
      </c>
      <c r="K78" s="649"/>
    </row>
    <row r="79" spans="1:11" ht="12.75" customHeight="1">
      <c r="A79" s="235"/>
      <c r="B79" s="235"/>
      <c r="C79" s="235"/>
      <c r="D79" s="230"/>
      <c r="E79" s="230" t="s">
        <v>260</v>
      </c>
      <c r="F79" s="231">
        <v>350000</v>
      </c>
      <c r="G79" s="231">
        <v>0</v>
      </c>
      <c r="H79" s="231">
        <v>0</v>
      </c>
      <c r="I79" s="231">
        <v>0</v>
      </c>
      <c r="J79" s="232">
        <f t="shared" si="1"/>
        <v>350000</v>
      </c>
      <c r="K79" s="649"/>
    </row>
    <row r="80" spans="1:11" ht="0.75" customHeight="1" hidden="1">
      <c r="A80" s="235"/>
      <c r="B80" s="235"/>
      <c r="C80" s="235"/>
      <c r="D80" s="230"/>
      <c r="E80" s="230" t="s">
        <v>267</v>
      </c>
      <c r="F80" s="231"/>
      <c r="G80" s="231">
        <v>0</v>
      </c>
      <c r="H80" s="231">
        <v>0</v>
      </c>
      <c r="I80" s="231">
        <v>0</v>
      </c>
      <c r="J80" s="232">
        <f t="shared" si="1"/>
        <v>0</v>
      </c>
      <c r="K80" s="649"/>
    </row>
    <row r="81" spans="1:11" ht="12.75" hidden="1">
      <c r="A81" s="235"/>
      <c r="B81" s="235"/>
      <c r="C81" s="235"/>
      <c r="D81" s="230"/>
      <c r="E81" s="230" t="s">
        <v>268</v>
      </c>
      <c r="F81" s="231"/>
      <c r="G81" s="231">
        <v>0</v>
      </c>
      <c r="H81" s="231">
        <v>0</v>
      </c>
      <c r="I81" s="231">
        <v>0</v>
      </c>
      <c r="J81" s="232">
        <f t="shared" si="1"/>
        <v>0</v>
      </c>
      <c r="K81" s="649"/>
    </row>
    <row r="82" spans="1:11" ht="12.75" hidden="1">
      <c r="A82" s="235"/>
      <c r="B82" s="235"/>
      <c r="C82" s="235"/>
      <c r="D82" s="230"/>
      <c r="E82" s="230" t="s">
        <v>658</v>
      </c>
      <c r="F82" s="231"/>
      <c r="G82" s="231">
        <v>0</v>
      </c>
      <c r="H82" s="231">
        <v>0</v>
      </c>
      <c r="I82" s="231">
        <v>0</v>
      </c>
      <c r="J82" s="232">
        <f t="shared" si="1"/>
        <v>0</v>
      </c>
      <c r="K82" s="649"/>
    </row>
    <row r="83" spans="1:11" ht="30" customHeight="1" hidden="1">
      <c r="A83" s="229"/>
      <c r="B83" s="229"/>
      <c r="C83" s="229"/>
      <c r="D83" s="229"/>
      <c r="E83" s="236" t="s">
        <v>698</v>
      </c>
      <c r="F83" s="231"/>
      <c r="G83" s="231">
        <v>0</v>
      </c>
      <c r="H83" s="231">
        <v>0</v>
      </c>
      <c r="I83" s="231">
        <v>0</v>
      </c>
      <c r="J83" s="232">
        <f t="shared" si="1"/>
        <v>0</v>
      </c>
      <c r="K83" s="649"/>
    </row>
    <row r="84" spans="1:11" ht="12.75" hidden="1">
      <c r="A84" s="235"/>
      <c r="B84" s="235"/>
      <c r="C84" s="235"/>
      <c r="D84" s="235"/>
      <c r="E84" s="230" t="s">
        <v>269</v>
      </c>
      <c r="F84" s="231"/>
      <c r="G84" s="231">
        <v>0</v>
      </c>
      <c r="H84" s="231">
        <v>0</v>
      </c>
      <c r="I84" s="231">
        <v>0</v>
      </c>
      <c r="J84" s="232">
        <f t="shared" si="1"/>
        <v>0</v>
      </c>
      <c r="K84" s="649"/>
    </row>
    <row r="85" spans="1:11" ht="12.75">
      <c r="A85" s="229"/>
      <c r="B85" s="229"/>
      <c r="C85" s="229"/>
      <c r="D85" s="229"/>
      <c r="E85" s="234" t="s">
        <v>270</v>
      </c>
      <c r="F85" s="231">
        <v>250000</v>
      </c>
      <c r="G85" s="231">
        <v>0</v>
      </c>
      <c r="H85" s="231">
        <v>0</v>
      </c>
      <c r="I85" s="231">
        <v>0</v>
      </c>
      <c r="J85" s="232">
        <f t="shared" si="1"/>
        <v>250000</v>
      </c>
      <c r="K85" s="649"/>
    </row>
    <row r="86" spans="1:11" s="220" customFormat="1" ht="12.75">
      <c r="A86" s="218" t="s">
        <v>271</v>
      </c>
      <c r="B86" s="959" t="s">
        <v>272</v>
      </c>
      <c r="C86" s="959"/>
      <c r="D86" s="959"/>
      <c r="E86" s="959"/>
      <c r="F86" s="219">
        <f>SUM(F87+F88+F91+F93+F100+F101+F102+F103+F110+F118+F119)</f>
        <v>35572435</v>
      </c>
      <c r="G86" s="219">
        <f>SUM(G87+G88+G91+G93+G100+G101+G102+G103+G110+G118+G119)</f>
        <v>7049209</v>
      </c>
      <c r="H86" s="219">
        <f>SUM(H87+H88+H91+H93+H100+H101+H102+H103+H110+H118+H119)</f>
        <v>1081470</v>
      </c>
      <c r="I86" s="219">
        <f>SUM(I87+I88+I91+I93+I100+I101+I102+I103+I110+I118+I119)</f>
        <v>5380000</v>
      </c>
      <c r="J86" s="219">
        <f t="shared" si="1"/>
        <v>49083114</v>
      </c>
      <c r="K86" s="646"/>
    </row>
    <row r="87" spans="1:11" ht="12.75">
      <c r="A87" s="224"/>
      <c r="B87" s="224"/>
      <c r="C87" s="224" t="s">
        <v>273</v>
      </c>
      <c r="D87" s="224" t="s">
        <v>564</v>
      </c>
      <c r="E87" s="224"/>
      <c r="F87" s="225">
        <v>8000000</v>
      </c>
      <c r="G87" s="225">
        <v>0</v>
      </c>
      <c r="H87" s="225">
        <v>0</v>
      </c>
      <c r="I87" s="225">
        <v>0</v>
      </c>
      <c r="J87" s="226">
        <f t="shared" si="1"/>
        <v>8000000</v>
      </c>
      <c r="K87" s="648"/>
    </row>
    <row r="88" spans="1:11" ht="12.75">
      <c r="A88" s="224"/>
      <c r="B88" s="224"/>
      <c r="C88" s="224" t="s">
        <v>274</v>
      </c>
      <c r="D88" s="224" t="s">
        <v>346</v>
      </c>
      <c r="E88" s="224"/>
      <c r="F88" s="225">
        <f>13971380+540000</f>
        <v>14511380</v>
      </c>
      <c r="G88" s="225">
        <v>250000</v>
      </c>
      <c r="H88" s="225">
        <v>0</v>
      </c>
      <c r="I88" s="225">
        <f>3596300+1080000</f>
        <v>4676300</v>
      </c>
      <c r="J88" s="226">
        <f t="shared" si="1"/>
        <v>19437680</v>
      </c>
      <c r="K88" s="648"/>
    </row>
    <row r="89" spans="1:11" ht="12.75">
      <c r="A89" s="229"/>
      <c r="B89" s="229"/>
      <c r="C89" s="230" t="s">
        <v>2</v>
      </c>
      <c r="D89" s="230"/>
      <c r="E89" s="230" t="s">
        <v>275</v>
      </c>
      <c r="F89" s="237">
        <f>9471380+540000</f>
        <v>10011380</v>
      </c>
      <c r="G89" s="237">
        <v>0</v>
      </c>
      <c r="H89" s="231">
        <v>0</v>
      </c>
      <c r="I89" s="231">
        <f>990000+1080000</f>
        <v>2070000</v>
      </c>
      <c r="J89" s="232">
        <f t="shared" si="1"/>
        <v>12081380</v>
      </c>
      <c r="K89" s="649"/>
    </row>
    <row r="90" spans="1:11" ht="12.75" hidden="1">
      <c r="A90" s="229"/>
      <c r="B90" s="229"/>
      <c r="C90" s="230"/>
      <c r="D90" s="230"/>
      <c r="E90" s="230" t="s">
        <v>1056</v>
      </c>
      <c r="F90" s="231">
        <v>0</v>
      </c>
      <c r="G90" s="231">
        <v>0</v>
      </c>
      <c r="H90" s="231">
        <v>0</v>
      </c>
      <c r="I90" s="231">
        <v>0</v>
      </c>
      <c r="J90" s="232">
        <f t="shared" si="1"/>
        <v>0</v>
      </c>
      <c r="K90" s="649"/>
    </row>
    <row r="91" spans="1:11" ht="12.75">
      <c r="A91" s="224"/>
      <c r="B91" s="224"/>
      <c r="C91" s="224" t="s">
        <v>276</v>
      </c>
      <c r="D91" s="224" t="s">
        <v>277</v>
      </c>
      <c r="E91" s="224"/>
      <c r="F91" s="225">
        <v>3613803</v>
      </c>
      <c r="G91" s="225">
        <v>5516975</v>
      </c>
      <c r="H91" s="225">
        <v>0</v>
      </c>
      <c r="I91" s="225"/>
      <c r="J91" s="226">
        <f t="shared" si="1"/>
        <v>9130778</v>
      </c>
      <c r="K91" s="648"/>
    </row>
    <row r="92" spans="1:11" ht="12.75">
      <c r="A92" s="229"/>
      <c r="B92" s="229"/>
      <c r="C92" s="230" t="s">
        <v>2</v>
      </c>
      <c r="D92" s="230"/>
      <c r="E92" s="230" t="s">
        <v>7</v>
      </c>
      <c r="F92" s="231">
        <v>2532447</v>
      </c>
      <c r="G92" s="231">
        <v>1749167</v>
      </c>
      <c r="H92" s="231">
        <v>0</v>
      </c>
      <c r="I92" s="231">
        <v>0</v>
      </c>
      <c r="J92" s="232">
        <f t="shared" si="1"/>
        <v>4281614</v>
      </c>
      <c r="K92" s="649"/>
    </row>
    <row r="93" spans="1:11" ht="12.75">
      <c r="A93" s="224"/>
      <c r="B93" s="224"/>
      <c r="C93" s="224" t="s">
        <v>278</v>
      </c>
      <c r="D93" s="224" t="s">
        <v>279</v>
      </c>
      <c r="E93" s="224"/>
      <c r="F93" s="225">
        <v>721000</v>
      </c>
      <c r="G93" s="225">
        <v>0</v>
      </c>
      <c r="H93" s="225">
        <v>0</v>
      </c>
      <c r="I93" s="225">
        <v>0</v>
      </c>
      <c r="J93" s="226">
        <f t="shared" si="1"/>
        <v>721000</v>
      </c>
      <c r="K93" s="648"/>
    </row>
    <row r="94" spans="1:11" ht="12.75" hidden="1">
      <c r="A94" s="229"/>
      <c r="B94" s="229"/>
      <c r="C94" s="230" t="s">
        <v>2</v>
      </c>
      <c r="D94" s="230"/>
      <c r="E94" s="230" t="s">
        <v>280</v>
      </c>
      <c r="F94" s="231">
        <v>0</v>
      </c>
      <c r="G94" s="231">
        <v>0</v>
      </c>
      <c r="H94" s="231">
        <v>0</v>
      </c>
      <c r="I94" s="231">
        <v>0</v>
      </c>
      <c r="J94" s="232">
        <f t="shared" si="1"/>
        <v>0</v>
      </c>
      <c r="K94" s="649"/>
    </row>
    <row r="95" spans="1:11" ht="12.75" hidden="1">
      <c r="A95" s="229"/>
      <c r="B95" s="229"/>
      <c r="C95" s="230"/>
      <c r="D95" s="230"/>
      <c r="E95" s="230" t="s">
        <v>699</v>
      </c>
      <c r="F95" s="231">
        <v>0</v>
      </c>
      <c r="G95" s="231">
        <v>0</v>
      </c>
      <c r="H95" s="231">
        <v>0</v>
      </c>
      <c r="I95" s="231">
        <v>0</v>
      </c>
      <c r="J95" s="232">
        <f t="shared" si="1"/>
        <v>0</v>
      </c>
      <c r="K95" s="649"/>
    </row>
    <row r="96" spans="1:11" ht="12" customHeight="1">
      <c r="A96" s="229"/>
      <c r="B96" s="229"/>
      <c r="C96" s="230" t="s">
        <v>2</v>
      </c>
      <c r="D96" s="230"/>
      <c r="E96" s="230" t="s">
        <v>700</v>
      </c>
      <c r="F96" s="231">
        <v>721000</v>
      </c>
      <c r="G96" s="231">
        <v>0</v>
      </c>
      <c r="H96" s="231">
        <v>0</v>
      </c>
      <c r="I96" s="231">
        <v>0</v>
      </c>
      <c r="J96" s="232">
        <f t="shared" si="1"/>
        <v>721000</v>
      </c>
      <c r="K96" s="649"/>
    </row>
    <row r="97" spans="1:11" ht="12.75" hidden="1">
      <c r="A97" s="229"/>
      <c r="B97" s="229"/>
      <c r="C97" s="230"/>
      <c r="D97" s="230"/>
      <c r="E97" s="230" t="s">
        <v>701</v>
      </c>
      <c r="F97" s="231">
        <v>0</v>
      </c>
      <c r="G97" s="231">
        <v>0</v>
      </c>
      <c r="H97" s="231">
        <v>0</v>
      </c>
      <c r="I97" s="231">
        <v>0</v>
      </c>
      <c r="J97" s="232">
        <f t="shared" si="1"/>
        <v>0</v>
      </c>
      <c r="K97" s="649"/>
    </row>
    <row r="98" spans="1:11" ht="12.75" hidden="1">
      <c r="A98" s="229"/>
      <c r="B98" s="229"/>
      <c r="C98" s="230"/>
      <c r="D98" s="230"/>
      <c r="E98" s="230" t="s">
        <v>702</v>
      </c>
      <c r="F98" s="231">
        <v>0</v>
      </c>
      <c r="G98" s="231">
        <v>0</v>
      </c>
      <c r="H98" s="231">
        <v>0</v>
      </c>
      <c r="I98" s="231">
        <v>0</v>
      </c>
      <c r="J98" s="232">
        <f t="shared" si="1"/>
        <v>0</v>
      </c>
      <c r="K98" s="649"/>
    </row>
    <row r="99" spans="1:11" ht="12.75" hidden="1">
      <c r="A99" s="229"/>
      <c r="B99" s="229"/>
      <c r="C99" s="230"/>
      <c r="D99" s="230"/>
      <c r="E99" s="230" t="s">
        <v>565</v>
      </c>
      <c r="F99" s="231">
        <v>0</v>
      </c>
      <c r="G99" s="231">
        <v>0</v>
      </c>
      <c r="H99" s="231">
        <v>0</v>
      </c>
      <c r="I99" s="231">
        <v>0</v>
      </c>
      <c r="J99" s="232">
        <f t="shared" si="1"/>
        <v>0</v>
      </c>
      <c r="K99" s="649"/>
    </row>
    <row r="100" spans="1:11" ht="12.75">
      <c r="A100" s="224"/>
      <c r="B100" s="224"/>
      <c r="C100" s="224" t="s">
        <v>281</v>
      </c>
      <c r="D100" s="224" t="s">
        <v>282</v>
      </c>
      <c r="E100" s="224"/>
      <c r="F100" s="225">
        <v>5191313</v>
      </c>
      <c r="G100" s="225">
        <v>0</v>
      </c>
      <c r="H100" s="225">
        <v>851551</v>
      </c>
      <c r="I100" s="225">
        <v>0</v>
      </c>
      <c r="J100" s="226">
        <f t="shared" si="1"/>
        <v>6042864</v>
      </c>
      <c r="K100" s="648"/>
    </row>
    <row r="101" spans="1:11" ht="12.75">
      <c r="A101" s="224"/>
      <c r="B101" s="224"/>
      <c r="C101" s="224" t="s">
        <v>283</v>
      </c>
      <c r="D101" s="224" t="s">
        <v>284</v>
      </c>
      <c r="E101" s="224"/>
      <c r="F101" s="225">
        <v>3474439</v>
      </c>
      <c r="G101" s="225">
        <v>1282234</v>
      </c>
      <c r="H101" s="225">
        <v>229919</v>
      </c>
      <c r="I101" s="225">
        <v>703700</v>
      </c>
      <c r="J101" s="226">
        <f t="shared" si="1"/>
        <v>5690292</v>
      </c>
      <c r="K101" s="648"/>
    </row>
    <row r="102" spans="1:11" ht="12.75">
      <c r="A102" s="224"/>
      <c r="B102" s="224"/>
      <c r="C102" s="224" t="s">
        <v>285</v>
      </c>
      <c r="D102" s="224" t="s">
        <v>286</v>
      </c>
      <c r="E102" s="224"/>
      <c r="F102" s="225">
        <v>0</v>
      </c>
      <c r="G102" s="225">
        <v>0</v>
      </c>
      <c r="H102" s="225">
        <v>0</v>
      </c>
      <c r="I102" s="225">
        <v>0</v>
      </c>
      <c r="J102" s="226">
        <f t="shared" si="1"/>
        <v>0</v>
      </c>
      <c r="K102" s="648"/>
    </row>
    <row r="103" spans="1:11" ht="12" customHeight="1">
      <c r="A103" s="224"/>
      <c r="B103" s="224"/>
      <c r="C103" s="224" t="s">
        <v>287</v>
      </c>
      <c r="D103" s="224" t="s">
        <v>609</v>
      </c>
      <c r="E103" s="224"/>
      <c r="F103" s="225">
        <f>SUM(F104,F107)</f>
        <v>500</v>
      </c>
      <c r="G103" s="225">
        <f>SUM(G104+G107)</f>
        <v>0</v>
      </c>
      <c r="H103" s="225">
        <f>SUM(H104+H107)</f>
        <v>0</v>
      </c>
      <c r="I103" s="225">
        <f>SUM(I104+I107)</f>
        <v>0</v>
      </c>
      <c r="J103" s="226">
        <f t="shared" si="1"/>
        <v>500</v>
      </c>
      <c r="K103" s="648"/>
    </row>
    <row r="104" spans="1:11" ht="12.75" hidden="1">
      <c r="A104" s="224"/>
      <c r="B104" s="224"/>
      <c r="C104" s="230"/>
      <c r="D104" s="960" t="s">
        <v>703</v>
      </c>
      <c r="E104" s="961"/>
      <c r="F104" s="231">
        <v>0</v>
      </c>
      <c r="G104" s="231">
        <v>0</v>
      </c>
      <c r="H104" s="231">
        <v>0</v>
      </c>
      <c r="I104" s="231">
        <v>0</v>
      </c>
      <c r="J104" s="232">
        <f t="shared" si="1"/>
        <v>0</v>
      </c>
      <c r="K104" s="649"/>
    </row>
    <row r="105" spans="1:11" ht="12.75" hidden="1">
      <c r="A105" s="224"/>
      <c r="B105" s="224"/>
      <c r="C105" s="224" t="s">
        <v>2</v>
      </c>
      <c r="D105" s="224"/>
      <c r="E105" s="230" t="s">
        <v>7</v>
      </c>
      <c r="F105" s="231">
        <v>0</v>
      </c>
      <c r="G105" s="231">
        <v>0</v>
      </c>
      <c r="H105" s="231">
        <v>0</v>
      </c>
      <c r="I105" s="231">
        <v>0</v>
      </c>
      <c r="J105" s="232">
        <f t="shared" si="1"/>
        <v>0</v>
      </c>
      <c r="K105" s="649"/>
    </row>
    <row r="106" spans="1:11" ht="12.75" hidden="1">
      <c r="A106" s="224"/>
      <c r="B106" s="224"/>
      <c r="C106" s="224"/>
      <c r="D106" s="224"/>
      <c r="E106" s="230" t="s">
        <v>704</v>
      </c>
      <c r="F106" s="231">
        <v>0</v>
      </c>
      <c r="G106" s="231">
        <v>0</v>
      </c>
      <c r="H106" s="231">
        <v>0</v>
      </c>
      <c r="I106" s="231">
        <v>0</v>
      </c>
      <c r="J106" s="232">
        <f t="shared" si="1"/>
        <v>0</v>
      </c>
      <c r="K106" s="649"/>
    </row>
    <row r="107" spans="1:11" ht="12.75">
      <c r="A107" s="224"/>
      <c r="B107" s="224"/>
      <c r="C107" s="224" t="s">
        <v>2</v>
      </c>
      <c r="D107" s="960" t="s">
        <v>611</v>
      </c>
      <c r="E107" s="961"/>
      <c r="F107" s="231">
        <v>500</v>
      </c>
      <c r="G107" s="231">
        <v>0</v>
      </c>
      <c r="H107" s="231">
        <v>0</v>
      </c>
      <c r="I107" s="231">
        <v>0</v>
      </c>
      <c r="J107" s="232">
        <f t="shared" si="1"/>
        <v>500</v>
      </c>
      <c r="K107" s="649"/>
    </row>
    <row r="108" spans="1:11" ht="12.75" hidden="1">
      <c r="A108" s="224"/>
      <c r="B108" s="224"/>
      <c r="C108" s="224"/>
      <c r="D108" s="224"/>
      <c r="E108" s="230" t="s">
        <v>7</v>
      </c>
      <c r="F108" s="231">
        <v>0</v>
      </c>
      <c r="G108" s="231">
        <v>0</v>
      </c>
      <c r="H108" s="231">
        <v>0</v>
      </c>
      <c r="I108" s="231">
        <v>0</v>
      </c>
      <c r="J108" s="232">
        <f t="shared" si="1"/>
        <v>0</v>
      </c>
      <c r="K108" s="649"/>
    </row>
    <row r="109" spans="1:11" ht="12.75" hidden="1">
      <c r="A109" s="224"/>
      <c r="B109" s="224"/>
      <c r="C109" s="224"/>
      <c r="D109" s="224"/>
      <c r="E109" s="230" t="s">
        <v>566</v>
      </c>
      <c r="F109" s="231">
        <v>0</v>
      </c>
      <c r="G109" s="231">
        <v>0</v>
      </c>
      <c r="H109" s="231">
        <v>0</v>
      </c>
      <c r="I109" s="231">
        <v>0</v>
      </c>
      <c r="J109" s="232">
        <f t="shared" si="1"/>
        <v>0</v>
      </c>
      <c r="K109" s="649"/>
    </row>
    <row r="110" spans="1:11" ht="12.75">
      <c r="A110" s="224"/>
      <c r="B110" s="224"/>
      <c r="C110" s="224" t="s">
        <v>288</v>
      </c>
      <c r="D110" s="224" t="s">
        <v>614</v>
      </c>
      <c r="E110" s="224"/>
      <c r="F110" s="225">
        <f>SUM(F111:F112)</f>
        <v>0</v>
      </c>
      <c r="G110" s="225">
        <f>SUM(G111:G112)</f>
        <v>0</v>
      </c>
      <c r="H110" s="225">
        <f>SUM(H111:H112)</f>
        <v>0</v>
      </c>
      <c r="I110" s="225">
        <f>SUM(I111:I112)</f>
        <v>0</v>
      </c>
      <c r="J110" s="226">
        <f t="shared" si="1"/>
        <v>0</v>
      </c>
      <c r="K110" s="648"/>
    </row>
    <row r="111" spans="1:11" ht="12.75" hidden="1">
      <c r="A111" s="224"/>
      <c r="B111" s="224"/>
      <c r="C111" s="224"/>
      <c r="D111" s="960" t="s">
        <v>612</v>
      </c>
      <c r="E111" s="961"/>
      <c r="F111" s="225">
        <v>0</v>
      </c>
      <c r="G111" s="225">
        <v>0</v>
      </c>
      <c r="H111" s="225">
        <v>0</v>
      </c>
      <c r="I111" s="225">
        <v>0</v>
      </c>
      <c r="J111" s="226">
        <f t="shared" si="1"/>
        <v>0</v>
      </c>
      <c r="K111" s="648"/>
    </row>
    <row r="112" spans="1:11" ht="12.75" hidden="1">
      <c r="A112" s="224"/>
      <c r="B112" s="224"/>
      <c r="C112" s="224"/>
      <c r="D112" s="960" t="s">
        <v>613</v>
      </c>
      <c r="E112" s="961"/>
      <c r="F112" s="225">
        <v>0</v>
      </c>
      <c r="G112" s="225">
        <v>0</v>
      </c>
      <c r="H112" s="225">
        <v>0</v>
      </c>
      <c r="I112" s="225">
        <v>0</v>
      </c>
      <c r="J112" s="226">
        <f t="shared" si="1"/>
        <v>0</v>
      </c>
      <c r="K112" s="648"/>
    </row>
    <row r="113" spans="1:11" ht="12.75" hidden="1">
      <c r="A113" s="224"/>
      <c r="B113" s="224"/>
      <c r="C113" s="224" t="s">
        <v>2</v>
      </c>
      <c r="D113" s="224"/>
      <c r="E113" s="230" t="s">
        <v>615</v>
      </c>
      <c r="F113" s="225">
        <v>0</v>
      </c>
      <c r="G113" s="225">
        <v>0</v>
      </c>
      <c r="H113" s="225">
        <v>0</v>
      </c>
      <c r="I113" s="225">
        <v>0</v>
      </c>
      <c r="J113" s="226">
        <f t="shared" si="1"/>
        <v>0</v>
      </c>
      <c r="K113" s="648"/>
    </row>
    <row r="114" spans="1:11" ht="12.75" hidden="1">
      <c r="A114" s="224"/>
      <c r="B114" s="224"/>
      <c r="C114" s="224"/>
      <c r="D114" s="224"/>
      <c r="E114" s="230" t="s">
        <v>610</v>
      </c>
      <c r="F114" s="225">
        <v>0</v>
      </c>
      <c r="G114" s="225">
        <v>0</v>
      </c>
      <c r="H114" s="225">
        <v>0</v>
      </c>
      <c r="I114" s="225">
        <v>0</v>
      </c>
      <c r="J114" s="226">
        <f t="shared" si="1"/>
        <v>0</v>
      </c>
      <c r="K114" s="648"/>
    </row>
    <row r="115" spans="1:11" ht="12.75" hidden="1">
      <c r="A115" s="224"/>
      <c r="B115" s="224"/>
      <c r="C115" s="224"/>
      <c r="D115" s="224"/>
      <c r="E115" s="230" t="s">
        <v>616</v>
      </c>
      <c r="F115" s="225">
        <v>0</v>
      </c>
      <c r="G115" s="225">
        <v>0</v>
      </c>
      <c r="H115" s="225">
        <v>0</v>
      </c>
      <c r="I115" s="225">
        <v>0</v>
      </c>
      <c r="J115" s="226">
        <f t="shared" si="1"/>
        <v>0</v>
      </c>
      <c r="K115" s="648"/>
    </row>
    <row r="116" spans="1:11" ht="12.75" hidden="1">
      <c r="A116" s="224"/>
      <c r="B116" s="224"/>
      <c r="C116" s="224"/>
      <c r="D116" s="224"/>
      <c r="E116" s="230" t="s">
        <v>617</v>
      </c>
      <c r="F116" s="225">
        <v>0</v>
      </c>
      <c r="G116" s="225">
        <v>0</v>
      </c>
      <c r="H116" s="225">
        <v>0</v>
      </c>
      <c r="I116" s="225">
        <v>0</v>
      </c>
      <c r="J116" s="226">
        <f t="shared" si="1"/>
        <v>0</v>
      </c>
      <c r="K116" s="648"/>
    </row>
    <row r="117" spans="1:11" ht="12.75" hidden="1">
      <c r="A117" s="224"/>
      <c r="B117" s="224"/>
      <c r="C117" s="224"/>
      <c r="D117" s="224"/>
      <c r="E117" s="230" t="s">
        <v>618</v>
      </c>
      <c r="F117" s="225">
        <v>0</v>
      </c>
      <c r="G117" s="225">
        <v>0</v>
      </c>
      <c r="H117" s="225">
        <v>0</v>
      </c>
      <c r="I117" s="225">
        <v>0</v>
      </c>
      <c r="J117" s="226">
        <f t="shared" si="1"/>
        <v>0</v>
      </c>
      <c r="K117" s="648"/>
    </row>
    <row r="118" spans="1:11" ht="12.75">
      <c r="A118" s="224"/>
      <c r="B118" s="224"/>
      <c r="C118" s="224" t="s">
        <v>289</v>
      </c>
      <c r="D118" s="224" t="s">
        <v>567</v>
      </c>
      <c r="E118" s="224"/>
      <c r="F118" s="225">
        <v>0</v>
      </c>
      <c r="G118" s="225">
        <v>0</v>
      </c>
      <c r="H118" s="225">
        <v>0</v>
      </c>
      <c r="I118" s="225">
        <v>0</v>
      </c>
      <c r="J118" s="226">
        <f t="shared" si="1"/>
        <v>0</v>
      </c>
      <c r="K118" s="648"/>
    </row>
    <row r="119" spans="1:11" ht="22.5" customHeight="1">
      <c r="A119" s="224"/>
      <c r="B119" s="224"/>
      <c r="C119" s="931" t="s">
        <v>568</v>
      </c>
      <c r="D119" s="963" t="s">
        <v>569</v>
      </c>
      <c r="E119" s="963"/>
      <c r="F119" s="225">
        <f>12081400-233171+10464000-22252229</f>
        <v>60000</v>
      </c>
      <c r="G119" s="225">
        <v>0</v>
      </c>
      <c r="H119" s="225">
        <v>0</v>
      </c>
      <c r="I119" s="225">
        <v>0</v>
      </c>
      <c r="J119" s="226">
        <f t="shared" si="1"/>
        <v>60000</v>
      </c>
      <c r="K119" s="648"/>
    </row>
    <row r="120" spans="1:11" ht="45.75" customHeight="1" hidden="1">
      <c r="A120" s="228"/>
      <c r="B120" s="228"/>
      <c r="C120" s="238" t="s">
        <v>2</v>
      </c>
      <c r="D120" s="236" t="s">
        <v>456</v>
      </c>
      <c r="E120" s="236" t="s">
        <v>591</v>
      </c>
      <c r="F120" s="231">
        <v>0</v>
      </c>
      <c r="G120" s="231">
        <v>0</v>
      </c>
      <c r="H120" s="231">
        <v>0</v>
      </c>
      <c r="I120" s="231">
        <v>0</v>
      </c>
      <c r="J120" s="232">
        <f t="shared" si="1"/>
        <v>0</v>
      </c>
      <c r="K120" s="649"/>
    </row>
    <row r="121" spans="1:11" ht="13.5" customHeight="1" hidden="1">
      <c r="A121" s="229"/>
      <c r="B121" s="229"/>
      <c r="C121" s="229"/>
      <c r="D121" s="230" t="s">
        <v>456</v>
      </c>
      <c r="E121" s="239" t="s">
        <v>619</v>
      </c>
      <c r="F121" s="231"/>
      <c r="G121" s="231">
        <v>0</v>
      </c>
      <c r="H121" s="231">
        <v>0</v>
      </c>
      <c r="I121" s="231">
        <v>0</v>
      </c>
      <c r="J121" s="232">
        <f t="shared" si="1"/>
        <v>0</v>
      </c>
      <c r="K121" s="649"/>
    </row>
    <row r="122" spans="1:11" s="220" customFormat="1" ht="12.75">
      <c r="A122" s="218" t="s">
        <v>290</v>
      </c>
      <c r="B122" s="959" t="s">
        <v>291</v>
      </c>
      <c r="C122" s="959"/>
      <c r="D122" s="959"/>
      <c r="E122" s="959"/>
      <c r="F122" s="219">
        <f>SUM(F123+F125+F127+F128+F129)</f>
        <v>78170400</v>
      </c>
      <c r="G122" s="219">
        <f>SUM(G123+G125+G127+G128+G129)</f>
        <v>0</v>
      </c>
      <c r="H122" s="219">
        <f>SUM(H123+H125+H127+H128+H129)</f>
        <v>0</v>
      </c>
      <c r="I122" s="219">
        <f>SUM(I123+I125+I127+I128+I129)</f>
        <v>0</v>
      </c>
      <c r="J122" s="219">
        <f t="shared" si="1"/>
        <v>78170400</v>
      </c>
      <c r="K122" s="646"/>
    </row>
    <row r="123" spans="1:11" ht="12.75">
      <c r="A123" s="221"/>
      <c r="B123" s="221" t="s">
        <v>292</v>
      </c>
      <c r="C123" s="955" t="s">
        <v>347</v>
      </c>
      <c r="D123" s="955"/>
      <c r="E123" s="955"/>
      <c r="F123" s="222">
        <v>0</v>
      </c>
      <c r="G123" s="222">
        <v>0</v>
      </c>
      <c r="H123" s="222">
        <v>0</v>
      </c>
      <c r="I123" s="222">
        <v>0</v>
      </c>
      <c r="J123" s="223">
        <f t="shared" si="1"/>
        <v>0</v>
      </c>
      <c r="K123" s="647"/>
    </row>
    <row r="124" spans="1:11" ht="12.75" hidden="1">
      <c r="A124" s="229"/>
      <c r="B124" s="229"/>
      <c r="C124" s="230" t="s">
        <v>2</v>
      </c>
      <c r="D124" s="230" t="s">
        <v>456</v>
      </c>
      <c r="E124" s="230" t="s">
        <v>676</v>
      </c>
      <c r="F124" s="231">
        <v>0</v>
      </c>
      <c r="G124" s="231">
        <v>0</v>
      </c>
      <c r="H124" s="231">
        <v>0</v>
      </c>
      <c r="I124" s="231">
        <v>0</v>
      </c>
      <c r="J124" s="232">
        <f t="shared" si="1"/>
        <v>0</v>
      </c>
      <c r="K124" s="649"/>
    </row>
    <row r="125" spans="1:11" ht="12.75">
      <c r="A125" s="221"/>
      <c r="B125" s="221" t="s">
        <v>293</v>
      </c>
      <c r="C125" s="955" t="s">
        <v>294</v>
      </c>
      <c r="D125" s="955"/>
      <c r="E125" s="955"/>
      <c r="F125" s="222">
        <f>118591616+254000-540000-34818+1000000+233171+45000+27436735-68144196+140105-900000+88787</f>
        <v>78170400</v>
      </c>
      <c r="G125" s="222">
        <v>0</v>
      </c>
      <c r="H125" s="222">
        <v>0</v>
      </c>
      <c r="I125" s="222">
        <v>0</v>
      </c>
      <c r="J125" s="223">
        <f t="shared" si="1"/>
        <v>78170400</v>
      </c>
      <c r="K125" s="647"/>
    </row>
    <row r="126" spans="1:11" ht="12.75" hidden="1">
      <c r="A126" s="229"/>
      <c r="B126" s="229"/>
      <c r="C126" s="230" t="s">
        <v>2</v>
      </c>
      <c r="D126" s="230" t="s">
        <v>456</v>
      </c>
      <c r="E126" s="230" t="s">
        <v>295</v>
      </c>
      <c r="F126" s="231">
        <v>0</v>
      </c>
      <c r="G126" s="231">
        <v>0</v>
      </c>
      <c r="H126" s="231">
        <v>0</v>
      </c>
      <c r="I126" s="231">
        <v>0</v>
      </c>
      <c r="J126" s="232">
        <f t="shared" si="1"/>
        <v>0</v>
      </c>
      <c r="K126" s="649"/>
    </row>
    <row r="127" spans="1:11" ht="12.75" hidden="1">
      <c r="A127" s="221"/>
      <c r="B127" s="221" t="s">
        <v>296</v>
      </c>
      <c r="C127" s="955" t="s">
        <v>297</v>
      </c>
      <c r="D127" s="955"/>
      <c r="E127" s="955"/>
      <c r="F127" s="222">
        <v>0</v>
      </c>
      <c r="G127" s="222">
        <v>0</v>
      </c>
      <c r="H127" s="222">
        <v>0</v>
      </c>
      <c r="I127" s="222">
        <v>0</v>
      </c>
      <c r="J127" s="223">
        <f t="shared" si="1"/>
        <v>0</v>
      </c>
      <c r="K127" s="647"/>
    </row>
    <row r="128" spans="1:11" ht="12.75" hidden="1">
      <c r="A128" s="221"/>
      <c r="B128" s="221" t="s">
        <v>298</v>
      </c>
      <c r="C128" s="955" t="s">
        <v>299</v>
      </c>
      <c r="D128" s="955"/>
      <c r="E128" s="955"/>
      <c r="F128" s="222">
        <v>0</v>
      </c>
      <c r="G128" s="222">
        <v>0</v>
      </c>
      <c r="H128" s="222">
        <v>0</v>
      </c>
      <c r="I128" s="222">
        <v>0</v>
      </c>
      <c r="J128" s="223">
        <f t="shared" si="1"/>
        <v>0</v>
      </c>
      <c r="K128" s="647"/>
    </row>
    <row r="129" spans="1:11" ht="12.75" hidden="1">
      <c r="A129" s="221"/>
      <c r="B129" s="221" t="s">
        <v>300</v>
      </c>
      <c r="C129" s="955" t="s">
        <v>301</v>
      </c>
      <c r="D129" s="955"/>
      <c r="E129" s="955"/>
      <c r="F129" s="222">
        <v>0</v>
      </c>
      <c r="G129" s="222">
        <v>0</v>
      </c>
      <c r="H129" s="222">
        <v>0</v>
      </c>
      <c r="I129" s="222">
        <v>0</v>
      </c>
      <c r="J129" s="223">
        <f t="shared" si="1"/>
        <v>0</v>
      </c>
      <c r="K129" s="647"/>
    </row>
    <row r="130" spans="1:11" s="220" customFormat="1" ht="12.75">
      <c r="A130" s="218" t="s">
        <v>302</v>
      </c>
      <c r="B130" s="959" t="s">
        <v>303</v>
      </c>
      <c r="C130" s="959"/>
      <c r="D130" s="959"/>
      <c r="E130" s="959"/>
      <c r="F130" s="219">
        <f>SUM(F131+F132+F133+F134+F144)</f>
        <v>0</v>
      </c>
      <c r="G130" s="219">
        <f>SUM(G131+G132+G133+G134+G144)</f>
        <v>0</v>
      </c>
      <c r="H130" s="219">
        <f>SUM(H131+H132+H133+H134+H144)</f>
        <v>0</v>
      </c>
      <c r="I130" s="219">
        <f>SUM(I131+I132+I133+I134+I144)</f>
        <v>0</v>
      </c>
      <c r="J130" s="219">
        <f t="shared" si="1"/>
        <v>0</v>
      </c>
      <c r="K130" s="646"/>
    </row>
    <row r="131" spans="1:11" ht="12.75" hidden="1">
      <c r="A131" s="221"/>
      <c r="B131" s="221" t="s">
        <v>304</v>
      </c>
      <c r="C131" s="955" t="s">
        <v>705</v>
      </c>
      <c r="D131" s="955"/>
      <c r="E131" s="955"/>
      <c r="F131" s="222">
        <v>0</v>
      </c>
      <c r="G131" s="222">
        <v>0</v>
      </c>
      <c r="H131" s="222">
        <v>0</v>
      </c>
      <c r="I131" s="222">
        <v>0</v>
      </c>
      <c r="J131" s="223">
        <f t="shared" si="1"/>
        <v>0</v>
      </c>
      <c r="K131" s="647"/>
    </row>
    <row r="132" spans="1:11" ht="12.75" hidden="1">
      <c r="A132" s="221"/>
      <c r="B132" s="221" t="s">
        <v>305</v>
      </c>
      <c r="C132" s="955" t="s">
        <v>706</v>
      </c>
      <c r="D132" s="955"/>
      <c r="E132" s="955"/>
      <c r="F132" s="222">
        <v>0</v>
      </c>
      <c r="G132" s="222">
        <v>0</v>
      </c>
      <c r="H132" s="222">
        <v>0</v>
      </c>
      <c r="I132" s="222">
        <v>0</v>
      </c>
      <c r="J132" s="223">
        <f t="shared" si="1"/>
        <v>0</v>
      </c>
      <c r="K132" s="647"/>
    </row>
    <row r="133" spans="1:11" ht="26.25" customHeight="1" hidden="1">
      <c r="A133" s="221"/>
      <c r="B133" s="221" t="s">
        <v>307</v>
      </c>
      <c r="C133" s="962" t="s">
        <v>707</v>
      </c>
      <c r="D133" s="962"/>
      <c r="E133" s="962"/>
      <c r="F133" s="222">
        <v>0</v>
      </c>
      <c r="G133" s="222">
        <v>0</v>
      </c>
      <c r="H133" s="222">
        <v>0</v>
      </c>
      <c r="I133" s="222">
        <v>0</v>
      </c>
      <c r="J133" s="223">
        <f t="shared" si="1"/>
        <v>0</v>
      </c>
      <c r="K133" s="647"/>
    </row>
    <row r="134" spans="1:11" ht="12.75" hidden="1">
      <c r="A134" s="221"/>
      <c r="B134" s="221" t="s">
        <v>570</v>
      </c>
      <c r="C134" s="955" t="s">
        <v>708</v>
      </c>
      <c r="D134" s="955"/>
      <c r="E134" s="955"/>
      <c r="F134" s="222">
        <f>SUM(F135:F143)</f>
        <v>0</v>
      </c>
      <c r="G134" s="222">
        <v>0</v>
      </c>
      <c r="H134" s="222">
        <v>0</v>
      </c>
      <c r="I134" s="222">
        <v>0</v>
      </c>
      <c r="J134" s="223">
        <f t="shared" si="1"/>
        <v>0</v>
      </c>
      <c r="K134" s="647"/>
    </row>
    <row r="135" spans="1:11" ht="12.75" hidden="1">
      <c r="A135" s="228"/>
      <c r="B135" s="228"/>
      <c r="C135" s="230" t="s">
        <v>2</v>
      </c>
      <c r="D135" s="230" t="s">
        <v>152</v>
      </c>
      <c r="E135" s="230" t="s">
        <v>179</v>
      </c>
      <c r="F135" s="231">
        <v>0</v>
      </c>
      <c r="G135" s="231">
        <v>0</v>
      </c>
      <c r="H135" s="231">
        <v>0</v>
      </c>
      <c r="I135" s="231">
        <v>0</v>
      </c>
      <c r="J135" s="232">
        <f t="shared" si="1"/>
        <v>0</v>
      </c>
      <c r="K135" s="649"/>
    </row>
    <row r="136" spans="1:11" ht="12.75" hidden="1">
      <c r="A136" s="228"/>
      <c r="B136" s="228"/>
      <c r="C136" s="230"/>
      <c r="D136" s="230" t="s">
        <v>154</v>
      </c>
      <c r="E136" s="230" t="s">
        <v>592</v>
      </c>
      <c r="F136" s="231">
        <v>0</v>
      </c>
      <c r="G136" s="231">
        <v>0</v>
      </c>
      <c r="H136" s="231">
        <v>0</v>
      </c>
      <c r="I136" s="231">
        <v>0</v>
      </c>
      <c r="J136" s="232">
        <f t="shared" si="1"/>
        <v>0</v>
      </c>
      <c r="K136" s="649"/>
    </row>
    <row r="137" spans="1:11" ht="12.75" hidden="1">
      <c r="A137" s="228"/>
      <c r="B137" s="228"/>
      <c r="C137" s="230"/>
      <c r="D137" s="230" t="s">
        <v>156</v>
      </c>
      <c r="E137" s="230" t="s">
        <v>180</v>
      </c>
      <c r="F137" s="231">
        <v>0</v>
      </c>
      <c r="G137" s="231">
        <v>0</v>
      </c>
      <c r="H137" s="231">
        <v>0</v>
      </c>
      <c r="I137" s="231">
        <v>0</v>
      </c>
      <c r="J137" s="232">
        <f aca="true" t="shared" si="2" ref="J137:J200">SUM(F137:I137)</f>
        <v>0</v>
      </c>
      <c r="K137" s="649"/>
    </row>
    <row r="138" spans="1:11" ht="12.75" hidden="1">
      <c r="A138" s="228"/>
      <c r="B138" s="228"/>
      <c r="C138" s="230"/>
      <c r="D138" s="230" t="s">
        <v>158</v>
      </c>
      <c r="E138" s="230" t="s">
        <v>181</v>
      </c>
      <c r="F138" s="231">
        <v>0</v>
      </c>
      <c r="G138" s="231">
        <v>0</v>
      </c>
      <c r="H138" s="231">
        <v>0</v>
      </c>
      <c r="I138" s="231">
        <v>0</v>
      </c>
      <c r="J138" s="232">
        <f t="shared" si="2"/>
        <v>0</v>
      </c>
      <c r="K138" s="649"/>
    </row>
    <row r="139" spans="1:11" ht="12.75" hidden="1">
      <c r="A139" s="228"/>
      <c r="B139" s="228"/>
      <c r="C139" s="230"/>
      <c r="D139" s="230" t="s">
        <v>160</v>
      </c>
      <c r="E139" s="230" t="s">
        <v>182</v>
      </c>
      <c r="F139" s="231">
        <v>0</v>
      </c>
      <c r="G139" s="231">
        <v>0</v>
      </c>
      <c r="H139" s="231">
        <v>0</v>
      </c>
      <c r="I139" s="231">
        <v>0</v>
      </c>
      <c r="J139" s="232">
        <f t="shared" si="2"/>
        <v>0</v>
      </c>
      <c r="K139" s="649"/>
    </row>
    <row r="140" spans="1:11" ht="12.75" hidden="1">
      <c r="A140" s="228"/>
      <c r="B140" s="228"/>
      <c r="C140" s="230"/>
      <c r="D140" s="230" t="s">
        <v>162</v>
      </c>
      <c r="E140" s="230" t="s">
        <v>553</v>
      </c>
      <c r="F140" s="231">
        <v>0</v>
      </c>
      <c r="G140" s="231">
        <v>0</v>
      </c>
      <c r="H140" s="231">
        <v>0</v>
      </c>
      <c r="I140" s="231">
        <v>0</v>
      </c>
      <c r="J140" s="232">
        <f t="shared" si="2"/>
        <v>0</v>
      </c>
      <c r="K140" s="649"/>
    </row>
    <row r="141" spans="1:11" ht="12.75" hidden="1">
      <c r="A141" s="228"/>
      <c r="B141" s="228"/>
      <c r="C141" s="230"/>
      <c r="D141" s="230" t="s">
        <v>164</v>
      </c>
      <c r="E141" s="230" t="s">
        <v>552</v>
      </c>
      <c r="F141" s="240">
        <v>0</v>
      </c>
      <c r="G141" s="231">
        <v>0</v>
      </c>
      <c r="H141" s="231">
        <v>0</v>
      </c>
      <c r="I141" s="231">
        <v>0</v>
      </c>
      <c r="J141" s="232">
        <f t="shared" si="2"/>
        <v>0</v>
      </c>
      <c r="K141" s="649"/>
    </row>
    <row r="142" spans="1:11" ht="12.75" hidden="1">
      <c r="A142" s="228"/>
      <c r="B142" s="228"/>
      <c r="C142" s="230"/>
      <c r="D142" s="230" t="s">
        <v>166</v>
      </c>
      <c r="E142" s="230" t="s">
        <v>185</v>
      </c>
      <c r="F142" s="231"/>
      <c r="G142" s="231">
        <v>0</v>
      </c>
      <c r="H142" s="231">
        <v>0</v>
      </c>
      <c r="I142" s="231">
        <v>0</v>
      </c>
      <c r="J142" s="232">
        <f t="shared" si="2"/>
        <v>0</v>
      </c>
      <c r="K142" s="649"/>
    </row>
    <row r="143" spans="1:11" ht="12.75" hidden="1">
      <c r="A143" s="228"/>
      <c r="B143" s="228"/>
      <c r="C143" s="230"/>
      <c r="D143" s="230" t="s">
        <v>168</v>
      </c>
      <c r="E143" s="230" t="s">
        <v>593</v>
      </c>
      <c r="F143" s="231">
        <v>0</v>
      </c>
      <c r="G143" s="231">
        <v>0</v>
      </c>
      <c r="H143" s="231">
        <v>0</v>
      </c>
      <c r="I143" s="231">
        <v>0</v>
      </c>
      <c r="J143" s="232">
        <f t="shared" si="2"/>
        <v>0</v>
      </c>
      <c r="K143" s="649"/>
    </row>
    <row r="144" spans="1:11" ht="12.75" hidden="1">
      <c r="A144" s="221"/>
      <c r="B144" s="221" t="s">
        <v>571</v>
      </c>
      <c r="C144" s="955" t="s">
        <v>677</v>
      </c>
      <c r="D144" s="955"/>
      <c r="E144" s="955"/>
      <c r="F144" s="222">
        <v>0</v>
      </c>
      <c r="G144" s="222">
        <v>0</v>
      </c>
      <c r="H144" s="222">
        <v>0</v>
      </c>
      <c r="I144" s="222">
        <v>0</v>
      </c>
      <c r="J144" s="223">
        <f t="shared" si="2"/>
        <v>0</v>
      </c>
      <c r="K144" s="647"/>
    </row>
    <row r="145" spans="1:11" ht="12.75" hidden="1">
      <c r="A145" s="221"/>
      <c r="B145" s="221"/>
      <c r="C145" s="230" t="s">
        <v>2</v>
      </c>
      <c r="D145" s="640"/>
      <c r="E145" s="230" t="s">
        <v>185</v>
      </c>
      <c r="F145" s="231">
        <v>0</v>
      </c>
      <c r="G145" s="231">
        <v>0</v>
      </c>
      <c r="H145" s="231">
        <v>0</v>
      </c>
      <c r="I145" s="231">
        <v>0</v>
      </c>
      <c r="J145" s="232">
        <f>SUM(F145:I145)</f>
        <v>0</v>
      </c>
      <c r="K145" s="647"/>
    </row>
    <row r="146" spans="1:11" s="220" customFormat="1" ht="12.75">
      <c r="A146" s="218" t="s">
        <v>308</v>
      </c>
      <c r="B146" s="959" t="s">
        <v>309</v>
      </c>
      <c r="C146" s="959"/>
      <c r="D146" s="959"/>
      <c r="E146" s="959"/>
      <c r="F146" s="219">
        <f>SUM(F147+F148+F149+F150+F160)</f>
        <v>0</v>
      </c>
      <c r="G146" s="219">
        <f>SUM(G147+G148+G149+G150+G160)</f>
        <v>0</v>
      </c>
      <c r="H146" s="219">
        <f>SUM(H147+H148+H149+H150+H160)</f>
        <v>0</v>
      </c>
      <c r="I146" s="219">
        <f>SUM(I147+I148+I149+I150+I160)</f>
        <v>0</v>
      </c>
      <c r="J146" s="219">
        <f t="shared" si="2"/>
        <v>0</v>
      </c>
      <c r="K146" s="646"/>
    </row>
    <row r="147" spans="1:11" ht="12.75" hidden="1">
      <c r="A147" s="221"/>
      <c r="B147" s="221" t="s">
        <v>310</v>
      </c>
      <c r="C147" s="955" t="s">
        <v>709</v>
      </c>
      <c r="D147" s="955"/>
      <c r="E147" s="955"/>
      <c r="F147" s="222">
        <v>0</v>
      </c>
      <c r="G147" s="222">
        <v>0</v>
      </c>
      <c r="H147" s="222">
        <v>0</v>
      </c>
      <c r="I147" s="222">
        <v>0</v>
      </c>
      <c r="J147" s="223">
        <f t="shared" si="2"/>
        <v>0</v>
      </c>
      <c r="K147" s="647"/>
    </row>
    <row r="148" spans="1:11" ht="12.75" hidden="1">
      <c r="A148" s="221"/>
      <c r="B148" s="221" t="s">
        <v>311</v>
      </c>
      <c r="C148" s="955" t="s">
        <v>710</v>
      </c>
      <c r="D148" s="955"/>
      <c r="E148" s="955"/>
      <c r="F148" s="222">
        <v>0</v>
      </c>
      <c r="G148" s="222">
        <v>0</v>
      </c>
      <c r="H148" s="222">
        <v>0</v>
      </c>
      <c r="I148" s="222">
        <v>0</v>
      </c>
      <c r="J148" s="223">
        <f t="shared" si="2"/>
        <v>0</v>
      </c>
      <c r="K148" s="647"/>
    </row>
    <row r="149" spans="1:11" ht="25.5" customHeight="1" hidden="1">
      <c r="A149" s="221"/>
      <c r="B149" s="221" t="s">
        <v>312</v>
      </c>
      <c r="C149" s="962" t="s">
        <v>711</v>
      </c>
      <c r="D149" s="962"/>
      <c r="E149" s="962"/>
      <c r="F149" s="222">
        <v>0</v>
      </c>
      <c r="G149" s="222">
        <v>0</v>
      </c>
      <c r="H149" s="222">
        <v>0</v>
      </c>
      <c r="I149" s="222">
        <v>0</v>
      </c>
      <c r="J149" s="223">
        <f t="shared" si="2"/>
        <v>0</v>
      </c>
      <c r="K149" s="647"/>
    </row>
    <row r="150" spans="1:11" ht="12.75" hidden="1">
      <c r="A150" s="228"/>
      <c r="B150" s="221" t="s">
        <v>572</v>
      </c>
      <c r="C150" s="955" t="s">
        <v>712</v>
      </c>
      <c r="D150" s="955"/>
      <c r="E150" s="955"/>
      <c r="F150" s="222">
        <f>SUM(F151:F159)</f>
        <v>0</v>
      </c>
      <c r="G150" s="222">
        <f>SUM(G151:G159)</f>
        <v>0</v>
      </c>
      <c r="H150" s="222">
        <f>SUM(H151:H159)</f>
        <v>0</v>
      </c>
      <c r="I150" s="222">
        <f>SUM(I151:I159)</f>
        <v>0</v>
      </c>
      <c r="J150" s="223">
        <f t="shared" si="2"/>
        <v>0</v>
      </c>
      <c r="K150" s="647"/>
    </row>
    <row r="151" spans="1:11" ht="12.75" hidden="1">
      <c r="A151" s="228"/>
      <c r="B151" s="228"/>
      <c r="C151" s="230" t="s">
        <v>2</v>
      </c>
      <c r="D151" s="230" t="s">
        <v>152</v>
      </c>
      <c r="E151" s="230" t="s">
        <v>179</v>
      </c>
      <c r="F151" s="231">
        <v>0</v>
      </c>
      <c r="G151" s="231">
        <v>0</v>
      </c>
      <c r="H151" s="231">
        <v>0</v>
      </c>
      <c r="I151" s="231">
        <v>0</v>
      </c>
      <c r="J151" s="232">
        <f t="shared" si="2"/>
        <v>0</v>
      </c>
      <c r="K151" s="649"/>
    </row>
    <row r="152" spans="1:11" ht="12.75" hidden="1">
      <c r="A152" s="228"/>
      <c r="B152" s="228"/>
      <c r="C152" s="230"/>
      <c r="D152" s="230" t="s">
        <v>154</v>
      </c>
      <c r="E152" s="230" t="s">
        <v>592</v>
      </c>
      <c r="F152" s="231">
        <v>0</v>
      </c>
      <c r="G152" s="231">
        <v>0</v>
      </c>
      <c r="H152" s="231">
        <v>0</v>
      </c>
      <c r="I152" s="231">
        <v>0</v>
      </c>
      <c r="J152" s="232">
        <f t="shared" si="2"/>
        <v>0</v>
      </c>
      <c r="K152" s="649"/>
    </row>
    <row r="153" spans="1:11" ht="12.75" hidden="1">
      <c r="A153" s="228"/>
      <c r="B153" s="228"/>
      <c r="C153" s="230"/>
      <c r="D153" s="230" t="s">
        <v>156</v>
      </c>
      <c r="E153" s="230" t="s">
        <v>180</v>
      </c>
      <c r="F153" s="231">
        <v>0</v>
      </c>
      <c r="G153" s="231">
        <v>0</v>
      </c>
      <c r="H153" s="231">
        <v>0</v>
      </c>
      <c r="I153" s="231">
        <v>0</v>
      </c>
      <c r="J153" s="232">
        <f t="shared" si="2"/>
        <v>0</v>
      </c>
      <c r="K153" s="649"/>
    </row>
    <row r="154" spans="1:11" ht="12.75" hidden="1">
      <c r="A154" s="228"/>
      <c r="B154" s="228"/>
      <c r="C154" s="230"/>
      <c r="D154" s="230" t="s">
        <v>158</v>
      </c>
      <c r="E154" s="230" t="s">
        <v>181</v>
      </c>
      <c r="F154" s="231">
        <v>0</v>
      </c>
      <c r="G154" s="231">
        <v>0</v>
      </c>
      <c r="H154" s="231">
        <v>0</v>
      </c>
      <c r="I154" s="231">
        <v>0</v>
      </c>
      <c r="J154" s="232">
        <f t="shared" si="2"/>
        <v>0</v>
      </c>
      <c r="K154" s="649"/>
    </row>
    <row r="155" spans="1:11" ht="12.75" hidden="1">
      <c r="A155" s="228"/>
      <c r="B155" s="228"/>
      <c r="C155" s="230"/>
      <c r="D155" s="230" t="s">
        <v>160</v>
      </c>
      <c r="E155" s="230" t="s">
        <v>182</v>
      </c>
      <c r="F155" s="231">
        <v>0</v>
      </c>
      <c r="G155" s="231">
        <v>0</v>
      </c>
      <c r="H155" s="231">
        <v>0</v>
      </c>
      <c r="I155" s="231">
        <v>0</v>
      </c>
      <c r="J155" s="232">
        <f t="shared" si="2"/>
        <v>0</v>
      </c>
      <c r="K155" s="649"/>
    </row>
    <row r="156" spans="1:11" ht="12.75" hidden="1">
      <c r="A156" s="228"/>
      <c r="B156" s="228"/>
      <c r="C156" s="230"/>
      <c r="D156" s="230" t="s">
        <v>162</v>
      </c>
      <c r="E156" s="230" t="s">
        <v>553</v>
      </c>
      <c r="F156" s="231">
        <v>0</v>
      </c>
      <c r="G156" s="231">
        <v>0</v>
      </c>
      <c r="H156" s="231">
        <v>0</v>
      </c>
      <c r="I156" s="231">
        <v>0</v>
      </c>
      <c r="J156" s="232">
        <f t="shared" si="2"/>
        <v>0</v>
      </c>
      <c r="K156" s="649"/>
    </row>
    <row r="157" spans="1:11" ht="12.75" hidden="1">
      <c r="A157" s="228"/>
      <c r="B157" s="228"/>
      <c r="C157" s="230"/>
      <c r="D157" s="230" t="s">
        <v>164</v>
      </c>
      <c r="E157" s="230" t="s">
        <v>552</v>
      </c>
      <c r="F157" s="240">
        <v>0</v>
      </c>
      <c r="G157" s="231">
        <v>0</v>
      </c>
      <c r="H157" s="231">
        <v>0</v>
      </c>
      <c r="I157" s="231">
        <v>0</v>
      </c>
      <c r="J157" s="232">
        <f t="shared" si="2"/>
        <v>0</v>
      </c>
      <c r="K157" s="649"/>
    </row>
    <row r="158" spans="1:11" ht="12.75" hidden="1">
      <c r="A158" s="228"/>
      <c r="B158" s="228"/>
      <c r="C158" s="230"/>
      <c r="D158" s="230" t="s">
        <v>166</v>
      </c>
      <c r="E158" s="230" t="s">
        <v>185</v>
      </c>
      <c r="F158" s="231">
        <v>0</v>
      </c>
      <c r="G158" s="231">
        <v>0</v>
      </c>
      <c r="H158" s="231">
        <v>0</v>
      </c>
      <c r="I158" s="231">
        <v>0</v>
      </c>
      <c r="J158" s="232">
        <f t="shared" si="2"/>
        <v>0</v>
      </c>
      <c r="K158" s="649"/>
    </row>
    <row r="159" spans="1:11" ht="12.75" hidden="1">
      <c r="A159" s="228"/>
      <c r="B159" s="228"/>
      <c r="C159" s="230"/>
      <c r="D159" s="230" t="s">
        <v>168</v>
      </c>
      <c r="E159" s="230" t="s">
        <v>593</v>
      </c>
      <c r="F159" s="231">
        <v>0</v>
      </c>
      <c r="G159" s="231">
        <v>0</v>
      </c>
      <c r="H159" s="231">
        <v>0</v>
      </c>
      <c r="I159" s="231">
        <v>0</v>
      </c>
      <c r="J159" s="232">
        <f t="shared" si="2"/>
        <v>0</v>
      </c>
      <c r="K159" s="649"/>
    </row>
    <row r="160" spans="1:11" ht="12.75" hidden="1">
      <c r="A160" s="228"/>
      <c r="B160" s="221" t="s">
        <v>573</v>
      </c>
      <c r="C160" s="955" t="s">
        <v>659</v>
      </c>
      <c r="D160" s="955"/>
      <c r="E160" s="955"/>
      <c r="F160" s="222">
        <f>SUM(F161:F171)</f>
        <v>0</v>
      </c>
      <c r="G160" s="222">
        <f>SUM(G161:G171)</f>
        <v>0</v>
      </c>
      <c r="H160" s="222">
        <f>SUM(H161:H171)</f>
        <v>0</v>
      </c>
      <c r="I160" s="222">
        <f>SUM(I161:I171)</f>
        <v>0</v>
      </c>
      <c r="J160" s="223">
        <f t="shared" si="2"/>
        <v>0</v>
      </c>
      <c r="K160" s="647"/>
    </row>
    <row r="161" spans="1:11" ht="12" customHeight="1" hidden="1">
      <c r="A161" s="228"/>
      <c r="B161" s="228"/>
      <c r="C161" s="230" t="s">
        <v>2</v>
      </c>
      <c r="D161" s="230" t="s">
        <v>152</v>
      </c>
      <c r="E161" s="230" t="s">
        <v>179</v>
      </c>
      <c r="F161" s="231"/>
      <c r="G161" s="231">
        <v>0</v>
      </c>
      <c r="H161" s="231">
        <v>0</v>
      </c>
      <c r="I161" s="231">
        <v>0</v>
      </c>
      <c r="J161" s="232">
        <f t="shared" si="2"/>
        <v>0</v>
      </c>
      <c r="K161" s="649"/>
    </row>
    <row r="162" spans="1:11" ht="12.75" hidden="1">
      <c r="A162" s="228"/>
      <c r="B162" s="228"/>
      <c r="C162" s="230"/>
      <c r="D162" s="230" t="s">
        <v>154</v>
      </c>
      <c r="E162" s="230" t="s">
        <v>592</v>
      </c>
      <c r="F162" s="231">
        <v>0</v>
      </c>
      <c r="G162" s="231">
        <v>0</v>
      </c>
      <c r="H162" s="231">
        <v>0</v>
      </c>
      <c r="I162" s="231">
        <v>0</v>
      </c>
      <c r="J162" s="232">
        <f t="shared" si="2"/>
        <v>0</v>
      </c>
      <c r="K162" s="649"/>
    </row>
    <row r="163" spans="1:11" ht="12.75" hidden="1">
      <c r="A163" s="228"/>
      <c r="B163" s="228"/>
      <c r="C163" s="230"/>
      <c r="D163" s="230" t="s">
        <v>156</v>
      </c>
      <c r="E163" s="230" t="s">
        <v>180</v>
      </c>
      <c r="F163" s="231">
        <v>0</v>
      </c>
      <c r="G163" s="231">
        <v>0</v>
      </c>
      <c r="H163" s="231">
        <v>0</v>
      </c>
      <c r="I163" s="231">
        <v>0</v>
      </c>
      <c r="J163" s="232">
        <f t="shared" si="2"/>
        <v>0</v>
      </c>
      <c r="K163" s="649"/>
    </row>
    <row r="164" spans="1:11" ht="12.75" hidden="1">
      <c r="A164" s="228"/>
      <c r="B164" s="228"/>
      <c r="C164" s="230"/>
      <c r="D164" s="230" t="s">
        <v>158</v>
      </c>
      <c r="E164" s="230" t="s">
        <v>181</v>
      </c>
      <c r="F164" s="231">
        <v>0</v>
      </c>
      <c r="G164" s="231">
        <v>0</v>
      </c>
      <c r="H164" s="231">
        <v>0</v>
      </c>
      <c r="I164" s="231">
        <v>0</v>
      </c>
      <c r="J164" s="232">
        <f t="shared" si="2"/>
        <v>0</v>
      </c>
      <c r="K164" s="649"/>
    </row>
    <row r="165" spans="1:11" ht="12.75" hidden="1">
      <c r="A165" s="228"/>
      <c r="B165" s="228"/>
      <c r="C165" s="230"/>
      <c r="D165" s="230" t="s">
        <v>160</v>
      </c>
      <c r="E165" s="230" t="s">
        <v>182</v>
      </c>
      <c r="F165" s="231">
        <v>0</v>
      </c>
      <c r="G165" s="231">
        <v>0</v>
      </c>
      <c r="H165" s="231">
        <v>0</v>
      </c>
      <c r="I165" s="231">
        <v>0</v>
      </c>
      <c r="J165" s="232">
        <f t="shared" si="2"/>
        <v>0</v>
      </c>
      <c r="K165" s="649"/>
    </row>
    <row r="166" spans="1:11" ht="12.75" hidden="1">
      <c r="A166" s="228"/>
      <c r="B166" s="228"/>
      <c r="C166" s="230"/>
      <c r="D166" s="230" t="s">
        <v>162</v>
      </c>
      <c r="E166" s="230" t="s">
        <v>553</v>
      </c>
      <c r="F166" s="231">
        <v>0</v>
      </c>
      <c r="G166" s="231">
        <v>0</v>
      </c>
      <c r="H166" s="231">
        <v>0</v>
      </c>
      <c r="I166" s="231">
        <v>0</v>
      </c>
      <c r="J166" s="232">
        <f t="shared" si="2"/>
        <v>0</v>
      </c>
      <c r="K166" s="649"/>
    </row>
    <row r="167" spans="1:11" ht="12.75" hidden="1">
      <c r="A167" s="228"/>
      <c r="B167" s="228"/>
      <c r="C167" s="230"/>
      <c r="D167" s="230" t="s">
        <v>164</v>
      </c>
      <c r="E167" s="230" t="s">
        <v>552</v>
      </c>
      <c r="F167" s="240">
        <v>0</v>
      </c>
      <c r="G167" s="231">
        <v>0</v>
      </c>
      <c r="H167" s="231">
        <v>0</v>
      </c>
      <c r="I167" s="231">
        <v>0</v>
      </c>
      <c r="J167" s="232">
        <f t="shared" si="2"/>
        <v>0</v>
      </c>
      <c r="K167" s="649"/>
    </row>
    <row r="168" spans="1:11" ht="12.75" hidden="1">
      <c r="A168" s="228"/>
      <c r="B168" s="228"/>
      <c r="C168" s="230"/>
      <c r="D168" s="230" t="s">
        <v>166</v>
      </c>
      <c r="E168" s="230" t="s">
        <v>185</v>
      </c>
      <c r="F168" s="231">
        <v>0</v>
      </c>
      <c r="G168" s="231">
        <v>0</v>
      </c>
      <c r="H168" s="231">
        <v>0</v>
      </c>
      <c r="I168" s="231">
        <v>0</v>
      </c>
      <c r="J168" s="232">
        <f t="shared" si="2"/>
        <v>0</v>
      </c>
      <c r="K168" s="649"/>
    </row>
    <row r="169" spans="1:11" ht="12.75" hidden="1">
      <c r="A169" s="228"/>
      <c r="B169" s="228"/>
      <c r="C169" s="230"/>
      <c r="D169" s="230" t="s">
        <v>168</v>
      </c>
      <c r="E169" s="230" t="s">
        <v>186</v>
      </c>
      <c r="F169" s="231">
        <v>0</v>
      </c>
      <c r="G169" s="231">
        <v>0</v>
      </c>
      <c r="H169" s="231">
        <v>0</v>
      </c>
      <c r="I169" s="231">
        <v>0</v>
      </c>
      <c r="J169" s="232">
        <f t="shared" si="2"/>
        <v>0</v>
      </c>
      <c r="K169" s="649"/>
    </row>
    <row r="170" spans="1:11" ht="12.75" hidden="1">
      <c r="A170" s="228"/>
      <c r="B170" s="228"/>
      <c r="C170" s="230"/>
      <c r="D170" s="230" t="s">
        <v>170</v>
      </c>
      <c r="E170" s="230" t="s">
        <v>187</v>
      </c>
      <c r="F170" s="231">
        <v>0</v>
      </c>
      <c r="G170" s="231">
        <v>0</v>
      </c>
      <c r="H170" s="231">
        <v>0</v>
      </c>
      <c r="I170" s="231">
        <v>0</v>
      </c>
      <c r="J170" s="232">
        <f t="shared" si="2"/>
        <v>0</v>
      </c>
      <c r="K170" s="649"/>
    </row>
    <row r="171" spans="1:11" ht="12.75" hidden="1">
      <c r="A171" s="228"/>
      <c r="B171" s="228"/>
      <c r="C171" s="230"/>
      <c r="D171" s="230" t="s">
        <v>594</v>
      </c>
      <c r="E171" s="230" t="s">
        <v>188</v>
      </c>
      <c r="F171" s="231">
        <v>0</v>
      </c>
      <c r="G171" s="231">
        <v>0</v>
      </c>
      <c r="H171" s="231">
        <v>0</v>
      </c>
      <c r="I171" s="231">
        <v>0</v>
      </c>
      <c r="J171" s="232">
        <f t="shared" si="2"/>
        <v>0</v>
      </c>
      <c r="K171" s="649"/>
    </row>
    <row r="172" spans="1:11" s="220" customFormat="1" ht="12.75">
      <c r="A172" s="218" t="s">
        <v>313</v>
      </c>
      <c r="B172" s="959" t="s">
        <v>314</v>
      </c>
      <c r="C172" s="959"/>
      <c r="D172" s="959"/>
      <c r="E172" s="959"/>
      <c r="F172" s="219">
        <f>SUM(F173+F196+F197+F198)</f>
        <v>1429238592</v>
      </c>
      <c r="G172" s="219">
        <f>SUM(G173+G196+G197+G198)</f>
        <v>1537859</v>
      </c>
      <c r="H172" s="219">
        <f>SUM(H173+H196+H197+H198)</f>
        <v>44046233</v>
      </c>
      <c r="I172" s="219">
        <f>SUM(I173+I196+I197+I198)</f>
        <v>622539</v>
      </c>
      <c r="J172" s="219">
        <f t="shared" si="2"/>
        <v>1475445223</v>
      </c>
      <c r="K172" s="646"/>
    </row>
    <row r="173" spans="1:11" ht="12.75">
      <c r="A173" s="228"/>
      <c r="B173" s="221" t="s">
        <v>315</v>
      </c>
      <c r="C173" s="955" t="s">
        <v>316</v>
      </c>
      <c r="D173" s="955"/>
      <c r="E173" s="955"/>
      <c r="F173" s="222">
        <f>SUM(F174+F178+F183+F188+F189+F190+F191+F192+F193)</f>
        <v>1429238592</v>
      </c>
      <c r="G173" s="222">
        <f>SUM(G174+G178+G183+G188+G189+G190+G191+G192+G193)</f>
        <v>1537859</v>
      </c>
      <c r="H173" s="222">
        <f>SUM(H174+H178+H183+H188+H189+H190+H191+H192+H193)</f>
        <v>44046233</v>
      </c>
      <c r="I173" s="222">
        <f>SUM(I174+I178+I183+I188+I189+I190+I191+I192+I193)</f>
        <v>622539</v>
      </c>
      <c r="J173" s="223">
        <f t="shared" si="2"/>
        <v>1475445223</v>
      </c>
      <c r="K173" s="647"/>
    </row>
    <row r="174" spans="1:11" ht="12.75">
      <c r="A174" s="224"/>
      <c r="B174" s="224"/>
      <c r="C174" s="224" t="s">
        <v>317</v>
      </c>
      <c r="D174" s="224" t="s">
        <v>620</v>
      </c>
      <c r="E174" s="224"/>
      <c r="F174" s="225">
        <f>SUM(F175:F177)</f>
        <v>0</v>
      </c>
      <c r="G174" s="225">
        <f>SUM(G175:G177)</f>
        <v>0</v>
      </c>
      <c r="H174" s="225">
        <f>SUM(H175:H177)</f>
        <v>0</v>
      </c>
      <c r="I174" s="225">
        <f>SUM(I175:I177)</f>
        <v>0</v>
      </c>
      <c r="J174" s="226">
        <f t="shared" si="2"/>
        <v>0</v>
      </c>
      <c r="K174" s="648"/>
    </row>
    <row r="175" spans="1:11" ht="12.75" hidden="1">
      <c r="A175" s="241"/>
      <c r="B175" s="241"/>
      <c r="C175" s="241"/>
      <c r="D175" s="241" t="s">
        <v>318</v>
      </c>
      <c r="E175" s="241" t="s">
        <v>713</v>
      </c>
      <c r="F175" s="242">
        <v>0</v>
      </c>
      <c r="G175" s="242">
        <v>0</v>
      </c>
      <c r="H175" s="242">
        <v>0</v>
      </c>
      <c r="I175" s="242">
        <v>0</v>
      </c>
      <c r="J175" s="243">
        <f t="shared" si="2"/>
        <v>0</v>
      </c>
      <c r="K175" s="650"/>
    </row>
    <row r="176" spans="1:11" ht="12.75" hidden="1">
      <c r="A176" s="241"/>
      <c r="B176" s="241"/>
      <c r="C176" s="241"/>
      <c r="D176" s="241" t="s">
        <v>319</v>
      </c>
      <c r="E176" s="241" t="s">
        <v>714</v>
      </c>
      <c r="F176" s="242">
        <v>0</v>
      </c>
      <c r="G176" s="242">
        <v>0</v>
      </c>
      <c r="H176" s="242">
        <v>0</v>
      </c>
      <c r="I176" s="242">
        <v>0</v>
      </c>
      <c r="J176" s="243">
        <f t="shared" si="2"/>
        <v>0</v>
      </c>
      <c r="K176" s="650"/>
    </row>
    <row r="177" spans="1:11" ht="12.75" hidden="1">
      <c r="A177" s="241"/>
      <c r="B177" s="241"/>
      <c r="C177" s="241"/>
      <c r="D177" s="241" t="s">
        <v>320</v>
      </c>
      <c r="E177" s="241" t="s">
        <v>715</v>
      </c>
      <c r="F177" s="242">
        <v>0</v>
      </c>
      <c r="G177" s="242">
        <v>0</v>
      </c>
      <c r="H177" s="242">
        <v>0</v>
      </c>
      <c r="I177" s="242">
        <v>0</v>
      </c>
      <c r="J177" s="243">
        <f t="shared" si="2"/>
        <v>0</v>
      </c>
      <c r="K177" s="650"/>
    </row>
    <row r="178" spans="1:11" ht="12.75">
      <c r="A178" s="224"/>
      <c r="B178" s="224"/>
      <c r="C178" s="224" t="s">
        <v>321</v>
      </c>
      <c r="D178" s="224" t="s">
        <v>322</v>
      </c>
      <c r="E178" s="224"/>
      <c r="F178" s="225">
        <f>SUM(F179:F182)</f>
        <v>0</v>
      </c>
      <c r="G178" s="225">
        <f>SUM(G179:G182)</f>
        <v>0</v>
      </c>
      <c r="H178" s="225">
        <f>SUM(H179:H182)</f>
        <v>0</v>
      </c>
      <c r="I178" s="225">
        <f>SUM(I179:I182)</f>
        <v>0</v>
      </c>
      <c r="J178" s="226">
        <f t="shared" si="2"/>
        <v>0</v>
      </c>
      <c r="K178" s="648"/>
    </row>
    <row r="179" spans="1:11" ht="12.75" hidden="1">
      <c r="A179" s="224"/>
      <c r="B179" s="224"/>
      <c r="C179" s="224"/>
      <c r="D179" s="241" t="s">
        <v>574</v>
      </c>
      <c r="E179" s="241" t="s">
        <v>575</v>
      </c>
      <c r="F179" s="225">
        <v>0</v>
      </c>
      <c r="G179" s="225">
        <v>0</v>
      </c>
      <c r="H179" s="225">
        <v>0</v>
      </c>
      <c r="I179" s="225">
        <v>0</v>
      </c>
      <c r="J179" s="226">
        <f t="shared" si="2"/>
        <v>0</v>
      </c>
      <c r="K179" s="648"/>
    </row>
    <row r="180" spans="1:11" ht="12.75" hidden="1">
      <c r="A180" s="224"/>
      <c r="B180" s="224"/>
      <c r="C180" s="224"/>
      <c r="D180" s="241" t="s">
        <v>576</v>
      </c>
      <c r="E180" s="241" t="s">
        <v>577</v>
      </c>
      <c r="F180" s="225">
        <v>0</v>
      </c>
      <c r="G180" s="225">
        <v>0</v>
      </c>
      <c r="H180" s="225">
        <v>0</v>
      </c>
      <c r="I180" s="225">
        <v>0</v>
      </c>
      <c r="J180" s="226">
        <f t="shared" si="2"/>
        <v>0</v>
      </c>
      <c r="K180" s="648"/>
    </row>
    <row r="181" spans="1:11" ht="12.75" hidden="1">
      <c r="A181" s="224"/>
      <c r="B181" s="224"/>
      <c r="C181" s="224"/>
      <c r="D181" s="241" t="s">
        <v>578</v>
      </c>
      <c r="E181" s="241" t="s">
        <v>579</v>
      </c>
      <c r="F181" s="225">
        <v>0</v>
      </c>
      <c r="G181" s="225">
        <v>0</v>
      </c>
      <c r="H181" s="225">
        <v>0</v>
      </c>
      <c r="I181" s="225">
        <v>0</v>
      </c>
      <c r="J181" s="226">
        <f t="shared" si="2"/>
        <v>0</v>
      </c>
      <c r="K181" s="648"/>
    </row>
    <row r="182" spans="1:11" ht="12.75" hidden="1">
      <c r="A182" s="224"/>
      <c r="B182" s="224"/>
      <c r="C182" s="224"/>
      <c r="D182" s="241" t="s">
        <v>580</v>
      </c>
      <c r="E182" s="241" t="s">
        <v>581</v>
      </c>
      <c r="F182" s="225">
        <v>0</v>
      </c>
      <c r="G182" s="225">
        <v>0</v>
      </c>
      <c r="H182" s="225">
        <v>0</v>
      </c>
      <c r="I182" s="225">
        <v>0</v>
      </c>
      <c r="J182" s="226">
        <f t="shared" si="2"/>
        <v>0</v>
      </c>
      <c r="K182" s="648"/>
    </row>
    <row r="183" spans="1:11" ht="12.75">
      <c r="A183" s="224"/>
      <c r="B183" s="224"/>
      <c r="C183" s="224" t="s">
        <v>323</v>
      </c>
      <c r="D183" s="224" t="s">
        <v>324</v>
      </c>
      <c r="E183" s="224"/>
      <c r="F183" s="225">
        <f>SUM(F184,F187)</f>
        <v>1429238592</v>
      </c>
      <c r="G183" s="225">
        <f>SUM(G184,G187)</f>
        <v>1537859</v>
      </c>
      <c r="H183" s="225">
        <f>SUM(H184,H187)</f>
        <v>44046233</v>
      </c>
      <c r="I183" s="225">
        <f>SUM(I184,I187)</f>
        <v>622539</v>
      </c>
      <c r="J183" s="226">
        <f t="shared" si="2"/>
        <v>1475445223</v>
      </c>
      <c r="K183" s="648"/>
    </row>
    <row r="184" spans="1:11" ht="12.75">
      <c r="A184" s="241"/>
      <c r="B184" s="241"/>
      <c r="C184" s="241"/>
      <c r="D184" s="241" t="s">
        <v>325</v>
      </c>
      <c r="E184" s="241" t="s">
        <v>326</v>
      </c>
      <c r="F184" s="242">
        <f>SUM(F185:F186)</f>
        <v>1426298320</v>
      </c>
      <c r="G184" s="242">
        <f>SUM(G185:G186)</f>
        <v>1537859</v>
      </c>
      <c r="H184" s="242">
        <f>SUM(H185:H186)</f>
        <v>44046233</v>
      </c>
      <c r="I184" s="242">
        <f>SUM(I185:I186)</f>
        <v>622539</v>
      </c>
      <c r="J184" s="243">
        <f t="shared" si="2"/>
        <v>1472504951</v>
      </c>
      <c r="K184" s="650"/>
    </row>
    <row r="185" spans="1:11" s="248" customFormat="1" ht="12.75">
      <c r="A185" s="244"/>
      <c r="B185" s="244"/>
      <c r="C185" s="244"/>
      <c r="D185" s="244"/>
      <c r="E185" s="245" t="s">
        <v>36</v>
      </c>
      <c r="F185" s="246">
        <f>159291075+55+97110256</f>
        <v>256401386</v>
      </c>
      <c r="G185" s="246">
        <v>1537859</v>
      </c>
      <c r="H185" s="246">
        <f>32890088+11156145</f>
        <v>44046233</v>
      </c>
      <c r="I185" s="246">
        <v>622539</v>
      </c>
      <c r="J185" s="247">
        <f t="shared" si="2"/>
        <v>302608017</v>
      </c>
      <c r="K185" s="651"/>
    </row>
    <row r="186" spans="1:11" s="248" customFormat="1" ht="12.75">
      <c r="A186" s="244"/>
      <c r="B186" s="244"/>
      <c r="C186" s="244"/>
      <c r="D186" s="244"/>
      <c r="E186" s="245" t="s">
        <v>37</v>
      </c>
      <c r="F186" s="246">
        <f>1164857629-55+5039360</f>
        <v>1169896934</v>
      </c>
      <c r="G186" s="246">
        <v>0</v>
      </c>
      <c r="H186" s="246">
        <v>0</v>
      </c>
      <c r="I186" s="246">
        <v>0</v>
      </c>
      <c r="J186" s="247">
        <f t="shared" si="2"/>
        <v>1169896934</v>
      </c>
      <c r="K186" s="651"/>
    </row>
    <row r="187" spans="1:11" ht="12.75">
      <c r="A187" s="241"/>
      <c r="B187" s="241"/>
      <c r="C187" s="241"/>
      <c r="D187" s="241" t="s">
        <v>327</v>
      </c>
      <c r="E187" s="241" t="s">
        <v>328</v>
      </c>
      <c r="F187" s="242">
        <v>2940272</v>
      </c>
      <c r="G187" s="242">
        <v>0</v>
      </c>
      <c r="H187" s="242">
        <v>0</v>
      </c>
      <c r="I187" s="242">
        <v>0</v>
      </c>
      <c r="J187" s="243">
        <f t="shared" si="2"/>
        <v>2940272</v>
      </c>
      <c r="K187" s="650"/>
    </row>
    <row r="188" spans="1:11" ht="12.75" hidden="1">
      <c r="A188" s="224"/>
      <c r="B188" s="224"/>
      <c r="C188" s="224" t="s">
        <v>329</v>
      </c>
      <c r="D188" s="224" t="s">
        <v>621</v>
      </c>
      <c r="E188" s="224"/>
      <c r="F188" s="225">
        <v>0</v>
      </c>
      <c r="G188" s="225">
        <v>0</v>
      </c>
      <c r="H188" s="225">
        <v>0</v>
      </c>
      <c r="I188" s="225">
        <v>0</v>
      </c>
      <c r="J188" s="226">
        <f t="shared" si="2"/>
        <v>0</v>
      </c>
      <c r="K188" s="648"/>
    </row>
    <row r="189" spans="1:11" ht="12.75" hidden="1">
      <c r="A189" s="224"/>
      <c r="B189" s="224"/>
      <c r="C189" s="224" t="s">
        <v>330</v>
      </c>
      <c r="D189" s="224" t="s">
        <v>622</v>
      </c>
      <c r="E189" s="224"/>
      <c r="F189" s="225">
        <v>0</v>
      </c>
      <c r="G189" s="225">
        <v>0</v>
      </c>
      <c r="H189" s="225">
        <v>0</v>
      </c>
      <c r="I189" s="225">
        <v>0</v>
      </c>
      <c r="J189" s="226">
        <f t="shared" si="2"/>
        <v>0</v>
      </c>
      <c r="K189" s="648"/>
    </row>
    <row r="190" spans="1:11" ht="12.75" hidden="1">
      <c r="A190" s="224"/>
      <c r="B190" s="224"/>
      <c r="C190" s="224" t="s">
        <v>331</v>
      </c>
      <c r="D190" s="224" t="s">
        <v>332</v>
      </c>
      <c r="E190" s="224"/>
      <c r="F190" s="225">
        <v>0</v>
      </c>
      <c r="G190" s="225">
        <v>0</v>
      </c>
      <c r="H190" s="225">
        <v>0</v>
      </c>
      <c r="I190" s="225">
        <v>0</v>
      </c>
      <c r="J190" s="226">
        <f t="shared" si="2"/>
        <v>0</v>
      </c>
      <c r="K190" s="648"/>
    </row>
    <row r="191" spans="1:11" ht="12.75" hidden="1">
      <c r="A191" s="224"/>
      <c r="B191" s="224"/>
      <c r="C191" s="224" t="s">
        <v>333</v>
      </c>
      <c r="D191" s="224" t="s">
        <v>582</v>
      </c>
      <c r="E191" s="224"/>
      <c r="F191" s="225">
        <v>0</v>
      </c>
      <c r="G191" s="225">
        <v>0</v>
      </c>
      <c r="H191" s="225">
        <v>0</v>
      </c>
      <c r="I191" s="225">
        <v>0</v>
      </c>
      <c r="J191" s="226">
        <f t="shared" si="2"/>
        <v>0</v>
      </c>
      <c r="K191" s="648"/>
    </row>
    <row r="192" spans="1:11" ht="12.75" hidden="1">
      <c r="A192" s="224"/>
      <c r="B192" s="224"/>
      <c r="C192" s="224" t="s">
        <v>334</v>
      </c>
      <c r="D192" s="224" t="s">
        <v>335</v>
      </c>
      <c r="E192" s="224"/>
      <c r="F192" s="225">
        <v>0</v>
      </c>
      <c r="G192" s="225">
        <v>0</v>
      </c>
      <c r="H192" s="225">
        <v>0</v>
      </c>
      <c r="I192" s="225">
        <v>0</v>
      </c>
      <c r="J192" s="226">
        <f t="shared" si="2"/>
        <v>0</v>
      </c>
      <c r="K192" s="648"/>
    </row>
    <row r="193" spans="1:11" ht="12.75" hidden="1">
      <c r="A193" s="224"/>
      <c r="B193" s="224"/>
      <c r="C193" s="224" t="s">
        <v>583</v>
      </c>
      <c r="D193" s="224" t="s">
        <v>584</v>
      </c>
      <c r="E193" s="224"/>
      <c r="F193" s="225">
        <v>0</v>
      </c>
      <c r="G193" s="225">
        <v>0</v>
      </c>
      <c r="H193" s="225">
        <v>0</v>
      </c>
      <c r="I193" s="225">
        <v>0</v>
      </c>
      <c r="J193" s="226">
        <f t="shared" si="2"/>
        <v>0</v>
      </c>
      <c r="K193" s="648"/>
    </row>
    <row r="194" spans="1:11" ht="12.75" hidden="1">
      <c r="A194" s="224"/>
      <c r="B194" s="224"/>
      <c r="C194" s="224"/>
      <c r="D194" s="241" t="s">
        <v>585</v>
      </c>
      <c r="E194" s="241" t="s">
        <v>586</v>
      </c>
      <c r="F194" s="246">
        <v>0</v>
      </c>
      <c r="G194" s="246">
        <v>0</v>
      </c>
      <c r="H194" s="246">
        <v>0</v>
      </c>
      <c r="I194" s="246">
        <v>0</v>
      </c>
      <c r="J194" s="226">
        <f t="shared" si="2"/>
        <v>0</v>
      </c>
      <c r="K194" s="648"/>
    </row>
    <row r="195" spans="1:11" ht="12.75" hidden="1">
      <c r="A195" s="224"/>
      <c r="B195" s="224"/>
      <c r="C195" s="224"/>
      <c r="D195" s="241" t="s">
        <v>587</v>
      </c>
      <c r="E195" s="241" t="s">
        <v>588</v>
      </c>
      <c r="F195" s="246">
        <v>0</v>
      </c>
      <c r="G195" s="246">
        <v>0</v>
      </c>
      <c r="H195" s="246">
        <v>0</v>
      </c>
      <c r="I195" s="246">
        <v>0</v>
      </c>
      <c r="J195" s="226">
        <f t="shared" si="2"/>
        <v>0</v>
      </c>
      <c r="K195" s="648"/>
    </row>
    <row r="196" spans="1:11" ht="12.75">
      <c r="A196" s="228"/>
      <c r="B196" s="221" t="s">
        <v>336</v>
      </c>
      <c r="C196" s="955" t="s">
        <v>337</v>
      </c>
      <c r="D196" s="955"/>
      <c r="E196" s="955"/>
      <c r="F196" s="222">
        <v>0</v>
      </c>
      <c r="G196" s="222">
        <v>0</v>
      </c>
      <c r="H196" s="222">
        <v>0</v>
      </c>
      <c r="I196" s="222">
        <v>0</v>
      </c>
      <c r="J196" s="223">
        <f t="shared" si="2"/>
        <v>0</v>
      </c>
      <c r="K196" s="647"/>
    </row>
    <row r="197" spans="1:11" ht="12.75">
      <c r="A197" s="228"/>
      <c r="B197" s="221" t="s">
        <v>338</v>
      </c>
      <c r="C197" s="955" t="s">
        <v>339</v>
      </c>
      <c r="D197" s="955"/>
      <c r="E197" s="955"/>
      <c r="F197" s="222">
        <v>0</v>
      </c>
      <c r="G197" s="222">
        <v>0</v>
      </c>
      <c r="H197" s="222">
        <v>0</v>
      </c>
      <c r="I197" s="222">
        <v>0</v>
      </c>
      <c r="J197" s="223">
        <f t="shared" si="2"/>
        <v>0</v>
      </c>
      <c r="K197" s="647"/>
    </row>
    <row r="198" spans="1:11" ht="12.75">
      <c r="A198" s="228"/>
      <c r="B198" s="221" t="s">
        <v>589</v>
      </c>
      <c r="C198" s="955" t="s">
        <v>590</v>
      </c>
      <c r="D198" s="955"/>
      <c r="E198" s="955"/>
      <c r="F198" s="222">
        <v>0</v>
      </c>
      <c r="G198" s="222">
        <v>0</v>
      </c>
      <c r="H198" s="222">
        <v>0</v>
      </c>
      <c r="I198" s="222">
        <v>0</v>
      </c>
      <c r="J198" s="223">
        <f t="shared" si="2"/>
        <v>0</v>
      </c>
      <c r="K198" s="647"/>
    </row>
    <row r="199" spans="1:11" ht="12.75">
      <c r="A199" s="228"/>
      <c r="B199" s="228"/>
      <c r="C199" s="228"/>
      <c r="D199" s="228"/>
      <c r="E199" s="228"/>
      <c r="F199" s="249"/>
      <c r="G199" s="250"/>
      <c r="H199" s="250"/>
      <c r="I199" s="250"/>
      <c r="J199" s="249">
        <f t="shared" si="2"/>
        <v>0</v>
      </c>
      <c r="K199" s="652"/>
    </row>
    <row r="200" spans="1:11" s="252" customFormat="1" ht="15.75">
      <c r="A200" s="964" t="s">
        <v>455</v>
      </c>
      <c r="B200" s="964"/>
      <c r="C200" s="964"/>
      <c r="D200" s="964"/>
      <c r="E200" s="964"/>
      <c r="F200" s="251">
        <f>SUM(F172+F146+F130+F122+F86+F57+F40+F7)</f>
        <v>2484860575</v>
      </c>
      <c r="G200" s="251">
        <f>SUM(G172+G146+G130+G122+G86+G57+G40+G7)</f>
        <v>10547787</v>
      </c>
      <c r="H200" s="251">
        <f>SUM(H172+H146+H130+H122+H86+H57+H40+H7)</f>
        <v>45127703</v>
      </c>
      <c r="I200" s="251">
        <f>SUM(I172+I146+I130+I122+I86+I57+I40+I7)</f>
        <v>31002539</v>
      </c>
      <c r="J200" s="251">
        <f t="shared" si="2"/>
        <v>2571538604</v>
      </c>
      <c r="K200" s="653"/>
    </row>
    <row r="204" spans="2:3" ht="12.75">
      <c r="B204" s="1331">
        <v>6</v>
      </c>
      <c r="C204" s="1332" t="s">
        <v>1110</v>
      </c>
    </row>
  </sheetData>
  <sheetProtection/>
  <mergeCells count="54">
    <mergeCell ref="C197:E197"/>
    <mergeCell ref="C173:E173"/>
    <mergeCell ref="F1:J1"/>
    <mergeCell ref="B6:E6"/>
    <mergeCell ref="A2:J2"/>
    <mergeCell ref="C128:E128"/>
    <mergeCell ref="C42:E42"/>
    <mergeCell ref="C61:E61"/>
    <mergeCell ref="C64:E64"/>
    <mergeCell ref="C160:E160"/>
    <mergeCell ref="A200:E200"/>
    <mergeCell ref="C131:E131"/>
    <mergeCell ref="C134:E134"/>
    <mergeCell ref="C144:E144"/>
    <mergeCell ref="B146:E146"/>
    <mergeCell ref="C198:E198"/>
    <mergeCell ref="B172:E172"/>
    <mergeCell ref="C149:E149"/>
    <mergeCell ref="C150:E150"/>
    <mergeCell ref="C148:E148"/>
    <mergeCell ref="C147:E147"/>
    <mergeCell ref="C196:E196"/>
    <mergeCell ref="C132:E132"/>
    <mergeCell ref="C133:E133"/>
    <mergeCell ref="C43:E43"/>
    <mergeCell ref="C41:E41"/>
    <mergeCell ref="D119:E119"/>
    <mergeCell ref="B122:E122"/>
    <mergeCell ref="C44:E44"/>
    <mergeCell ref="D112:E112"/>
    <mergeCell ref="B57:E57"/>
    <mergeCell ref="D107:E107"/>
    <mergeCell ref="C60:E60"/>
    <mergeCell ref="D104:E104"/>
    <mergeCell ref="C58:E58"/>
    <mergeCell ref="C75:E75"/>
    <mergeCell ref="B86:E86"/>
    <mergeCell ref="C59:E59"/>
    <mergeCell ref="B130:E130"/>
    <mergeCell ref="C125:E125"/>
    <mergeCell ref="C127:E127"/>
    <mergeCell ref="D111:E111"/>
    <mergeCell ref="C129:E129"/>
    <mergeCell ref="C123:E123"/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3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4.125" style="93" bestFit="1" customWidth="1"/>
    <col min="2" max="2" width="2.375" style="51" customWidth="1"/>
    <col min="3" max="3" width="66.625" style="51" customWidth="1"/>
    <col min="4" max="4" width="16.625" style="51" bestFit="1" customWidth="1"/>
  </cols>
  <sheetData>
    <row r="1" spans="1:5" s="51" customFormat="1" ht="18">
      <c r="A1" s="93"/>
      <c r="C1" s="999" t="s">
        <v>1120</v>
      </c>
      <c r="D1" s="1247"/>
      <c r="E1" s="88"/>
    </row>
    <row r="2" spans="3:4" ht="15">
      <c r="C2" s="2"/>
      <c r="D2" s="88"/>
    </row>
    <row r="3" spans="2:4" ht="14.25">
      <c r="B3" s="1252" t="s">
        <v>384</v>
      </c>
      <c r="C3" s="1252"/>
      <c r="D3" s="1252"/>
    </row>
    <row r="4" spans="2:4" ht="14.25">
      <c r="B4" s="1252" t="s">
        <v>460</v>
      </c>
      <c r="C4" s="1252"/>
      <c r="D4" s="1252"/>
    </row>
    <row r="5" spans="2:4" ht="14.25">
      <c r="B5" s="53"/>
      <c r="C5" s="53"/>
      <c r="D5" s="53"/>
    </row>
    <row r="6" ht="15">
      <c r="D6" s="52"/>
    </row>
    <row r="7" spans="1:4" ht="14.25">
      <c r="A7" s="1253" t="s">
        <v>448</v>
      </c>
      <c r="B7" s="1255" t="s">
        <v>369</v>
      </c>
      <c r="C7" s="1255"/>
      <c r="D7" s="95" t="s">
        <v>382</v>
      </c>
    </row>
    <row r="8" spans="1:4" ht="12.75">
      <c r="A8" s="1254"/>
      <c r="B8" s="1256" t="s">
        <v>442</v>
      </c>
      <c r="C8" s="1257"/>
      <c r="D8" s="94" t="s">
        <v>443</v>
      </c>
    </row>
    <row r="9" spans="1:4" ht="14.25">
      <c r="A9" s="94">
        <v>1</v>
      </c>
      <c r="B9" s="55" t="s">
        <v>395</v>
      </c>
      <c r="C9" s="54"/>
      <c r="D9" s="98"/>
    </row>
    <row r="10" spans="1:4" ht="15">
      <c r="A10" s="94">
        <v>2</v>
      </c>
      <c r="B10" s="91" t="s">
        <v>383</v>
      </c>
      <c r="C10" s="92" t="s">
        <v>441</v>
      </c>
      <c r="D10" s="179">
        <v>1000000</v>
      </c>
    </row>
    <row r="11" spans="1:4" ht="30">
      <c r="A11" s="94">
        <v>4</v>
      </c>
      <c r="B11" s="91" t="s">
        <v>383</v>
      </c>
      <c r="C11" s="92" t="s">
        <v>1102</v>
      </c>
      <c r="D11" s="954">
        <v>-180000</v>
      </c>
    </row>
    <row r="12" spans="1:4" ht="15">
      <c r="A12" s="94">
        <v>5</v>
      </c>
      <c r="B12" s="91" t="s">
        <v>383</v>
      </c>
      <c r="C12" s="92" t="s">
        <v>1103</v>
      </c>
      <c r="D12" s="954">
        <v>-220000</v>
      </c>
    </row>
    <row r="13" spans="1:4" ht="14.25">
      <c r="A13" s="94">
        <v>6</v>
      </c>
      <c r="B13" s="55" t="s">
        <v>372</v>
      </c>
      <c r="C13" s="55"/>
      <c r="D13" s="180">
        <f>SUM(D10:D12)</f>
        <v>600000</v>
      </c>
    </row>
    <row r="14" spans="1:4" ht="6.75" customHeight="1">
      <c r="A14" s="97"/>
      <c r="B14" s="96"/>
      <c r="C14" s="96"/>
      <c r="D14" s="98"/>
    </row>
    <row r="15" spans="1:4" ht="14.25">
      <c r="A15" s="94">
        <v>7</v>
      </c>
      <c r="B15" s="1251" t="s">
        <v>394</v>
      </c>
      <c r="C15" s="1251"/>
      <c r="D15" s="1251"/>
    </row>
    <row r="16" spans="1:4" ht="15">
      <c r="A16" s="94">
        <v>8</v>
      </c>
      <c r="B16" s="91" t="s">
        <v>383</v>
      </c>
      <c r="C16" s="92" t="s">
        <v>891</v>
      </c>
      <c r="D16" s="179">
        <v>350000</v>
      </c>
    </row>
    <row r="17" spans="1:4" ht="15">
      <c r="A17" s="94">
        <v>9</v>
      </c>
      <c r="B17" s="91" t="s">
        <v>383</v>
      </c>
      <c r="C17" s="92" t="s">
        <v>1094</v>
      </c>
      <c r="D17" s="179">
        <v>926229</v>
      </c>
    </row>
    <row r="18" spans="1:4" ht="15">
      <c r="A18" s="94">
        <v>10</v>
      </c>
      <c r="B18" s="951"/>
      <c r="C18" s="952" t="s">
        <v>1095</v>
      </c>
      <c r="D18" s="953">
        <f>SUM(D16:D17)</f>
        <v>1276229</v>
      </c>
    </row>
    <row r="19" spans="1:4" ht="30">
      <c r="A19" s="94">
        <v>11</v>
      </c>
      <c r="B19" s="91" t="s">
        <v>383</v>
      </c>
      <c r="C19" s="92" t="s">
        <v>1054</v>
      </c>
      <c r="D19" s="179">
        <v>200000</v>
      </c>
    </row>
    <row r="20" spans="1:4" ht="30">
      <c r="A20" s="94">
        <v>12</v>
      </c>
      <c r="B20" s="951"/>
      <c r="C20" s="952" t="s">
        <v>1097</v>
      </c>
      <c r="D20" s="953">
        <f>SUM(D19:D19)</f>
        <v>200000</v>
      </c>
    </row>
    <row r="21" spans="1:4" ht="15">
      <c r="A21" s="94">
        <v>13</v>
      </c>
      <c r="B21" s="91" t="s">
        <v>383</v>
      </c>
      <c r="C21" s="92" t="s">
        <v>1104</v>
      </c>
      <c r="D21" s="179">
        <v>2036448</v>
      </c>
    </row>
    <row r="22" spans="1:4" ht="30">
      <c r="A22" s="94">
        <v>14</v>
      </c>
      <c r="B22" s="951"/>
      <c r="C22" s="952" t="s">
        <v>1105</v>
      </c>
      <c r="D22" s="953">
        <f>SUM(D21)</f>
        <v>2036448</v>
      </c>
    </row>
    <row r="23" spans="1:4" ht="15">
      <c r="A23" s="94">
        <v>15</v>
      </c>
      <c r="B23" s="91" t="s">
        <v>383</v>
      </c>
      <c r="C23" s="92" t="s">
        <v>1106</v>
      </c>
      <c r="D23" s="179">
        <v>8004000</v>
      </c>
    </row>
    <row r="24" spans="1:4" ht="15">
      <c r="A24" s="94">
        <v>16</v>
      </c>
      <c r="B24" s="91" t="s">
        <v>383</v>
      </c>
      <c r="C24" s="92" t="s">
        <v>1107</v>
      </c>
      <c r="D24" s="954">
        <v>-8004000</v>
      </c>
    </row>
    <row r="25" spans="1:4" ht="15">
      <c r="A25" s="94">
        <v>17</v>
      </c>
      <c r="B25" s="951"/>
      <c r="C25" s="952" t="s">
        <v>1108</v>
      </c>
      <c r="D25" s="953">
        <f>SUM(D23:D24)</f>
        <v>0</v>
      </c>
    </row>
    <row r="26" spans="1:4" ht="14.25">
      <c r="A26" s="94">
        <v>18</v>
      </c>
      <c r="B26" s="55" t="s">
        <v>1096</v>
      </c>
      <c r="C26" s="55"/>
      <c r="D26" s="180">
        <f>SUM(D18+D20+D22+D25)</f>
        <v>3512677</v>
      </c>
    </row>
    <row r="27" spans="1:4" ht="7.5" customHeight="1">
      <c r="A27" s="97"/>
      <c r="B27" s="96"/>
      <c r="C27" s="96"/>
      <c r="D27" s="98"/>
    </row>
    <row r="28" spans="1:4" ht="14.25">
      <c r="A28" s="94">
        <v>19</v>
      </c>
      <c r="B28" s="55" t="s">
        <v>655</v>
      </c>
      <c r="C28" s="54"/>
      <c r="D28" s="98"/>
    </row>
    <row r="29" spans="1:4" ht="15">
      <c r="A29" s="94">
        <v>20</v>
      </c>
      <c r="B29" s="91" t="s">
        <v>383</v>
      </c>
      <c r="C29" s="92" t="s">
        <v>654</v>
      </c>
      <c r="D29" s="179">
        <v>1000000</v>
      </c>
    </row>
    <row r="30" spans="1:4" ht="30">
      <c r="A30" s="94">
        <v>21</v>
      </c>
      <c r="B30" s="91" t="s">
        <v>383</v>
      </c>
      <c r="C30" s="92" t="s">
        <v>1101</v>
      </c>
      <c r="D30" s="954">
        <v>-1000000</v>
      </c>
    </row>
    <row r="31" spans="1:4" ht="14.25">
      <c r="A31" s="94">
        <v>22</v>
      </c>
      <c r="B31" s="55" t="s">
        <v>372</v>
      </c>
      <c r="C31" s="55"/>
      <c r="D31" s="180">
        <f>SUM(D29:D30)</f>
        <v>0</v>
      </c>
    </row>
    <row r="32" spans="1:4" ht="7.5" customHeight="1">
      <c r="A32" s="94"/>
      <c r="B32" s="55"/>
      <c r="C32" s="55"/>
      <c r="D32" s="180"/>
    </row>
    <row r="33" spans="1:4" ht="14.25">
      <c r="A33" s="94">
        <v>23</v>
      </c>
      <c r="B33" s="1251" t="s">
        <v>1057</v>
      </c>
      <c r="C33" s="1251"/>
      <c r="D33" s="1251"/>
    </row>
    <row r="34" spans="1:4" ht="15">
      <c r="A34" s="94">
        <v>24</v>
      </c>
      <c r="B34" s="91" t="s">
        <v>383</v>
      </c>
      <c r="C34" s="92" t="s">
        <v>1098</v>
      </c>
      <c r="D34" s="179">
        <v>102149616</v>
      </c>
    </row>
    <row r="35" spans="1:4" ht="15">
      <c r="A35" s="94">
        <v>25</v>
      </c>
      <c r="B35" s="91" t="s">
        <v>383</v>
      </c>
      <c r="C35" s="92" t="s">
        <v>1099</v>
      </c>
      <c r="D35" s="954">
        <v>-102149616</v>
      </c>
    </row>
    <row r="36" spans="1:4" ht="14.25">
      <c r="A36" s="94">
        <v>26</v>
      </c>
      <c r="B36" s="55" t="s">
        <v>372</v>
      </c>
      <c r="C36" s="55"/>
      <c r="D36" s="180">
        <f>SUM(D34:D35)</f>
        <v>0</v>
      </c>
    </row>
    <row r="37" spans="1:4" ht="8.25" customHeight="1">
      <c r="A37" s="94"/>
      <c r="B37" s="55"/>
      <c r="C37" s="55"/>
      <c r="D37" s="180"/>
    </row>
    <row r="38" spans="1:4" ht="14.25">
      <c r="A38" s="94">
        <v>27</v>
      </c>
      <c r="B38" s="1251" t="s">
        <v>1058</v>
      </c>
      <c r="C38" s="1251"/>
      <c r="D38" s="1251"/>
    </row>
    <row r="39" spans="1:4" ht="15">
      <c r="A39" s="94">
        <v>28</v>
      </c>
      <c r="B39" s="91" t="s">
        <v>383</v>
      </c>
      <c r="C39" s="92" t="s">
        <v>1100</v>
      </c>
      <c r="D39" s="179">
        <v>2940272</v>
      </c>
    </row>
    <row r="40" spans="1:4" ht="15">
      <c r="A40" s="94">
        <v>29</v>
      </c>
      <c r="B40" s="91" t="s">
        <v>383</v>
      </c>
      <c r="C40" s="92" t="s">
        <v>1099</v>
      </c>
      <c r="D40" s="954">
        <v>-2940272</v>
      </c>
    </row>
    <row r="41" spans="1:4" ht="14.25">
      <c r="A41" s="94">
        <v>30</v>
      </c>
      <c r="B41" s="55" t="s">
        <v>372</v>
      </c>
      <c r="C41" s="55"/>
      <c r="D41" s="180">
        <f>SUM(D39:D40)</f>
        <v>0</v>
      </c>
    </row>
    <row r="42" spans="1:4" ht="6" customHeight="1">
      <c r="A42" s="94"/>
      <c r="B42" s="55"/>
      <c r="C42" s="55"/>
      <c r="D42" s="55"/>
    </row>
    <row r="43" spans="1:4" ht="14.25">
      <c r="A43" s="94">
        <v>31</v>
      </c>
      <c r="B43" s="55" t="s">
        <v>397</v>
      </c>
      <c r="C43" s="55"/>
      <c r="D43" s="180">
        <f>SUM(D13,D26,D36,D41,D31)</f>
        <v>4112677</v>
      </c>
    </row>
    <row r="44" spans="1:4" ht="14.25">
      <c r="A44" s="94"/>
      <c r="B44" s="55"/>
      <c r="C44" s="55"/>
      <c r="D44" s="55"/>
    </row>
    <row r="45" spans="1:4" ht="14.25">
      <c r="A45" s="94">
        <v>32</v>
      </c>
      <c r="B45" s="1251" t="s">
        <v>379</v>
      </c>
      <c r="C45" s="1251"/>
      <c r="D45" s="1251"/>
    </row>
    <row r="46" spans="1:4" ht="13.5" customHeight="1">
      <c r="A46" s="94">
        <v>33</v>
      </c>
      <c r="B46" s="942"/>
      <c r="C46" s="92"/>
      <c r="D46" s="179"/>
    </row>
    <row r="47" spans="1:4" ht="14.25">
      <c r="A47" s="94">
        <v>34</v>
      </c>
      <c r="B47" s="55" t="s">
        <v>398</v>
      </c>
      <c r="C47" s="55"/>
      <c r="D47" s="180">
        <f>SUM(D46:D46)</f>
        <v>0</v>
      </c>
    </row>
    <row r="48" spans="1:4" ht="14.25">
      <c r="A48" s="97"/>
      <c r="B48" s="96"/>
      <c r="C48" s="96"/>
      <c r="D48" s="98"/>
    </row>
    <row r="49" spans="1:4" ht="14.25">
      <c r="A49" s="94">
        <v>35</v>
      </c>
      <c r="B49" s="55" t="s">
        <v>396</v>
      </c>
      <c r="C49" s="55"/>
      <c r="D49" s="180">
        <f>SUM(D47,D43)</f>
        <v>4112677</v>
      </c>
    </row>
    <row r="53" spans="1:3" ht="15">
      <c r="A53" s="1331">
        <v>15</v>
      </c>
      <c r="B53" s="1332" t="s">
        <v>1111</v>
      </c>
      <c r="C53" s="38"/>
    </row>
  </sheetData>
  <sheetProtection/>
  <mergeCells count="10">
    <mergeCell ref="B45:D45"/>
    <mergeCell ref="C1:D1"/>
    <mergeCell ref="B3:D3"/>
    <mergeCell ref="B4:D4"/>
    <mergeCell ref="A7:A8"/>
    <mergeCell ref="B7:C7"/>
    <mergeCell ref="B8:C8"/>
    <mergeCell ref="B15:D15"/>
    <mergeCell ref="B33:D33"/>
    <mergeCell ref="B38:D38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8"/>
  <sheetViews>
    <sheetView zoomScalePageLayoutView="0" workbookViewId="0" topLeftCell="E1">
      <selection activeCell="I1" sqref="I1"/>
    </sheetView>
  </sheetViews>
  <sheetFormatPr defaultColWidth="9.00390625" defaultRowHeight="12.75"/>
  <cols>
    <col min="1" max="1" width="5.125" style="36" bestFit="1" customWidth="1"/>
    <col min="2" max="2" width="8.875" style="32" customWidth="1"/>
    <col min="3" max="3" width="69.25390625" style="32" customWidth="1"/>
    <col min="4" max="4" width="9.75390625" style="32" bestFit="1" customWidth="1"/>
    <col min="5" max="5" width="10.375" style="32" bestFit="1" customWidth="1"/>
    <col min="6" max="6" width="16.125" style="32" bestFit="1" customWidth="1"/>
    <col min="7" max="7" width="9.75390625" style="32" bestFit="1" customWidth="1"/>
    <col min="8" max="8" width="11.25390625" style="32" customWidth="1"/>
    <col min="9" max="9" width="9.625" style="32" customWidth="1"/>
    <col min="10" max="10" width="11.25390625" style="32" customWidth="1"/>
    <col min="11" max="12" width="16.125" style="32" bestFit="1" customWidth="1"/>
    <col min="13" max="13" width="9.125" style="32" customWidth="1"/>
    <col min="14" max="14" width="12.375" style="32" bestFit="1" customWidth="1"/>
    <col min="15" max="16384" width="9.125" style="32" customWidth="1"/>
  </cols>
  <sheetData>
    <row r="1" spans="9:13" ht="15" customHeight="1">
      <c r="I1" s="598" t="s">
        <v>1121</v>
      </c>
      <c r="J1" s="178"/>
      <c r="K1" s="178"/>
      <c r="L1" s="597"/>
      <c r="M1" s="178"/>
    </row>
    <row r="2" spans="1:256" ht="15.75">
      <c r="A2" s="1258" t="s">
        <v>860</v>
      </c>
      <c r="B2" s="1258"/>
      <c r="C2" s="1258"/>
      <c r="D2" s="1258"/>
      <c r="E2" s="1258"/>
      <c r="F2" s="1258"/>
      <c r="G2" s="1258"/>
      <c r="H2" s="1258"/>
      <c r="I2" s="1258"/>
      <c r="J2" s="1258"/>
      <c r="K2" s="1258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>
      <c r="A3" s="1259" t="s">
        <v>861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ht="13.5" thickBot="1"/>
    <row r="5" spans="1:256" ht="28.5" customHeight="1">
      <c r="A5" s="1260" t="s">
        <v>464</v>
      </c>
      <c r="B5" s="1260"/>
      <c r="C5" s="1261"/>
      <c r="D5" s="1262" t="s">
        <v>457</v>
      </c>
      <c r="E5" s="1260"/>
      <c r="F5" s="1263"/>
      <c r="G5" s="1264" t="s">
        <v>600</v>
      </c>
      <c r="H5" s="1265"/>
      <c r="I5" s="1265"/>
      <c r="J5" s="1266"/>
      <c r="K5" s="1267"/>
      <c r="L5" s="1272" t="s">
        <v>374</v>
      </c>
      <c r="M5" s="29"/>
      <c r="N5" s="29" t="s">
        <v>496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25.5">
      <c r="A6" s="1274" t="s">
        <v>465</v>
      </c>
      <c r="B6" s="1275"/>
      <c r="C6" s="24" t="s">
        <v>466</v>
      </c>
      <c r="D6" s="25" t="s">
        <v>467</v>
      </c>
      <c r="E6" s="27" t="s">
        <v>468</v>
      </c>
      <c r="F6" s="28" t="s">
        <v>495</v>
      </c>
      <c r="G6" s="25" t="s">
        <v>469</v>
      </c>
      <c r="H6" s="26" t="s">
        <v>480</v>
      </c>
      <c r="I6" s="26" t="s">
        <v>470</v>
      </c>
      <c r="J6" s="26" t="s">
        <v>480</v>
      </c>
      <c r="K6" s="28" t="s">
        <v>649</v>
      </c>
      <c r="L6" s="1273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2.75">
      <c r="A7" s="1276" t="s">
        <v>442</v>
      </c>
      <c r="B7" s="1276"/>
      <c r="C7" s="114" t="s">
        <v>443</v>
      </c>
      <c r="D7" s="115" t="s">
        <v>444</v>
      </c>
      <c r="E7" s="116" t="s">
        <v>445</v>
      </c>
      <c r="F7" s="117" t="s">
        <v>446</v>
      </c>
      <c r="G7" s="115" t="s">
        <v>447</v>
      </c>
      <c r="H7" s="118" t="s">
        <v>449</v>
      </c>
      <c r="I7" s="118" t="s">
        <v>450</v>
      </c>
      <c r="J7" s="118" t="s">
        <v>400</v>
      </c>
      <c r="K7" s="117" t="s">
        <v>401</v>
      </c>
      <c r="L7" s="159" t="s">
        <v>402</v>
      </c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</row>
    <row r="8" spans="1:256" ht="12.75">
      <c r="A8" s="137" t="s">
        <v>483</v>
      </c>
      <c r="B8" s="138"/>
      <c r="C8" s="139" t="s">
        <v>493</v>
      </c>
      <c r="D8" s="140"/>
      <c r="E8" s="141"/>
      <c r="F8" s="142">
        <f>F9+F10+F15+F16+F17+F18</f>
        <v>188080682</v>
      </c>
      <c r="G8" s="140"/>
      <c r="H8" s="143"/>
      <c r="I8" s="143"/>
      <c r="J8" s="141"/>
      <c r="K8" s="142"/>
      <c r="L8" s="160">
        <f aca="true" t="shared" si="0" ref="L8:L14">F8+K8</f>
        <v>188080682</v>
      </c>
      <c r="M8" s="134"/>
      <c r="N8" s="162">
        <f>SUM(N9:N18)</f>
        <v>188080682</v>
      </c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</row>
    <row r="9" spans="1:256" ht="12.75">
      <c r="A9" s="128"/>
      <c r="B9" s="129" t="s">
        <v>538</v>
      </c>
      <c r="C9" s="130" t="s">
        <v>481</v>
      </c>
      <c r="D9" s="600">
        <v>26.16</v>
      </c>
      <c r="E9" s="601">
        <v>4580000</v>
      </c>
      <c r="F9" s="602">
        <f>D9*E9</f>
        <v>119812800</v>
      </c>
      <c r="G9" s="603"/>
      <c r="H9" s="604"/>
      <c r="I9" s="604"/>
      <c r="J9" s="601"/>
      <c r="K9" s="602"/>
      <c r="L9" s="605">
        <f t="shared" si="0"/>
        <v>119812800</v>
      </c>
      <c r="M9" s="131"/>
      <c r="N9" s="177">
        <f>SUM(L9)</f>
        <v>119812800</v>
      </c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</row>
    <row r="10" spans="1:256" ht="12.75">
      <c r="A10" s="128"/>
      <c r="B10" s="129" t="s">
        <v>539</v>
      </c>
      <c r="C10" s="130" t="s">
        <v>862</v>
      </c>
      <c r="D10" s="603"/>
      <c r="E10" s="601"/>
      <c r="F10" s="602">
        <f>SUM(F11:F14)</f>
        <v>63536320</v>
      </c>
      <c r="G10" s="603"/>
      <c r="H10" s="604"/>
      <c r="I10" s="604"/>
      <c r="J10" s="601"/>
      <c r="K10" s="602"/>
      <c r="L10" s="605">
        <f t="shared" si="0"/>
        <v>63536320</v>
      </c>
      <c r="M10" s="131"/>
      <c r="N10" s="177">
        <f>SUM(L11:L14)</f>
        <v>63536320</v>
      </c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</row>
    <row r="11" spans="1:14" ht="12.75">
      <c r="A11" s="30"/>
      <c r="B11" s="126" t="s">
        <v>540</v>
      </c>
      <c r="C11" s="127" t="s">
        <v>863</v>
      </c>
      <c r="D11" s="606"/>
      <c r="E11" s="607"/>
      <c r="F11" s="608">
        <v>18207950</v>
      </c>
      <c r="G11" s="606"/>
      <c r="H11" s="609"/>
      <c r="I11" s="609"/>
      <c r="J11" s="607"/>
      <c r="K11" s="608"/>
      <c r="L11" s="610">
        <f t="shared" si="0"/>
        <v>18207950</v>
      </c>
      <c r="M11" s="31"/>
      <c r="N11" s="177"/>
    </row>
    <row r="12" spans="1:14" ht="12.75">
      <c r="A12" s="30"/>
      <c r="B12" s="126" t="s">
        <v>541</v>
      </c>
      <c r="C12" s="127" t="s">
        <v>864</v>
      </c>
      <c r="D12" s="606"/>
      <c r="E12" s="607"/>
      <c r="F12" s="608">
        <v>30176000</v>
      </c>
      <c r="G12" s="606"/>
      <c r="H12" s="609"/>
      <c r="I12" s="609"/>
      <c r="J12" s="607"/>
      <c r="K12" s="608"/>
      <c r="L12" s="610">
        <f t="shared" si="0"/>
        <v>30176000</v>
      </c>
      <c r="M12" s="31"/>
      <c r="N12" s="177"/>
    </row>
    <row r="13" spans="1:14" ht="12.75">
      <c r="A13" s="30"/>
      <c r="B13" s="126" t="s">
        <v>542</v>
      </c>
      <c r="C13" s="127" t="s">
        <v>865</v>
      </c>
      <c r="D13" s="606"/>
      <c r="E13" s="607"/>
      <c r="F13" s="608">
        <v>100000</v>
      </c>
      <c r="G13" s="606"/>
      <c r="H13" s="609"/>
      <c r="I13" s="609"/>
      <c r="J13" s="607"/>
      <c r="K13" s="608"/>
      <c r="L13" s="610">
        <f t="shared" si="0"/>
        <v>100000</v>
      </c>
      <c r="M13" s="31"/>
      <c r="N13" s="177"/>
    </row>
    <row r="14" spans="1:14" ht="12.75">
      <c r="A14" s="30"/>
      <c r="B14" s="126" t="s">
        <v>543</v>
      </c>
      <c r="C14" s="127" t="s">
        <v>866</v>
      </c>
      <c r="D14" s="606"/>
      <c r="E14" s="607"/>
      <c r="F14" s="608">
        <v>15052370</v>
      </c>
      <c r="G14" s="606"/>
      <c r="H14" s="609"/>
      <c r="I14" s="609"/>
      <c r="J14" s="607"/>
      <c r="K14" s="608"/>
      <c r="L14" s="610">
        <f t="shared" si="0"/>
        <v>15052370</v>
      </c>
      <c r="M14" s="31"/>
      <c r="N14" s="177"/>
    </row>
    <row r="15" spans="1:256" ht="12.75">
      <c r="A15" s="128"/>
      <c r="B15" s="129" t="s">
        <v>544</v>
      </c>
      <c r="C15" s="133" t="s">
        <v>881</v>
      </c>
      <c r="D15" s="603">
        <v>8684</v>
      </c>
      <c r="E15" s="601">
        <v>2700</v>
      </c>
      <c r="F15" s="602">
        <v>1670980</v>
      </c>
      <c r="G15" s="603"/>
      <c r="H15" s="604"/>
      <c r="I15" s="604"/>
      <c r="J15" s="601"/>
      <c r="K15" s="602"/>
      <c r="L15" s="605">
        <f>F15+K15</f>
        <v>1670980</v>
      </c>
      <c r="M15" s="131"/>
      <c r="N15" s="177">
        <f>SUM(L15)</f>
        <v>1670980</v>
      </c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</row>
    <row r="16" spans="1:256" ht="12.75">
      <c r="A16" s="128"/>
      <c r="B16" s="129" t="s">
        <v>545</v>
      </c>
      <c r="C16" s="133" t="s">
        <v>91</v>
      </c>
      <c r="D16" s="603">
        <v>276</v>
      </c>
      <c r="E16" s="601">
        <v>2550</v>
      </c>
      <c r="F16" s="602">
        <f>D16*E16</f>
        <v>703800</v>
      </c>
      <c r="G16" s="603"/>
      <c r="H16" s="604"/>
      <c r="I16" s="604"/>
      <c r="J16" s="601"/>
      <c r="K16" s="602"/>
      <c r="L16" s="605">
        <f>F16+K16</f>
        <v>703800</v>
      </c>
      <c r="M16" s="131"/>
      <c r="N16" s="177">
        <f>SUM(L16)</f>
        <v>703800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</row>
    <row r="17" spans="1:256" ht="25.5">
      <c r="A17" s="128"/>
      <c r="B17" s="129" t="s">
        <v>773</v>
      </c>
      <c r="C17" s="130" t="s">
        <v>867</v>
      </c>
      <c r="D17" s="603"/>
      <c r="E17" s="601"/>
      <c r="F17" s="602">
        <f>593921+81261</f>
        <v>675182</v>
      </c>
      <c r="G17" s="603"/>
      <c r="H17" s="604"/>
      <c r="I17" s="604"/>
      <c r="J17" s="601"/>
      <c r="K17" s="602"/>
      <c r="L17" s="605">
        <f>F17+K17</f>
        <v>675182</v>
      </c>
      <c r="M17" s="131"/>
      <c r="N17" s="177">
        <f>SUM(L17)</f>
        <v>675182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32"/>
    </row>
    <row r="18" spans="1:256" ht="12.75">
      <c r="A18" s="128"/>
      <c r="B18" s="129" t="s">
        <v>546</v>
      </c>
      <c r="C18" s="133" t="s">
        <v>774</v>
      </c>
      <c r="D18" s="603"/>
      <c r="E18" s="601"/>
      <c r="F18" s="602">
        <v>1681600</v>
      </c>
      <c r="G18" s="603"/>
      <c r="H18" s="604"/>
      <c r="I18" s="604"/>
      <c r="J18" s="601"/>
      <c r="K18" s="602"/>
      <c r="L18" s="605">
        <f>F18+K18</f>
        <v>1681600</v>
      </c>
      <c r="M18" s="131"/>
      <c r="N18" s="177">
        <f>SUM(L18)</f>
        <v>1681600</v>
      </c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</row>
    <row r="19" spans="1:14" ht="25.5">
      <c r="A19" s="137" t="s">
        <v>482</v>
      </c>
      <c r="B19" s="144"/>
      <c r="C19" s="139" t="s">
        <v>115</v>
      </c>
      <c r="D19" s="611"/>
      <c r="E19" s="612"/>
      <c r="F19" s="142"/>
      <c r="G19" s="611"/>
      <c r="H19" s="613"/>
      <c r="I19" s="613"/>
      <c r="J19" s="612"/>
      <c r="K19" s="142">
        <f>K20+K23+K24+K25</f>
        <v>113053183.33333333</v>
      </c>
      <c r="L19" s="160">
        <f>F19+K19</f>
        <v>113053183.33333333</v>
      </c>
      <c r="M19" s="31"/>
      <c r="N19" s="161">
        <f>SUM(N23:N25,+N20)</f>
        <v>113053183.33333334</v>
      </c>
    </row>
    <row r="20" spans="1:256" ht="25.5">
      <c r="A20" s="136"/>
      <c r="B20" s="129" t="s">
        <v>484</v>
      </c>
      <c r="C20" s="130" t="s">
        <v>116</v>
      </c>
      <c r="D20" s="603"/>
      <c r="E20" s="601"/>
      <c r="F20" s="602"/>
      <c r="G20" s="603"/>
      <c r="H20" s="604"/>
      <c r="I20" s="604"/>
      <c r="J20" s="601"/>
      <c r="K20" s="602">
        <f>SUM(K21:K22)</f>
        <v>90264650</v>
      </c>
      <c r="L20" s="605">
        <f>SUM(K20,F20)</f>
        <v>90264650</v>
      </c>
      <c r="M20" s="131"/>
      <c r="N20" s="177">
        <f>SUM(L21:L22)</f>
        <v>90264650</v>
      </c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</row>
    <row r="21" spans="1:14" ht="12.75">
      <c r="A21" s="30"/>
      <c r="B21" s="126" t="s">
        <v>775</v>
      </c>
      <c r="C21" s="127" t="s">
        <v>485</v>
      </c>
      <c r="D21" s="606"/>
      <c r="E21" s="607"/>
      <c r="F21" s="608"/>
      <c r="G21" s="614">
        <v>15.4</v>
      </c>
      <c r="H21" s="609">
        <v>4371500</v>
      </c>
      <c r="I21" s="615">
        <v>14.5</v>
      </c>
      <c r="J21" s="609">
        <v>4371500</v>
      </c>
      <c r="K21" s="608">
        <f>(G21*H21/12*8)+(I21*J21/12*4)</f>
        <v>66009650</v>
      </c>
      <c r="L21" s="610">
        <f aca="true" t="shared" si="1" ref="L21:L47">F21+K21</f>
        <v>66009650</v>
      </c>
      <c r="M21" s="31"/>
      <c r="N21" s="177"/>
    </row>
    <row r="22" spans="1:14" ht="25.5">
      <c r="A22" s="30"/>
      <c r="B22" s="126" t="s">
        <v>776</v>
      </c>
      <c r="C22" s="165" t="s">
        <v>602</v>
      </c>
      <c r="D22" s="606"/>
      <c r="E22" s="607"/>
      <c r="F22" s="608"/>
      <c r="G22" s="606">
        <v>11</v>
      </c>
      <c r="H22" s="609">
        <v>2205000</v>
      </c>
      <c r="I22" s="609">
        <v>11</v>
      </c>
      <c r="J22" s="607">
        <v>2205000</v>
      </c>
      <c r="K22" s="608">
        <f>(G22*H22/12*8)+(I22*J22/12*4)</f>
        <v>24255000</v>
      </c>
      <c r="L22" s="610">
        <f t="shared" si="1"/>
        <v>24255000</v>
      </c>
      <c r="M22" s="31"/>
      <c r="N22" s="177"/>
    </row>
    <row r="23" spans="1:256" ht="12.75">
      <c r="A23" s="128"/>
      <c r="B23" s="129" t="s">
        <v>486</v>
      </c>
      <c r="C23" s="133" t="s">
        <v>487</v>
      </c>
      <c r="D23" s="616"/>
      <c r="E23" s="617"/>
      <c r="F23" s="602"/>
      <c r="G23" s="618">
        <v>175</v>
      </c>
      <c r="H23" s="604">
        <v>97400</v>
      </c>
      <c r="I23" s="619">
        <v>165</v>
      </c>
      <c r="J23" s="601">
        <v>97400</v>
      </c>
      <c r="K23" s="602">
        <f>(G23*H23/12*8)+(I23*J23/12*4)</f>
        <v>16720333.333333334</v>
      </c>
      <c r="L23" s="605">
        <f t="shared" si="1"/>
        <v>16720333.333333334</v>
      </c>
      <c r="M23" s="131"/>
      <c r="N23" s="177">
        <f>SUM(L23)</f>
        <v>16720333.333333334</v>
      </c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  <c r="IV23" s="132"/>
    </row>
    <row r="24" spans="1:256" ht="12.75">
      <c r="A24" s="128"/>
      <c r="B24" s="129" t="s">
        <v>650</v>
      </c>
      <c r="C24" s="133" t="s">
        <v>651</v>
      </c>
      <c r="D24" s="620"/>
      <c r="E24" s="621"/>
      <c r="F24" s="602"/>
      <c r="G24" s="618"/>
      <c r="H24" s="604"/>
      <c r="I24" s="619"/>
      <c r="J24" s="601"/>
      <c r="K24" s="602">
        <v>0</v>
      </c>
      <c r="L24" s="605">
        <f>F24+K24</f>
        <v>0</v>
      </c>
      <c r="M24" s="131"/>
      <c r="N24" s="177">
        <f>SUM(L24)</f>
        <v>0</v>
      </c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  <c r="IV24" s="132"/>
    </row>
    <row r="25" spans="1:256" ht="25.5">
      <c r="A25" s="128"/>
      <c r="B25" s="129" t="s">
        <v>547</v>
      </c>
      <c r="C25" s="130" t="s">
        <v>548</v>
      </c>
      <c r="D25" s="616"/>
      <c r="E25" s="617"/>
      <c r="F25" s="602"/>
      <c r="G25" s="618"/>
      <c r="H25" s="604"/>
      <c r="I25" s="619"/>
      <c r="J25" s="601"/>
      <c r="K25" s="602">
        <f>SUM(K26:K29)</f>
        <v>6068200</v>
      </c>
      <c r="L25" s="605">
        <f>F25+K25</f>
        <v>6068200</v>
      </c>
      <c r="M25" s="131"/>
      <c r="N25" s="177">
        <f>SUM(L26:L29)</f>
        <v>6068200</v>
      </c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  <c r="IR25" s="132"/>
      <c r="IS25" s="132"/>
      <c r="IT25" s="132"/>
      <c r="IU25" s="132"/>
      <c r="IV25" s="132"/>
    </row>
    <row r="26" spans="1:14" ht="25.5">
      <c r="A26" s="30"/>
      <c r="B26" s="126" t="s">
        <v>652</v>
      </c>
      <c r="C26" s="165" t="s">
        <v>868</v>
      </c>
      <c r="D26" s="606"/>
      <c r="E26" s="607"/>
      <c r="F26" s="608"/>
      <c r="G26" s="606">
        <v>8</v>
      </c>
      <c r="H26" s="609">
        <v>396700</v>
      </c>
      <c r="I26" s="609"/>
      <c r="J26" s="607"/>
      <c r="K26" s="608">
        <f>G26*H26</f>
        <v>3173600</v>
      </c>
      <c r="L26" s="610">
        <f>SUM(K26)</f>
        <v>3173600</v>
      </c>
      <c r="M26" s="31"/>
      <c r="N26" s="177"/>
    </row>
    <row r="27" spans="1:14" ht="38.25">
      <c r="A27" s="30"/>
      <c r="B27" s="126"/>
      <c r="C27" s="165" t="s">
        <v>869</v>
      </c>
      <c r="D27" s="606"/>
      <c r="E27" s="607"/>
      <c r="F27" s="608"/>
      <c r="G27" s="606">
        <v>0</v>
      </c>
      <c r="H27" s="609">
        <v>363642</v>
      </c>
      <c r="I27" s="609"/>
      <c r="J27" s="607"/>
      <c r="K27" s="608">
        <f>G27*H27</f>
        <v>0</v>
      </c>
      <c r="L27" s="610">
        <f>SUM(K27)</f>
        <v>0</v>
      </c>
      <c r="M27" s="31"/>
      <c r="N27" s="177"/>
    </row>
    <row r="28" spans="1:14" ht="25.5">
      <c r="A28" s="30"/>
      <c r="B28" s="126" t="s">
        <v>653</v>
      </c>
      <c r="C28" s="165" t="s">
        <v>870</v>
      </c>
      <c r="D28" s="606"/>
      <c r="E28" s="607"/>
      <c r="F28" s="608"/>
      <c r="G28" s="606">
        <v>2</v>
      </c>
      <c r="H28" s="609">
        <v>1447300</v>
      </c>
      <c r="I28" s="609"/>
      <c r="J28" s="607"/>
      <c r="K28" s="608">
        <f>G28*H28</f>
        <v>2894600</v>
      </c>
      <c r="L28" s="610">
        <f>SUM(K28)</f>
        <v>2894600</v>
      </c>
      <c r="M28" s="31"/>
      <c r="N28" s="177"/>
    </row>
    <row r="29" spans="1:14" ht="38.25">
      <c r="A29" s="30"/>
      <c r="B29" s="126"/>
      <c r="C29" s="165" t="s">
        <v>871</v>
      </c>
      <c r="D29" s="606"/>
      <c r="E29" s="607"/>
      <c r="F29" s="608"/>
      <c r="G29" s="606">
        <v>0</v>
      </c>
      <c r="H29" s="609">
        <v>1326692</v>
      </c>
      <c r="I29" s="609"/>
      <c r="J29" s="607"/>
      <c r="K29" s="608">
        <f>G29*H29</f>
        <v>0</v>
      </c>
      <c r="L29" s="610">
        <f>SUM(K29)</f>
        <v>0</v>
      </c>
      <c r="M29" s="31"/>
      <c r="N29" s="177"/>
    </row>
    <row r="30" spans="1:256" ht="25.5">
      <c r="A30" s="137" t="s">
        <v>488</v>
      </c>
      <c r="B30" s="145"/>
      <c r="C30" s="139" t="s">
        <v>117</v>
      </c>
      <c r="D30" s="140"/>
      <c r="E30" s="141"/>
      <c r="F30" s="142">
        <f>SUM(F31:F33,F37,F41)</f>
        <v>122626901</v>
      </c>
      <c r="G30" s="622"/>
      <c r="H30" s="143"/>
      <c r="I30" s="623"/>
      <c r="J30" s="141"/>
      <c r="K30" s="142">
        <f>SUM(K31:K33,K37,K40,K41)</f>
        <v>51576235</v>
      </c>
      <c r="L30" s="142">
        <f>SUM(L31:L33,L37,L41)</f>
        <v>174203136</v>
      </c>
      <c r="M30" s="131"/>
      <c r="N30" s="161">
        <f>SUM(N31:N44)</f>
        <v>174203136</v>
      </c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  <c r="IR30" s="132"/>
      <c r="IS30" s="132"/>
      <c r="IT30" s="132"/>
      <c r="IU30" s="132"/>
      <c r="IV30" s="132"/>
    </row>
    <row r="31" spans="1:256" ht="12.75">
      <c r="A31" s="128"/>
      <c r="B31" s="129" t="s">
        <v>489</v>
      </c>
      <c r="C31" s="133" t="s">
        <v>872</v>
      </c>
      <c r="D31" s="616"/>
      <c r="E31" s="617"/>
      <c r="F31" s="602"/>
      <c r="G31" s="618"/>
      <c r="H31" s="604"/>
      <c r="I31" s="619"/>
      <c r="J31" s="601"/>
      <c r="K31" s="602">
        <v>10844656</v>
      </c>
      <c r="L31" s="605">
        <f t="shared" si="1"/>
        <v>10844656</v>
      </c>
      <c r="M31" s="131"/>
      <c r="N31" s="177">
        <f>SUM(L31)</f>
        <v>10844656</v>
      </c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  <c r="IR31" s="132"/>
      <c r="IS31" s="132"/>
      <c r="IT31" s="132"/>
      <c r="IU31" s="132"/>
      <c r="IV31" s="132"/>
    </row>
    <row r="32" spans="1:256" ht="12.75">
      <c r="A32" s="128"/>
      <c r="B32" s="129" t="s">
        <v>490</v>
      </c>
      <c r="C32" s="133" t="s">
        <v>1028</v>
      </c>
      <c r="D32" s="616"/>
      <c r="E32" s="617"/>
      <c r="F32" s="602">
        <v>49762591</v>
      </c>
      <c r="G32" s="618"/>
      <c r="H32" s="604"/>
      <c r="I32" s="619"/>
      <c r="J32" s="601"/>
      <c r="K32" s="602"/>
      <c r="L32" s="605">
        <f t="shared" si="1"/>
        <v>49762591</v>
      </c>
      <c r="M32" s="131"/>
      <c r="N32" s="177">
        <f>SUM(L32)</f>
        <v>49762591</v>
      </c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  <c r="IR32" s="132"/>
      <c r="IS32" s="132"/>
      <c r="IT32" s="132"/>
      <c r="IU32" s="132"/>
      <c r="IV32" s="132"/>
    </row>
    <row r="33" spans="1:256" ht="12.75">
      <c r="A33" s="128"/>
      <c r="B33" s="129" t="s">
        <v>491</v>
      </c>
      <c r="C33" s="133" t="s">
        <v>492</v>
      </c>
      <c r="D33" s="616"/>
      <c r="E33" s="617"/>
      <c r="F33" s="602">
        <f>SUM(F34:F35)</f>
        <v>0</v>
      </c>
      <c r="G33" s="618"/>
      <c r="H33" s="604"/>
      <c r="I33" s="619"/>
      <c r="J33" s="601"/>
      <c r="K33" s="602">
        <f>SUM(K34:K36)</f>
        <v>29187579</v>
      </c>
      <c r="L33" s="605">
        <f t="shared" si="1"/>
        <v>29187579</v>
      </c>
      <c r="M33" s="131"/>
      <c r="N33" s="177">
        <f>SUM(L34:L35)</f>
        <v>21890000</v>
      </c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</row>
    <row r="34" spans="1:14" ht="12.75">
      <c r="A34" s="30"/>
      <c r="B34" s="126" t="s">
        <v>603</v>
      </c>
      <c r="C34" s="127" t="s">
        <v>604</v>
      </c>
      <c r="D34" s="606"/>
      <c r="E34" s="607"/>
      <c r="F34" s="608"/>
      <c r="G34" s="624"/>
      <c r="H34" s="609"/>
      <c r="I34" s="625"/>
      <c r="J34" s="607"/>
      <c r="K34" s="608">
        <v>3740000</v>
      </c>
      <c r="L34" s="610">
        <f t="shared" si="1"/>
        <v>3740000</v>
      </c>
      <c r="M34" s="31"/>
      <c r="N34" s="31"/>
    </row>
    <row r="35" spans="1:14" ht="12.75">
      <c r="A35" s="30"/>
      <c r="B35" s="126" t="s">
        <v>606</v>
      </c>
      <c r="C35" s="127" t="s">
        <v>605</v>
      </c>
      <c r="D35" s="606"/>
      <c r="E35" s="607"/>
      <c r="F35" s="608"/>
      <c r="G35" s="624"/>
      <c r="H35" s="609"/>
      <c r="I35" s="625"/>
      <c r="J35" s="607"/>
      <c r="K35" s="608">
        <v>18150000</v>
      </c>
      <c r="L35" s="610">
        <f t="shared" si="1"/>
        <v>18150000</v>
      </c>
      <c r="M35" s="31"/>
      <c r="N35" s="31"/>
    </row>
    <row r="36" spans="1:14" ht="12.75">
      <c r="A36" s="30"/>
      <c r="B36" s="126" t="s">
        <v>882</v>
      </c>
      <c r="C36" s="127" t="s">
        <v>883</v>
      </c>
      <c r="D36" s="606"/>
      <c r="E36" s="607"/>
      <c r="F36" s="608"/>
      <c r="G36" s="624"/>
      <c r="H36" s="609"/>
      <c r="I36" s="625"/>
      <c r="J36" s="607"/>
      <c r="K36" s="608">
        <v>7297579</v>
      </c>
      <c r="L36" s="610">
        <f t="shared" si="1"/>
        <v>7297579</v>
      </c>
      <c r="M36" s="31"/>
      <c r="N36" s="31">
        <f>SUM(L36)</f>
        <v>7297579</v>
      </c>
    </row>
    <row r="37" spans="1:256" ht="12.75">
      <c r="A37" s="128"/>
      <c r="B37" s="129" t="s">
        <v>118</v>
      </c>
      <c r="C37" s="133" t="s">
        <v>781</v>
      </c>
      <c r="D37" s="616"/>
      <c r="E37" s="617"/>
      <c r="F37" s="602">
        <f>SUM(F38:F40)</f>
        <v>72864310</v>
      </c>
      <c r="G37" s="618"/>
      <c r="H37" s="604"/>
      <c r="I37" s="619"/>
      <c r="J37" s="601"/>
      <c r="K37" s="602">
        <f>SUM(K38:K40)</f>
        <v>0</v>
      </c>
      <c r="L37" s="605">
        <f t="shared" si="1"/>
        <v>72864310</v>
      </c>
      <c r="M37" s="131"/>
      <c r="N37" s="177">
        <f>SUM(L38:L40)</f>
        <v>72864310</v>
      </c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  <c r="IN37" s="132"/>
      <c r="IO37" s="132"/>
      <c r="IP37" s="132"/>
      <c r="IQ37" s="132"/>
      <c r="IR37" s="132"/>
      <c r="IS37" s="132"/>
      <c r="IT37" s="132"/>
      <c r="IU37" s="132"/>
      <c r="IV37" s="132"/>
    </row>
    <row r="38" spans="1:14" ht="12.75">
      <c r="A38" s="30"/>
      <c r="B38" s="126" t="s">
        <v>873</v>
      </c>
      <c r="C38" s="165" t="s">
        <v>782</v>
      </c>
      <c r="D38" s="626">
        <v>10.69</v>
      </c>
      <c r="E38" s="627">
        <v>1900000</v>
      </c>
      <c r="F38" s="608">
        <f>E38*D38</f>
        <v>20311000</v>
      </c>
      <c r="G38" s="614"/>
      <c r="H38" s="609"/>
      <c r="I38" s="615"/>
      <c r="J38" s="607"/>
      <c r="K38" s="608"/>
      <c r="L38" s="628">
        <f t="shared" si="1"/>
        <v>20311000</v>
      </c>
      <c r="M38" s="31"/>
      <c r="N38" s="177"/>
    </row>
    <row r="39" spans="1:14" ht="12.75">
      <c r="A39" s="30"/>
      <c r="B39" s="126" t="s">
        <v>874</v>
      </c>
      <c r="C39" s="165" t="s">
        <v>120</v>
      </c>
      <c r="D39" s="626"/>
      <c r="E39" s="607"/>
      <c r="F39" s="831">
        <v>50774910</v>
      </c>
      <c r="G39" s="606"/>
      <c r="H39" s="609"/>
      <c r="I39" s="609"/>
      <c r="J39" s="607"/>
      <c r="K39" s="608"/>
      <c r="L39" s="628">
        <f>F39+K39</f>
        <v>50774910</v>
      </c>
      <c r="M39" s="31"/>
      <c r="N39" s="31"/>
    </row>
    <row r="40" spans="1:256" ht="12.75">
      <c r="A40" s="128"/>
      <c r="B40" s="126" t="s">
        <v>119</v>
      </c>
      <c r="C40" s="165" t="s">
        <v>783</v>
      </c>
      <c r="D40" s="826">
        <v>3120</v>
      </c>
      <c r="E40" s="827">
        <v>570</v>
      </c>
      <c r="F40" s="828">
        <f>D40*E40</f>
        <v>1778400</v>
      </c>
      <c r="G40" s="618"/>
      <c r="H40" s="604"/>
      <c r="I40" s="619"/>
      <c r="J40" s="601"/>
      <c r="K40" s="602"/>
      <c r="L40" s="628">
        <f t="shared" si="1"/>
        <v>1778400</v>
      </c>
      <c r="M40" s="131"/>
      <c r="N40" s="177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  <c r="IP40" s="132"/>
      <c r="IQ40" s="132"/>
      <c r="IR40" s="132"/>
      <c r="IS40" s="132"/>
      <c r="IT40" s="132"/>
      <c r="IU40" s="132"/>
      <c r="IV40" s="132"/>
    </row>
    <row r="41" spans="1:256" ht="12.75">
      <c r="A41" s="128"/>
      <c r="B41" s="129" t="s">
        <v>875</v>
      </c>
      <c r="C41" s="133" t="s">
        <v>777</v>
      </c>
      <c r="D41" s="616"/>
      <c r="E41" s="617"/>
      <c r="F41" s="602"/>
      <c r="G41" s="618"/>
      <c r="H41" s="604"/>
      <c r="I41" s="619"/>
      <c r="J41" s="601"/>
      <c r="K41" s="602">
        <f>SUM(K42:K44)</f>
        <v>11544000</v>
      </c>
      <c r="L41" s="605">
        <f t="shared" si="1"/>
        <v>11544000</v>
      </c>
      <c r="M41" s="131"/>
      <c r="N41" s="177">
        <f>SUM(L42:L43)</f>
        <v>10405000</v>
      </c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  <c r="IV41" s="132"/>
    </row>
    <row r="42" spans="1:14" ht="12.75">
      <c r="A42" s="30"/>
      <c r="B42" s="126" t="s">
        <v>876</v>
      </c>
      <c r="C42" s="165" t="s">
        <v>778</v>
      </c>
      <c r="D42" s="626"/>
      <c r="E42" s="607"/>
      <c r="F42" s="608"/>
      <c r="G42" s="606">
        <v>1</v>
      </c>
      <c r="H42" s="609">
        <v>4419000</v>
      </c>
      <c r="I42" s="609"/>
      <c r="J42" s="607"/>
      <c r="K42" s="608">
        <f>G42*H42</f>
        <v>4419000</v>
      </c>
      <c r="L42" s="628">
        <f t="shared" si="1"/>
        <v>4419000</v>
      </c>
      <c r="M42" s="31"/>
      <c r="N42" s="31"/>
    </row>
    <row r="43" spans="1:14" ht="25.5">
      <c r="A43" s="30"/>
      <c r="B43" s="126" t="s">
        <v>877</v>
      </c>
      <c r="C43" s="165" t="s">
        <v>779</v>
      </c>
      <c r="D43" s="626"/>
      <c r="E43" s="607"/>
      <c r="F43" s="608"/>
      <c r="G43" s="606">
        <v>2</v>
      </c>
      <c r="H43" s="609">
        <v>2993000</v>
      </c>
      <c r="I43" s="609"/>
      <c r="J43" s="607"/>
      <c r="K43" s="608">
        <f>G43*H43</f>
        <v>5986000</v>
      </c>
      <c r="L43" s="628">
        <f t="shared" si="1"/>
        <v>5986000</v>
      </c>
      <c r="M43" s="31"/>
      <c r="N43" s="31"/>
    </row>
    <row r="44" spans="1:14" ht="12.75">
      <c r="A44" s="30"/>
      <c r="B44" s="126" t="s">
        <v>878</v>
      </c>
      <c r="C44" s="165" t="s">
        <v>780</v>
      </c>
      <c r="D44" s="626"/>
      <c r="E44" s="607"/>
      <c r="F44" s="608"/>
      <c r="G44" s="606"/>
      <c r="H44" s="609"/>
      <c r="I44" s="609"/>
      <c r="J44" s="607"/>
      <c r="K44" s="831">
        <v>1139000</v>
      </c>
      <c r="L44" s="628">
        <f t="shared" si="1"/>
        <v>1139000</v>
      </c>
      <c r="M44" s="31"/>
      <c r="N44" s="31">
        <f>SUM(L44)</f>
        <v>1139000</v>
      </c>
    </row>
    <row r="45" spans="1:256" ht="12.75">
      <c r="A45" s="137" t="s">
        <v>494</v>
      </c>
      <c r="B45" s="145"/>
      <c r="C45" s="139" t="s">
        <v>479</v>
      </c>
      <c r="D45" s="140"/>
      <c r="E45" s="141"/>
      <c r="F45" s="142">
        <f>SUM(F47:F48)</f>
        <v>11369952</v>
      </c>
      <c r="G45" s="622"/>
      <c r="H45" s="143"/>
      <c r="I45" s="623"/>
      <c r="J45" s="141"/>
      <c r="K45" s="142"/>
      <c r="L45" s="160">
        <f t="shared" si="1"/>
        <v>11369952</v>
      </c>
      <c r="M45" s="131"/>
      <c r="N45" s="161">
        <f>SUM(L47+L48)</f>
        <v>11369952</v>
      </c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  <c r="GK45" s="132"/>
      <c r="GL45" s="132"/>
      <c r="GM45" s="132"/>
      <c r="GN45" s="132"/>
      <c r="GO45" s="132"/>
      <c r="GP45" s="132"/>
      <c r="GQ45" s="132"/>
      <c r="GR45" s="132"/>
      <c r="GS45" s="132"/>
      <c r="GT45" s="132"/>
      <c r="GU45" s="132"/>
      <c r="GV45" s="132"/>
      <c r="GW45" s="132"/>
      <c r="GX45" s="132"/>
      <c r="GY45" s="132"/>
      <c r="GZ45" s="132"/>
      <c r="HA45" s="132"/>
      <c r="HB45" s="132"/>
      <c r="HC45" s="132"/>
      <c r="HD45" s="132"/>
      <c r="HE45" s="132"/>
      <c r="HF45" s="132"/>
      <c r="HG45" s="132"/>
      <c r="HH45" s="132"/>
      <c r="HI45" s="132"/>
      <c r="HJ45" s="132"/>
      <c r="HK45" s="132"/>
      <c r="HL45" s="132"/>
      <c r="HM45" s="132"/>
      <c r="HN45" s="132"/>
      <c r="HO45" s="132"/>
      <c r="HP45" s="132"/>
      <c r="HQ45" s="132"/>
      <c r="HR45" s="132"/>
      <c r="HS45" s="132"/>
      <c r="HT45" s="132"/>
      <c r="HU45" s="132"/>
      <c r="HV45" s="132"/>
      <c r="HW45" s="132"/>
      <c r="HX45" s="132"/>
      <c r="HY45" s="132"/>
      <c r="HZ45" s="132"/>
      <c r="IA45" s="132"/>
      <c r="IB45" s="132"/>
      <c r="IC45" s="132"/>
      <c r="ID45" s="132"/>
      <c r="IE45" s="132"/>
      <c r="IF45" s="132"/>
      <c r="IG45" s="132"/>
      <c r="IH45" s="132"/>
      <c r="II45" s="132"/>
      <c r="IJ45" s="132"/>
      <c r="IK45" s="132"/>
      <c r="IL45" s="132"/>
      <c r="IM45" s="132"/>
      <c r="IN45" s="132"/>
      <c r="IO45" s="132"/>
      <c r="IP45" s="132"/>
      <c r="IQ45" s="132"/>
      <c r="IR45" s="132"/>
      <c r="IS45" s="132"/>
      <c r="IT45" s="132"/>
      <c r="IU45" s="132"/>
      <c r="IV45" s="132"/>
    </row>
    <row r="46" spans="1:256" ht="12.75">
      <c r="A46" s="128"/>
      <c r="B46" s="129" t="s">
        <v>550</v>
      </c>
      <c r="C46" s="133" t="s">
        <v>551</v>
      </c>
      <c r="D46" s="616"/>
      <c r="E46" s="617"/>
      <c r="F46" s="602"/>
      <c r="G46" s="618"/>
      <c r="H46" s="604"/>
      <c r="I46" s="619"/>
      <c r="J46" s="601"/>
      <c r="K46" s="602"/>
      <c r="L46" s="605"/>
      <c r="M46" s="131"/>
      <c r="N46" s="177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  <c r="GF46" s="132"/>
      <c r="GG46" s="132"/>
      <c r="GH46" s="132"/>
      <c r="GI46" s="132"/>
      <c r="GJ46" s="132"/>
      <c r="GK46" s="132"/>
      <c r="GL46" s="132"/>
      <c r="GM46" s="132"/>
      <c r="GN46" s="132"/>
      <c r="GO46" s="132"/>
      <c r="GP46" s="132"/>
      <c r="GQ46" s="132"/>
      <c r="GR46" s="132"/>
      <c r="GS46" s="132"/>
      <c r="GT46" s="132"/>
      <c r="GU46" s="132"/>
      <c r="GV46" s="132"/>
      <c r="GW46" s="132"/>
      <c r="GX46" s="132"/>
      <c r="GY46" s="132"/>
      <c r="GZ46" s="132"/>
      <c r="HA46" s="132"/>
      <c r="HB46" s="132"/>
      <c r="HC46" s="132"/>
      <c r="HD46" s="132"/>
      <c r="HE46" s="132"/>
      <c r="HF46" s="132"/>
      <c r="HG46" s="132"/>
      <c r="HH46" s="132"/>
      <c r="HI46" s="132"/>
      <c r="HJ46" s="132"/>
      <c r="HK46" s="132"/>
      <c r="HL46" s="132"/>
      <c r="HM46" s="132"/>
      <c r="HN46" s="132"/>
      <c r="HO46" s="132"/>
      <c r="HP46" s="132"/>
      <c r="HQ46" s="132"/>
      <c r="HR46" s="132"/>
      <c r="HS46" s="132"/>
      <c r="HT46" s="132"/>
      <c r="HU46" s="132"/>
      <c r="HV46" s="132"/>
      <c r="HW46" s="132"/>
      <c r="HX46" s="132"/>
      <c r="HY46" s="132"/>
      <c r="HZ46" s="132"/>
      <c r="IA46" s="132"/>
      <c r="IB46" s="132"/>
      <c r="IC46" s="132"/>
      <c r="ID46" s="132"/>
      <c r="IE46" s="132"/>
      <c r="IF46" s="132"/>
      <c r="IG46" s="132"/>
      <c r="IH46" s="132"/>
      <c r="II46" s="132"/>
      <c r="IJ46" s="132"/>
      <c r="IK46" s="132"/>
      <c r="IL46" s="132"/>
      <c r="IM46" s="132"/>
      <c r="IN46" s="132"/>
      <c r="IO46" s="132"/>
      <c r="IP46" s="132"/>
      <c r="IQ46" s="132"/>
      <c r="IR46" s="132"/>
      <c r="IS46" s="132"/>
      <c r="IT46" s="132"/>
      <c r="IU46" s="132"/>
      <c r="IV46" s="132"/>
    </row>
    <row r="47" spans="1:14" ht="25.5">
      <c r="A47" s="30"/>
      <c r="B47" s="126" t="s">
        <v>549</v>
      </c>
      <c r="C47" s="165" t="s">
        <v>121</v>
      </c>
      <c r="D47" s="606">
        <v>8684</v>
      </c>
      <c r="E47" s="607">
        <v>1210</v>
      </c>
      <c r="F47" s="608">
        <f>D47*E47</f>
        <v>10507640</v>
      </c>
      <c r="G47" s="629"/>
      <c r="H47" s="630"/>
      <c r="I47" s="625"/>
      <c r="J47" s="627"/>
      <c r="K47" s="608"/>
      <c r="L47" s="610">
        <f t="shared" si="1"/>
        <v>10507640</v>
      </c>
      <c r="M47" s="31"/>
      <c r="N47" s="31"/>
    </row>
    <row r="48" spans="1:256" ht="12.75">
      <c r="A48" s="128"/>
      <c r="B48" s="129" t="s">
        <v>879</v>
      </c>
      <c r="C48" s="133" t="s">
        <v>880</v>
      </c>
      <c r="D48" s="616"/>
      <c r="E48" s="617"/>
      <c r="F48" s="828">
        <v>862312</v>
      </c>
      <c r="G48" s="618"/>
      <c r="H48" s="604"/>
      <c r="I48" s="619"/>
      <c r="J48" s="601"/>
      <c r="K48" s="602"/>
      <c r="L48" s="605">
        <f>SUM(K48+F48)</f>
        <v>862312</v>
      </c>
      <c r="M48" s="131"/>
      <c r="N48" s="177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  <c r="GF48" s="132"/>
      <c r="GG48" s="132"/>
      <c r="GH48" s="132"/>
      <c r="GI48" s="132"/>
      <c r="GJ48" s="132"/>
      <c r="GK48" s="132"/>
      <c r="GL48" s="132"/>
      <c r="GM48" s="132"/>
      <c r="GN48" s="132"/>
      <c r="GO48" s="132"/>
      <c r="GP48" s="132"/>
      <c r="GQ48" s="132"/>
      <c r="GR48" s="132"/>
      <c r="GS48" s="132"/>
      <c r="GT48" s="132"/>
      <c r="GU48" s="132"/>
      <c r="GV48" s="132"/>
      <c r="GW48" s="132"/>
      <c r="GX48" s="132"/>
      <c r="GY48" s="132"/>
      <c r="GZ48" s="132"/>
      <c r="HA48" s="132"/>
      <c r="HB48" s="132"/>
      <c r="HC48" s="132"/>
      <c r="HD48" s="132"/>
      <c r="HE48" s="132"/>
      <c r="HF48" s="132"/>
      <c r="HG48" s="132"/>
      <c r="HH48" s="132"/>
      <c r="HI48" s="132"/>
      <c r="HJ48" s="132"/>
      <c r="HK48" s="132"/>
      <c r="HL48" s="132"/>
      <c r="HM48" s="132"/>
      <c r="HN48" s="132"/>
      <c r="HO48" s="132"/>
      <c r="HP48" s="132"/>
      <c r="HQ48" s="132"/>
      <c r="HR48" s="132"/>
      <c r="HS48" s="132"/>
      <c r="HT48" s="132"/>
      <c r="HU48" s="132"/>
      <c r="HV48" s="132"/>
      <c r="HW48" s="132"/>
      <c r="HX48" s="132"/>
      <c r="HY48" s="132"/>
      <c r="HZ48" s="132"/>
      <c r="IA48" s="132"/>
      <c r="IB48" s="132"/>
      <c r="IC48" s="132"/>
      <c r="ID48" s="132"/>
      <c r="IE48" s="132"/>
      <c r="IF48" s="132"/>
      <c r="IG48" s="132"/>
      <c r="IH48" s="132"/>
      <c r="II48" s="132"/>
      <c r="IJ48" s="132"/>
      <c r="IK48" s="132"/>
      <c r="IL48" s="132"/>
      <c r="IM48" s="132"/>
      <c r="IN48" s="132"/>
      <c r="IO48" s="132"/>
      <c r="IP48" s="132"/>
      <c r="IQ48" s="132"/>
      <c r="IR48" s="132"/>
      <c r="IS48" s="132"/>
      <c r="IT48" s="132"/>
      <c r="IU48" s="132"/>
      <c r="IV48" s="132"/>
    </row>
    <row r="49" spans="1:256" ht="15">
      <c r="A49" s="1268" t="s">
        <v>497</v>
      </c>
      <c r="B49" s="1268"/>
      <c r="C49" s="1269"/>
      <c r="D49" s="631" t="s">
        <v>471</v>
      </c>
      <c r="E49" s="632" t="s">
        <v>471</v>
      </c>
      <c r="F49" s="633">
        <f>SUM(F45,F30,F19,F8)</f>
        <v>322077535</v>
      </c>
      <c r="G49" s="631" t="s">
        <v>471</v>
      </c>
      <c r="H49" s="634" t="s">
        <v>471</v>
      </c>
      <c r="I49" s="634" t="s">
        <v>471</v>
      </c>
      <c r="J49" s="632" t="s">
        <v>471</v>
      </c>
      <c r="K49" s="633">
        <f>SUM(K45,K30,K19,K8)</f>
        <v>164629418.3333333</v>
      </c>
      <c r="L49" s="635">
        <f>SUM(L45,L30,L19,L8)</f>
        <v>486706953.3333333</v>
      </c>
      <c r="M49" s="33"/>
      <c r="N49" s="34">
        <f>SUM(N45,N30,N19,N8)</f>
        <v>486706953.3333334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ht="12.75">
      <c r="A50" s="128" t="s">
        <v>483</v>
      </c>
      <c r="B50" s="129" t="s">
        <v>1090</v>
      </c>
      <c r="C50" s="133" t="s">
        <v>1091</v>
      </c>
      <c r="D50" s="616"/>
      <c r="E50" s="617"/>
      <c r="F50" s="602">
        <v>10464000</v>
      </c>
      <c r="G50" s="618"/>
      <c r="H50" s="604"/>
      <c r="I50" s="619"/>
      <c r="J50" s="601"/>
      <c r="K50" s="602"/>
      <c r="L50" s="605">
        <f>SUM(K50+F50)</f>
        <v>10464000</v>
      </c>
      <c r="M50" s="131"/>
      <c r="N50" s="177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2"/>
      <c r="GN50" s="132"/>
      <c r="GO50" s="132"/>
      <c r="GP50" s="132"/>
      <c r="GQ50" s="132"/>
      <c r="GR50" s="132"/>
      <c r="GS50" s="132"/>
      <c r="GT50" s="132"/>
      <c r="GU50" s="132"/>
      <c r="GV50" s="132"/>
      <c r="GW50" s="132"/>
      <c r="GX50" s="132"/>
      <c r="GY50" s="132"/>
      <c r="GZ50" s="132"/>
      <c r="HA50" s="132"/>
      <c r="HB50" s="132"/>
      <c r="HC50" s="132"/>
      <c r="HD50" s="132"/>
      <c r="HE50" s="132"/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32"/>
      <c r="HV50" s="132"/>
      <c r="HW50" s="132"/>
      <c r="HX50" s="132"/>
      <c r="HY50" s="132"/>
      <c r="HZ50" s="132"/>
      <c r="IA50" s="132"/>
      <c r="IB50" s="132"/>
      <c r="IC50" s="132"/>
      <c r="ID50" s="132"/>
      <c r="IE50" s="132"/>
      <c r="IF50" s="132"/>
      <c r="IG50" s="132"/>
      <c r="IH50" s="132"/>
      <c r="II50" s="132"/>
      <c r="IJ50" s="132"/>
      <c r="IK50" s="132"/>
      <c r="IL50" s="132"/>
      <c r="IM50" s="132"/>
      <c r="IN50" s="132"/>
      <c r="IO50" s="132"/>
      <c r="IP50" s="132"/>
      <c r="IQ50" s="132"/>
      <c r="IR50" s="132"/>
      <c r="IS50" s="132"/>
      <c r="IT50" s="132"/>
      <c r="IU50" s="132"/>
      <c r="IV50" s="132"/>
    </row>
    <row r="51" spans="1:256" ht="15">
      <c r="A51" s="1268" t="s">
        <v>1089</v>
      </c>
      <c r="B51" s="1268"/>
      <c r="C51" s="1269"/>
      <c r="D51" s="631" t="s">
        <v>471</v>
      </c>
      <c r="E51" s="632" t="s">
        <v>471</v>
      </c>
      <c r="F51" s="633">
        <f>SUM(F50:F50)</f>
        <v>10464000</v>
      </c>
      <c r="G51" s="631" t="s">
        <v>471</v>
      </c>
      <c r="H51" s="634" t="s">
        <v>471</v>
      </c>
      <c r="I51" s="634" t="s">
        <v>471</v>
      </c>
      <c r="J51" s="632" t="s">
        <v>471</v>
      </c>
      <c r="K51" s="633"/>
      <c r="L51" s="635">
        <f>SUM(L50:L50)</f>
        <v>10464000</v>
      </c>
      <c r="M51" s="33"/>
      <c r="N51" s="34">
        <f>SUM(L50)</f>
        <v>10464000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ht="16.5">
      <c r="A52" s="1270" t="s">
        <v>122</v>
      </c>
      <c r="B52" s="1270"/>
      <c r="C52" s="1271"/>
      <c r="D52" s="636" t="s">
        <v>471</v>
      </c>
      <c r="E52" s="637" t="s">
        <v>471</v>
      </c>
      <c r="F52" s="638">
        <f>SUM(F49+F51)</f>
        <v>332541535</v>
      </c>
      <c r="G52" s="636" t="s">
        <v>471</v>
      </c>
      <c r="H52" s="639" t="s">
        <v>471</v>
      </c>
      <c r="I52" s="639" t="s">
        <v>471</v>
      </c>
      <c r="J52" s="637" t="s">
        <v>471</v>
      </c>
      <c r="K52" s="638">
        <f>SUM(K49+K51)</f>
        <v>164629418.3333333</v>
      </c>
      <c r="L52" s="638">
        <f>SUM(L49+L51)</f>
        <v>497170953.3333333</v>
      </c>
      <c r="M52" s="33"/>
      <c r="N52" s="34">
        <f>SUM(N49+N51)</f>
        <v>497170953.3333334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7" spans="5:7" ht="15">
      <c r="E57" s="93"/>
      <c r="F57" s="51"/>
      <c r="G57" s="51"/>
    </row>
    <row r="58" spans="5:7" ht="15">
      <c r="E58" s="1331">
        <v>16</v>
      </c>
      <c r="F58" s="1332" t="s">
        <v>1111</v>
      </c>
      <c r="G58" s="38"/>
    </row>
  </sheetData>
  <sheetProtection/>
  <mergeCells count="11">
    <mergeCell ref="A52:C52"/>
    <mergeCell ref="L5:L6"/>
    <mergeCell ref="A6:B6"/>
    <mergeCell ref="A7:B7"/>
    <mergeCell ref="A2:K2"/>
    <mergeCell ref="A3:K3"/>
    <mergeCell ref="A5:C5"/>
    <mergeCell ref="D5:F5"/>
    <mergeCell ref="G5:K5"/>
    <mergeCell ref="A51:C51"/>
    <mergeCell ref="A49:C49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7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4.625" style="715" customWidth="1"/>
    <col min="2" max="2" width="36.125" style="187" customWidth="1"/>
    <col min="3" max="3" width="15.00390625" style="187" customWidth="1"/>
    <col min="4" max="4" width="11.125" style="187" bestFit="1" customWidth="1"/>
    <col min="5" max="5" width="11.875" style="187" customWidth="1"/>
    <col min="6" max="6" width="11.75390625" style="187" customWidth="1"/>
    <col min="7" max="8" width="11.25390625" style="187" customWidth="1"/>
    <col min="9" max="9" width="11.75390625" style="187" customWidth="1"/>
    <col min="10" max="11" width="15.375" style="187" customWidth="1"/>
    <col min="12" max="12" width="16.625" style="187" customWidth="1"/>
  </cols>
  <sheetData>
    <row r="1" spans="2:12" ht="18">
      <c r="B1" s="1277" t="s">
        <v>1122</v>
      </c>
      <c r="C1" s="1277"/>
      <c r="D1" s="1277"/>
      <c r="E1" s="1277"/>
      <c r="F1" s="1277"/>
      <c r="G1" s="1277"/>
      <c r="H1" s="1277"/>
      <c r="I1" s="1277"/>
      <c r="J1" s="1277"/>
      <c r="K1" s="1277"/>
      <c r="L1" s="1277"/>
    </row>
    <row r="4" spans="2:12" ht="41.25" customHeight="1">
      <c r="B4" s="1278" t="s">
        <v>988</v>
      </c>
      <c r="C4" s="1278"/>
      <c r="D4" s="1278"/>
      <c r="E4" s="1278"/>
      <c r="F4" s="1278"/>
      <c r="G4" s="1278"/>
      <c r="H4" s="1278"/>
      <c r="I4" s="1278"/>
      <c r="J4" s="1278"/>
      <c r="K4" s="1278"/>
      <c r="L4" s="1278"/>
    </row>
    <row r="7" ht="13.5" thickBot="1"/>
    <row r="8" spans="1:12" ht="12.75" customHeight="1">
      <c r="A8" s="1279" t="s">
        <v>448</v>
      </c>
      <c r="B8" s="1282" t="s">
        <v>369</v>
      </c>
      <c r="C8" s="1285" t="s">
        <v>834</v>
      </c>
      <c r="D8" s="1286"/>
      <c r="E8" s="1286"/>
      <c r="F8" s="1286"/>
      <c r="G8" s="1286"/>
      <c r="H8" s="1287"/>
      <c r="I8" s="1287"/>
      <c r="J8" s="1288" t="s">
        <v>1002</v>
      </c>
      <c r="K8" s="1288" t="s">
        <v>1003</v>
      </c>
      <c r="L8" s="1288" t="s">
        <v>1004</v>
      </c>
    </row>
    <row r="9" spans="1:12" ht="12.75">
      <c r="A9" s="1280"/>
      <c r="B9" s="1283"/>
      <c r="C9" s="1291" t="s">
        <v>437</v>
      </c>
      <c r="D9" s="1292" t="s">
        <v>835</v>
      </c>
      <c r="E9" s="1293"/>
      <c r="F9" s="1293"/>
      <c r="G9" s="1293"/>
      <c r="H9" s="1294"/>
      <c r="I9" s="1294"/>
      <c r="J9" s="1289"/>
      <c r="K9" s="1289"/>
      <c r="L9" s="1289"/>
    </row>
    <row r="10" spans="1:12" ht="42" customHeight="1">
      <c r="A10" s="1281"/>
      <c r="B10" s="1284"/>
      <c r="C10" s="1291"/>
      <c r="D10" s="717" t="s">
        <v>458</v>
      </c>
      <c r="E10" s="717" t="s">
        <v>459</v>
      </c>
      <c r="F10" s="717" t="s">
        <v>460</v>
      </c>
      <c r="G10" s="717" t="s">
        <v>461</v>
      </c>
      <c r="H10" s="718" t="s">
        <v>462</v>
      </c>
      <c r="I10" s="718" t="s">
        <v>463</v>
      </c>
      <c r="J10" s="1290"/>
      <c r="K10" s="1290"/>
      <c r="L10" s="1290"/>
    </row>
    <row r="11" spans="1:12" ht="13.5" thickBot="1">
      <c r="A11" s="716" t="s">
        <v>442</v>
      </c>
      <c r="B11" s="719" t="s">
        <v>443</v>
      </c>
      <c r="C11" s="720" t="s">
        <v>444</v>
      </c>
      <c r="D11" s="721" t="s">
        <v>445</v>
      </c>
      <c r="E11" s="722" t="s">
        <v>446</v>
      </c>
      <c r="F11" s="722" t="s">
        <v>447</v>
      </c>
      <c r="G11" s="722" t="s">
        <v>449</v>
      </c>
      <c r="H11" s="722" t="s">
        <v>450</v>
      </c>
      <c r="I11" s="722" t="s">
        <v>400</v>
      </c>
      <c r="J11" s="723" t="s">
        <v>401</v>
      </c>
      <c r="K11" s="723" t="s">
        <v>401</v>
      </c>
      <c r="L11" s="724" t="s">
        <v>402</v>
      </c>
    </row>
    <row r="12" spans="1:12" ht="19.5" thickBot="1" thickTop="1">
      <c r="A12" s="859">
        <v>1</v>
      </c>
      <c r="B12" s="1298" t="s">
        <v>87</v>
      </c>
      <c r="C12" s="1299"/>
      <c r="D12" s="1299"/>
      <c r="E12" s="1299"/>
      <c r="F12" s="1299"/>
      <c r="G12" s="1299"/>
      <c r="H12" s="1299"/>
      <c r="I12" s="1299"/>
      <c r="J12" s="1299"/>
      <c r="K12" s="1299"/>
      <c r="L12" s="1300"/>
    </row>
    <row r="13" spans="1:12" ht="16.5" thickBot="1" thickTop="1">
      <c r="A13" s="860">
        <v>2</v>
      </c>
      <c r="B13" s="1301" t="s">
        <v>989</v>
      </c>
      <c r="C13" s="1302"/>
      <c r="D13" s="1302"/>
      <c r="E13" s="1302"/>
      <c r="F13" s="1302"/>
      <c r="G13" s="1302"/>
      <c r="H13" s="1302"/>
      <c r="I13" s="1302"/>
      <c r="J13" s="1303"/>
      <c r="K13" s="1303"/>
      <c r="L13" s="861"/>
    </row>
    <row r="14" spans="1:12" ht="12.75">
      <c r="A14" s="725">
        <v>3</v>
      </c>
      <c r="B14" s="728" t="s">
        <v>836</v>
      </c>
      <c r="C14" s="729">
        <f>SUM(I14+G14+F14+E14+D14)</f>
        <v>0</v>
      </c>
      <c r="D14" s="730">
        <v>0</v>
      </c>
      <c r="E14" s="730">
        <v>0</v>
      </c>
      <c r="F14" s="730">
        <v>0</v>
      </c>
      <c r="G14" s="731"/>
      <c r="H14" s="731"/>
      <c r="I14" s="731"/>
      <c r="J14" s="732">
        <v>0</v>
      </c>
      <c r="K14" s="732">
        <v>0</v>
      </c>
      <c r="L14" s="1295"/>
    </row>
    <row r="15" spans="1:12" ht="13.5" thickBot="1">
      <c r="A15" s="727">
        <v>4</v>
      </c>
      <c r="B15" s="733" t="s">
        <v>837</v>
      </c>
      <c r="C15" s="734">
        <v>7000000</v>
      </c>
      <c r="D15" s="735">
        <v>7000000</v>
      </c>
      <c r="E15" s="736">
        <v>0</v>
      </c>
      <c r="F15" s="736">
        <v>0</v>
      </c>
      <c r="G15" s="737"/>
      <c r="H15" s="737"/>
      <c r="I15" s="737"/>
      <c r="J15" s="738">
        <v>257950</v>
      </c>
      <c r="K15" s="738">
        <v>0</v>
      </c>
      <c r="L15" s="1296"/>
    </row>
    <row r="16" spans="1:12" ht="13.5" thickBot="1">
      <c r="A16" s="727">
        <v>5</v>
      </c>
      <c r="B16" s="739" t="s">
        <v>838</v>
      </c>
      <c r="C16" s="740">
        <f>SUM(I16+G16+F16+E16+D16)</f>
        <v>7000000</v>
      </c>
      <c r="D16" s="741">
        <f>SUM(D14+D15)</f>
        <v>7000000</v>
      </c>
      <c r="E16" s="741">
        <f>SUM(E14+E15)</f>
        <v>0</v>
      </c>
      <c r="F16" s="741">
        <f>SUM(F14+F15)</f>
        <v>0</v>
      </c>
      <c r="G16" s="742"/>
      <c r="H16" s="743"/>
      <c r="I16" s="744"/>
      <c r="J16" s="745">
        <f>SUM(J14+J15)</f>
        <v>257950</v>
      </c>
      <c r="K16" s="745">
        <f>SUM(K14+K15)</f>
        <v>0</v>
      </c>
      <c r="L16" s="1304"/>
    </row>
    <row r="17" spans="1:12" ht="13.5" thickBot="1">
      <c r="A17" s="727"/>
      <c r="B17" s="1305"/>
      <c r="C17" s="1306"/>
      <c r="D17" s="1307"/>
      <c r="E17" s="1307"/>
      <c r="F17" s="1307"/>
      <c r="G17" s="1307"/>
      <c r="H17" s="1307"/>
      <c r="I17" s="1307"/>
      <c r="J17" s="1308"/>
      <c r="K17" s="1309"/>
      <c r="L17" s="726"/>
    </row>
    <row r="18" spans="1:12" ht="12.75">
      <c r="A18" s="746">
        <v>6</v>
      </c>
      <c r="B18" s="747" t="s">
        <v>839</v>
      </c>
      <c r="C18" s="748">
        <v>3150000</v>
      </c>
      <c r="D18" s="730">
        <v>3150000</v>
      </c>
      <c r="E18" s="749">
        <v>0</v>
      </c>
      <c r="F18" s="749">
        <v>0</v>
      </c>
      <c r="G18" s="731"/>
      <c r="H18" s="731"/>
      <c r="I18" s="731"/>
      <c r="J18" s="1295"/>
      <c r="K18" s="1295"/>
      <c r="L18" s="732">
        <v>0</v>
      </c>
    </row>
    <row r="19" spans="1:12" ht="13.5" thickBot="1">
      <c r="A19" s="746">
        <v>7</v>
      </c>
      <c r="B19" s="750" t="s">
        <v>840</v>
      </c>
      <c r="C19" s="751">
        <v>3850000</v>
      </c>
      <c r="D19" s="735">
        <f>3850000-257950</f>
        <v>3592050</v>
      </c>
      <c r="E19" s="735">
        <v>0</v>
      </c>
      <c r="F19" s="735">
        <v>257950</v>
      </c>
      <c r="G19" s="737"/>
      <c r="H19" s="737"/>
      <c r="I19" s="737"/>
      <c r="J19" s="1296"/>
      <c r="K19" s="1296"/>
      <c r="L19" s="738">
        <v>257950</v>
      </c>
    </row>
    <row r="20" spans="1:12" ht="13.5" thickBot="1">
      <c r="A20" s="752">
        <v>8</v>
      </c>
      <c r="B20" s="753" t="s">
        <v>378</v>
      </c>
      <c r="C20" s="754">
        <f>SUM(C18:C19)</f>
        <v>7000000</v>
      </c>
      <c r="D20" s="755">
        <f>SUM(D18:D19)</f>
        <v>6742050</v>
      </c>
      <c r="E20" s="755">
        <f>SUM(E18:E19)</f>
        <v>0</v>
      </c>
      <c r="F20" s="755">
        <f>SUM(F18:F19)</f>
        <v>257950</v>
      </c>
      <c r="G20" s="742"/>
      <c r="H20" s="743"/>
      <c r="I20" s="744"/>
      <c r="J20" s="1304"/>
      <c r="K20" s="1304"/>
      <c r="L20" s="756">
        <f>SUM(L18:L19)</f>
        <v>257950</v>
      </c>
    </row>
    <row r="21" spans="1:12" ht="14.25" thickBot="1" thickTop="1">
      <c r="A21" s="757"/>
      <c r="B21" s="1310"/>
      <c r="C21" s="1311"/>
      <c r="D21" s="1311"/>
      <c r="E21" s="1311"/>
      <c r="F21" s="1311"/>
      <c r="G21" s="1311"/>
      <c r="H21" s="1311"/>
      <c r="I21" s="1311"/>
      <c r="J21" s="1311"/>
      <c r="K21" s="1311"/>
      <c r="L21" s="1312"/>
    </row>
    <row r="22" spans="1:12" ht="30" customHeight="1" thickBot="1" thickTop="1">
      <c r="A22" s="860">
        <v>9</v>
      </c>
      <c r="B22" s="1316" t="s">
        <v>990</v>
      </c>
      <c r="C22" s="1317"/>
      <c r="D22" s="1317"/>
      <c r="E22" s="1317"/>
      <c r="F22" s="1317"/>
      <c r="G22" s="1317"/>
      <c r="H22" s="1317"/>
      <c r="I22" s="1317"/>
      <c r="J22" s="1318"/>
      <c r="K22" s="1318"/>
      <c r="L22" s="862"/>
    </row>
    <row r="23" spans="1:12" ht="12.75">
      <c r="A23" s="725">
        <v>10</v>
      </c>
      <c r="B23" s="728" t="s">
        <v>841</v>
      </c>
      <c r="C23" s="758">
        <v>0</v>
      </c>
      <c r="D23" s="759">
        <v>0</v>
      </c>
      <c r="E23" s="759">
        <v>0</v>
      </c>
      <c r="F23" s="759">
        <v>0</v>
      </c>
      <c r="G23" s="759">
        <v>0</v>
      </c>
      <c r="H23" s="759">
        <v>0</v>
      </c>
      <c r="I23" s="759">
        <v>0</v>
      </c>
      <c r="J23" s="732">
        <v>0</v>
      </c>
      <c r="K23" s="732">
        <v>0</v>
      </c>
      <c r="L23" s="1295"/>
    </row>
    <row r="24" spans="1:12" ht="13.5" thickBot="1">
      <c r="A24" s="760">
        <v>11</v>
      </c>
      <c r="B24" s="733" t="s">
        <v>837</v>
      </c>
      <c r="C24" s="761">
        <f>SUM(D24:I24)</f>
        <v>250634800</v>
      </c>
      <c r="D24" s="762">
        <v>0</v>
      </c>
      <c r="E24" s="736">
        <v>59135000</v>
      </c>
      <c r="F24" s="736">
        <v>52411853</v>
      </c>
      <c r="G24" s="736">
        <v>46362649</v>
      </c>
      <c r="H24" s="736">
        <v>46362649</v>
      </c>
      <c r="I24" s="736">
        <v>46362649</v>
      </c>
      <c r="J24" s="738">
        <f>5816143+11411381</f>
        <v>17227524</v>
      </c>
      <c r="K24" s="738">
        <v>52411853</v>
      </c>
      <c r="L24" s="1296"/>
    </row>
    <row r="25" spans="1:12" ht="13.5" thickBot="1">
      <c r="A25" s="727">
        <v>12</v>
      </c>
      <c r="B25" s="739" t="s">
        <v>838</v>
      </c>
      <c r="C25" s="740">
        <f aca="true" t="shared" si="0" ref="C25:K25">SUM(C23:C24)</f>
        <v>250634800</v>
      </c>
      <c r="D25" s="741">
        <f t="shared" si="0"/>
        <v>0</v>
      </c>
      <c r="E25" s="741">
        <f t="shared" si="0"/>
        <v>59135000</v>
      </c>
      <c r="F25" s="741">
        <f t="shared" si="0"/>
        <v>52411853</v>
      </c>
      <c r="G25" s="741">
        <f t="shared" si="0"/>
        <v>46362649</v>
      </c>
      <c r="H25" s="741">
        <f t="shared" si="0"/>
        <v>46362649</v>
      </c>
      <c r="I25" s="741">
        <f t="shared" si="0"/>
        <v>46362649</v>
      </c>
      <c r="J25" s="745">
        <f>SUM(J23:J24)</f>
        <v>17227524</v>
      </c>
      <c r="K25" s="745">
        <f t="shared" si="0"/>
        <v>52411853</v>
      </c>
      <c r="L25" s="1304"/>
    </row>
    <row r="26" spans="1:12" ht="13.5" thickBot="1">
      <c r="A26" s="727"/>
      <c r="B26" s="1313"/>
      <c r="C26" s="1314"/>
      <c r="D26" s="1314"/>
      <c r="E26" s="1314"/>
      <c r="F26" s="1314"/>
      <c r="G26" s="1314"/>
      <c r="H26" s="1314"/>
      <c r="I26" s="1314"/>
      <c r="J26" s="1314"/>
      <c r="K26" s="1315"/>
      <c r="L26" s="726"/>
    </row>
    <row r="27" spans="1:12" ht="13.5" thickBot="1">
      <c r="A27" s="763">
        <v>13</v>
      </c>
      <c r="B27" s="764" t="s">
        <v>842</v>
      </c>
      <c r="C27" s="748">
        <f>SUM(D27:I27)</f>
        <v>146331566</v>
      </c>
      <c r="D27" s="908">
        <v>2681560</v>
      </c>
      <c r="E27" s="908">
        <v>20997974</v>
      </c>
      <c r="F27" s="908">
        <f>41039699-403910</f>
        <v>40635789</v>
      </c>
      <c r="G27" s="908">
        <v>27338748</v>
      </c>
      <c r="H27" s="908">
        <v>27338748</v>
      </c>
      <c r="I27" s="908">
        <v>27338747</v>
      </c>
      <c r="J27" s="1295"/>
      <c r="K27" s="1295"/>
      <c r="L27" s="732">
        <f>41039699-403910</f>
        <v>40635789</v>
      </c>
    </row>
    <row r="28" spans="1:12" ht="25.5">
      <c r="A28" s="903">
        <v>61</v>
      </c>
      <c r="B28" s="906" t="s">
        <v>1008</v>
      </c>
      <c r="C28" s="878"/>
      <c r="D28" s="905">
        <v>0</v>
      </c>
      <c r="E28" s="902">
        <v>0</v>
      </c>
      <c r="F28" s="905">
        <v>403910</v>
      </c>
      <c r="G28" s="905">
        <v>0</v>
      </c>
      <c r="H28" s="905">
        <v>0</v>
      </c>
      <c r="I28" s="905">
        <v>0</v>
      </c>
      <c r="J28" s="1296"/>
      <c r="K28" s="1296"/>
      <c r="L28" s="901">
        <v>403910</v>
      </c>
    </row>
    <row r="29" spans="1:12" ht="12.75">
      <c r="A29" s="746">
        <v>14</v>
      </c>
      <c r="B29" s="750" t="s">
        <v>840</v>
      </c>
      <c r="C29" s="751">
        <f>SUM(D29:I29)</f>
        <v>88344324</v>
      </c>
      <c r="D29" s="908">
        <v>0</v>
      </c>
      <c r="E29" s="908">
        <v>14084323</v>
      </c>
      <c r="F29" s="908">
        <v>17188297</v>
      </c>
      <c r="G29" s="908">
        <v>19023901</v>
      </c>
      <c r="H29" s="908">
        <v>19023901</v>
      </c>
      <c r="I29" s="908">
        <v>19023902</v>
      </c>
      <c r="J29" s="1296"/>
      <c r="K29" s="1296"/>
      <c r="L29" s="738">
        <v>17188297</v>
      </c>
    </row>
    <row r="30" spans="1:12" ht="13.5" thickBot="1">
      <c r="A30" s="746">
        <v>15</v>
      </c>
      <c r="B30" s="747" t="s">
        <v>839</v>
      </c>
      <c r="C30" s="776">
        <f>SUM(D30:I30)</f>
        <v>15555000</v>
      </c>
      <c r="D30" s="909">
        <v>0</v>
      </c>
      <c r="E30" s="909">
        <f>2893619+1250000</f>
        <v>4143619</v>
      </c>
      <c r="F30" s="909">
        <v>11411381</v>
      </c>
      <c r="G30" s="909">
        <v>0</v>
      </c>
      <c r="H30" s="909">
        <v>0</v>
      </c>
      <c r="I30" s="909">
        <v>0</v>
      </c>
      <c r="J30" s="1296"/>
      <c r="K30" s="1296"/>
      <c r="L30" s="863">
        <v>11411381</v>
      </c>
    </row>
    <row r="31" spans="1:12" ht="13.5" thickBot="1">
      <c r="A31" s="765">
        <v>16</v>
      </c>
      <c r="B31" s="766" t="s">
        <v>378</v>
      </c>
      <c r="C31" s="754">
        <f aca="true" t="shared" si="1" ref="C31:I31">SUM(C27:C30)</f>
        <v>250230890</v>
      </c>
      <c r="D31" s="767">
        <f t="shared" si="1"/>
        <v>2681560</v>
      </c>
      <c r="E31" s="767">
        <f t="shared" si="1"/>
        <v>39225916</v>
      </c>
      <c r="F31" s="767">
        <f t="shared" si="1"/>
        <v>69639377</v>
      </c>
      <c r="G31" s="767">
        <f t="shared" si="1"/>
        <v>46362649</v>
      </c>
      <c r="H31" s="767">
        <f t="shared" si="1"/>
        <v>46362649</v>
      </c>
      <c r="I31" s="767">
        <f t="shared" si="1"/>
        <v>46362649</v>
      </c>
      <c r="J31" s="1297"/>
      <c r="K31" s="1297"/>
      <c r="L31" s="756">
        <f>SUM(L27:L30)</f>
        <v>69639377</v>
      </c>
    </row>
    <row r="32" spans="1:12" ht="14.25" thickBot="1" thickTop="1">
      <c r="A32" s="864"/>
      <c r="B32" s="1310"/>
      <c r="C32" s="1311"/>
      <c r="D32" s="1311"/>
      <c r="E32" s="1311"/>
      <c r="F32" s="1311"/>
      <c r="G32" s="1311"/>
      <c r="H32" s="1311"/>
      <c r="I32" s="1311"/>
      <c r="J32" s="1311"/>
      <c r="K32" s="1311"/>
      <c r="L32" s="1312"/>
    </row>
    <row r="33" spans="1:12" ht="16.5" thickBot="1" thickTop="1">
      <c r="A33" s="860">
        <v>17</v>
      </c>
      <c r="B33" s="1301" t="s">
        <v>843</v>
      </c>
      <c r="C33" s="1302"/>
      <c r="D33" s="1302"/>
      <c r="E33" s="1302"/>
      <c r="F33" s="1302"/>
      <c r="G33" s="1302"/>
      <c r="H33" s="1302"/>
      <c r="I33" s="1302"/>
      <c r="J33" s="1303"/>
      <c r="K33" s="1303"/>
      <c r="L33" s="862"/>
    </row>
    <row r="34" spans="1:12" ht="12.75">
      <c r="A34" s="725">
        <v>18</v>
      </c>
      <c r="B34" s="783" t="s">
        <v>841</v>
      </c>
      <c r="C34" s="751">
        <f>SUM(D34:F34)</f>
        <v>22542700</v>
      </c>
      <c r="D34" s="769">
        <v>0</v>
      </c>
      <c r="E34" s="769">
        <v>151044</v>
      </c>
      <c r="F34" s="769">
        <v>22391656</v>
      </c>
      <c r="G34" s="770"/>
      <c r="H34" s="770"/>
      <c r="I34" s="770"/>
      <c r="J34" s="732"/>
      <c r="K34" s="732">
        <v>22391656</v>
      </c>
      <c r="L34" s="1295"/>
    </row>
    <row r="35" spans="1:12" ht="13.5" thickBot="1">
      <c r="A35" s="727">
        <v>19</v>
      </c>
      <c r="B35" s="733" t="s">
        <v>837</v>
      </c>
      <c r="C35" s="751">
        <f>SUM(D35:F35)</f>
        <v>242560000</v>
      </c>
      <c r="D35" s="762">
        <v>242560000</v>
      </c>
      <c r="E35" s="736">
        <v>0</v>
      </c>
      <c r="F35" s="736">
        <v>0</v>
      </c>
      <c r="G35" s="771"/>
      <c r="H35" s="771"/>
      <c r="I35" s="772"/>
      <c r="J35" s="738">
        <v>230043575</v>
      </c>
      <c r="K35" s="738"/>
      <c r="L35" s="1296"/>
    </row>
    <row r="36" spans="1:12" ht="13.5" thickBot="1">
      <c r="A36" s="727">
        <v>20</v>
      </c>
      <c r="B36" s="739" t="s">
        <v>838</v>
      </c>
      <c r="C36" s="740">
        <f aca="true" t="shared" si="2" ref="C36:K36">SUM(C34:C35)</f>
        <v>265102700</v>
      </c>
      <c r="D36" s="741">
        <f t="shared" si="2"/>
        <v>242560000</v>
      </c>
      <c r="E36" s="741">
        <f t="shared" si="2"/>
        <v>151044</v>
      </c>
      <c r="F36" s="741">
        <f t="shared" si="2"/>
        <v>22391656</v>
      </c>
      <c r="G36" s="731"/>
      <c r="H36" s="731"/>
      <c r="I36" s="731"/>
      <c r="J36" s="745">
        <f>SUM(J34:J35)</f>
        <v>230043575</v>
      </c>
      <c r="K36" s="745">
        <f t="shared" si="2"/>
        <v>22391656</v>
      </c>
      <c r="L36" s="1304"/>
    </row>
    <row r="37" spans="1:12" ht="13.5" thickBot="1">
      <c r="A37" s="727"/>
      <c r="B37" s="1313"/>
      <c r="C37" s="1314"/>
      <c r="D37" s="1314"/>
      <c r="E37" s="1314"/>
      <c r="F37" s="1314"/>
      <c r="G37" s="1314"/>
      <c r="H37" s="1314"/>
      <c r="I37" s="1314"/>
      <c r="J37" s="1314"/>
      <c r="K37" s="1315"/>
      <c r="L37" s="726"/>
    </row>
    <row r="38" spans="1:12" ht="12.75">
      <c r="A38" s="746">
        <v>21</v>
      </c>
      <c r="B38" s="764" t="s">
        <v>839</v>
      </c>
      <c r="C38" s="877">
        <f>SUM(D38:F38)</f>
        <v>242560000</v>
      </c>
      <c r="D38" s="730">
        <v>392025</v>
      </c>
      <c r="E38" s="730">
        <v>12124400</v>
      </c>
      <c r="F38" s="730">
        <v>230043575</v>
      </c>
      <c r="G38" s="770"/>
      <c r="H38" s="770"/>
      <c r="I38" s="770"/>
      <c r="J38" s="1295"/>
      <c r="K38" s="1295"/>
      <c r="L38" s="732">
        <v>230043575</v>
      </c>
    </row>
    <row r="39" spans="1:12" ht="13.5" thickBot="1">
      <c r="A39" s="746">
        <v>22</v>
      </c>
      <c r="B39" s="773" t="s">
        <v>844</v>
      </c>
      <c r="C39" s="776">
        <f>SUM(D39:F39)</f>
        <v>22542700</v>
      </c>
      <c r="D39" s="774">
        <v>0</v>
      </c>
      <c r="E39" s="774">
        <v>151044</v>
      </c>
      <c r="F39" s="774">
        <v>22391656</v>
      </c>
      <c r="G39" s="771"/>
      <c r="H39" s="771"/>
      <c r="I39" s="772"/>
      <c r="J39" s="1296"/>
      <c r="K39" s="1296"/>
      <c r="L39" s="738">
        <v>22391656</v>
      </c>
    </row>
    <row r="40" spans="1:12" ht="13.5" thickBot="1">
      <c r="A40" s="765">
        <v>23</v>
      </c>
      <c r="B40" s="766" t="s">
        <v>378</v>
      </c>
      <c r="C40" s="754">
        <f>SUM(C38:C39)</f>
        <v>265102700</v>
      </c>
      <c r="D40" s="767">
        <f>SUM(D38:D39)</f>
        <v>392025</v>
      </c>
      <c r="E40" s="767">
        <f>SUM(E38:E39)</f>
        <v>12275444</v>
      </c>
      <c r="F40" s="767">
        <f>SUM(F38:F39)</f>
        <v>252435231</v>
      </c>
      <c r="G40" s="731"/>
      <c r="H40" s="731"/>
      <c r="I40" s="731"/>
      <c r="J40" s="1297"/>
      <c r="K40" s="1297"/>
      <c r="L40" s="756">
        <f>SUM(L38:L39)</f>
        <v>252435231</v>
      </c>
    </row>
    <row r="41" spans="1:12" ht="14.25" thickBot="1" thickTop="1">
      <c r="A41" s="864"/>
      <c r="B41" s="1310"/>
      <c r="C41" s="1311"/>
      <c r="D41" s="1311"/>
      <c r="E41" s="1311"/>
      <c r="F41" s="1311"/>
      <c r="G41" s="1311"/>
      <c r="H41" s="1311"/>
      <c r="I41" s="1311"/>
      <c r="J41" s="1311"/>
      <c r="K41" s="1311"/>
      <c r="L41" s="1312"/>
    </row>
    <row r="42" spans="1:12" ht="16.5" thickBot="1" thickTop="1">
      <c r="A42" s="860">
        <v>24</v>
      </c>
      <c r="B42" s="1301" t="s">
        <v>1006</v>
      </c>
      <c r="C42" s="1302"/>
      <c r="D42" s="1302"/>
      <c r="E42" s="1302"/>
      <c r="F42" s="1302"/>
      <c r="G42" s="1302"/>
      <c r="H42" s="1302"/>
      <c r="I42" s="1302"/>
      <c r="J42" s="1303"/>
      <c r="K42" s="1303"/>
      <c r="L42" s="862"/>
    </row>
    <row r="43" spans="1:12" ht="12.75">
      <c r="A43" s="725">
        <v>25</v>
      </c>
      <c r="B43" s="775" t="s">
        <v>841</v>
      </c>
      <c r="C43" s="748">
        <v>3350900</v>
      </c>
      <c r="D43" s="769">
        <v>2500000</v>
      </c>
      <c r="E43" s="769">
        <v>850900</v>
      </c>
      <c r="F43" s="769">
        <v>0</v>
      </c>
      <c r="G43" s="770"/>
      <c r="H43" s="770"/>
      <c r="I43" s="770"/>
      <c r="J43" s="738">
        <v>0</v>
      </c>
      <c r="K43" s="738"/>
      <c r="L43" s="1295"/>
    </row>
    <row r="44" spans="1:12" ht="13.5" thickBot="1">
      <c r="A44" s="727">
        <v>26</v>
      </c>
      <c r="B44" s="733" t="s">
        <v>837</v>
      </c>
      <c r="C44" s="776">
        <v>19779919</v>
      </c>
      <c r="D44" s="762">
        <v>9889959</v>
      </c>
      <c r="E44" s="762">
        <v>0</v>
      </c>
      <c r="F44" s="762">
        <v>9889960</v>
      </c>
      <c r="G44" s="771"/>
      <c r="H44" s="771"/>
      <c r="I44" s="772"/>
      <c r="J44" s="738">
        <v>0</v>
      </c>
      <c r="K44" s="738">
        <v>9889960</v>
      </c>
      <c r="L44" s="1296"/>
    </row>
    <row r="45" spans="1:12" ht="13.5" thickBot="1">
      <c r="A45" s="727">
        <v>27</v>
      </c>
      <c r="B45" s="739" t="s">
        <v>838</v>
      </c>
      <c r="C45" s="740">
        <f>SUM(C43:C44)</f>
        <v>23130819</v>
      </c>
      <c r="D45" s="741">
        <f>SUM(D43:D44)</f>
        <v>12389959</v>
      </c>
      <c r="E45" s="741">
        <f>SUM(E43:E44)</f>
        <v>850900</v>
      </c>
      <c r="F45" s="741">
        <f>SUM(F43:F44)</f>
        <v>9889960</v>
      </c>
      <c r="G45" s="777"/>
      <c r="H45" s="777"/>
      <c r="I45" s="778"/>
      <c r="J45" s="745">
        <f>SUM(J43+J44)</f>
        <v>0</v>
      </c>
      <c r="K45" s="745">
        <f>SUM(K43+K44)</f>
        <v>9889960</v>
      </c>
      <c r="L45" s="1304"/>
    </row>
    <row r="46" spans="1:12" ht="13.5" thickBot="1">
      <c r="A46" s="727"/>
      <c r="B46" s="1313"/>
      <c r="C46" s="1314"/>
      <c r="D46" s="1314"/>
      <c r="E46" s="1314"/>
      <c r="F46" s="1314"/>
      <c r="G46" s="1314"/>
      <c r="H46" s="1314"/>
      <c r="I46" s="1314"/>
      <c r="J46" s="1314"/>
      <c r="K46" s="1315"/>
      <c r="L46" s="726"/>
    </row>
    <row r="47" spans="1:12" ht="12.75">
      <c r="A47" s="746">
        <v>28</v>
      </c>
      <c r="B47" s="764" t="s">
        <v>845</v>
      </c>
      <c r="C47" s="748">
        <v>20820975</v>
      </c>
      <c r="D47" s="769">
        <v>0</v>
      </c>
      <c r="E47" s="769">
        <v>14245643</v>
      </c>
      <c r="F47" s="769">
        <v>6575332</v>
      </c>
      <c r="G47" s="770"/>
      <c r="H47" s="770"/>
      <c r="I47" s="770"/>
      <c r="J47" s="1295"/>
      <c r="K47" s="1295"/>
      <c r="L47" s="732">
        <v>6575332</v>
      </c>
    </row>
    <row r="48" spans="1:12" ht="13.5" thickBot="1">
      <c r="A48" s="746">
        <v>29</v>
      </c>
      <c r="B48" s="773" t="s">
        <v>846</v>
      </c>
      <c r="C48" s="751">
        <v>2309844</v>
      </c>
      <c r="D48" s="762">
        <v>1250000</v>
      </c>
      <c r="E48" s="762">
        <v>1059844</v>
      </c>
      <c r="F48" s="762">
        <v>0</v>
      </c>
      <c r="G48" s="771"/>
      <c r="H48" s="771"/>
      <c r="I48" s="772"/>
      <c r="J48" s="1296"/>
      <c r="K48" s="1296"/>
      <c r="L48" s="738"/>
    </row>
    <row r="49" spans="1:12" ht="13.5" thickBot="1">
      <c r="A49" s="765">
        <v>30</v>
      </c>
      <c r="B49" s="766" t="s">
        <v>378</v>
      </c>
      <c r="C49" s="754">
        <f>SUM(C47:C48)</f>
        <v>23130819</v>
      </c>
      <c r="D49" s="767">
        <f>SUM(D47:D48)</f>
        <v>1250000</v>
      </c>
      <c r="E49" s="767">
        <f>SUM(E47:E48)</f>
        <v>15305487</v>
      </c>
      <c r="F49" s="767">
        <f>SUM(F47:F48)</f>
        <v>6575332</v>
      </c>
      <c r="G49" s="779"/>
      <c r="H49" s="779"/>
      <c r="I49" s="780"/>
      <c r="J49" s="1304"/>
      <c r="K49" s="1304"/>
      <c r="L49" s="756">
        <f>SUM(L46:L48)</f>
        <v>6575332</v>
      </c>
    </row>
    <row r="50" spans="1:12" ht="14.25" thickBot="1" thickTop="1">
      <c r="A50" s="864"/>
      <c r="B50" s="1310"/>
      <c r="C50" s="1311"/>
      <c r="D50" s="1311"/>
      <c r="E50" s="1311"/>
      <c r="F50" s="1311"/>
      <c r="G50" s="1311"/>
      <c r="H50" s="1311"/>
      <c r="I50" s="1311"/>
      <c r="J50" s="1311"/>
      <c r="K50" s="1311"/>
      <c r="L50" s="1312"/>
    </row>
    <row r="51" spans="1:12" ht="16.5" thickBot="1" thickTop="1">
      <c r="A51" s="860">
        <v>31</v>
      </c>
      <c r="B51" s="1301" t="s">
        <v>1005</v>
      </c>
      <c r="C51" s="1302"/>
      <c r="D51" s="1302"/>
      <c r="E51" s="1302"/>
      <c r="F51" s="1302"/>
      <c r="G51" s="1302"/>
      <c r="H51" s="1302"/>
      <c r="I51" s="1302"/>
      <c r="J51" s="1303"/>
      <c r="K51" s="1303"/>
      <c r="L51" s="862"/>
    </row>
    <row r="52" spans="1:12" ht="12.75">
      <c r="A52" s="725">
        <v>32</v>
      </c>
      <c r="B52" s="775" t="s">
        <v>841</v>
      </c>
      <c r="C52" s="748">
        <v>10986749</v>
      </c>
      <c r="D52" s="769">
        <v>0</v>
      </c>
      <c r="E52" s="769">
        <v>10986749</v>
      </c>
      <c r="F52" s="769">
        <v>0</v>
      </c>
      <c r="G52" s="770"/>
      <c r="H52" s="770"/>
      <c r="I52" s="770"/>
      <c r="J52" s="738">
        <v>0</v>
      </c>
      <c r="K52" s="738"/>
      <c r="L52" s="1295"/>
    </row>
    <row r="53" spans="1:12" ht="25.5">
      <c r="A53" s="725">
        <v>33</v>
      </c>
      <c r="B53" s="916" t="s">
        <v>1039</v>
      </c>
      <c r="C53" s="913">
        <v>1000000</v>
      </c>
      <c r="D53" s="905"/>
      <c r="E53" s="905"/>
      <c r="F53" s="905">
        <v>1000000</v>
      </c>
      <c r="G53" s="914"/>
      <c r="H53" s="914"/>
      <c r="I53" s="915"/>
      <c r="J53" s="738"/>
      <c r="K53" s="738"/>
      <c r="L53" s="1296"/>
    </row>
    <row r="54" spans="1:12" ht="13.5" thickBot="1">
      <c r="A54" s="727">
        <v>34</v>
      </c>
      <c r="B54" s="733" t="s">
        <v>837</v>
      </c>
      <c r="C54" s="776">
        <v>19999984</v>
      </c>
      <c r="D54" s="762">
        <v>0</v>
      </c>
      <c r="E54" s="762">
        <v>9999992</v>
      </c>
      <c r="F54" s="762">
        <v>9999992</v>
      </c>
      <c r="G54" s="771"/>
      <c r="H54" s="771"/>
      <c r="I54" s="772"/>
      <c r="J54" s="738">
        <v>0</v>
      </c>
      <c r="K54" s="738">
        <v>9999992</v>
      </c>
      <c r="L54" s="1296"/>
    </row>
    <row r="55" spans="1:12" ht="13.5" thickBot="1">
      <c r="A55" s="727">
        <v>35</v>
      </c>
      <c r="B55" s="739" t="s">
        <v>838</v>
      </c>
      <c r="C55" s="740">
        <f>SUM(C52:C54)</f>
        <v>31986733</v>
      </c>
      <c r="D55" s="741">
        <f>SUM(D52:D54)</f>
        <v>0</v>
      </c>
      <c r="E55" s="741">
        <f>SUM(E52:E54)</f>
        <v>20986741</v>
      </c>
      <c r="F55" s="741">
        <f>SUM(F52:F54)</f>
        <v>10999992</v>
      </c>
      <c r="G55" s="777"/>
      <c r="H55" s="777"/>
      <c r="I55" s="778"/>
      <c r="J55" s="745">
        <f>SUM(J52+J54)</f>
        <v>0</v>
      </c>
      <c r="K55" s="745">
        <f>SUM(K52+K54)</f>
        <v>9999992</v>
      </c>
      <c r="L55" s="1304"/>
    </row>
    <row r="56" spans="1:12" ht="13.5" thickBot="1">
      <c r="A56" s="727"/>
      <c r="B56" s="1313"/>
      <c r="C56" s="1314"/>
      <c r="D56" s="1314"/>
      <c r="E56" s="1314"/>
      <c r="F56" s="1314"/>
      <c r="G56" s="1314"/>
      <c r="H56" s="1314"/>
      <c r="I56" s="1314"/>
      <c r="J56" s="1314"/>
      <c r="K56" s="1315"/>
      <c r="L56" s="726"/>
    </row>
    <row r="57" spans="1:12" ht="12.75">
      <c r="A57" s="746">
        <v>36</v>
      </c>
      <c r="B57" s="764" t="s">
        <v>839</v>
      </c>
      <c r="C57" s="748">
        <v>21052620</v>
      </c>
      <c r="D57" s="769">
        <v>0</v>
      </c>
      <c r="E57" s="769">
        <v>21052620</v>
      </c>
      <c r="F57" s="769">
        <v>0</v>
      </c>
      <c r="G57" s="770"/>
      <c r="H57" s="770"/>
      <c r="I57" s="770"/>
      <c r="J57" s="1295"/>
      <c r="K57" s="1295"/>
      <c r="L57" s="732"/>
    </row>
    <row r="58" spans="1:12" ht="13.5" thickBot="1">
      <c r="A58" s="746">
        <v>37</v>
      </c>
      <c r="B58" s="773" t="s">
        <v>844</v>
      </c>
      <c r="C58" s="751">
        <f>9934113+1000000</f>
        <v>10934113</v>
      </c>
      <c r="D58" s="762">
        <v>0</v>
      </c>
      <c r="E58" s="762">
        <v>3533565</v>
      </c>
      <c r="F58" s="762">
        <f>6400548+1000000</f>
        <v>7400548</v>
      </c>
      <c r="G58" s="771"/>
      <c r="H58" s="771"/>
      <c r="I58" s="772"/>
      <c r="J58" s="1296"/>
      <c r="K58" s="1296"/>
      <c r="L58" s="738">
        <f>6400548+1000000</f>
        <v>7400548</v>
      </c>
    </row>
    <row r="59" spans="1:12" ht="13.5" thickBot="1">
      <c r="A59" s="765">
        <v>38</v>
      </c>
      <c r="B59" s="766" t="s">
        <v>378</v>
      </c>
      <c r="C59" s="754">
        <f>SUM(C57:C58)</f>
        <v>31986733</v>
      </c>
      <c r="D59" s="767">
        <f>SUM(D57:D58)</f>
        <v>0</v>
      </c>
      <c r="E59" s="767">
        <f>SUM(E57:E58)</f>
        <v>24586185</v>
      </c>
      <c r="F59" s="767">
        <f>SUM(F57:F58)</f>
        <v>7400548</v>
      </c>
      <c r="G59" s="779"/>
      <c r="H59" s="779"/>
      <c r="I59" s="780"/>
      <c r="J59" s="1304"/>
      <c r="K59" s="1304"/>
      <c r="L59" s="756">
        <f>SUM(L56:L58)</f>
        <v>7400548</v>
      </c>
    </row>
    <row r="60" spans="1:12" ht="14.25" thickBot="1" thickTop="1">
      <c r="A60" s="864"/>
      <c r="B60" s="1310"/>
      <c r="C60" s="1311"/>
      <c r="D60" s="1311"/>
      <c r="E60" s="1311"/>
      <c r="F60" s="1311"/>
      <c r="G60" s="1311"/>
      <c r="H60" s="1311"/>
      <c r="I60" s="1311"/>
      <c r="J60" s="1311"/>
      <c r="K60" s="1311"/>
      <c r="L60" s="1312"/>
    </row>
    <row r="61" spans="1:12" ht="16.5" thickBot="1" thickTop="1">
      <c r="A61" s="860">
        <v>39</v>
      </c>
      <c r="B61" s="1301" t="s">
        <v>1007</v>
      </c>
      <c r="C61" s="1302"/>
      <c r="D61" s="1302"/>
      <c r="E61" s="1302"/>
      <c r="F61" s="1302"/>
      <c r="G61" s="1302"/>
      <c r="H61" s="1302"/>
      <c r="I61" s="1302"/>
      <c r="J61" s="1303"/>
      <c r="K61" s="1303"/>
      <c r="L61" s="862"/>
    </row>
    <row r="62" spans="1:12" ht="12.75">
      <c r="A62" s="725">
        <v>40</v>
      </c>
      <c r="B62" s="775" t="s">
        <v>841</v>
      </c>
      <c r="C62" s="748">
        <v>396853</v>
      </c>
      <c r="D62" s="769">
        <v>8868</v>
      </c>
      <c r="E62" s="769">
        <v>387985</v>
      </c>
      <c r="F62" s="769">
        <v>0</v>
      </c>
      <c r="G62" s="770"/>
      <c r="H62" s="770"/>
      <c r="I62" s="770"/>
      <c r="J62" s="738">
        <v>0</v>
      </c>
      <c r="K62" s="738"/>
      <c r="L62" s="1295"/>
    </row>
    <row r="63" spans="1:12" ht="13.5" thickBot="1">
      <c r="A63" s="727">
        <v>41</v>
      </c>
      <c r="B63" s="733" t="s">
        <v>837</v>
      </c>
      <c r="C63" s="776">
        <v>9980698</v>
      </c>
      <c r="D63" s="762">
        <v>0</v>
      </c>
      <c r="E63" s="762">
        <v>4990349</v>
      </c>
      <c r="F63" s="762">
        <v>4990349</v>
      </c>
      <c r="G63" s="771"/>
      <c r="H63" s="771"/>
      <c r="I63" s="772"/>
      <c r="J63" s="738">
        <v>0</v>
      </c>
      <c r="K63" s="738">
        <v>4990349</v>
      </c>
      <c r="L63" s="1296"/>
    </row>
    <row r="64" spans="1:12" ht="13.5" thickBot="1">
      <c r="A64" s="727">
        <v>42</v>
      </c>
      <c r="B64" s="739" t="s">
        <v>838</v>
      </c>
      <c r="C64" s="740">
        <f>SUM(C62:C63)</f>
        <v>10377551</v>
      </c>
      <c r="D64" s="741">
        <f>SUM(D62:D63)</f>
        <v>8868</v>
      </c>
      <c r="E64" s="741">
        <f>SUM(E62:E63)</f>
        <v>5378334</v>
      </c>
      <c r="F64" s="741">
        <f>SUM(F62:F63)</f>
        <v>4990349</v>
      </c>
      <c r="G64" s="777"/>
      <c r="H64" s="777"/>
      <c r="I64" s="778"/>
      <c r="J64" s="745">
        <f>SUM(J62+J63)</f>
        <v>0</v>
      </c>
      <c r="K64" s="745">
        <f>SUM(K62+K63)</f>
        <v>4990349</v>
      </c>
      <c r="L64" s="1304"/>
    </row>
    <row r="65" spans="1:12" ht="13.5" thickBot="1">
      <c r="A65" s="727"/>
      <c r="B65" s="1313"/>
      <c r="C65" s="1314"/>
      <c r="D65" s="1314"/>
      <c r="E65" s="1314"/>
      <c r="F65" s="1314"/>
      <c r="G65" s="1314"/>
      <c r="H65" s="1314"/>
      <c r="I65" s="1314"/>
      <c r="J65" s="1314"/>
      <c r="K65" s="1315"/>
      <c r="L65" s="726"/>
    </row>
    <row r="66" spans="1:12" ht="12.75">
      <c r="A66" s="746">
        <v>43</v>
      </c>
      <c r="B66" s="764" t="s">
        <v>839</v>
      </c>
      <c r="C66" s="748">
        <v>9989566</v>
      </c>
      <c r="D66" s="769">
        <v>0</v>
      </c>
      <c r="E66" s="769">
        <v>9989566</v>
      </c>
      <c r="F66" s="769">
        <v>0</v>
      </c>
      <c r="G66" s="770"/>
      <c r="H66" s="770"/>
      <c r="I66" s="770"/>
      <c r="J66" s="1295"/>
      <c r="K66" s="1295"/>
      <c r="L66" s="732"/>
    </row>
    <row r="67" spans="1:12" ht="13.5" thickBot="1">
      <c r="A67" s="746">
        <v>44</v>
      </c>
      <c r="B67" s="773" t="s">
        <v>844</v>
      </c>
      <c r="C67" s="751">
        <v>387985</v>
      </c>
      <c r="D67" s="762">
        <v>0</v>
      </c>
      <c r="E67" s="762">
        <v>387985</v>
      </c>
      <c r="F67" s="762">
        <v>0</v>
      </c>
      <c r="G67" s="771"/>
      <c r="H67" s="771"/>
      <c r="I67" s="772"/>
      <c r="J67" s="1296"/>
      <c r="K67" s="1296"/>
      <c r="L67" s="738"/>
    </row>
    <row r="68" spans="1:12" ht="13.5" thickBot="1">
      <c r="A68" s="765">
        <v>45</v>
      </c>
      <c r="B68" s="766" t="s">
        <v>378</v>
      </c>
      <c r="C68" s="754">
        <f>SUM(C66:C67)</f>
        <v>10377551</v>
      </c>
      <c r="D68" s="767">
        <f>SUM(D66:D67)</f>
        <v>0</v>
      </c>
      <c r="E68" s="767">
        <f>SUM(E66:E67)</f>
        <v>10377551</v>
      </c>
      <c r="F68" s="767">
        <f>SUM(F66:F67)</f>
        <v>0</v>
      </c>
      <c r="G68" s="779"/>
      <c r="H68" s="779"/>
      <c r="I68" s="780"/>
      <c r="J68" s="1304"/>
      <c r="K68" s="1304"/>
      <c r="L68" s="756">
        <f>SUM(L65:L67)</f>
        <v>0</v>
      </c>
    </row>
    <row r="69" spans="1:12" ht="14.25" thickBot="1" thickTop="1">
      <c r="A69" s="757"/>
      <c r="B69" s="1310"/>
      <c r="C69" s="1311"/>
      <c r="D69" s="1311"/>
      <c r="E69" s="1311"/>
      <c r="F69" s="1311"/>
      <c r="G69" s="1311"/>
      <c r="H69" s="1311"/>
      <c r="I69" s="1311"/>
      <c r="J69" s="1311"/>
      <c r="K69" s="1311"/>
      <c r="L69" s="1312"/>
    </row>
    <row r="70" spans="1:12" ht="16.5" thickBot="1" thickTop="1">
      <c r="A70" s="860">
        <v>46</v>
      </c>
      <c r="B70" s="1316" t="s">
        <v>991</v>
      </c>
      <c r="C70" s="1317"/>
      <c r="D70" s="1317"/>
      <c r="E70" s="1317"/>
      <c r="F70" s="1317"/>
      <c r="G70" s="1317"/>
      <c r="H70" s="1317"/>
      <c r="I70" s="1317"/>
      <c r="J70" s="1318"/>
      <c r="K70" s="1318"/>
      <c r="L70" s="862"/>
    </row>
    <row r="71" spans="1:12" ht="12.75">
      <c r="A71" s="725">
        <v>47</v>
      </c>
      <c r="B71" s="728" t="s">
        <v>841</v>
      </c>
      <c r="C71" s="758">
        <v>0</v>
      </c>
      <c r="D71" s="865"/>
      <c r="E71" s="759">
        <v>0</v>
      </c>
      <c r="F71" s="759">
        <v>0</v>
      </c>
      <c r="G71" s="759">
        <v>0</v>
      </c>
      <c r="H71" s="865"/>
      <c r="I71" s="865"/>
      <c r="J71" s="732">
        <v>0</v>
      </c>
      <c r="K71" s="732">
        <v>0</v>
      </c>
      <c r="L71" s="1295"/>
    </row>
    <row r="72" spans="1:12" ht="13.5" thickBot="1">
      <c r="A72" s="760">
        <v>48</v>
      </c>
      <c r="B72" s="733" t="s">
        <v>837</v>
      </c>
      <c r="C72" s="761">
        <v>202321812</v>
      </c>
      <c r="D72" s="866"/>
      <c r="E72" s="736">
        <f>104483115+10976885</f>
        <v>115460000</v>
      </c>
      <c r="F72" s="736">
        <v>75330433</v>
      </c>
      <c r="G72" s="736">
        <v>11531379</v>
      </c>
      <c r="H72" s="866"/>
      <c r="I72" s="866"/>
      <c r="J72" s="738">
        <f>79738385+8508586</f>
        <v>88246971</v>
      </c>
      <c r="K72" s="738"/>
      <c r="L72" s="1296"/>
    </row>
    <row r="73" spans="1:12" ht="13.5" thickBot="1">
      <c r="A73" s="727">
        <v>49</v>
      </c>
      <c r="B73" s="739" t="s">
        <v>838</v>
      </c>
      <c r="C73" s="740">
        <f aca="true" t="shared" si="3" ref="C73:K73">SUM(C71:C72)</f>
        <v>202321812</v>
      </c>
      <c r="D73" s="742"/>
      <c r="E73" s="741">
        <f t="shared" si="3"/>
        <v>115460000</v>
      </c>
      <c r="F73" s="741">
        <f t="shared" si="3"/>
        <v>75330433</v>
      </c>
      <c r="G73" s="741">
        <f t="shared" si="3"/>
        <v>11531379</v>
      </c>
      <c r="H73" s="742"/>
      <c r="I73" s="742"/>
      <c r="J73" s="745">
        <f>SUM(J71:J72)</f>
        <v>88246971</v>
      </c>
      <c r="K73" s="745">
        <f t="shared" si="3"/>
        <v>0</v>
      </c>
      <c r="L73" s="1304"/>
    </row>
    <row r="74" spans="1:12" ht="13.5" thickBot="1">
      <c r="A74" s="727"/>
      <c r="B74" s="1313"/>
      <c r="C74" s="1314"/>
      <c r="D74" s="1314"/>
      <c r="E74" s="1314"/>
      <c r="F74" s="1314"/>
      <c r="G74" s="1314"/>
      <c r="H74" s="1314"/>
      <c r="I74" s="1314"/>
      <c r="J74" s="1314"/>
      <c r="K74" s="1315"/>
      <c r="L74" s="726"/>
    </row>
    <row r="75" spans="1:12" ht="13.5" thickBot="1">
      <c r="A75" s="763">
        <v>50</v>
      </c>
      <c r="B75" s="764" t="s">
        <v>842</v>
      </c>
      <c r="C75" s="1323">
        <v>89908666</v>
      </c>
      <c r="D75" s="867"/>
      <c r="E75" s="730">
        <f>8545743+1</f>
        <v>8545744</v>
      </c>
      <c r="F75" s="769">
        <v>63219192</v>
      </c>
      <c r="G75" s="769">
        <v>9109530</v>
      </c>
      <c r="H75" s="867"/>
      <c r="I75" s="867"/>
      <c r="J75" s="1295"/>
      <c r="K75" s="1295"/>
      <c r="L75" s="732">
        <v>17304194</v>
      </c>
    </row>
    <row r="76" spans="1:12" ht="25.5">
      <c r="A76" s="903">
        <v>51</v>
      </c>
      <c r="B76" s="906" t="s">
        <v>1009</v>
      </c>
      <c r="C76" s="1324"/>
      <c r="D76" s="904"/>
      <c r="E76" s="902">
        <v>860400</v>
      </c>
      <c r="F76" s="905">
        <v>6883200</v>
      </c>
      <c r="G76" s="905">
        <v>1290600</v>
      </c>
      <c r="H76" s="904"/>
      <c r="I76" s="904"/>
      <c r="J76" s="1296"/>
      <c r="K76" s="1296"/>
      <c r="L76" s="901">
        <v>6883200</v>
      </c>
    </row>
    <row r="77" spans="1:12" ht="12.75">
      <c r="A77" s="746">
        <v>52</v>
      </c>
      <c r="B77" s="750" t="s">
        <v>840</v>
      </c>
      <c r="C77" s="868">
        <v>88083888</v>
      </c>
      <c r="D77" s="869"/>
      <c r="E77" s="736">
        <v>4803780</v>
      </c>
      <c r="F77" s="762">
        <v>82148859</v>
      </c>
      <c r="G77" s="762">
        <v>1131249</v>
      </c>
      <c r="H77" s="869"/>
      <c r="I77" s="869"/>
      <c r="J77" s="1296"/>
      <c r="K77" s="1296"/>
      <c r="L77" s="738">
        <v>58739847</v>
      </c>
    </row>
    <row r="78" spans="1:12" ht="12.75">
      <c r="A78" s="746">
        <v>53</v>
      </c>
      <c r="B78" s="870" t="s">
        <v>839</v>
      </c>
      <c r="C78" s="871">
        <v>17800696</v>
      </c>
      <c r="D78" s="872"/>
      <c r="E78" s="736">
        <v>13003105</v>
      </c>
      <c r="F78" s="762">
        <v>4797591</v>
      </c>
      <c r="G78" s="762">
        <v>0</v>
      </c>
      <c r="H78" s="872"/>
      <c r="I78" s="872"/>
      <c r="J78" s="1296"/>
      <c r="K78" s="1296"/>
      <c r="L78" s="738">
        <v>4797591</v>
      </c>
    </row>
    <row r="79" spans="1:12" ht="13.5" thickBot="1">
      <c r="A79" s="746">
        <v>54</v>
      </c>
      <c r="B79" s="873" t="s">
        <v>845</v>
      </c>
      <c r="C79" s="868">
        <v>6528562</v>
      </c>
      <c r="D79" s="874"/>
      <c r="E79" s="735"/>
      <c r="F79" s="875">
        <v>6528562</v>
      </c>
      <c r="G79" s="875">
        <v>0</v>
      </c>
      <c r="H79" s="874"/>
      <c r="I79" s="874"/>
      <c r="J79" s="1296"/>
      <c r="K79" s="1296"/>
      <c r="L79" s="876">
        <v>522139</v>
      </c>
    </row>
    <row r="80" spans="1:12" ht="13.5" thickBot="1">
      <c r="A80" s="765">
        <v>55</v>
      </c>
      <c r="B80" s="766" t="s">
        <v>378</v>
      </c>
      <c r="C80" s="754">
        <f>SUM(C75:C79)</f>
        <v>202321812</v>
      </c>
      <c r="D80" s="779"/>
      <c r="E80" s="767">
        <f>SUM(E75:E79)</f>
        <v>27213029</v>
      </c>
      <c r="F80" s="767">
        <f>SUM(F75:F79)</f>
        <v>163577404</v>
      </c>
      <c r="G80" s="767">
        <f>SUM(G75:G79)</f>
        <v>11531379</v>
      </c>
      <c r="H80" s="779"/>
      <c r="I80" s="779"/>
      <c r="J80" s="1297"/>
      <c r="K80" s="1297"/>
      <c r="L80" s="756">
        <f>SUM(L75:L79)</f>
        <v>88246971</v>
      </c>
    </row>
    <row r="81" spans="1:12" ht="14.25" thickBot="1" thickTop="1">
      <c r="A81" s="757"/>
      <c r="B81" s="1310"/>
      <c r="C81" s="1311"/>
      <c r="D81" s="1311"/>
      <c r="E81" s="1311"/>
      <c r="F81" s="1311"/>
      <c r="G81" s="1311"/>
      <c r="H81" s="1311"/>
      <c r="I81" s="1311"/>
      <c r="J81" s="1311"/>
      <c r="K81" s="1311"/>
      <c r="L81" s="1312"/>
    </row>
    <row r="82" spans="1:12" ht="16.5" thickBot="1" thickTop="1">
      <c r="A82" s="860">
        <v>56</v>
      </c>
      <c r="B82" s="1316" t="s">
        <v>992</v>
      </c>
      <c r="C82" s="1317"/>
      <c r="D82" s="1317"/>
      <c r="E82" s="1317"/>
      <c r="F82" s="1317"/>
      <c r="G82" s="1317"/>
      <c r="H82" s="1317"/>
      <c r="I82" s="1317"/>
      <c r="J82" s="1318"/>
      <c r="K82" s="1318"/>
      <c r="L82" s="862"/>
    </row>
    <row r="83" spans="1:12" ht="12.75">
      <c r="A83" s="725">
        <v>57</v>
      </c>
      <c r="B83" s="728" t="s">
        <v>841</v>
      </c>
      <c r="C83" s="758">
        <v>0</v>
      </c>
      <c r="D83" s="865"/>
      <c r="E83" s="759">
        <v>0</v>
      </c>
      <c r="F83" s="759">
        <v>0</v>
      </c>
      <c r="G83" s="759">
        <v>0</v>
      </c>
      <c r="H83" s="759"/>
      <c r="I83" s="865"/>
      <c r="J83" s="732">
        <v>0</v>
      </c>
      <c r="K83" s="732">
        <v>0</v>
      </c>
      <c r="L83" s="1295"/>
    </row>
    <row r="84" spans="1:12" ht="13.5" thickBot="1">
      <c r="A84" s="760">
        <v>58</v>
      </c>
      <c r="B84" s="733" t="s">
        <v>837</v>
      </c>
      <c r="C84" s="761">
        <v>62107135</v>
      </c>
      <c r="D84" s="866"/>
      <c r="E84" s="736">
        <v>32379432</v>
      </c>
      <c r="F84" s="736">
        <v>8244379</v>
      </c>
      <c r="G84" s="736">
        <v>20495112</v>
      </c>
      <c r="H84" s="736">
        <v>988212</v>
      </c>
      <c r="I84" s="866"/>
      <c r="J84" s="738">
        <f>16987125</f>
        <v>16987125</v>
      </c>
      <c r="K84" s="738"/>
      <c r="L84" s="1296"/>
    </row>
    <row r="85" spans="1:12" ht="13.5" thickBot="1">
      <c r="A85" s="727">
        <v>59</v>
      </c>
      <c r="B85" s="739" t="s">
        <v>838</v>
      </c>
      <c r="C85" s="740">
        <f>SUM(C83:C84)</f>
        <v>62107135</v>
      </c>
      <c r="D85" s="742"/>
      <c r="E85" s="741">
        <f>SUM(E83:E84)</f>
        <v>32379432</v>
      </c>
      <c r="F85" s="741">
        <f>SUM(F83:F84)</f>
        <v>8244379</v>
      </c>
      <c r="G85" s="741">
        <f>SUM(G83:G84)</f>
        <v>20495112</v>
      </c>
      <c r="H85" s="741">
        <f>SUM(H83:H84)</f>
        <v>988212</v>
      </c>
      <c r="I85" s="742"/>
      <c r="J85" s="745">
        <f>SUM(J83:J84)</f>
        <v>16987125</v>
      </c>
      <c r="K85" s="745">
        <f>SUM(K83:K84)</f>
        <v>0</v>
      </c>
      <c r="L85" s="1304"/>
    </row>
    <row r="86" spans="1:12" ht="13.5" thickBot="1">
      <c r="A86" s="727"/>
      <c r="B86" s="1313"/>
      <c r="C86" s="1314"/>
      <c r="D86" s="1314"/>
      <c r="E86" s="1314"/>
      <c r="F86" s="1314"/>
      <c r="G86" s="1314"/>
      <c r="H86" s="1314"/>
      <c r="I86" s="1314"/>
      <c r="J86" s="1314"/>
      <c r="K86" s="1315"/>
      <c r="L86" s="726"/>
    </row>
    <row r="87" spans="1:12" ht="13.5" thickBot="1">
      <c r="A87" s="763">
        <v>60</v>
      </c>
      <c r="B87" s="764" t="s">
        <v>842</v>
      </c>
      <c r="C87" s="1323">
        <v>30232800</v>
      </c>
      <c r="D87" s="867"/>
      <c r="E87" s="730">
        <v>1493750</v>
      </c>
      <c r="F87" s="769">
        <v>10460450</v>
      </c>
      <c r="G87" s="769">
        <v>6062400</v>
      </c>
      <c r="H87" s="769">
        <v>505200</v>
      </c>
      <c r="I87" s="867"/>
      <c r="J87" s="1295"/>
      <c r="K87" s="1295"/>
      <c r="L87" s="732">
        <v>7143232</v>
      </c>
    </row>
    <row r="88" spans="1:12" ht="25.5">
      <c r="A88" s="903">
        <v>61</v>
      </c>
      <c r="B88" s="906" t="s">
        <v>1008</v>
      </c>
      <c r="C88" s="1324"/>
      <c r="D88" s="904"/>
      <c r="E88" s="902">
        <v>3346000</v>
      </c>
      <c r="F88" s="905">
        <v>4015200</v>
      </c>
      <c r="G88" s="905">
        <v>4015200</v>
      </c>
      <c r="H88" s="905">
        <v>334600</v>
      </c>
      <c r="I88" s="904"/>
      <c r="J88" s="1296"/>
      <c r="K88" s="1296"/>
      <c r="L88" s="901">
        <v>4015200</v>
      </c>
    </row>
    <row r="89" spans="1:12" ht="12.75">
      <c r="A89" s="746">
        <v>62</v>
      </c>
      <c r="B89" s="750" t="s">
        <v>840</v>
      </c>
      <c r="C89" s="751">
        <v>28874335</v>
      </c>
      <c r="D89" s="869"/>
      <c r="E89" s="736">
        <v>10552557</v>
      </c>
      <c r="F89" s="762">
        <v>8855854</v>
      </c>
      <c r="G89" s="762">
        <v>9417512</v>
      </c>
      <c r="H89" s="762">
        <v>48412</v>
      </c>
      <c r="I89" s="869"/>
      <c r="J89" s="1296"/>
      <c r="K89" s="1296"/>
      <c r="L89" s="738">
        <v>4264649</v>
      </c>
    </row>
    <row r="90" spans="1:12" ht="13.5" thickBot="1">
      <c r="A90" s="746">
        <v>63</v>
      </c>
      <c r="B90" s="870" t="s">
        <v>993</v>
      </c>
      <c r="C90" s="878">
        <v>3000000</v>
      </c>
      <c r="D90" s="872"/>
      <c r="E90" s="736">
        <v>0</v>
      </c>
      <c r="F90" s="762">
        <v>1900000</v>
      </c>
      <c r="G90" s="762">
        <v>1000000</v>
      </c>
      <c r="H90" s="762">
        <v>100000</v>
      </c>
      <c r="I90" s="872"/>
      <c r="J90" s="1296"/>
      <c r="K90" s="1296"/>
      <c r="L90" s="738">
        <v>1564044</v>
      </c>
    </row>
    <row r="91" spans="1:12" ht="13.5" thickBot="1">
      <c r="A91" s="765">
        <v>64</v>
      </c>
      <c r="B91" s="766" t="s">
        <v>378</v>
      </c>
      <c r="C91" s="754">
        <f>SUM(C87:C90)</f>
        <v>62107135</v>
      </c>
      <c r="D91" s="779"/>
      <c r="E91" s="767">
        <f>SUM(E87:E90)</f>
        <v>15392307</v>
      </c>
      <c r="F91" s="767">
        <f>SUM(F87:F90)</f>
        <v>25231504</v>
      </c>
      <c r="G91" s="767">
        <f>SUM(G87:G90)</f>
        <v>20495112</v>
      </c>
      <c r="H91" s="767">
        <f>SUM(H87:H90)</f>
        <v>988212</v>
      </c>
      <c r="I91" s="779"/>
      <c r="J91" s="1297"/>
      <c r="K91" s="1297"/>
      <c r="L91" s="756">
        <f>SUM(L87:L90)</f>
        <v>16987125</v>
      </c>
    </row>
    <row r="92" spans="1:12" ht="14.25" thickBot="1" thickTop="1">
      <c r="A92" s="727"/>
      <c r="B92" s="1313"/>
      <c r="C92" s="1314"/>
      <c r="D92" s="1314"/>
      <c r="E92" s="1314"/>
      <c r="F92" s="1314"/>
      <c r="G92" s="1314"/>
      <c r="H92" s="1314"/>
      <c r="I92" s="1314"/>
      <c r="J92" s="1314"/>
      <c r="K92" s="1315"/>
      <c r="L92" s="726"/>
    </row>
    <row r="93" spans="1:12" ht="16.5" thickBot="1" thickTop="1">
      <c r="A93" s="860">
        <v>65</v>
      </c>
      <c r="B93" s="1301" t="s">
        <v>995</v>
      </c>
      <c r="C93" s="1302"/>
      <c r="D93" s="1302"/>
      <c r="E93" s="1302"/>
      <c r="F93" s="1302"/>
      <c r="G93" s="1302"/>
      <c r="H93" s="1302"/>
      <c r="I93" s="1302"/>
      <c r="J93" s="1303"/>
      <c r="K93" s="1303"/>
      <c r="L93" s="862"/>
    </row>
    <row r="94" spans="1:12" ht="12.75">
      <c r="A94" s="725">
        <v>66</v>
      </c>
      <c r="B94" s="783" t="s">
        <v>841</v>
      </c>
      <c r="C94" s="748">
        <v>0</v>
      </c>
      <c r="D94" s="872"/>
      <c r="E94" s="730">
        <v>0</v>
      </c>
      <c r="F94" s="769">
        <v>0</v>
      </c>
      <c r="G94" s="769">
        <v>0</v>
      </c>
      <c r="H94" s="770"/>
      <c r="I94" s="770"/>
      <c r="J94" s="732">
        <v>0</v>
      </c>
      <c r="K94" s="732">
        <v>0</v>
      </c>
      <c r="L94" s="1295"/>
    </row>
    <row r="95" spans="1:12" ht="13.5" thickBot="1">
      <c r="A95" s="727">
        <v>67</v>
      </c>
      <c r="B95" s="733" t="s">
        <v>837</v>
      </c>
      <c r="C95" s="751">
        <v>196302400</v>
      </c>
      <c r="D95" s="872"/>
      <c r="E95" s="736">
        <v>196302400</v>
      </c>
      <c r="F95" s="736">
        <v>0</v>
      </c>
      <c r="G95" s="736">
        <v>0</v>
      </c>
      <c r="H95" s="771"/>
      <c r="I95" s="772"/>
      <c r="J95" s="738">
        <v>196302400</v>
      </c>
      <c r="K95" s="738"/>
      <c r="L95" s="1296"/>
    </row>
    <row r="96" spans="1:12" ht="13.5" thickBot="1">
      <c r="A96" s="727">
        <v>68</v>
      </c>
      <c r="B96" s="739" t="s">
        <v>838</v>
      </c>
      <c r="C96" s="740">
        <f>SUM(C94:C95)</f>
        <v>196302400</v>
      </c>
      <c r="D96" s="777"/>
      <c r="E96" s="741">
        <f>SUM(E94:E95)</f>
        <v>196302400</v>
      </c>
      <c r="F96" s="741">
        <f>SUM(F94:F95)</f>
        <v>0</v>
      </c>
      <c r="G96" s="741">
        <f>SUM(G94:G95)</f>
        <v>0</v>
      </c>
      <c r="H96" s="777"/>
      <c r="I96" s="778"/>
      <c r="J96" s="745">
        <f>SUM(J94:J95)</f>
        <v>196302400</v>
      </c>
      <c r="K96" s="745">
        <f>SUM(K94:K95)</f>
        <v>0</v>
      </c>
      <c r="L96" s="1304"/>
    </row>
    <row r="97" spans="1:12" ht="13.5" thickBot="1">
      <c r="A97" s="727"/>
      <c r="B97" s="1313"/>
      <c r="C97" s="1314"/>
      <c r="D97" s="1314"/>
      <c r="E97" s="1314"/>
      <c r="F97" s="1314"/>
      <c r="G97" s="1314"/>
      <c r="H97" s="1314"/>
      <c r="I97" s="1314"/>
      <c r="J97" s="1314"/>
      <c r="K97" s="1315"/>
      <c r="L97" s="726"/>
    </row>
    <row r="98" spans="1:12" ht="12.75">
      <c r="A98" s="746">
        <v>69</v>
      </c>
      <c r="B98" s="764" t="s">
        <v>839</v>
      </c>
      <c r="C98" s="748">
        <f>SUM(E98:G98)</f>
        <v>196302400</v>
      </c>
      <c r="D98" s="869"/>
      <c r="E98" s="730">
        <v>0</v>
      </c>
      <c r="F98" s="730">
        <v>96822314</v>
      </c>
      <c r="G98" s="730">
        <v>99480086</v>
      </c>
      <c r="H98" s="770"/>
      <c r="I98" s="770"/>
      <c r="J98" s="1295"/>
      <c r="K98" s="1295"/>
      <c r="L98" s="732">
        <v>196302400</v>
      </c>
    </row>
    <row r="99" spans="1:12" ht="13.5" thickBot="1">
      <c r="A99" s="746">
        <v>70</v>
      </c>
      <c r="B99" s="773" t="s">
        <v>844</v>
      </c>
      <c r="C99" s="751">
        <v>0</v>
      </c>
      <c r="D99" s="872"/>
      <c r="E99" s="774">
        <v>0</v>
      </c>
      <c r="F99" s="774">
        <v>0</v>
      </c>
      <c r="G99" s="774">
        <v>0</v>
      </c>
      <c r="H99" s="771"/>
      <c r="I99" s="772"/>
      <c r="J99" s="1296"/>
      <c r="K99" s="1296"/>
      <c r="L99" s="738">
        <v>0</v>
      </c>
    </row>
    <row r="100" spans="1:12" ht="13.5" thickBot="1">
      <c r="A100" s="765">
        <v>71</v>
      </c>
      <c r="B100" s="766" t="s">
        <v>378</v>
      </c>
      <c r="C100" s="754">
        <f>SUM(C98:C99)</f>
        <v>196302400</v>
      </c>
      <c r="D100" s="779"/>
      <c r="E100" s="767">
        <f>SUM(E98:E99)</f>
        <v>0</v>
      </c>
      <c r="F100" s="767">
        <f>SUM(F98:F99)</f>
        <v>96822314</v>
      </c>
      <c r="G100" s="767">
        <f>SUM(G98:G99)</f>
        <v>99480086</v>
      </c>
      <c r="H100" s="779"/>
      <c r="I100" s="779"/>
      <c r="J100" s="1297"/>
      <c r="K100" s="1297"/>
      <c r="L100" s="756">
        <f>SUM(L98:L99)</f>
        <v>196302400</v>
      </c>
    </row>
    <row r="101" spans="1:12" ht="14.25" thickBot="1" thickTop="1">
      <c r="A101" s="727"/>
      <c r="B101" s="1313"/>
      <c r="C101" s="1314"/>
      <c r="D101" s="1314"/>
      <c r="E101" s="1314"/>
      <c r="F101" s="1314"/>
      <c r="G101" s="1314"/>
      <c r="H101" s="1314"/>
      <c r="I101" s="1314"/>
      <c r="J101" s="1314"/>
      <c r="K101" s="1315"/>
      <c r="L101" s="726"/>
    </row>
    <row r="102" spans="1:12" ht="16.5" thickBot="1" thickTop="1">
      <c r="A102" s="860">
        <v>72</v>
      </c>
      <c r="B102" s="1301" t="s">
        <v>996</v>
      </c>
      <c r="C102" s="1302"/>
      <c r="D102" s="1302"/>
      <c r="E102" s="1302"/>
      <c r="F102" s="1302"/>
      <c r="G102" s="1302"/>
      <c r="H102" s="1302"/>
      <c r="I102" s="1302"/>
      <c r="J102" s="1303"/>
      <c r="K102" s="1303"/>
      <c r="L102" s="862"/>
    </row>
    <row r="103" spans="1:12" ht="12.75">
      <c r="A103" s="725">
        <v>73</v>
      </c>
      <c r="B103" s="783" t="s">
        <v>841</v>
      </c>
      <c r="C103" s="748">
        <v>0</v>
      </c>
      <c r="D103" s="872"/>
      <c r="E103" s="730">
        <v>0</v>
      </c>
      <c r="F103" s="769">
        <v>0</v>
      </c>
      <c r="G103" s="770"/>
      <c r="H103" s="770"/>
      <c r="I103" s="770"/>
      <c r="J103" s="732">
        <v>0</v>
      </c>
      <c r="K103" s="732">
        <v>0</v>
      </c>
      <c r="L103" s="1295"/>
    </row>
    <row r="104" spans="1:12" ht="13.5" thickBot="1">
      <c r="A104" s="727">
        <v>74</v>
      </c>
      <c r="B104" s="733" t="s">
        <v>837</v>
      </c>
      <c r="C104" s="751">
        <v>437625000</v>
      </c>
      <c r="D104" s="872"/>
      <c r="E104" s="736">
        <v>437625000</v>
      </c>
      <c r="F104" s="736">
        <v>0</v>
      </c>
      <c r="G104" s="771"/>
      <c r="H104" s="771"/>
      <c r="I104" s="772"/>
      <c r="J104" s="738">
        <f>7875000+429750000</f>
        <v>437625000</v>
      </c>
      <c r="K104" s="738">
        <v>0</v>
      </c>
      <c r="L104" s="1296"/>
    </row>
    <row r="105" spans="1:12" ht="13.5" thickBot="1">
      <c r="A105" s="727">
        <v>75</v>
      </c>
      <c r="B105" s="739" t="s">
        <v>838</v>
      </c>
      <c r="C105" s="740">
        <f>SUM(C103:C104)</f>
        <v>437625000</v>
      </c>
      <c r="D105" s="777"/>
      <c r="E105" s="741">
        <f>SUM(E103:E104)</f>
        <v>437625000</v>
      </c>
      <c r="F105" s="741">
        <f>SUM(F103:F104)</f>
        <v>0</v>
      </c>
      <c r="G105" s="777"/>
      <c r="H105" s="777"/>
      <c r="I105" s="778"/>
      <c r="J105" s="745">
        <f>SUM(J103:J104)</f>
        <v>437625000</v>
      </c>
      <c r="K105" s="745">
        <f>SUM(K103:K104)</f>
        <v>0</v>
      </c>
      <c r="L105" s="1304"/>
    </row>
    <row r="106" spans="1:12" ht="13.5" thickBot="1">
      <c r="A106" s="727"/>
      <c r="B106" s="1313"/>
      <c r="C106" s="1314"/>
      <c r="D106" s="1314"/>
      <c r="E106" s="1314"/>
      <c r="F106" s="1314"/>
      <c r="G106" s="1314"/>
      <c r="H106" s="1314"/>
      <c r="I106" s="1314"/>
      <c r="J106" s="1314"/>
      <c r="K106" s="1315"/>
      <c r="L106" s="726"/>
    </row>
    <row r="107" spans="1:12" ht="13.5" thickBot="1">
      <c r="A107" s="746">
        <v>76</v>
      </c>
      <c r="B107" s="764" t="s">
        <v>839</v>
      </c>
      <c r="C107" s="748">
        <v>429750000</v>
      </c>
      <c r="D107" s="869"/>
      <c r="E107" s="730">
        <v>0</v>
      </c>
      <c r="F107" s="730">
        <v>429750000</v>
      </c>
      <c r="G107" s="770"/>
      <c r="H107" s="770"/>
      <c r="I107" s="770"/>
      <c r="J107" s="1295"/>
      <c r="K107" s="1295"/>
      <c r="L107" s="732">
        <v>429750000</v>
      </c>
    </row>
    <row r="108" spans="1:12" ht="13.5" thickBot="1">
      <c r="A108" s="746">
        <v>77</v>
      </c>
      <c r="B108" s="773" t="s">
        <v>840</v>
      </c>
      <c r="C108" s="751">
        <v>7875000</v>
      </c>
      <c r="D108" s="872"/>
      <c r="E108" s="774">
        <v>0</v>
      </c>
      <c r="F108" s="730">
        <v>7875000</v>
      </c>
      <c r="G108" s="771"/>
      <c r="H108" s="771"/>
      <c r="I108" s="772"/>
      <c r="J108" s="1296"/>
      <c r="K108" s="1296"/>
      <c r="L108" s="738">
        <v>7875000</v>
      </c>
    </row>
    <row r="109" spans="1:12" ht="13.5" thickBot="1">
      <c r="A109" s="765">
        <v>78</v>
      </c>
      <c r="B109" s="766" t="s">
        <v>378</v>
      </c>
      <c r="C109" s="754">
        <f>SUM(C107:C108)</f>
        <v>437625000</v>
      </c>
      <c r="D109" s="779"/>
      <c r="E109" s="767">
        <f>SUM(E107:E108)</f>
        <v>0</v>
      </c>
      <c r="F109" s="767">
        <f>SUM(F107:F108)</f>
        <v>437625000</v>
      </c>
      <c r="G109" s="779"/>
      <c r="H109" s="779"/>
      <c r="I109" s="779"/>
      <c r="J109" s="1297"/>
      <c r="K109" s="1297"/>
      <c r="L109" s="756">
        <f>SUM(L107:L108)</f>
        <v>437625000</v>
      </c>
    </row>
    <row r="110" spans="1:12" ht="14.25" thickBot="1" thickTop="1">
      <c r="A110" s="727"/>
      <c r="B110" s="1313"/>
      <c r="C110" s="1314"/>
      <c r="D110" s="1314"/>
      <c r="E110" s="1314"/>
      <c r="F110" s="1314"/>
      <c r="G110" s="1314"/>
      <c r="H110" s="1314"/>
      <c r="I110" s="1314"/>
      <c r="J110" s="1314"/>
      <c r="K110" s="1315"/>
      <c r="L110" s="726"/>
    </row>
    <row r="111" spans="1:12" ht="16.5" thickBot="1" thickTop="1">
      <c r="A111" s="860">
        <v>79</v>
      </c>
      <c r="B111" s="1301" t="s">
        <v>997</v>
      </c>
      <c r="C111" s="1302"/>
      <c r="D111" s="1302"/>
      <c r="E111" s="1302"/>
      <c r="F111" s="1302"/>
      <c r="G111" s="1302"/>
      <c r="H111" s="1302"/>
      <c r="I111" s="1302"/>
      <c r="J111" s="1303"/>
      <c r="K111" s="1303"/>
      <c r="L111" s="862"/>
    </row>
    <row r="112" spans="1:12" ht="12.75">
      <c r="A112" s="725">
        <v>80</v>
      </c>
      <c r="B112" s="783" t="s">
        <v>841</v>
      </c>
      <c r="C112" s="748">
        <v>0</v>
      </c>
      <c r="D112" s="872"/>
      <c r="E112" s="730">
        <v>0</v>
      </c>
      <c r="F112" s="769">
        <v>0</v>
      </c>
      <c r="G112" s="769">
        <v>0</v>
      </c>
      <c r="H112" s="770"/>
      <c r="I112" s="770"/>
      <c r="J112" s="732">
        <v>0</v>
      </c>
      <c r="K112" s="732">
        <v>0</v>
      </c>
      <c r="L112" s="1295"/>
    </row>
    <row r="113" spans="1:12" ht="13.5" thickBot="1">
      <c r="A113" s="727">
        <v>81</v>
      </c>
      <c r="B113" s="733" t="s">
        <v>837</v>
      </c>
      <c r="C113" s="751">
        <v>100000000</v>
      </c>
      <c r="D113" s="872"/>
      <c r="E113" s="736">
        <v>100000000</v>
      </c>
      <c r="F113" s="736">
        <v>0</v>
      </c>
      <c r="G113" s="736">
        <v>0</v>
      </c>
      <c r="H113" s="771"/>
      <c r="I113" s="772"/>
      <c r="J113" s="738">
        <v>97606050</v>
      </c>
      <c r="K113" s="738"/>
      <c r="L113" s="1296"/>
    </row>
    <row r="114" spans="1:12" ht="13.5" thickBot="1">
      <c r="A114" s="727">
        <v>82</v>
      </c>
      <c r="B114" s="739" t="s">
        <v>838</v>
      </c>
      <c r="C114" s="740">
        <f>SUM(C112:C113)</f>
        <v>100000000</v>
      </c>
      <c r="D114" s="777"/>
      <c r="E114" s="741">
        <f>SUM(E112:E113)</f>
        <v>100000000</v>
      </c>
      <c r="F114" s="741">
        <f>SUM(F112:F113)</f>
        <v>0</v>
      </c>
      <c r="G114" s="741">
        <f>SUM(G112:G113)</f>
        <v>0</v>
      </c>
      <c r="H114" s="777"/>
      <c r="I114" s="778"/>
      <c r="J114" s="745">
        <f>SUM(J112:J113)</f>
        <v>97606050</v>
      </c>
      <c r="K114" s="745">
        <f>SUM(K112:K113)</f>
        <v>0</v>
      </c>
      <c r="L114" s="1304"/>
    </row>
    <row r="115" spans="1:12" ht="13.5" thickBot="1">
      <c r="A115" s="727"/>
      <c r="B115" s="1313"/>
      <c r="C115" s="1314"/>
      <c r="D115" s="1314"/>
      <c r="E115" s="1314"/>
      <c r="F115" s="1314"/>
      <c r="G115" s="1314"/>
      <c r="H115" s="1314"/>
      <c r="I115" s="1314"/>
      <c r="J115" s="1314"/>
      <c r="K115" s="1315"/>
      <c r="L115" s="726"/>
    </row>
    <row r="116" spans="1:12" ht="12.75">
      <c r="A116" s="746">
        <v>83</v>
      </c>
      <c r="B116" s="764" t="s">
        <v>845</v>
      </c>
      <c r="C116" s="748">
        <f>SUM(E116:G116)</f>
        <v>100000000</v>
      </c>
      <c r="D116" s="869"/>
      <c r="E116" s="730">
        <v>2393950</v>
      </c>
      <c r="F116" s="730">
        <v>85795050</v>
      </c>
      <c r="G116" s="730">
        <v>11811000</v>
      </c>
      <c r="H116" s="770"/>
      <c r="I116" s="770"/>
      <c r="J116" s="1295"/>
      <c r="K116" s="1295"/>
      <c r="L116" s="732">
        <v>97606050</v>
      </c>
    </row>
    <row r="117" spans="1:12" ht="13.5" thickBot="1">
      <c r="A117" s="746">
        <v>84</v>
      </c>
      <c r="B117" s="773" t="s">
        <v>846</v>
      </c>
      <c r="C117" s="751">
        <v>0</v>
      </c>
      <c r="D117" s="872"/>
      <c r="E117" s="774">
        <v>0</v>
      </c>
      <c r="F117" s="774">
        <v>0</v>
      </c>
      <c r="G117" s="774">
        <v>0</v>
      </c>
      <c r="H117" s="771"/>
      <c r="I117" s="772"/>
      <c r="J117" s="1296"/>
      <c r="K117" s="1296"/>
      <c r="L117" s="738">
        <v>0</v>
      </c>
    </row>
    <row r="118" spans="1:12" ht="13.5" thickBot="1">
      <c r="A118" s="765">
        <v>85</v>
      </c>
      <c r="B118" s="766" t="s">
        <v>378</v>
      </c>
      <c r="C118" s="754">
        <f>SUM(C116:C117)</f>
        <v>100000000</v>
      </c>
      <c r="D118" s="779"/>
      <c r="E118" s="767">
        <f>SUM(E116:E117)</f>
        <v>2393950</v>
      </c>
      <c r="F118" s="767">
        <f>SUM(F116:F117)</f>
        <v>85795050</v>
      </c>
      <c r="G118" s="767">
        <f>SUM(G116:G117)</f>
        <v>11811000</v>
      </c>
      <c r="H118" s="779"/>
      <c r="I118" s="779"/>
      <c r="J118" s="1297"/>
      <c r="K118" s="1297"/>
      <c r="L118" s="756">
        <f>SUM(L116:L117)</f>
        <v>97606050</v>
      </c>
    </row>
    <row r="119" spans="1:12" ht="14.25" thickBot="1" thickTop="1">
      <c r="A119" s="727"/>
      <c r="B119" s="1313"/>
      <c r="C119" s="1314"/>
      <c r="D119" s="1314"/>
      <c r="E119" s="1314"/>
      <c r="F119" s="1314"/>
      <c r="G119" s="1314"/>
      <c r="H119" s="1314"/>
      <c r="I119" s="1314"/>
      <c r="J119" s="1314"/>
      <c r="K119" s="1315"/>
      <c r="L119" s="726"/>
    </row>
    <row r="120" spans="1:12" ht="16.5" thickBot="1" thickTop="1">
      <c r="A120" s="860">
        <v>86</v>
      </c>
      <c r="B120" s="1301" t="s">
        <v>998</v>
      </c>
      <c r="C120" s="1302"/>
      <c r="D120" s="1302"/>
      <c r="E120" s="1302"/>
      <c r="F120" s="1302"/>
      <c r="G120" s="1302"/>
      <c r="H120" s="1302"/>
      <c r="I120" s="1302"/>
      <c r="J120" s="1303"/>
      <c r="K120" s="1303"/>
      <c r="L120" s="862"/>
    </row>
    <row r="121" spans="1:12" ht="12.75">
      <c r="A121" s="725">
        <v>87</v>
      </c>
      <c r="B121" s="783" t="s">
        <v>841</v>
      </c>
      <c r="C121" s="748">
        <v>10000000</v>
      </c>
      <c r="D121" s="872"/>
      <c r="E121" s="730">
        <v>0</v>
      </c>
      <c r="F121" s="769">
        <v>10000000</v>
      </c>
      <c r="G121" s="770"/>
      <c r="H121" s="770"/>
      <c r="I121" s="770"/>
      <c r="J121" s="732">
        <v>0</v>
      </c>
      <c r="K121" s="732">
        <v>10000000</v>
      </c>
      <c r="L121" s="1295"/>
    </row>
    <row r="122" spans="1:12" ht="13.5" thickBot="1">
      <c r="A122" s="727">
        <v>88</v>
      </c>
      <c r="B122" s="733" t="s">
        <v>837</v>
      </c>
      <c r="C122" s="751">
        <v>118000000</v>
      </c>
      <c r="D122" s="872"/>
      <c r="E122" s="736">
        <v>112219000</v>
      </c>
      <c r="F122" s="736">
        <v>5781000</v>
      </c>
      <c r="G122" s="771"/>
      <c r="H122" s="771"/>
      <c r="I122" s="772"/>
      <c r="J122" s="738">
        <v>106361800</v>
      </c>
      <c r="K122" s="738"/>
      <c r="L122" s="1296"/>
    </row>
    <row r="123" spans="1:12" ht="13.5" thickBot="1">
      <c r="A123" s="727">
        <v>89</v>
      </c>
      <c r="B123" s="739" t="s">
        <v>838</v>
      </c>
      <c r="C123" s="740">
        <f>SUM(C121:C122)</f>
        <v>128000000</v>
      </c>
      <c r="D123" s="777"/>
      <c r="E123" s="741">
        <f>SUM(E121:E122)</f>
        <v>112219000</v>
      </c>
      <c r="F123" s="741">
        <f>SUM(F121:F122)</f>
        <v>15781000</v>
      </c>
      <c r="G123" s="777"/>
      <c r="H123" s="777"/>
      <c r="I123" s="778"/>
      <c r="J123" s="745">
        <f>SUM(J121:J122)</f>
        <v>106361800</v>
      </c>
      <c r="K123" s="745">
        <f>SUM(K121:K122)</f>
        <v>10000000</v>
      </c>
      <c r="L123" s="1304"/>
    </row>
    <row r="124" spans="1:12" ht="13.5" thickBot="1">
      <c r="A124" s="727"/>
      <c r="B124" s="1313"/>
      <c r="C124" s="1314"/>
      <c r="D124" s="1314"/>
      <c r="E124" s="1314"/>
      <c r="F124" s="1314"/>
      <c r="G124" s="1314"/>
      <c r="H124" s="1314"/>
      <c r="I124" s="1314"/>
      <c r="J124" s="1314"/>
      <c r="K124" s="1315"/>
      <c r="L124" s="726"/>
    </row>
    <row r="125" spans="1:12" ht="13.5" thickBot="1">
      <c r="A125" s="746">
        <v>90</v>
      </c>
      <c r="B125" s="764" t="s">
        <v>839</v>
      </c>
      <c r="C125" s="748">
        <f>SUM(E125:G125)</f>
        <v>118000000</v>
      </c>
      <c r="D125" s="872"/>
      <c r="E125" s="730">
        <v>5857200</v>
      </c>
      <c r="F125" s="730">
        <v>112142800</v>
      </c>
      <c r="G125" s="770"/>
      <c r="H125" s="770"/>
      <c r="I125" s="770"/>
      <c r="J125" s="1295"/>
      <c r="K125" s="1295"/>
      <c r="L125" s="732">
        <v>106361800</v>
      </c>
    </row>
    <row r="126" spans="1:12" ht="13.5" thickBot="1">
      <c r="A126" s="746">
        <v>91</v>
      </c>
      <c r="B126" s="773" t="s">
        <v>844</v>
      </c>
      <c r="C126" s="748">
        <f>SUM(E126:G126)</f>
        <v>10000000</v>
      </c>
      <c r="D126" s="872"/>
      <c r="E126" s="774">
        <v>0</v>
      </c>
      <c r="F126" s="910">
        <v>10000000</v>
      </c>
      <c r="G126" s="771"/>
      <c r="H126" s="771"/>
      <c r="I126" s="772"/>
      <c r="J126" s="1296"/>
      <c r="K126" s="1296"/>
      <c r="L126" s="738">
        <v>10000000</v>
      </c>
    </row>
    <row r="127" spans="1:12" ht="13.5" thickBot="1">
      <c r="A127" s="765">
        <v>92</v>
      </c>
      <c r="B127" s="766" t="s">
        <v>378</v>
      </c>
      <c r="C127" s="754">
        <f>SUM(C125:C126)</f>
        <v>128000000</v>
      </c>
      <c r="D127" s="779"/>
      <c r="E127" s="767">
        <f>SUM(E125:E126)</f>
        <v>5857200</v>
      </c>
      <c r="F127" s="767">
        <f>SUM(F125:F126)</f>
        <v>122142800</v>
      </c>
      <c r="G127" s="779"/>
      <c r="H127" s="779"/>
      <c r="I127" s="779"/>
      <c r="J127" s="1297"/>
      <c r="K127" s="1297"/>
      <c r="L127" s="756">
        <f>SUM(L125:L126)</f>
        <v>116361800</v>
      </c>
    </row>
    <row r="128" spans="1:12" ht="14.25" thickBot="1" thickTop="1">
      <c r="A128" s="768"/>
      <c r="B128" s="879"/>
      <c r="C128" s="880"/>
      <c r="D128" s="881"/>
      <c r="E128" s="882"/>
      <c r="F128" s="882"/>
      <c r="G128" s="881"/>
      <c r="H128" s="881"/>
      <c r="I128" s="881"/>
      <c r="J128" s="883"/>
      <c r="K128" s="883"/>
      <c r="L128" s="884"/>
    </row>
    <row r="129" spans="1:12" ht="16.5" thickBot="1" thickTop="1">
      <c r="A129" s="860">
        <v>93</v>
      </c>
      <c r="B129" s="1301" t="s">
        <v>999</v>
      </c>
      <c r="C129" s="1302"/>
      <c r="D129" s="1302"/>
      <c r="E129" s="1302"/>
      <c r="F129" s="1302"/>
      <c r="G129" s="1302"/>
      <c r="H129" s="1302"/>
      <c r="I129" s="1302"/>
      <c r="J129" s="1303"/>
      <c r="K129" s="1303"/>
      <c r="L129" s="862"/>
    </row>
    <row r="130" spans="1:12" ht="12.75">
      <c r="A130" s="725">
        <v>94</v>
      </c>
      <c r="B130" s="783" t="s">
        <v>841</v>
      </c>
      <c r="C130" s="748">
        <v>0</v>
      </c>
      <c r="D130" s="872"/>
      <c r="E130" s="730">
        <v>0</v>
      </c>
      <c r="F130" s="769">
        <v>0</v>
      </c>
      <c r="G130" s="770"/>
      <c r="H130" s="770"/>
      <c r="I130" s="770"/>
      <c r="J130" s="732">
        <v>0</v>
      </c>
      <c r="K130" s="732">
        <v>0</v>
      </c>
      <c r="L130" s="1295"/>
    </row>
    <row r="131" spans="1:12" ht="13.5" thickBot="1">
      <c r="A131" s="727">
        <v>95</v>
      </c>
      <c r="B131" s="733" t="s">
        <v>837</v>
      </c>
      <c r="C131" s="751">
        <v>50000000</v>
      </c>
      <c r="D131" s="872"/>
      <c r="E131" s="736">
        <v>50000000</v>
      </c>
      <c r="F131" s="736">
        <v>0</v>
      </c>
      <c r="G131" s="771"/>
      <c r="H131" s="771"/>
      <c r="I131" s="772"/>
      <c r="J131" s="738">
        <v>47550000</v>
      </c>
      <c r="K131" s="738"/>
      <c r="L131" s="1296"/>
    </row>
    <row r="132" spans="1:12" ht="13.5" thickBot="1">
      <c r="A132" s="727">
        <v>96</v>
      </c>
      <c r="B132" s="739" t="s">
        <v>838</v>
      </c>
      <c r="C132" s="740">
        <f>SUM(C130:C131)</f>
        <v>50000000</v>
      </c>
      <c r="D132" s="777"/>
      <c r="E132" s="741">
        <f>SUM(E130:E131)</f>
        <v>50000000</v>
      </c>
      <c r="F132" s="741">
        <f>SUM(F130:F131)</f>
        <v>0</v>
      </c>
      <c r="G132" s="777"/>
      <c r="H132" s="777"/>
      <c r="I132" s="778"/>
      <c r="J132" s="745">
        <f>SUM(J130:J131)</f>
        <v>47550000</v>
      </c>
      <c r="K132" s="745">
        <f>SUM(K130:K131)</f>
        <v>0</v>
      </c>
      <c r="L132" s="1304"/>
    </row>
    <row r="133" spans="1:12" ht="13.5" thickBot="1">
      <c r="A133" s="727"/>
      <c r="B133" s="1313"/>
      <c r="C133" s="1314"/>
      <c r="D133" s="1314"/>
      <c r="E133" s="1314"/>
      <c r="F133" s="1314"/>
      <c r="G133" s="1314"/>
      <c r="H133" s="1314"/>
      <c r="I133" s="1314"/>
      <c r="J133" s="1314"/>
      <c r="K133" s="1315"/>
      <c r="L133" s="726"/>
    </row>
    <row r="134" spans="1:12" ht="12.75">
      <c r="A134" s="746">
        <v>97</v>
      </c>
      <c r="B134" s="764" t="s">
        <v>845</v>
      </c>
      <c r="C134" s="748">
        <v>50000000</v>
      </c>
      <c r="D134" s="869"/>
      <c r="E134" s="885">
        <v>2450000</v>
      </c>
      <c r="F134" s="885">
        <v>47550000</v>
      </c>
      <c r="G134" s="770"/>
      <c r="H134" s="770"/>
      <c r="I134" s="770"/>
      <c r="J134" s="1295"/>
      <c r="K134" s="1295"/>
      <c r="L134" s="732">
        <v>47550000</v>
      </c>
    </row>
    <row r="135" spans="1:12" ht="13.5" thickBot="1">
      <c r="A135" s="746">
        <v>98</v>
      </c>
      <c r="B135" s="773" t="s">
        <v>846</v>
      </c>
      <c r="C135" s="751">
        <v>0</v>
      </c>
      <c r="D135" s="872"/>
      <c r="E135" s="774">
        <v>0</v>
      </c>
      <c r="F135" s="774">
        <v>0</v>
      </c>
      <c r="G135" s="771"/>
      <c r="H135" s="771"/>
      <c r="I135" s="772"/>
      <c r="J135" s="1296"/>
      <c r="K135" s="1296"/>
      <c r="L135" s="738">
        <v>0</v>
      </c>
    </row>
    <row r="136" spans="1:12" ht="13.5" thickBot="1">
      <c r="A136" s="765">
        <v>99</v>
      </c>
      <c r="B136" s="766" t="s">
        <v>378</v>
      </c>
      <c r="C136" s="754">
        <f>SUM(C134:C135)</f>
        <v>50000000</v>
      </c>
      <c r="D136" s="779"/>
      <c r="E136" s="767">
        <f>SUM(E134:E135)</f>
        <v>2450000</v>
      </c>
      <c r="F136" s="767">
        <f>SUM(F134:F135)</f>
        <v>47550000</v>
      </c>
      <c r="G136" s="779"/>
      <c r="H136" s="779"/>
      <c r="I136" s="779"/>
      <c r="J136" s="1297"/>
      <c r="K136" s="1297"/>
      <c r="L136" s="756">
        <f>SUM(L134:L135)</f>
        <v>47550000</v>
      </c>
    </row>
    <row r="137" spans="1:12" ht="14.25" thickBot="1" thickTop="1">
      <c r="A137" s="746"/>
      <c r="B137" s="886"/>
      <c r="C137" s="887"/>
      <c r="D137" s="888"/>
      <c r="E137" s="887"/>
      <c r="F137" s="887"/>
      <c r="G137" s="888"/>
      <c r="H137" s="888"/>
      <c r="I137" s="888"/>
      <c r="J137" s="889"/>
      <c r="K137" s="889"/>
      <c r="L137" s="890"/>
    </row>
    <row r="138" spans="1:12" ht="16.5" thickBot="1" thickTop="1">
      <c r="A138" s="860">
        <v>100</v>
      </c>
      <c r="B138" s="1301" t="s">
        <v>1000</v>
      </c>
      <c r="C138" s="1302"/>
      <c r="D138" s="1302"/>
      <c r="E138" s="1302"/>
      <c r="F138" s="1302"/>
      <c r="G138" s="1302"/>
      <c r="H138" s="1302"/>
      <c r="I138" s="1302"/>
      <c r="J138" s="1303"/>
      <c r="K138" s="1303"/>
      <c r="L138" s="862"/>
    </row>
    <row r="139" spans="1:12" ht="12.75">
      <c r="A139" s="725">
        <v>101</v>
      </c>
      <c r="B139" s="783" t="s">
        <v>841</v>
      </c>
      <c r="C139" s="748">
        <v>0</v>
      </c>
      <c r="D139" s="872"/>
      <c r="E139" s="730">
        <v>0</v>
      </c>
      <c r="F139" s="769">
        <v>0</v>
      </c>
      <c r="G139" s="891">
        <v>0</v>
      </c>
      <c r="H139" s="891">
        <v>0</v>
      </c>
      <c r="I139" s="891">
        <v>0</v>
      </c>
      <c r="J139" s="732">
        <v>0</v>
      </c>
      <c r="K139" s="732">
        <v>0</v>
      </c>
      <c r="L139" s="1295"/>
    </row>
    <row r="140" spans="1:12" ht="13.5" thickBot="1">
      <c r="A140" s="727">
        <v>102</v>
      </c>
      <c r="B140" s="733" t="s">
        <v>837</v>
      </c>
      <c r="C140" s="751">
        <v>21635062</v>
      </c>
      <c r="D140" s="872"/>
      <c r="E140" s="736">
        <v>21635062</v>
      </c>
      <c r="F140" s="736">
        <v>0</v>
      </c>
      <c r="G140" s="892">
        <v>0</v>
      </c>
      <c r="H140" s="892">
        <v>0</v>
      </c>
      <c r="I140" s="893">
        <v>0</v>
      </c>
      <c r="J140" s="738">
        <f>19772715+55</f>
        <v>19772770</v>
      </c>
      <c r="K140" s="738"/>
      <c r="L140" s="1296"/>
    </row>
    <row r="141" spans="1:12" ht="13.5" thickBot="1">
      <c r="A141" s="727">
        <v>103</v>
      </c>
      <c r="B141" s="739" t="s">
        <v>838</v>
      </c>
      <c r="C141" s="740">
        <f>SUM(C139:C140)</f>
        <v>21635062</v>
      </c>
      <c r="D141" s="777"/>
      <c r="E141" s="741">
        <f aca="true" t="shared" si="4" ref="E141:K141">SUM(E139:E140)</f>
        <v>21635062</v>
      </c>
      <c r="F141" s="741">
        <f t="shared" si="4"/>
        <v>0</v>
      </c>
      <c r="G141" s="741">
        <f t="shared" si="4"/>
        <v>0</v>
      </c>
      <c r="H141" s="741">
        <f t="shared" si="4"/>
        <v>0</v>
      </c>
      <c r="I141" s="741">
        <f t="shared" si="4"/>
        <v>0</v>
      </c>
      <c r="J141" s="745">
        <f t="shared" si="4"/>
        <v>19772770</v>
      </c>
      <c r="K141" s="745">
        <f t="shared" si="4"/>
        <v>0</v>
      </c>
      <c r="L141" s="1304"/>
    </row>
    <row r="142" spans="1:12" ht="13.5" thickBot="1">
      <c r="A142" s="727"/>
      <c r="B142" s="1313"/>
      <c r="C142" s="1314"/>
      <c r="D142" s="1314"/>
      <c r="E142" s="1314"/>
      <c r="F142" s="1314"/>
      <c r="G142" s="1314"/>
      <c r="H142" s="1314"/>
      <c r="I142" s="1314"/>
      <c r="J142" s="1314"/>
      <c r="K142" s="1315"/>
      <c r="L142" s="726"/>
    </row>
    <row r="143" spans="1:12" ht="12.75">
      <c r="A143" s="746">
        <v>104</v>
      </c>
      <c r="B143" s="764" t="s">
        <v>842</v>
      </c>
      <c r="C143" s="748">
        <v>10295000</v>
      </c>
      <c r="D143" s="869"/>
      <c r="E143" s="885">
        <v>717000</v>
      </c>
      <c r="F143" s="885">
        <v>3123000</v>
      </c>
      <c r="G143" s="885">
        <v>2880000</v>
      </c>
      <c r="H143" s="885">
        <v>2880000</v>
      </c>
      <c r="I143" s="885">
        <v>695000</v>
      </c>
      <c r="J143" s="1319"/>
      <c r="K143" s="1319"/>
      <c r="L143" s="748">
        <v>9578000</v>
      </c>
    </row>
    <row r="144" spans="1:12" ht="12.75">
      <c r="A144" s="746">
        <v>105</v>
      </c>
      <c r="B144" s="750" t="s">
        <v>840</v>
      </c>
      <c r="C144" s="878">
        <v>10510062</v>
      </c>
      <c r="D144" s="869"/>
      <c r="E144" s="894">
        <v>315347</v>
      </c>
      <c r="F144" s="894">
        <f>3984278+55</f>
        <v>3984333</v>
      </c>
      <c r="G144" s="895">
        <v>2149813</v>
      </c>
      <c r="H144" s="895">
        <v>2149812</v>
      </c>
      <c r="I144" s="895">
        <v>1910757</v>
      </c>
      <c r="J144" s="1320"/>
      <c r="K144" s="1320"/>
      <c r="L144" s="878">
        <f>10194715+55</f>
        <v>10194770</v>
      </c>
    </row>
    <row r="145" spans="1:12" ht="13.5" thickBot="1">
      <c r="A145" s="746">
        <v>106</v>
      </c>
      <c r="B145" s="870" t="s">
        <v>839</v>
      </c>
      <c r="C145" s="751">
        <v>830000</v>
      </c>
      <c r="D145" s="872"/>
      <c r="E145" s="910">
        <v>829945</v>
      </c>
      <c r="F145" s="774">
        <f>55-55</f>
        <v>0</v>
      </c>
      <c r="G145" s="892">
        <v>0</v>
      </c>
      <c r="H145" s="892">
        <v>0</v>
      </c>
      <c r="I145" s="893">
        <v>0</v>
      </c>
      <c r="J145" s="1296"/>
      <c r="K145" s="1296"/>
      <c r="L145" s="751">
        <f>55-55</f>
        <v>0</v>
      </c>
    </row>
    <row r="146" spans="1:12" ht="13.5" thickBot="1">
      <c r="A146" s="765">
        <v>107</v>
      </c>
      <c r="B146" s="766" t="s">
        <v>378</v>
      </c>
      <c r="C146" s="754">
        <f>SUM(C143:C145)</f>
        <v>21635062</v>
      </c>
      <c r="D146" s="779"/>
      <c r="E146" s="767">
        <f>SUM(E143:E145)</f>
        <v>1862292</v>
      </c>
      <c r="F146" s="767">
        <f>SUM(F143:F145)</f>
        <v>7107333</v>
      </c>
      <c r="G146" s="767">
        <f>SUM(G143:G145)</f>
        <v>5029813</v>
      </c>
      <c r="H146" s="767">
        <f>SUM(H143:H145)</f>
        <v>5029812</v>
      </c>
      <c r="I146" s="767">
        <f>SUM(I143:I145)</f>
        <v>2605757</v>
      </c>
      <c r="J146" s="1297"/>
      <c r="K146" s="1297"/>
      <c r="L146" s="756">
        <f>SUM(L143:L145)</f>
        <v>19772770</v>
      </c>
    </row>
    <row r="147" spans="1:12" ht="14.25" thickBot="1" thickTop="1">
      <c r="A147" s="727"/>
      <c r="B147" s="1313"/>
      <c r="C147" s="1314"/>
      <c r="D147" s="1314"/>
      <c r="E147" s="1314"/>
      <c r="F147" s="1314"/>
      <c r="G147" s="1314"/>
      <c r="H147" s="1314"/>
      <c r="I147" s="1314"/>
      <c r="J147" s="1314"/>
      <c r="K147" s="1315"/>
      <c r="L147" s="726"/>
    </row>
    <row r="148" spans="1:12" ht="16.5" thickBot="1" thickTop="1">
      <c r="A148" s="860">
        <v>56</v>
      </c>
      <c r="B148" s="1316" t="s">
        <v>1092</v>
      </c>
      <c r="C148" s="1317"/>
      <c r="D148" s="1317"/>
      <c r="E148" s="1317"/>
      <c r="F148" s="1317"/>
      <c r="G148" s="1317"/>
      <c r="H148" s="1317"/>
      <c r="I148" s="1317"/>
      <c r="J148" s="1318"/>
      <c r="K148" s="1318"/>
      <c r="L148" s="862"/>
    </row>
    <row r="149" spans="1:12" ht="12.75">
      <c r="A149" s="725">
        <v>57</v>
      </c>
      <c r="B149" s="728" t="s">
        <v>841</v>
      </c>
      <c r="C149" s="758">
        <v>0</v>
      </c>
      <c r="D149" s="865"/>
      <c r="E149" s="865"/>
      <c r="F149" s="759">
        <v>0</v>
      </c>
      <c r="G149" s="759">
        <v>0</v>
      </c>
      <c r="H149" s="759"/>
      <c r="I149" s="865"/>
      <c r="J149" s="732">
        <v>0</v>
      </c>
      <c r="K149" s="732">
        <v>0</v>
      </c>
      <c r="L149" s="1295"/>
    </row>
    <row r="150" spans="1:12" ht="13.5" thickBot="1">
      <c r="A150" s="760">
        <v>58</v>
      </c>
      <c r="B150" s="733" t="s">
        <v>837</v>
      </c>
      <c r="C150" s="761">
        <v>6119772</v>
      </c>
      <c r="D150" s="866"/>
      <c r="E150" s="866"/>
      <c r="F150" s="736">
        <v>4083324</v>
      </c>
      <c r="G150" s="736">
        <v>0</v>
      </c>
      <c r="H150" s="736">
        <v>2036448</v>
      </c>
      <c r="I150" s="866"/>
      <c r="J150" s="738">
        <v>0</v>
      </c>
      <c r="K150" s="738">
        <v>4083324</v>
      </c>
      <c r="L150" s="1296"/>
    </row>
    <row r="151" spans="1:12" ht="13.5" thickBot="1">
      <c r="A151" s="727">
        <v>59</v>
      </c>
      <c r="B151" s="739" t="s">
        <v>838</v>
      </c>
      <c r="C151" s="740">
        <f>SUM(C149:C150)</f>
        <v>6119772</v>
      </c>
      <c r="D151" s="742"/>
      <c r="E151" s="742"/>
      <c r="F151" s="741">
        <f>SUM(F149:F150)</f>
        <v>4083324</v>
      </c>
      <c r="G151" s="741">
        <f>SUM(G149:G150)</f>
        <v>0</v>
      </c>
      <c r="H151" s="741">
        <f>SUM(H149:H150)</f>
        <v>2036448</v>
      </c>
      <c r="I151" s="742"/>
      <c r="J151" s="745">
        <f>SUM(J149:J150)</f>
        <v>0</v>
      </c>
      <c r="K151" s="745">
        <f>SUM(K149:K150)</f>
        <v>4083324</v>
      </c>
      <c r="L151" s="1304"/>
    </row>
    <row r="152" spans="1:12" ht="13.5" thickBot="1">
      <c r="A152" s="727"/>
      <c r="B152" s="1313"/>
      <c r="C152" s="1314"/>
      <c r="D152" s="1314"/>
      <c r="E152" s="1314"/>
      <c r="F152" s="1314"/>
      <c r="G152" s="1314"/>
      <c r="H152" s="1314"/>
      <c r="I152" s="1314"/>
      <c r="J152" s="1314"/>
      <c r="K152" s="1315"/>
      <c r="L152" s="726"/>
    </row>
    <row r="153" spans="1:12" ht="12.75">
      <c r="A153" s="763">
        <v>60</v>
      </c>
      <c r="B153" s="764" t="s">
        <v>842</v>
      </c>
      <c r="C153" s="948">
        <f>SUM(F153:H153)</f>
        <v>2588370</v>
      </c>
      <c r="D153" s="867"/>
      <c r="E153" s="867"/>
      <c r="F153" s="769">
        <v>970639</v>
      </c>
      <c r="G153" s="769">
        <v>1294185</v>
      </c>
      <c r="H153" s="769">
        <v>323546</v>
      </c>
      <c r="I153" s="867"/>
      <c r="J153" s="1295"/>
      <c r="K153" s="1295"/>
      <c r="L153" s="732">
        <v>970639</v>
      </c>
    </row>
    <row r="154" spans="1:12" ht="12.75">
      <c r="A154" s="746">
        <v>62</v>
      </c>
      <c r="B154" s="750" t="s">
        <v>840</v>
      </c>
      <c r="C154" s="949">
        <f>SUM(F154:H154)</f>
        <v>521854</v>
      </c>
      <c r="D154" s="869"/>
      <c r="E154" s="869"/>
      <c r="F154" s="762">
        <v>296854</v>
      </c>
      <c r="G154" s="762">
        <v>180000</v>
      </c>
      <c r="H154" s="762">
        <v>45000</v>
      </c>
      <c r="I154" s="869"/>
      <c r="J154" s="1296"/>
      <c r="K154" s="1296"/>
      <c r="L154" s="738">
        <v>296854</v>
      </c>
    </row>
    <row r="155" spans="1:12" ht="12.75">
      <c r="A155" s="746"/>
      <c r="B155" s="870" t="s">
        <v>839</v>
      </c>
      <c r="C155" s="949">
        <f>SUM(F155:H155)</f>
        <v>973100</v>
      </c>
      <c r="D155" s="869"/>
      <c r="E155" s="869"/>
      <c r="F155" s="762">
        <v>779383</v>
      </c>
      <c r="G155" s="762">
        <v>193717</v>
      </c>
      <c r="H155" s="762">
        <v>0</v>
      </c>
      <c r="I155" s="869"/>
      <c r="J155" s="1296"/>
      <c r="K155" s="1296"/>
      <c r="L155" s="738">
        <v>779383</v>
      </c>
    </row>
    <row r="156" spans="1:12" ht="13.5" thickBot="1">
      <c r="A156" s="746">
        <v>63</v>
      </c>
      <c r="B156" s="870" t="s">
        <v>1093</v>
      </c>
      <c r="C156" s="950">
        <f>SUM(F156:H156)</f>
        <v>2036448</v>
      </c>
      <c r="D156" s="872"/>
      <c r="E156" s="872"/>
      <c r="F156" s="762">
        <v>2036448</v>
      </c>
      <c r="G156" s="762">
        <v>0</v>
      </c>
      <c r="H156" s="762">
        <v>0</v>
      </c>
      <c r="I156" s="872"/>
      <c r="J156" s="1296"/>
      <c r="K156" s="1296"/>
      <c r="L156" s="738">
        <v>2036448</v>
      </c>
    </row>
    <row r="157" spans="1:12" ht="13.5" thickBot="1">
      <c r="A157" s="765">
        <v>64</v>
      </c>
      <c r="B157" s="766" t="s">
        <v>378</v>
      </c>
      <c r="C157" s="754">
        <f>SUM(C153:C156)</f>
        <v>6119772</v>
      </c>
      <c r="D157" s="779"/>
      <c r="E157" s="779"/>
      <c r="F157" s="767">
        <f>SUM(F153:F156)</f>
        <v>4083324</v>
      </c>
      <c r="G157" s="767">
        <f>SUM(G153:G156)</f>
        <v>1667902</v>
      </c>
      <c r="H157" s="767">
        <f>SUM(H153:H156)</f>
        <v>368546</v>
      </c>
      <c r="I157" s="779"/>
      <c r="J157" s="1297"/>
      <c r="K157" s="1297"/>
      <c r="L157" s="756">
        <f>SUM(L153:L156)</f>
        <v>4083324</v>
      </c>
    </row>
    <row r="158" spans="1:12" ht="14.25" thickBot="1" thickTop="1">
      <c r="A158" s="727"/>
      <c r="B158" s="1313"/>
      <c r="C158" s="1314"/>
      <c r="D158" s="1314"/>
      <c r="E158" s="1314"/>
      <c r="F158" s="1314"/>
      <c r="G158" s="1314"/>
      <c r="H158" s="1314"/>
      <c r="I158" s="1314"/>
      <c r="J158" s="1314"/>
      <c r="K158" s="1315"/>
      <c r="L158" s="726"/>
    </row>
    <row r="159" spans="1:12" ht="19.5" thickBot="1" thickTop="1">
      <c r="A159" s="896">
        <v>108</v>
      </c>
      <c r="B159" s="1298" t="s">
        <v>785</v>
      </c>
      <c r="C159" s="1299"/>
      <c r="D159" s="1299"/>
      <c r="E159" s="1299"/>
      <c r="F159" s="1299"/>
      <c r="G159" s="1299"/>
      <c r="H159" s="1299"/>
      <c r="I159" s="1299"/>
      <c r="J159" s="1299"/>
      <c r="K159" s="1299"/>
      <c r="L159" s="1300"/>
    </row>
    <row r="160" spans="1:12" ht="14.25" thickBot="1" thickTop="1">
      <c r="A160" s="757"/>
      <c r="B160" s="1310"/>
      <c r="C160" s="1311"/>
      <c r="D160" s="1311"/>
      <c r="E160" s="1311"/>
      <c r="F160" s="1311"/>
      <c r="G160" s="1311"/>
      <c r="H160" s="1311"/>
      <c r="I160" s="1311"/>
      <c r="J160" s="1311"/>
      <c r="K160" s="1311"/>
      <c r="L160" s="1312"/>
    </row>
    <row r="161" spans="1:12" ht="16.5" thickBot="1" thickTop="1">
      <c r="A161" s="860">
        <v>109</v>
      </c>
      <c r="B161" s="1321" t="s">
        <v>992</v>
      </c>
      <c r="C161" s="1322"/>
      <c r="D161" s="1322"/>
      <c r="E161" s="1322"/>
      <c r="F161" s="1322"/>
      <c r="G161" s="1322"/>
      <c r="H161" s="1322"/>
      <c r="I161" s="1322"/>
      <c r="J161" s="1322"/>
      <c r="K161" s="1322"/>
      <c r="L161" s="897"/>
    </row>
    <row r="162" spans="1:12" ht="12.75">
      <c r="A162" s="725">
        <v>110</v>
      </c>
      <c r="B162" s="775" t="s">
        <v>841</v>
      </c>
      <c r="C162" s="898">
        <v>0</v>
      </c>
      <c r="D162" s="899"/>
      <c r="E162" s="900">
        <v>0</v>
      </c>
      <c r="F162" s="900">
        <v>0</v>
      </c>
      <c r="G162" s="900">
        <v>0</v>
      </c>
      <c r="H162" s="900"/>
      <c r="I162" s="899"/>
      <c r="J162" s="901">
        <v>0</v>
      </c>
      <c r="K162" s="901">
        <v>0</v>
      </c>
      <c r="L162" s="1296"/>
    </row>
    <row r="163" spans="1:12" ht="13.5" thickBot="1">
      <c r="A163" s="760">
        <v>111</v>
      </c>
      <c r="B163" s="733" t="s">
        <v>837</v>
      </c>
      <c r="C163" s="761">
        <v>88217316</v>
      </c>
      <c r="D163" s="866"/>
      <c r="E163" s="736">
        <v>45094449</v>
      </c>
      <c r="F163" s="736">
        <v>0</v>
      </c>
      <c r="G163" s="736">
        <v>0</v>
      </c>
      <c r="H163" s="736">
        <v>43122867</v>
      </c>
      <c r="I163" s="866"/>
      <c r="J163" s="738">
        <v>27430982</v>
      </c>
      <c r="K163" s="738">
        <v>0</v>
      </c>
      <c r="L163" s="1296"/>
    </row>
    <row r="164" spans="1:12" ht="13.5" thickBot="1">
      <c r="A164" s="727">
        <v>112</v>
      </c>
      <c r="B164" s="739" t="s">
        <v>838</v>
      </c>
      <c r="C164" s="740">
        <f>SUM(C162:C163)</f>
        <v>88217316</v>
      </c>
      <c r="D164" s="742"/>
      <c r="E164" s="741">
        <f>SUM(E162:E163)</f>
        <v>45094449</v>
      </c>
      <c r="F164" s="741">
        <f>SUM(F162:F163)</f>
        <v>0</v>
      </c>
      <c r="G164" s="741">
        <f>SUM(G162:G163)</f>
        <v>0</v>
      </c>
      <c r="H164" s="741">
        <f>SUM(H162:H163)</f>
        <v>43122867</v>
      </c>
      <c r="I164" s="742"/>
      <c r="J164" s="745">
        <f>SUM(J162:J163)</f>
        <v>27430982</v>
      </c>
      <c r="K164" s="745">
        <f>SUM(K162:K163)</f>
        <v>0</v>
      </c>
      <c r="L164" s="1304"/>
    </row>
    <row r="165" spans="1:12" ht="13.5" thickBot="1">
      <c r="A165" s="727"/>
      <c r="B165" s="1313"/>
      <c r="C165" s="1314"/>
      <c r="D165" s="1314"/>
      <c r="E165" s="1314"/>
      <c r="F165" s="1314"/>
      <c r="G165" s="1314"/>
      <c r="H165" s="1314"/>
      <c r="I165" s="1314"/>
      <c r="J165" s="1314"/>
      <c r="K165" s="1315"/>
      <c r="L165" s="726"/>
    </row>
    <row r="166" spans="1:12" ht="12.75">
      <c r="A166" s="763">
        <v>113</v>
      </c>
      <c r="B166" s="764" t="s">
        <v>842</v>
      </c>
      <c r="C166" s="877">
        <f>SUM(E166:H166)</f>
        <v>53041950</v>
      </c>
      <c r="D166" s="867"/>
      <c r="E166" s="730">
        <v>4082460</v>
      </c>
      <c r="F166" s="769">
        <v>23773325</v>
      </c>
      <c r="G166" s="769">
        <v>23773325</v>
      </c>
      <c r="H166" s="769">
        <v>1412840</v>
      </c>
      <c r="I166" s="867"/>
      <c r="J166" s="1295"/>
      <c r="K166" s="1295"/>
      <c r="L166" s="732">
        <v>23031236</v>
      </c>
    </row>
    <row r="167" spans="1:12" ht="12.75">
      <c r="A167" s="746">
        <v>114</v>
      </c>
      <c r="B167" s="750" t="s">
        <v>840</v>
      </c>
      <c r="C167" s="751">
        <f>SUM(E167:H167)</f>
        <v>33488176</v>
      </c>
      <c r="D167" s="869"/>
      <c r="E167" s="736">
        <v>12718558</v>
      </c>
      <c r="F167" s="762">
        <v>10002127</v>
      </c>
      <c r="G167" s="762">
        <v>10002126</v>
      </c>
      <c r="H167" s="762">
        <v>765365</v>
      </c>
      <c r="I167" s="869"/>
      <c r="J167" s="1296"/>
      <c r="K167" s="1296"/>
      <c r="L167" s="738">
        <v>4399746</v>
      </c>
    </row>
    <row r="168" spans="1:12" ht="13.5" thickBot="1">
      <c r="A168" s="746">
        <v>115</v>
      </c>
      <c r="B168" s="870" t="s">
        <v>839</v>
      </c>
      <c r="C168" s="878">
        <f>SUM(E168:H168)</f>
        <v>1687190</v>
      </c>
      <c r="D168" s="872"/>
      <c r="E168" s="736">
        <v>862449</v>
      </c>
      <c r="F168" s="762">
        <v>412371</v>
      </c>
      <c r="G168" s="762">
        <v>412370</v>
      </c>
      <c r="H168" s="762">
        <v>0</v>
      </c>
      <c r="I168" s="872"/>
      <c r="J168" s="1296"/>
      <c r="K168" s="1296"/>
      <c r="L168" s="738">
        <v>0</v>
      </c>
    </row>
    <row r="169" spans="1:12" ht="13.5" thickBot="1">
      <c r="A169" s="765">
        <v>116</v>
      </c>
      <c r="B169" s="766" t="s">
        <v>378</v>
      </c>
      <c r="C169" s="754">
        <f>SUM(C166:C168)</f>
        <v>88217316</v>
      </c>
      <c r="D169" s="779"/>
      <c r="E169" s="767">
        <f>SUM(E166:E168)</f>
        <v>17663467</v>
      </c>
      <c r="F169" s="767">
        <f>SUM(F166:F168)</f>
        <v>34187823</v>
      </c>
      <c r="G169" s="767">
        <f>SUM(G166:G168)</f>
        <v>34187821</v>
      </c>
      <c r="H169" s="767">
        <f>SUM(H166:H168)</f>
        <v>2178205</v>
      </c>
      <c r="I169" s="779"/>
      <c r="J169" s="1297"/>
      <c r="K169" s="1297"/>
      <c r="L169" s="756">
        <f>SUM(L166:L168)</f>
        <v>27430982</v>
      </c>
    </row>
    <row r="170" spans="1:12" ht="14.25" thickBot="1" thickTop="1">
      <c r="A170" s="757"/>
      <c r="B170" s="1310"/>
      <c r="C170" s="1311"/>
      <c r="D170" s="1311"/>
      <c r="E170" s="1311"/>
      <c r="F170" s="1311"/>
      <c r="G170" s="1311"/>
      <c r="H170" s="1311"/>
      <c r="I170" s="1311"/>
      <c r="J170" s="1311"/>
      <c r="K170" s="1311"/>
      <c r="L170" s="1312"/>
    </row>
    <row r="171" spans="1:12" ht="16.5" thickBot="1" thickTop="1">
      <c r="A171" s="860">
        <v>117</v>
      </c>
      <c r="B171" s="1316" t="s">
        <v>1001</v>
      </c>
      <c r="C171" s="1317"/>
      <c r="D171" s="1317"/>
      <c r="E171" s="1317"/>
      <c r="F171" s="1317"/>
      <c r="G171" s="1317"/>
      <c r="H171" s="1317"/>
      <c r="I171" s="1317"/>
      <c r="J171" s="1318"/>
      <c r="K171" s="1318"/>
      <c r="L171" s="862"/>
    </row>
    <row r="172" spans="1:12" ht="12.75">
      <c r="A172" s="725">
        <v>118</v>
      </c>
      <c r="B172" s="728" t="s">
        <v>841</v>
      </c>
      <c r="C172" s="758">
        <v>0</v>
      </c>
      <c r="D172" s="759">
        <v>0</v>
      </c>
      <c r="E172" s="759">
        <v>0</v>
      </c>
      <c r="F172" s="759">
        <v>0</v>
      </c>
      <c r="G172" s="865"/>
      <c r="H172" s="865"/>
      <c r="I172" s="865"/>
      <c r="J172" s="732">
        <v>0</v>
      </c>
      <c r="K172" s="732">
        <v>0</v>
      </c>
      <c r="L172" s="1295"/>
    </row>
    <row r="173" spans="1:12" ht="13.5" thickBot="1">
      <c r="A173" s="760">
        <v>119</v>
      </c>
      <c r="B173" s="733" t="s">
        <v>837</v>
      </c>
      <c r="C173" s="761">
        <f>SUM(D173:F173)</f>
        <v>40000000</v>
      </c>
      <c r="D173" s="736">
        <v>39200000</v>
      </c>
      <c r="E173" s="736">
        <v>0</v>
      </c>
      <c r="F173" s="736">
        <v>800000</v>
      </c>
      <c r="G173" s="866"/>
      <c r="H173" s="866"/>
      <c r="I173" s="866"/>
      <c r="J173" s="738">
        <v>5459106</v>
      </c>
      <c r="K173" s="738">
        <v>0</v>
      </c>
      <c r="L173" s="1296"/>
    </row>
    <row r="174" spans="1:12" ht="13.5" thickBot="1">
      <c r="A174" s="727">
        <v>120</v>
      </c>
      <c r="B174" s="739" t="s">
        <v>838</v>
      </c>
      <c r="C174" s="740">
        <f>SUM(C172:C173)</f>
        <v>40000000</v>
      </c>
      <c r="D174" s="741">
        <f>SUM(D172:D173)</f>
        <v>39200000</v>
      </c>
      <c r="E174" s="741">
        <f>SUM(E172:E173)</f>
        <v>0</v>
      </c>
      <c r="F174" s="741">
        <f>SUM(F172:F173)</f>
        <v>800000</v>
      </c>
      <c r="G174" s="742"/>
      <c r="H174" s="742"/>
      <c r="I174" s="742"/>
      <c r="J174" s="745">
        <f>SUM(J172:J173)</f>
        <v>5459106</v>
      </c>
      <c r="K174" s="745">
        <f>SUM(K172:K173)</f>
        <v>0</v>
      </c>
      <c r="L174" s="1304"/>
    </row>
    <row r="175" spans="1:12" ht="13.5" thickBot="1">
      <c r="A175" s="727"/>
      <c r="B175" s="1313"/>
      <c r="C175" s="1314"/>
      <c r="D175" s="1314"/>
      <c r="E175" s="1314"/>
      <c r="F175" s="1314"/>
      <c r="G175" s="1314"/>
      <c r="H175" s="1314"/>
      <c r="I175" s="1314"/>
      <c r="J175" s="1314"/>
      <c r="K175" s="1315"/>
      <c r="L175" s="726"/>
    </row>
    <row r="176" spans="1:12" ht="13.5" thickBot="1">
      <c r="A176" s="763">
        <v>121</v>
      </c>
      <c r="B176" s="764" t="s">
        <v>842</v>
      </c>
      <c r="C176" s="877">
        <f>SUM(D176:F176)</f>
        <v>12988120</v>
      </c>
      <c r="D176" s="730">
        <v>1760137</v>
      </c>
      <c r="E176" s="730">
        <v>8475898</v>
      </c>
      <c r="F176" s="769">
        <v>2752085</v>
      </c>
      <c r="G176" s="867"/>
      <c r="H176" s="867"/>
      <c r="I176" s="867"/>
      <c r="J176" s="1295"/>
      <c r="K176" s="1295"/>
      <c r="L176" s="732">
        <v>2752085</v>
      </c>
    </row>
    <row r="177" spans="1:12" ht="13.5" thickBot="1">
      <c r="A177" s="746">
        <v>122</v>
      </c>
      <c r="B177" s="750" t="s">
        <v>840</v>
      </c>
      <c r="C177" s="877">
        <f>SUM(D177:F177)</f>
        <v>23158258</v>
      </c>
      <c r="D177" s="736">
        <v>2486374</v>
      </c>
      <c r="E177" s="736">
        <v>17164863</v>
      </c>
      <c r="F177" s="762">
        <v>3507021</v>
      </c>
      <c r="G177" s="869"/>
      <c r="H177" s="869"/>
      <c r="I177" s="869"/>
      <c r="J177" s="1296"/>
      <c r="K177" s="1296"/>
      <c r="L177" s="738">
        <v>2707021</v>
      </c>
    </row>
    <row r="178" spans="1:12" ht="13.5" thickBot="1">
      <c r="A178" s="746">
        <v>123</v>
      </c>
      <c r="B178" s="870" t="s">
        <v>839</v>
      </c>
      <c r="C178" s="877">
        <f>SUM(D178:F178)</f>
        <v>3853622</v>
      </c>
      <c r="D178" s="736">
        <v>1441069</v>
      </c>
      <c r="E178" s="736">
        <v>2412553</v>
      </c>
      <c r="F178" s="762">
        <v>0</v>
      </c>
      <c r="G178" s="872"/>
      <c r="H178" s="872"/>
      <c r="I178" s="872"/>
      <c r="J178" s="1296"/>
      <c r="K178" s="1296"/>
      <c r="L178" s="738">
        <v>0</v>
      </c>
    </row>
    <row r="179" spans="1:12" ht="13.5" thickBot="1">
      <c r="A179" s="765">
        <v>124</v>
      </c>
      <c r="B179" s="766" t="s">
        <v>378</v>
      </c>
      <c r="C179" s="754">
        <f>SUM(C176:C178)</f>
        <v>40000000</v>
      </c>
      <c r="D179" s="767">
        <f>SUM(D176:D178)</f>
        <v>5687580</v>
      </c>
      <c r="E179" s="767">
        <f>SUM(E176:E178)</f>
        <v>28053314</v>
      </c>
      <c r="F179" s="767">
        <f>SUM(F176:F178)</f>
        <v>6259106</v>
      </c>
      <c r="G179" s="779"/>
      <c r="H179" s="779"/>
      <c r="I179" s="779"/>
      <c r="J179" s="1297"/>
      <c r="K179" s="1297"/>
      <c r="L179" s="756">
        <f>SUM(L176:L178)</f>
        <v>5459106</v>
      </c>
    </row>
    <row r="180" ht="14.25" thickBot="1" thickTop="1"/>
    <row r="181" spans="1:12" ht="19.5" thickBot="1" thickTop="1">
      <c r="A181" s="896">
        <v>125</v>
      </c>
      <c r="B181" s="1298" t="s">
        <v>852</v>
      </c>
      <c r="C181" s="1299"/>
      <c r="D181" s="1299"/>
      <c r="E181" s="1299"/>
      <c r="F181" s="1299"/>
      <c r="G181" s="1299"/>
      <c r="H181" s="1299"/>
      <c r="I181" s="1299"/>
      <c r="J181" s="1299"/>
      <c r="K181" s="1299"/>
      <c r="L181" s="1300"/>
    </row>
    <row r="182" spans="1:12" ht="14.25" thickBot="1" thickTop="1">
      <c r="A182" s="1325"/>
      <c r="B182" s="1326"/>
      <c r="C182" s="1326"/>
      <c r="D182" s="1326"/>
      <c r="E182" s="1326"/>
      <c r="F182" s="1326"/>
      <c r="G182" s="1326"/>
      <c r="H182" s="1326"/>
      <c r="I182" s="1326"/>
      <c r="J182" s="1326"/>
      <c r="K182" s="1326"/>
      <c r="L182" s="1327"/>
    </row>
    <row r="183" spans="1:12" ht="16.5" thickBot="1" thickTop="1">
      <c r="A183" s="860">
        <v>126</v>
      </c>
      <c r="B183" s="1328" t="s">
        <v>994</v>
      </c>
      <c r="C183" s="1329"/>
      <c r="D183" s="1329"/>
      <c r="E183" s="1329"/>
      <c r="F183" s="1329"/>
      <c r="G183" s="1329"/>
      <c r="H183" s="1329"/>
      <c r="I183" s="1329"/>
      <c r="J183" s="1329"/>
      <c r="K183" s="1329"/>
      <c r="L183" s="1330"/>
    </row>
    <row r="184" spans="1:12" ht="12.75">
      <c r="A184" s="725">
        <v>127</v>
      </c>
      <c r="B184" s="728" t="s">
        <v>841</v>
      </c>
      <c r="C184" s="758">
        <v>0</v>
      </c>
      <c r="D184" s="865"/>
      <c r="E184" s="865"/>
      <c r="F184" s="759">
        <v>0</v>
      </c>
      <c r="G184" s="865"/>
      <c r="H184" s="865"/>
      <c r="I184" s="865"/>
      <c r="J184" s="732">
        <v>0</v>
      </c>
      <c r="K184" s="732">
        <v>0</v>
      </c>
      <c r="L184" s="1295"/>
    </row>
    <row r="185" spans="1:12" ht="13.5" thickBot="1">
      <c r="A185" s="760">
        <v>128</v>
      </c>
      <c r="B185" s="733" t="s">
        <v>837</v>
      </c>
      <c r="C185" s="761">
        <v>25000000</v>
      </c>
      <c r="D185" s="866"/>
      <c r="E185" s="866"/>
      <c r="F185" s="736">
        <v>25000000</v>
      </c>
      <c r="G185" s="866"/>
      <c r="H185" s="866"/>
      <c r="I185" s="866"/>
      <c r="J185" s="738">
        <v>0</v>
      </c>
      <c r="K185" s="738">
        <v>25000000</v>
      </c>
      <c r="L185" s="1296"/>
    </row>
    <row r="186" spans="1:12" ht="13.5" thickBot="1">
      <c r="A186" s="727">
        <v>129</v>
      </c>
      <c r="B186" s="739" t="s">
        <v>838</v>
      </c>
      <c r="C186" s="740">
        <f>SUM(C184:C185)</f>
        <v>25000000</v>
      </c>
      <c r="D186" s="742"/>
      <c r="E186" s="742"/>
      <c r="F186" s="741">
        <f>SUM(F184:F185)</f>
        <v>25000000</v>
      </c>
      <c r="G186" s="742"/>
      <c r="H186" s="742"/>
      <c r="I186" s="742"/>
      <c r="J186" s="745">
        <f>SUM(J184:J185)</f>
        <v>0</v>
      </c>
      <c r="K186" s="745">
        <f>SUM(K184:K185)</f>
        <v>25000000</v>
      </c>
      <c r="L186" s="1304"/>
    </row>
    <row r="187" spans="1:12" ht="13.5" thickBot="1">
      <c r="A187" s="727"/>
      <c r="B187" s="1313"/>
      <c r="C187" s="1314"/>
      <c r="D187" s="1314"/>
      <c r="E187" s="1314"/>
      <c r="F187" s="1314"/>
      <c r="G187" s="1314"/>
      <c r="H187" s="1314"/>
      <c r="I187" s="1314"/>
      <c r="J187" s="1314"/>
      <c r="K187" s="1315"/>
      <c r="L187" s="726"/>
    </row>
    <row r="188" spans="1:12" ht="12.75">
      <c r="A188" s="763">
        <v>130</v>
      </c>
      <c r="B188" s="764" t="s">
        <v>842</v>
      </c>
      <c r="C188" s="877">
        <f>SUM(E188:H188)</f>
        <v>8407749</v>
      </c>
      <c r="D188" s="867"/>
      <c r="E188" s="867"/>
      <c r="F188" s="730">
        <v>8407749</v>
      </c>
      <c r="G188" s="867"/>
      <c r="H188" s="867"/>
      <c r="I188" s="867"/>
      <c r="J188" s="1295"/>
      <c r="K188" s="1295"/>
      <c r="L188" s="732">
        <v>8407749</v>
      </c>
    </row>
    <row r="189" spans="1:12" ht="12.75">
      <c r="A189" s="746">
        <v>131</v>
      </c>
      <c r="B189" s="750" t="s">
        <v>840</v>
      </c>
      <c r="C189" s="751">
        <f>SUM(E189:H189)</f>
        <v>14095151</v>
      </c>
      <c r="D189" s="869"/>
      <c r="E189" s="869"/>
      <c r="F189" s="736">
        <v>14095151</v>
      </c>
      <c r="G189" s="869"/>
      <c r="H189" s="869"/>
      <c r="I189" s="869"/>
      <c r="J189" s="1296"/>
      <c r="K189" s="1296"/>
      <c r="L189" s="738">
        <v>14095151</v>
      </c>
    </row>
    <row r="190" spans="1:12" ht="13.5" thickBot="1">
      <c r="A190" s="746">
        <v>132</v>
      </c>
      <c r="B190" s="870" t="s">
        <v>839</v>
      </c>
      <c r="C190" s="878">
        <f>SUM(E190:H190)</f>
        <v>2497100</v>
      </c>
      <c r="D190" s="872"/>
      <c r="E190" s="872"/>
      <c r="F190" s="735">
        <v>2497100</v>
      </c>
      <c r="G190" s="872"/>
      <c r="H190" s="872"/>
      <c r="I190" s="872"/>
      <c r="J190" s="1296"/>
      <c r="K190" s="1296"/>
      <c r="L190" s="738">
        <v>2497100</v>
      </c>
    </row>
    <row r="191" spans="1:12" ht="13.5" thickBot="1">
      <c r="A191" s="765">
        <v>133</v>
      </c>
      <c r="B191" s="766" t="s">
        <v>378</v>
      </c>
      <c r="C191" s="754">
        <f>SUM(C188:C190)</f>
        <v>25000000</v>
      </c>
      <c r="D191" s="779"/>
      <c r="E191" s="779"/>
      <c r="F191" s="767">
        <f>SUM(F188:F190)</f>
        <v>25000000</v>
      </c>
      <c r="G191" s="779"/>
      <c r="H191" s="779"/>
      <c r="I191" s="779"/>
      <c r="J191" s="1297"/>
      <c r="K191" s="1297"/>
      <c r="L191" s="756">
        <f>SUM(L188:L190)</f>
        <v>25000000</v>
      </c>
    </row>
    <row r="192" spans="1:12" ht="13.5" thickTop="1">
      <c r="A192" s="727"/>
      <c r="B192" s="1313"/>
      <c r="C192" s="1314"/>
      <c r="D192" s="1314"/>
      <c r="E192" s="1314"/>
      <c r="F192" s="1314"/>
      <c r="G192" s="1314"/>
      <c r="H192" s="1314"/>
      <c r="I192" s="1314"/>
      <c r="J192" s="1314"/>
      <c r="K192" s="1314"/>
      <c r="L192" s="907"/>
    </row>
    <row r="196" spans="2:7" ht="15">
      <c r="B196" s="93"/>
      <c r="C196" s="51"/>
      <c r="D196" s="51"/>
      <c r="E196" s="32"/>
      <c r="F196" s="32"/>
      <c r="G196" s="32"/>
    </row>
    <row r="197" spans="2:7" ht="15">
      <c r="B197" s="1331">
        <v>17</v>
      </c>
      <c r="C197" s="1332" t="s">
        <v>1111</v>
      </c>
      <c r="D197" s="38"/>
      <c r="E197" s="32"/>
      <c r="F197" s="32"/>
      <c r="G197" s="32"/>
    </row>
  </sheetData>
  <sheetProtection/>
  <mergeCells count="122">
    <mergeCell ref="B158:K158"/>
    <mergeCell ref="B147:K147"/>
    <mergeCell ref="B148:K148"/>
    <mergeCell ref="L149:L151"/>
    <mergeCell ref="B152:K152"/>
    <mergeCell ref="J153:J157"/>
    <mergeCell ref="K153:K157"/>
    <mergeCell ref="B192:K192"/>
    <mergeCell ref="A182:L182"/>
    <mergeCell ref="B183:L183"/>
    <mergeCell ref="L184:L186"/>
    <mergeCell ref="B187:K187"/>
    <mergeCell ref="J188:J191"/>
    <mergeCell ref="K188:K191"/>
    <mergeCell ref="B65:K65"/>
    <mergeCell ref="J66:J68"/>
    <mergeCell ref="K66:K68"/>
    <mergeCell ref="C75:C76"/>
    <mergeCell ref="C87:C88"/>
    <mergeCell ref="B181:L181"/>
    <mergeCell ref="K166:K169"/>
    <mergeCell ref="B170:L170"/>
    <mergeCell ref="B171:K171"/>
    <mergeCell ref="L172:L174"/>
    <mergeCell ref="J57:J59"/>
    <mergeCell ref="K57:K59"/>
    <mergeCell ref="B50:L50"/>
    <mergeCell ref="B60:L60"/>
    <mergeCell ref="B61:K61"/>
    <mergeCell ref="L62:L64"/>
    <mergeCell ref="B175:K175"/>
    <mergeCell ref="K176:K179"/>
    <mergeCell ref="J166:J169"/>
    <mergeCell ref="J176:J179"/>
    <mergeCell ref="B159:L159"/>
    <mergeCell ref="B160:L160"/>
    <mergeCell ref="B161:K161"/>
    <mergeCell ref="L162:L164"/>
    <mergeCell ref="B165:K165"/>
    <mergeCell ref="B133:K133"/>
    <mergeCell ref="K134:K136"/>
    <mergeCell ref="B138:K138"/>
    <mergeCell ref="L139:L141"/>
    <mergeCell ref="B142:K142"/>
    <mergeCell ref="K143:K146"/>
    <mergeCell ref="J134:J136"/>
    <mergeCell ref="J143:J146"/>
    <mergeCell ref="B120:K120"/>
    <mergeCell ref="L121:L123"/>
    <mergeCell ref="B124:K124"/>
    <mergeCell ref="K125:K127"/>
    <mergeCell ref="B129:K129"/>
    <mergeCell ref="L130:L132"/>
    <mergeCell ref="J125:J127"/>
    <mergeCell ref="B110:K110"/>
    <mergeCell ref="B111:K111"/>
    <mergeCell ref="L112:L114"/>
    <mergeCell ref="B115:K115"/>
    <mergeCell ref="K116:K118"/>
    <mergeCell ref="B119:K119"/>
    <mergeCell ref="J116:J118"/>
    <mergeCell ref="K98:K100"/>
    <mergeCell ref="B101:K101"/>
    <mergeCell ref="B102:K102"/>
    <mergeCell ref="L103:L105"/>
    <mergeCell ref="B106:K106"/>
    <mergeCell ref="K107:K109"/>
    <mergeCell ref="J98:J100"/>
    <mergeCell ref="J107:J109"/>
    <mergeCell ref="B92:K92"/>
    <mergeCell ref="B93:K93"/>
    <mergeCell ref="L94:L96"/>
    <mergeCell ref="B97:K97"/>
    <mergeCell ref="B82:K82"/>
    <mergeCell ref="L83:L85"/>
    <mergeCell ref="B86:K86"/>
    <mergeCell ref="K87:K91"/>
    <mergeCell ref="J87:J91"/>
    <mergeCell ref="B69:L69"/>
    <mergeCell ref="B70:K70"/>
    <mergeCell ref="L71:L73"/>
    <mergeCell ref="B74:K74"/>
    <mergeCell ref="K75:K80"/>
    <mergeCell ref="B81:L81"/>
    <mergeCell ref="J75:J80"/>
    <mergeCell ref="B37:K37"/>
    <mergeCell ref="K38:K40"/>
    <mergeCell ref="B42:K42"/>
    <mergeCell ref="L43:L45"/>
    <mergeCell ref="B46:K46"/>
    <mergeCell ref="K47:K49"/>
    <mergeCell ref="J38:J40"/>
    <mergeCell ref="J47:J49"/>
    <mergeCell ref="B41:L41"/>
    <mergeCell ref="B33:K33"/>
    <mergeCell ref="L34:L36"/>
    <mergeCell ref="B51:K51"/>
    <mergeCell ref="L52:L55"/>
    <mergeCell ref="B56:K56"/>
    <mergeCell ref="B22:K22"/>
    <mergeCell ref="L23:L25"/>
    <mergeCell ref="B26:K26"/>
    <mergeCell ref="K27:K31"/>
    <mergeCell ref="B32:L32"/>
    <mergeCell ref="J27:J31"/>
    <mergeCell ref="B12:L12"/>
    <mergeCell ref="B13:K13"/>
    <mergeCell ref="L14:L16"/>
    <mergeCell ref="B17:K17"/>
    <mergeCell ref="K18:K20"/>
    <mergeCell ref="B21:L21"/>
    <mergeCell ref="J18:J20"/>
    <mergeCell ref="B1:L1"/>
    <mergeCell ref="B4:L4"/>
    <mergeCell ref="A8:A10"/>
    <mergeCell ref="B8:B10"/>
    <mergeCell ref="C8:I8"/>
    <mergeCell ref="K8:K10"/>
    <mergeCell ref="L8:L10"/>
    <mergeCell ref="C9:C10"/>
    <mergeCell ref="D9:I9"/>
    <mergeCell ref="J8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rowBreaks count="1" manualBreakCount="1">
    <brk id="10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80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6.125" style="187" customWidth="1"/>
    <col min="2" max="4" width="9.125" style="187" customWidth="1"/>
    <col min="5" max="5" width="40.375" style="187" customWidth="1"/>
    <col min="6" max="6" width="16.125" style="187" bestFit="1" customWidth="1"/>
    <col min="7" max="7" width="14.125" style="187" bestFit="1" customWidth="1"/>
    <col min="8" max="9" width="14.875" style="187" customWidth="1"/>
    <col min="10" max="10" width="16.00390625" style="187" bestFit="1" customWidth="1"/>
    <col min="11" max="16384" width="9.125" style="187" customWidth="1"/>
  </cols>
  <sheetData>
    <row r="1" spans="1:10" s="191" customFormat="1" ht="15.75">
      <c r="A1" s="985" t="s">
        <v>1112</v>
      </c>
      <c r="B1" s="985"/>
      <c r="C1" s="985"/>
      <c r="D1" s="985"/>
      <c r="E1" s="985"/>
      <c r="F1" s="985"/>
      <c r="G1" s="985"/>
      <c r="H1" s="985"/>
      <c r="I1" s="985"/>
      <c r="J1" s="985"/>
    </row>
    <row r="2" spans="1:10" s="191" customFormat="1" ht="9.7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</row>
    <row r="3" spans="1:10" s="191" customFormat="1" ht="16.5">
      <c r="A3" s="986" t="s">
        <v>885</v>
      </c>
      <c r="B3" s="986"/>
      <c r="C3" s="986"/>
      <c r="D3" s="986"/>
      <c r="E3" s="986"/>
      <c r="F3" s="986"/>
      <c r="G3" s="986"/>
      <c r="H3" s="986"/>
      <c r="I3" s="986"/>
      <c r="J3" s="986"/>
    </row>
    <row r="4" spans="1:10" s="191" customFormat="1" ht="12.75">
      <c r="A4" s="192"/>
      <c r="B4" s="193"/>
      <c r="C4" s="193"/>
      <c r="D4" s="193"/>
      <c r="E4" s="193"/>
      <c r="F4" s="193"/>
      <c r="G4" s="193"/>
      <c r="H4" s="193"/>
      <c r="I4" s="193"/>
      <c r="J4" s="193"/>
    </row>
    <row r="5" spans="1:10" ht="78" customHeight="1">
      <c r="A5" s="987" t="s">
        <v>0</v>
      </c>
      <c r="B5" s="988"/>
      <c r="C5" s="988"/>
      <c r="D5" s="988"/>
      <c r="E5" s="989"/>
      <c r="F5" s="194" t="s">
        <v>87</v>
      </c>
      <c r="G5" s="194" t="s">
        <v>380</v>
      </c>
      <c r="H5" s="194" t="s">
        <v>785</v>
      </c>
      <c r="I5" s="194" t="s">
        <v>852</v>
      </c>
      <c r="J5" s="195" t="s">
        <v>373</v>
      </c>
    </row>
    <row r="6" spans="1:10" s="198" customFormat="1" ht="15">
      <c r="A6" s="196" t="s">
        <v>442</v>
      </c>
      <c r="B6" s="990" t="s">
        <v>443</v>
      </c>
      <c r="C6" s="991"/>
      <c r="D6" s="991"/>
      <c r="E6" s="992"/>
      <c r="F6" s="197" t="s">
        <v>444</v>
      </c>
      <c r="G6" s="197" t="s">
        <v>445</v>
      </c>
      <c r="H6" s="197" t="s">
        <v>446</v>
      </c>
      <c r="I6" s="197" t="s">
        <v>447</v>
      </c>
      <c r="J6" s="197" t="s">
        <v>449</v>
      </c>
    </row>
    <row r="7" spans="1:11" ht="14.25" customHeight="1">
      <c r="A7" s="199" t="s">
        <v>1</v>
      </c>
      <c r="B7" s="982" t="s">
        <v>350</v>
      </c>
      <c r="C7" s="982"/>
      <c r="D7" s="982"/>
      <c r="E7" s="982"/>
      <c r="F7" s="186">
        <f>136546622+36347085+11080125+812250+20900-338000</f>
        <v>184468982</v>
      </c>
      <c r="G7" s="186">
        <f>103642037+2326520+200000+1420400+338000</f>
        <v>107926957</v>
      </c>
      <c r="H7" s="186">
        <f>163138725-240000+220000+56100</f>
        <v>163174825</v>
      </c>
      <c r="I7" s="186">
        <v>17165696</v>
      </c>
      <c r="J7" s="930">
        <f>SUM(F7:I7)</f>
        <v>472736460</v>
      </c>
      <c r="K7" s="661"/>
    </row>
    <row r="8" spans="1:11" ht="13.5" customHeight="1">
      <c r="A8" s="199" t="s">
        <v>3</v>
      </c>
      <c r="B8" s="982" t="s">
        <v>4</v>
      </c>
      <c r="C8" s="982"/>
      <c r="D8" s="982"/>
      <c r="E8" s="982"/>
      <c r="F8" s="186">
        <f>27233284+3543768+1080288+158389+4081-65910</f>
        <v>31953900</v>
      </c>
      <c r="G8" s="186">
        <f>20846432+453671+39000+293204+65910</f>
        <v>21698217</v>
      </c>
      <c r="H8" s="186">
        <f>42572412-46800+42900+10940</f>
        <v>42579452</v>
      </c>
      <c r="I8" s="186">
        <v>3698515</v>
      </c>
      <c r="J8" s="930">
        <f aca="true" t="shared" si="0" ref="J8:J71">SUM(F8:I8)</f>
        <v>99930084</v>
      </c>
      <c r="K8" s="661"/>
    </row>
    <row r="9" spans="1:11" ht="12" customHeight="1">
      <c r="A9" s="199" t="s">
        <v>5</v>
      </c>
      <c r="B9" s="982" t="s">
        <v>6</v>
      </c>
      <c r="C9" s="982"/>
      <c r="D9" s="982"/>
      <c r="E9" s="982"/>
      <c r="F9" s="186">
        <f>327018687+180000+220000+8618030+22660742+2730247+4347090+296854+8004000-2108200-413+413+88787</f>
        <v>372056237</v>
      </c>
      <c r="G9" s="186">
        <f>22317134+1537859+247115+2108200</f>
        <v>26210308</v>
      </c>
      <c r="H9" s="186">
        <f>66124238-1073150+10500000+656145-600000</f>
        <v>75607233</v>
      </c>
      <c r="I9" s="186">
        <f>28552341-1270000+622539</f>
        <v>27904880</v>
      </c>
      <c r="J9" s="930">
        <f t="shared" si="0"/>
        <v>501778658</v>
      </c>
      <c r="K9" s="661"/>
    </row>
    <row r="10" spans="1:11" ht="12.75">
      <c r="A10" s="199" t="s">
        <v>8</v>
      </c>
      <c r="B10" s="982" t="s">
        <v>9</v>
      </c>
      <c r="C10" s="982"/>
      <c r="D10" s="982"/>
      <c r="E10" s="982"/>
      <c r="F10" s="186">
        <f>SUM(F11,F12,F15:F20)</f>
        <v>3804900</v>
      </c>
      <c r="G10" s="186">
        <f>SUM(G11,G12,G15:G20)</f>
        <v>7430000</v>
      </c>
      <c r="H10" s="186">
        <f>SUM(H11,H12,H15:H20)</f>
        <v>0</v>
      </c>
      <c r="I10" s="186">
        <f>SUM(I11,I12,I15:I20)</f>
        <v>0</v>
      </c>
      <c r="J10" s="930">
        <f t="shared" si="0"/>
        <v>11234900</v>
      </c>
      <c r="K10" s="661"/>
    </row>
    <row r="11" spans="1:11" ht="12.75">
      <c r="A11" s="182"/>
      <c r="B11" s="182" t="s">
        <v>10</v>
      </c>
      <c r="C11" s="993" t="s">
        <v>11</v>
      </c>
      <c r="D11" s="994"/>
      <c r="E11" s="995"/>
      <c r="F11" s="185">
        <v>0</v>
      </c>
      <c r="G11" s="185">
        <v>0</v>
      </c>
      <c r="H11" s="185">
        <v>0</v>
      </c>
      <c r="I11" s="185">
        <v>0</v>
      </c>
      <c r="J11" s="186">
        <f t="shared" si="0"/>
        <v>0</v>
      </c>
      <c r="K11" s="661"/>
    </row>
    <row r="12" spans="1:11" ht="12.75">
      <c r="A12" s="182"/>
      <c r="B12" s="182" t="s">
        <v>12</v>
      </c>
      <c r="C12" s="971" t="s">
        <v>13</v>
      </c>
      <c r="D12" s="971"/>
      <c r="E12" s="971"/>
      <c r="F12" s="185">
        <f>SUM(F13:F14)</f>
        <v>0</v>
      </c>
      <c r="G12" s="185">
        <f>SUM(G13:G14)</f>
        <v>7430000</v>
      </c>
      <c r="H12" s="185">
        <f>SUM(H13:H14)</f>
        <v>0</v>
      </c>
      <c r="I12" s="185">
        <f>SUM(I13:I14)</f>
        <v>0</v>
      </c>
      <c r="J12" s="186">
        <f t="shared" si="0"/>
        <v>7430000</v>
      </c>
      <c r="K12" s="661"/>
    </row>
    <row r="13" spans="1:11" ht="23.25" customHeight="1">
      <c r="A13" s="188"/>
      <c r="B13" s="182"/>
      <c r="C13" s="188"/>
      <c r="D13" s="978" t="s">
        <v>674</v>
      </c>
      <c r="E13" s="979"/>
      <c r="F13" s="189">
        <v>0</v>
      </c>
      <c r="G13" s="189">
        <v>7430000</v>
      </c>
      <c r="H13" s="189">
        <v>0</v>
      </c>
      <c r="I13" s="189">
        <v>0</v>
      </c>
      <c r="J13" s="200">
        <f t="shared" si="0"/>
        <v>7430000</v>
      </c>
      <c r="K13" s="661"/>
    </row>
    <row r="14" spans="1:11" ht="22.5" customHeight="1">
      <c r="A14" s="188"/>
      <c r="B14" s="182"/>
      <c r="C14" s="188"/>
      <c r="D14" s="983" t="s">
        <v>675</v>
      </c>
      <c r="E14" s="984"/>
      <c r="F14" s="189">
        <v>0</v>
      </c>
      <c r="G14" s="189">
        <v>0</v>
      </c>
      <c r="H14" s="189">
        <v>0</v>
      </c>
      <c r="I14" s="189">
        <v>0</v>
      </c>
      <c r="J14" s="200">
        <f t="shared" si="0"/>
        <v>0</v>
      </c>
      <c r="K14" s="661"/>
    </row>
    <row r="15" spans="1:11" ht="12.75">
      <c r="A15" s="182"/>
      <c r="B15" s="182" t="s">
        <v>131</v>
      </c>
      <c r="C15" s="971" t="s">
        <v>132</v>
      </c>
      <c r="D15" s="971"/>
      <c r="E15" s="971"/>
      <c r="F15" s="185">
        <v>0</v>
      </c>
      <c r="G15" s="185">
        <v>0</v>
      </c>
      <c r="H15" s="185">
        <v>0</v>
      </c>
      <c r="I15" s="185">
        <v>0</v>
      </c>
      <c r="J15" s="200">
        <f t="shared" si="0"/>
        <v>0</v>
      </c>
      <c r="K15" s="661"/>
    </row>
    <row r="16" spans="1:11" ht="12" customHeight="1">
      <c r="A16" s="182"/>
      <c r="B16" s="182" t="s">
        <v>133</v>
      </c>
      <c r="C16" s="993" t="s">
        <v>134</v>
      </c>
      <c r="D16" s="994"/>
      <c r="E16" s="995"/>
      <c r="F16" s="185">
        <f aca="true" t="shared" si="1" ref="F16:I17">SUM(F17:F18)</f>
        <v>0</v>
      </c>
      <c r="G16" s="185">
        <f t="shared" si="1"/>
        <v>0</v>
      </c>
      <c r="H16" s="185">
        <f t="shared" si="1"/>
        <v>0</v>
      </c>
      <c r="I16" s="185">
        <f t="shared" si="1"/>
        <v>0</v>
      </c>
      <c r="J16" s="200">
        <f t="shared" si="0"/>
        <v>0</v>
      </c>
      <c r="K16" s="661"/>
    </row>
    <row r="17" spans="1:11" ht="13.5" customHeight="1">
      <c r="A17" s="188"/>
      <c r="B17" s="182" t="s">
        <v>135</v>
      </c>
      <c r="C17" s="182" t="s">
        <v>136</v>
      </c>
      <c r="D17" s="183"/>
      <c r="E17" s="184"/>
      <c r="F17" s="185">
        <f t="shared" si="1"/>
        <v>0</v>
      </c>
      <c r="G17" s="185">
        <f t="shared" si="1"/>
        <v>0</v>
      </c>
      <c r="H17" s="185">
        <f t="shared" si="1"/>
        <v>0</v>
      </c>
      <c r="I17" s="185">
        <f t="shared" si="1"/>
        <v>0</v>
      </c>
      <c r="J17" s="200">
        <f t="shared" si="0"/>
        <v>0</v>
      </c>
      <c r="K17" s="661"/>
    </row>
    <row r="18" spans="1:11" ht="12.75">
      <c r="A18" s="182"/>
      <c r="B18" s="182" t="s">
        <v>137</v>
      </c>
      <c r="C18" s="993" t="s">
        <v>138</v>
      </c>
      <c r="D18" s="994"/>
      <c r="E18" s="995"/>
      <c r="F18" s="185">
        <f>SUM(F19)</f>
        <v>0</v>
      </c>
      <c r="G18" s="185">
        <f>SUM(G19)</f>
        <v>0</v>
      </c>
      <c r="H18" s="185">
        <f>SUM(H19)</f>
        <v>0</v>
      </c>
      <c r="I18" s="185">
        <f>SUM(I19)</f>
        <v>0</v>
      </c>
      <c r="J18" s="200">
        <f t="shared" si="0"/>
        <v>0</v>
      </c>
      <c r="K18" s="661"/>
    </row>
    <row r="19" spans="1:11" ht="12.75">
      <c r="A19" s="182"/>
      <c r="B19" s="182" t="s">
        <v>139</v>
      </c>
      <c r="C19" s="971" t="s">
        <v>14</v>
      </c>
      <c r="D19" s="971"/>
      <c r="E19" s="971"/>
      <c r="F19" s="185">
        <v>0</v>
      </c>
      <c r="G19" s="185">
        <v>0</v>
      </c>
      <c r="H19" s="185">
        <v>0</v>
      </c>
      <c r="I19" s="185">
        <v>0</v>
      </c>
      <c r="J19" s="200">
        <f t="shared" si="0"/>
        <v>0</v>
      </c>
      <c r="K19" s="661"/>
    </row>
    <row r="20" spans="1:11" ht="12.75">
      <c r="A20" s="182"/>
      <c r="B20" s="182" t="s">
        <v>140</v>
      </c>
      <c r="C20" s="993" t="s">
        <v>141</v>
      </c>
      <c r="D20" s="994"/>
      <c r="E20" s="995"/>
      <c r="F20" s="185">
        <f>SUM(F21:F22)</f>
        <v>3804900</v>
      </c>
      <c r="G20" s="185">
        <f>SUM(G21:G22)</f>
        <v>0</v>
      </c>
      <c r="H20" s="185">
        <f>SUM(H21:H22)</f>
        <v>0</v>
      </c>
      <c r="I20" s="185">
        <f>SUM(I21:I22)</f>
        <v>0</v>
      </c>
      <c r="J20" s="200">
        <f t="shared" si="0"/>
        <v>3804900</v>
      </c>
      <c r="K20" s="661"/>
    </row>
    <row r="21" spans="1:11" ht="12.75">
      <c r="A21" s="188"/>
      <c r="B21" s="188"/>
      <c r="C21" s="188"/>
      <c r="D21" s="993" t="s">
        <v>624</v>
      </c>
      <c r="E21" s="995"/>
      <c r="F21" s="189">
        <v>1500000</v>
      </c>
      <c r="G21" s="189">
        <v>0</v>
      </c>
      <c r="H21" s="189">
        <v>0</v>
      </c>
      <c r="I21" s="189">
        <v>0</v>
      </c>
      <c r="J21" s="200">
        <f t="shared" si="0"/>
        <v>1500000</v>
      </c>
      <c r="K21" s="661"/>
    </row>
    <row r="22" spans="1:11" s="190" customFormat="1" ht="12.75">
      <c r="A22" s="188"/>
      <c r="B22" s="188"/>
      <c r="C22" s="188"/>
      <c r="D22" s="993" t="s">
        <v>623</v>
      </c>
      <c r="E22" s="995"/>
      <c r="F22" s="189">
        <v>2304900</v>
      </c>
      <c r="G22" s="189">
        <v>0</v>
      </c>
      <c r="H22" s="189">
        <v>0</v>
      </c>
      <c r="I22" s="189">
        <v>0</v>
      </c>
      <c r="J22" s="200">
        <f t="shared" si="0"/>
        <v>2304900</v>
      </c>
      <c r="K22" s="661"/>
    </row>
    <row r="23" spans="1:11" ht="12" customHeight="1">
      <c r="A23" s="199" t="s">
        <v>142</v>
      </c>
      <c r="B23" s="972" t="s">
        <v>143</v>
      </c>
      <c r="C23" s="973"/>
      <c r="D23" s="973"/>
      <c r="E23" s="974"/>
      <c r="F23" s="186">
        <f>SUM(F57+F46+F45+F43+F42+F41+F40+F29+F28+F27+F26+F24+F25)</f>
        <v>229320213</v>
      </c>
      <c r="G23" s="186">
        <f>SUM(G57+G46+G43+G42+G41+G40+G29+G28+G27+G26+G24+G25)</f>
        <v>0</v>
      </c>
      <c r="H23" s="186">
        <f>SUM(H57+H46+H43+H42+H41+H40+H29+H28+H27+H26+H24+H25)</f>
        <v>0</v>
      </c>
      <c r="I23" s="186">
        <f>SUM(I57+I46+I43+I42+I41+I40+I29+I28+I27+I26+I24+I25)</f>
        <v>0</v>
      </c>
      <c r="J23" s="930">
        <f t="shared" si="0"/>
        <v>229320213</v>
      </c>
      <c r="K23" s="661"/>
    </row>
    <row r="24" spans="1:11" ht="6" customHeight="1" hidden="1">
      <c r="A24" s="188"/>
      <c r="B24" s="188"/>
      <c r="C24" s="188" t="s">
        <v>144</v>
      </c>
      <c r="D24" s="188" t="s">
        <v>145</v>
      </c>
      <c r="E24" s="188"/>
      <c r="F24" s="189">
        <v>0</v>
      </c>
      <c r="G24" s="189">
        <v>0</v>
      </c>
      <c r="H24" s="189">
        <v>0</v>
      </c>
      <c r="I24" s="189">
        <v>0</v>
      </c>
      <c r="J24" s="200">
        <f t="shared" si="0"/>
        <v>0</v>
      </c>
      <c r="K24" s="662"/>
    </row>
    <row r="25" spans="1:11" ht="15" customHeight="1">
      <c r="A25" s="188"/>
      <c r="B25" s="188"/>
      <c r="C25" s="188" t="s">
        <v>146</v>
      </c>
      <c r="D25" s="188" t="s">
        <v>147</v>
      </c>
      <c r="E25" s="188"/>
      <c r="F25" s="189">
        <f>46343378</f>
        <v>46343378</v>
      </c>
      <c r="G25" s="189">
        <v>0</v>
      </c>
      <c r="H25" s="189">
        <v>0</v>
      </c>
      <c r="I25" s="189">
        <v>0</v>
      </c>
      <c r="J25" s="200">
        <f t="shared" si="0"/>
        <v>46343378</v>
      </c>
      <c r="K25" s="662"/>
    </row>
    <row r="26" spans="1:11" ht="12.75" hidden="1">
      <c r="A26" s="188"/>
      <c r="B26" s="188"/>
      <c r="C26" s="188" t="s">
        <v>148</v>
      </c>
      <c r="D26" s="980" t="s">
        <v>149</v>
      </c>
      <c r="E26" s="981"/>
      <c r="F26" s="189">
        <v>0</v>
      </c>
      <c r="G26" s="189">
        <v>0</v>
      </c>
      <c r="H26" s="189">
        <v>0</v>
      </c>
      <c r="I26" s="189">
        <v>0</v>
      </c>
      <c r="J26" s="200">
        <f t="shared" si="0"/>
        <v>0</v>
      </c>
      <c r="K26" s="662"/>
    </row>
    <row r="27" spans="1:11" ht="12.75" hidden="1">
      <c r="A27" s="188"/>
      <c r="B27" s="188"/>
      <c r="C27" s="188" t="s">
        <v>150</v>
      </c>
      <c r="D27" s="980" t="s">
        <v>151</v>
      </c>
      <c r="E27" s="981"/>
      <c r="F27" s="189">
        <v>0</v>
      </c>
      <c r="G27" s="189">
        <v>0</v>
      </c>
      <c r="H27" s="189">
        <v>0</v>
      </c>
      <c r="I27" s="189">
        <v>0</v>
      </c>
      <c r="J27" s="200">
        <f t="shared" si="0"/>
        <v>0</v>
      </c>
      <c r="K27" s="662"/>
    </row>
    <row r="28" spans="1:11" ht="12.75" hidden="1">
      <c r="A28" s="188"/>
      <c r="B28" s="188"/>
      <c r="C28" s="188" t="s">
        <v>172</v>
      </c>
      <c r="D28" s="980" t="s">
        <v>173</v>
      </c>
      <c r="E28" s="981"/>
      <c r="F28" s="189">
        <v>0</v>
      </c>
      <c r="G28" s="189">
        <v>0</v>
      </c>
      <c r="H28" s="189">
        <v>0</v>
      </c>
      <c r="I28" s="189">
        <v>0</v>
      </c>
      <c r="J28" s="200">
        <f t="shared" si="0"/>
        <v>0</v>
      </c>
      <c r="K28" s="662"/>
    </row>
    <row r="29" spans="1:11" ht="12.75" hidden="1">
      <c r="A29" s="188"/>
      <c r="B29" s="188"/>
      <c r="C29" s="188" t="s">
        <v>174</v>
      </c>
      <c r="D29" s="980" t="s">
        <v>175</v>
      </c>
      <c r="E29" s="981"/>
      <c r="F29" s="189">
        <f>SUM(F30:F39)</f>
        <v>0</v>
      </c>
      <c r="G29" s="189">
        <f>SUM(G30:G39)</f>
        <v>0</v>
      </c>
      <c r="H29" s="189">
        <f>SUM(H30:H39)</f>
        <v>0</v>
      </c>
      <c r="I29" s="189">
        <f>SUM(I30:I39)</f>
        <v>0</v>
      </c>
      <c r="J29" s="200">
        <f t="shared" si="0"/>
        <v>0</v>
      </c>
      <c r="K29" s="662"/>
    </row>
    <row r="30" spans="1:11" ht="12.75" hidden="1">
      <c r="A30" s="201"/>
      <c r="B30" s="201"/>
      <c r="C30" s="202" t="s">
        <v>2</v>
      </c>
      <c r="D30" s="202" t="s">
        <v>152</v>
      </c>
      <c r="E30" s="202" t="s">
        <v>153</v>
      </c>
      <c r="F30" s="203">
        <v>0</v>
      </c>
      <c r="G30" s="203">
        <v>0</v>
      </c>
      <c r="H30" s="203">
        <v>0</v>
      </c>
      <c r="I30" s="203">
        <v>0</v>
      </c>
      <c r="J30" s="200">
        <f t="shared" si="0"/>
        <v>0</v>
      </c>
      <c r="K30" s="662"/>
    </row>
    <row r="31" spans="1:11" ht="12.75" hidden="1">
      <c r="A31" s="201"/>
      <c r="B31" s="201"/>
      <c r="C31" s="202"/>
      <c r="D31" s="202" t="s">
        <v>154</v>
      </c>
      <c r="E31" s="202" t="s">
        <v>155</v>
      </c>
      <c r="F31" s="203">
        <v>0</v>
      </c>
      <c r="G31" s="203">
        <v>0</v>
      </c>
      <c r="H31" s="203">
        <v>0</v>
      </c>
      <c r="I31" s="203">
        <v>0</v>
      </c>
      <c r="J31" s="200">
        <f t="shared" si="0"/>
        <v>0</v>
      </c>
      <c r="K31" s="662"/>
    </row>
    <row r="32" spans="1:11" ht="12.75" hidden="1">
      <c r="A32" s="201"/>
      <c r="B32" s="201"/>
      <c r="C32" s="202"/>
      <c r="D32" s="202" t="s">
        <v>156</v>
      </c>
      <c r="E32" s="202" t="s">
        <v>157</v>
      </c>
      <c r="F32" s="203">
        <v>0</v>
      </c>
      <c r="G32" s="203">
        <v>0</v>
      </c>
      <c r="H32" s="203">
        <v>0</v>
      </c>
      <c r="I32" s="203">
        <v>0</v>
      </c>
      <c r="J32" s="200">
        <f t="shared" si="0"/>
        <v>0</v>
      </c>
      <c r="K32" s="662"/>
    </row>
    <row r="33" spans="1:11" ht="12.75" hidden="1">
      <c r="A33" s="201"/>
      <c r="B33" s="201"/>
      <c r="C33" s="202"/>
      <c r="D33" s="202" t="s">
        <v>158</v>
      </c>
      <c r="E33" s="202" t="s">
        <v>159</v>
      </c>
      <c r="F33" s="203">
        <v>0</v>
      </c>
      <c r="G33" s="203">
        <v>0</v>
      </c>
      <c r="H33" s="203">
        <v>0</v>
      </c>
      <c r="I33" s="203">
        <v>0</v>
      </c>
      <c r="J33" s="200">
        <f t="shared" si="0"/>
        <v>0</v>
      </c>
      <c r="K33" s="662"/>
    </row>
    <row r="34" spans="1:11" ht="12.75" hidden="1">
      <c r="A34" s="201"/>
      <c r="B34" s="201"/>
      <c r="C34" s="202"/>
      <c r="D34" s="202" t="s">
        <v>160</v>
      </c>
      <c r="E34" s="202" t="s">
        <v>161</v>
      </c>
      <c r="F34" s="203">
        <v>0</v>
      </c>
      <c r="G34" s="203">
        <v>0</v>
      </c>
      <c r="H34" s="203">
        <v>0</v>
      </c>
      <c r="I34" s="203">
        <v>0</v>
      </c>
      <c r="J34" s="200">
        <f t="shared" si="0"/>
        <v>0</v>
      </c>
      <c r="K34" s="662"/>
    </row>
    <row r="35" spans="1:11" ht="12.75" hidden="1">
      <c r="A35" s="201"/>
      <c r="B35" s="201"/>
      <c r="C35" s="202"/>
      <c r="D35" s="202" t="s">
        <v>162</v>
      </c>
      <c r="E35" s="202" t="s">
        <v>163</v>
      </c>
      <c r="F35" s="203">
        <v>0</v>
      </c>
      <c r="G35" s="203">
        <v>0</v>
      </c>
      <c r="H35" s="203">
        <v>0</v>
      </c>
      <c r="I35" s="203">
        <v>0</v>
      </c>
      <c r="J35" s="200">
        <f t="shared" si="0"/>
        <v>0</v>
      </c>
      <c r="K35" s="662"/>
    </row>
    <row r="36" spans="1:11" ht="0.75" customHeight="1" hidden="1">
      <c r="A36" s="201"/>
      <c r="B36" s="201"/>
      <c r="C36" s="202"/>
      <c r="D36" s="202" t="s">
        <v>164</v>
      </c>
      <c r="E36" s="202" t="s">
        <v>165</v>
      </c>
      <c r="F36" s="203">
        <v>0</v>
      </c>
      <c r="G36" s="203">
        <v>0</v>
      </c>
      <c r="H36" s="203">
        <v>0</v>
      </c>
      <c r="I36" s="203">
        <v>0</v>
      </c>
      <c r="J36" s="200">
        <f t="shared" si="0"/>
        <v>0</v>
      </c>
      <c r="K36" s="662"/>
    </row>
    <row r="37" spans="1:11" ht="12.75" hidden="1">
      <c r="A37" s="201"/>
      <c r="B37" s="201"/>
      <c r="C37" s="202"/>
      <c r="D37" s="202" t="s">
        <v>166</v>
      </c>
      <c r="E37" s="202" t="s">
        <v>167</v>
      </c>
      <c r="F37" s="203">
        <v>0</v>
      </c>
      <c r="G37" s="203">
        <v>0</v>
      </c>
      <c r="H37" s="203">
        <v>0</v>
      </c>
      <c r="I37" s="203">
        <v>0</v>
      </c>
      <c r="J37" s="200">
        <f t="shared" si="0"/>
        <v>0</v>
      </c>
      <c r="K37" s="662"/>
    </row>
    <row r="38" spans="1:11" ht="12.75" hidden="1">
      <c r="A38" s="201"/>
      <c r="B38" s="201"/>
      <c r="C38" s="202"/>
      <c r="D38" s="202" t="s">
        <v>168</v>
      </c>
      <c r="E38" s="202" t="s">
        <v>169</v>
      </c>
      <c r="F38" s="203">
        <v>0</v>
      </c>
      <c r="G38" s="203">
        <v>0</v>
      </c>
      <c r="H38" s="203">
        <v>0</v>
      </c>
      <c r="I38" s="203">
        <v>0</v>
      </c>
      <c r="J38" s="200">
        <f t="shared" si="0"/>
        <v>0</v>
      </c>
      <c r="K38" s="662"/>
    </row>
    <row r="39" spans="1:11" ht="12.75" hidden="1">
      <c r="A39" s="201"/>
      <c r="B39" s="201"/>
      <c r="C39" s="202"/>
      <c r="D39" s="202" t="s">
        <v>170</v>
      </c>
      <c r="E39" s="202" t="s">
        <v>171</v>
      </c>
      <c r="F39" s="203">
        <v>0</v>
      </c>
      <c r="G39" s="203">
        <v>0</v>
      </c>
      <c r="H39" s="203">
        <v>0</v>
      </c>
      <c r="I39" s="203">
        <v>0</v>
      </c>
      <c r="J39" s="200">
        <f t="shared" si="0"/>
        <v>0</v>
      </c>
      <c r="K39" s="662"/>
    </row>
    <row r="40" spans="1:11" ht="12.75" hidden="1">
      <c r="A40" s="188"/>
      <c r="B40" s="188"/>
      <c r="C40" s="188" t="s">
        <v>176</v>
      </c>
      <c r="D40" s="980" t="s">
        <v>177</v>
      </c>
      <c r="E40" s="981"/>
      <c r="F40" s="189">
        <v>0</v>
      </c>
      <c r="G40" s="189">
        <v>0</v>
      </c>
      <c r="H40" s="189">
        <v>0</v>
      </c>
      <c r="I40" s="189">
        <v>0</v>
      </c>
      <c r="J40" s="200">
        <f t="shared" si="0"/>
        <v>0</v>
      </c>
      <c r="K40" s="662"/>
    </row>
    <row r="41" spans="1:11" ht="12.75" hidden="1">
      <c r="A41" s="188"/>
      <c r="B41" s="188"/>
      <c r="C41" s="188" t="s">
        <v>178</v>
      </c>
      <c r="D41" s="980" t="s">
        <v>554</v>
      </c>
      <c r="E41" s="981"/>
      <c r="F41" s="189">
        <v>0</v>
      </c>
      <c r="G41" s="189">
        <v>0</v>
      </c>
      <c r="H41" s="189">
        <v>0</v>
      </c>
      <c r="I41" s="189">
        <v>0</v>
      </c>
      <c r="J41" s="200">
        <f t="shared" si="0"/>
        <v>0</v>
      </c>
      <c r="K41" s="662"/>
    </row>
    <row r="42" spans="1:11" ht="12.75" hidden="1">
      <c r="A42" s="188"/>
      <c r="B42" s="188"/>
      <c r="C42" s="188" t="s">
        <v>189</v>
      </c>
      <c r="D42" s="980" t="s">
        <v>190</v>
      </c>
      <c r="E42" s="981"/>
      <c r="F42" s="189">
        <v>0</v>
      </c>
      <c r="G42" s="189">
        <v>0</v>
      </c>
      <c r="H42" s="189">
        <v>0</v>
      </c>
      <c r="I42" s="189">
        <v>0</v>
      </c>
      <c r="J42" s="200">
        <f t="shared" si="0"/>
        <v>0</v>
      </c>
      <c r="K42" s="662"/>
    </row>
    <row r="43" spans="1:11" ht="12.75" hidden="1">
      <c r="A43" s="188"/>
      <c r="B43" s="188"/>
      <c r="C43" s="188" t="s">
        <v>191</v>
      </c>
      <c r="D43" s="980" t="s">
        <v>192</v>
      </c>
      <c r="E43" s="981"/>
      <c r="F43" s="189">
        <v>0</v>
      </c>
      <c r="G43" s="189">
        <v>0</v>
      </c>
      <c r="H43" s="189">
        <v>0</v>
      </c>
      <c r="I43" s="189">
        <v>0</v>
      </c>
      <c r="J43" s="200">
        <f t="shared" si="0"/>
        <v>0</v>
      </c>
      <c r="K43" s="662"/>
    </row>
    <row r="44" spans="1:11" ht="12.75" hidden="1">
      <c r="A44" s="188"/>
      <c r="B44" s="188"/>
      <c r="C44" s="188" t="s">
        <v>193</v>
      </c>
      <c r="D44" s="980" t="s">
        <v>595</v>
      </c>
      <c r="E44" s="981"/>
      <c r="F44" s="189">
        <v>0</v>
      </c>
      <c r="G44" s="189">
        <v>0</v>
      </c>
      <c r="H44" s="189">
        <v>0</v>
      </c>
      <c r="I44" s="189">
        <v>0</v>
      </c>
      <c r="J44" s="200">
        <f t="shared" si="0"/>
        <v>0</v>
      </c>
      <c r="K44" s="662"/>
    </row>
    <row r="45" spans="1:11" ht="12.75">
      <c r="A45" s="188"/>
      <c r="B45" s="188"/>
      <c r="C45" s="188" t="s">
        <v>174</v>
      </c>
      <c r="D45" s="978" t="s">
        <v>887</v>
      </c>
      <c r="E45" s="979"/>
      <c r="F45" s="189">
        <f>1170350+46053</f>
        <v>1216403</v>
      </c>
      <c r="G45" s="189">
        <v>0</v>
      </c>
      <c r="H45" s="189">
        <v>0</v>
      </c>
      <c r="I45" s="189">
        <v>0</v>
      </c>
      <c r="J45" s="200">
        <f t="shared" si="0"/>
        <v>1216403</v>
      </c>
      <c r="K45" s="662"/>
    </row>
    <row r="46" spans="1:11" ht="12.75">
      <c r="A46" s="188"/>
      <c r="B46" s="188"/>
      <c r="C46" s="188" t="s">
        <v>195</v>
      </c>
      <c r="D46" s="978" t="s">
        <v>194</v>
      </c>
      <c r="E46" s="979"/>
      <c r="F46" s="189">
        <f>177647755</f>
        <v>177647755</v>
      </c>
      <c r="G46" s="189">
        <f>SUM(G47:G56)</f>
        <v>0</v>
      </c>
      <c r="H46" s="189">
        <f>SUM(H47:H56)</f>
        <v>0</v>
      </c>
      <c r="I46" s="189">
        <f>SUM(I47:I56)</f>
        <v>0</v>
      </c>
      <c r="J46" s="200">
        <f t="shared" si="0"/>
        <v>177647755</v>
      </c>
      <c r="K46" s="662"/>
    </row>
    <row r="47" spans="1:11" ht="12.75" hidden="1">
      <c r="A47" s="204"/>
      <c r="B47" s="204"/>
      <c r="C47" s="202" t="s">
        <v>2</v>
      </c>
      <c r="D47" s="253" t="s">
        <v>152</v>
      </c>
      <c r="E47" s="253" t="s">
        <v>179</v>
      </c>
      <c r="F47" s="203">
        <v>0</v>
      </c>
      <c r="G47" s="203">
        <v>0</v>
      </c>
      <c r="H47" s="203">
        <v>0</v>
      </c>
      <c r="I47" s="203">
        <v>0</v>
      </c>
      <c r="J47" s="200">
        <f t="shared" si="0"/>
        <v>0</v>
      </c>
      <c r="K47" s="662"/>
    </row>
    <row r="48" spans="1:11" ht="12.75" hidden="1">
      <c r="A48" s="204"/>
      <c r="B48" s="204"/>
      <c r="C48" s="202"/>
      <c r="D48" s="253" t="s">
        <v>154</v>
      </c>
      <c r="E48" s="253" t="s">
        <v>592</v>
      </c>
      <c r="F48" s="203">
        <v>0</v>
      </c>
      <c r="G48" s="203"/>
      <c r="H48" s="203"/>
      <c r="I48" s="203"/>
      <c r="J48" s="200">
        <f t="shared" si="0"/>
        <v>0</v>
      </c>
      <c r="K48" s="662"/>
    </row>
    <row r="49" spans="1:11" ht="12.75" hidden="1">
      <c r="A49" s="204"/>
      <c r="B49" s="204"/>
      <c r="C49" s="202"/>
      <c r="D49" s="253" t="s">
        <v>156</v>
      </c>
      <c r="E49" s="253" t="s">
        <v>180</v>
      </c>
      <c r="F49" s="203">
        <f>100000</f>
        <v>100000</v>
      </c>
      <c r="G49" s="203">
        <v>0</v>
      </c>
      <c r="H49" s="203">
        <v>0</v>
      </c>
      <c r="I49" s="203">
        <v>0</v>
      </c>
      <c r="J49" s="200">
        <f t="shared" si="0"/>
        <v>100000</v>
      </c>
      <c r="K49" s="662"/>
    </row>
    <row r="50" spans="1:11" ht="12.75" hidden="1">
      <c r="A50" s="204"/>
      <c r="B50" s="204"/>
      <c r="C50" s="202"/>
      <c r="D50" s="253" t="s">
        <v>158</v>
      </c>
      <c r="E50" s="253" t="s">
        <v>181</v>
      </c>
      <c r="F50" s="203">
        <v>0</v>
      </c>
      <c r="G50" s="203">
        <v>0</v>
      </c>
      <c r="H50" s="203">
        <v>0</v>
      </c>
      <c r="I50" s="203">
        <v>0</v>
      </c>
      <c r="J50" s="200">
        <f t="shared" si="0"/>
        <v>0</v>
      </c>
      <c r="K50" s="662"/>
    </row>
    <row r="51" spans="1:11" ht="12.75" hidden="1">
      <c r="A51" s="204"/>
      <c r="B51" s="204"/>
      <c r="C51" s="202"/>
      <c r="D51" s="253" t="s">
        <v>160</v>
      </c>
      <c r="E51" s="253" t="s">
        <v>182</v>
      </c>
      <c r="F51" s="203">
        <v>0</v>
      </c>
      <c r="G51" s="203">
        <v>0</v>
      </c>
      <c r="H51" s="203">
        <v>0</v>
      </c>
      <c r="I51" s="203">
        <v>0</v>
      </c>
      <c r="J51" s="200">
        <f t="shared" si="0"/>
        <v>0</v>
      </c>
      <c r="K51" s="662"/>
    </row>
    <row r="52" spans="1:11" ht="12.75" hidden="1">
      <c r="A52" s="204"/>
      <c r="B52" s="204"/>
      <c r="C52" s="202"/>
      <c r="D52" s="253" t="s">
        <v>162</v>
      </c>
      <c r="E52" s="253" t="s">
        <v>183</v>
      </c>
      <c r="F52" s="203">
        <v>0</v>
      </c>
      <c r="G52" s="203">
        <v>0</v>
      </c>
      <c r="H52" s="203">
        <v>0</v>
      </c>
      <c r="I52" s="203">
        <v>0</v>
      </c>
      <c r="J52" s="200">
        <f t="shared" si="0"/>
        <v>0</v>
      </c>
      <c r="K52" s="662"/>
    </row>
    <row r="53" spans="1:11" ht="12.75" hidden="1">
      <c r="A53" s="201"/>
      <c r="B53" s="201"/>
      <c r="C53" s="202"/>
      <c r="D53" s="253" t="s">
        <v>164</v>
      </c>
      <c r="E53" s="253" t="s">
        <v>184</v>
      </c>
      <c r="F53" s="203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203">
        <v>0</v>
      </c>
      <c r="H53" s="203">
        <v>0</v>
      </c>
      <c r="I53" s="203">
        <v>0</v>
      </c>
      <c r="J53" s="200">
        <f t="shared" si="0"/>
        <v>208924042</v>
      </c>
      <c r="K53" s="662"/>
    </row>
    <row r="54" spans="1:11" ht="12.75" hidden="1">
      <c r="A54" s="201"/>
      <c r="B54" s="201"/>
      <c r="C54" s="202"/>
      <c r="D54" s="253" t="s">
        <v>166</v>
      </c>
      <c r="E54" s="253" t="s">
        <v>185</v>
      </c>
      <c r="F54" s="203">
        <f>3224350+35026110</f>
        <v>38250460</v>
      </c>
      <c r="G54" s="203">
        <v>0</v>
      </c>
      <c r="H54" s="203">
        <v>0</v>
      </c>
      <c r="I54" s="203">
        <v>0</v>
      </c>
      <c r="J54" s="200">
        <f t="shared" si="0"/>
        <v>38250460</v>
      </c>
      <c r="K54" s="662"/>
    </row>
    <row r="55" spans="1:11" ht="12.75" hidden="1">
      <c r="A55" s="204"/>
      <c r="B55" s="204"/>
      <c r="C55" s="202"/>
      <c r="D55" s="253" t="s">
        <v>168</v>
      </c>
      <c r="E55" s="253" t="s">
        <v>187</v>
      </c>
      <c r="F55" s="203">
        <v>0</v>
      </c>
      <c r="G55" s="203">
        <v>0</v>
      </c>
      <c r="H55" s="203">
        <v>0</v>
      </c>
      <c r="I55" s="203">
        <v>0</v>
      </c>
      <c r="J55" s="200">
        <f t="shared" si="0"/>
        <v>0</v>
      </c>
      <c r="K55" s="662"/>
    </row>
    <row r="56" spans="1:11" ht="12.75" hidden="1">
      <c r="A56" s="204"/>
      <c r="B56" s="204"/>
      <c r="C56" s="202"/>
      <c r="D56" s="253" t="s">
        <v>170</v>
      </c>
      <c r="E56" s="253" t="s">
        <v>188</v>
      </c>
      <c r="F56" s="203">
        <v>0</v>
      </c>
      <c r="G56" s="203">
        <v>0</v>
      </c>
      <c r="H56" s="203">
        <v>0</v>
      </c>
      <c r="I56" s="203">
        <v>0</v>
      </c>
      <c r="J56" s="200">
        <f t="shared" si="0"/>
        <v>0</v>
      </c>
      <c r="K56" s="662"/>
    </row>
    <row r="57" spans="1:11" ht="12.75">
      <c r="A57" s="204"/>
      <c r="B57" s="204"/>
      <c r="C57" s="188" t="s">
        <v>596</v>
      </c>
      <c r="D57" s="978" t="s">
        <v>196</v>
      </c>
      <c r="E57" s="979"/>
      <c r="F57" s="189">
        <f>SUM(F58:F62)</f>
        <v>4112677</v>
      </c>
      <c r="G57" s="189">
        <f>SUM(G58:G61)</f>
        <v>0</v>
      </c>
      <c r="H57" s="189">
        <f>SUM(H58:H61)</f>
        <v>0</v>
      </c>
      <c r="I57" s="189">
        <f>SUM(I58:I61)</f>
        <v>0</v>
      </c>
      <c r="J57" s="200">
        <f t="shared" si="0"/>
        <v>4112677</v>
      </c>
      <c r="K57" s="662"/>
    </row>
    <row r="58" spans="1:11" ht="12.75">
      <c r="A58" s="201"/>
      <c r="B58" s="201"/>
      <c r="C58" s="205" t="s">
        <v>2</v>
      </c>
      <c r="D58" s="206"/>
      <c r="E58" s="207" t="s">
        <v>441</v>
      </c>
      <c r="F58" s="203">
        <f>1000000-180000-220000</f>
        <v>600000</v>
      </c>
      <c r="G58" s="203">
        <v>0</v>
      </c>
      <c r="H58" s="203">
        <v>0</v>
      </c>
      <c r="I58" s="203">
        <v>0</v>
      </c>
      <c r="J58" s="200">
        <f t="shared" si="0"/>
        <v>600000</v>
      </c>
      <c r="K58" s="662"/>
    </row>
    <row r="59" spans="1:11" ht="12.75">
      <c r="A59" s="201"/>
      <c r="B59" s="201"/>
      <c r="C59" s="202"/>
      <c r="D59" s="206"/>
      <c r="E59" s="207" t="s">
        <v>478</v>
      </c>
      <c r="F59" s="203">
        <f>1000000-1000000</f>
        <v>0</v>
      </c>
      <c r="G59" s="203">
        <v>0</v>
      </c>
      <c r="H59" s="203">
        <v>0</v>
      </c>
      <c r="I59" s="203">
        <v>0</v>
      </c>
      <c r="J59" s="200">
        <f t="shared" si="0"/>
        <v>0</v>
      </c>
      <c r="K59" s="662"/>
    </row>
    <row r="60" spans="1:11" ht="12.75">
      <c r="A60" s="201"/>
      <c r="B60" s="201"/>
      <c r="C60" s="202"/>
      <c r="D60" s="206"/>
      <c r="E60" s="207" t="s">
        <v>717</v>
      </c>
      <c r="F60" s="203">
        <f>350000+926229</f>
        <v>1276229</v>
      </c>
      <c r="G60" s="203">
        <v>0</v>
      </c>
      <c r="H60" s="203">
        <v>0</v>
      </c>
      <c r="I60" s="203">
        <v>0</v>
      </c>
      <c r="J60" s="200">
        <f t="shared" si="0"/>
        <v>1276229</v>
      </c>
      <c r="K60" s="662"/>
    </row>
    <row r="61" spans="1:11" ht="22.5">
      <c r="A61" s="201"/>
      <c r="B61" s="201"/>
      <c r="C61" s="202"/>
      <c r="D61" s="206"/>
      <c r="E61" s="660" t="s">
        <v>1051</v>
      </c>
      <c r="F61" s="203">
        <v>200000</v>
      </c>
      <c r="G61" s="203">
        <v>0</v>
      </c>
      <c r="H61" s="203">
        <v>0</v>
      </c>
      <c r="I61" s="203">
        <v>0</v>
      </c>
      <c r="J61" s="200">
        <f t="shared" si="0"/>
        <v>200000</v>
      </c>
      <c r="K61" s="662"/>
    </row>
    <row r="62" spans="1:11" s="939" customFormat="1" ht="27.75" customHeight="1">
      <c r="A62" s="932"/>
      <c r="B62" s="932"/>
      <c r="C62" s="933"/>
      <c r="D62" s="934"/>
      <c r="E62" s="935" t="s">
        <v>1059</v>
      </c>
      <c r="F62" s="936">
        <v>2036448</v>
      </c>
      <c r="G62" s="203">
        <v>0</v>
      </c>
      <c r="H62" s="203">
        <v>0</v>
      </c>
      <c r="I62" s="203">
        <v>0</v>
      </c>
      <c r="J62" s="937">
        <f t="shared" si="0"/>
        <v>2036448</v>
      </c>
      <c r="K62" s="938"/>
    </row>
    <row r="63" spans="1:11" ht="12" customHeight="1">
      <c r="A63" s="199" t="s">
        <v>124</v>
      </c>
      <c r="B63" s="972" t="s">
        <v>375</v>
      </c>
      <c r="C63" s="973"/>
      <c r="D63" s="973"/>
      <c r="E63" s="974"/>
      <c r="F63" s="186">
        <f>1034106071+138684+779383</f>
        <v>1035024138</v>
      </c>
      <c r="G63" s="186">
        <v>1016000</v>
      </c>
      <c r="H63" s="186">
        <v>946150</v>
      </c>
      <c r="I63" s="186">
        <v>3132100</v>
      </c>
      <c r="J63" s="930">
        <f t="shared" si="0"/>
        <v>1040118388</v>
      </c>
      <c r="K63" s="661"/>
    </row>
    <row r="64" spans="1:11" ht="12.75">
      <c r="A64" s="199" t="s">
        <v>126</v>
      </c>
      <c r="B64" s="972" t="s">
        <v>125</v>
      </c>
      <c r="C64" s="973"/>
      <c r="D64" s="973"/>
      <c r="E64" s="974"/>
      <c r="F64" s="186">
        <f>187022953+1600000</f>
        <v>188622953</v>
      </c>
      <c r="G64" s="186">
        <v>0</v>
      </c>
      <c r="H64" s="186">
        <v>0</v>
      </c>
      <c r="I64" s="186"/>
      <c r="J64" s="930">
        <f t="shared" si="0"/>
        <v>188622953</v>
      </c>
      <c r="K64" s="661"/>
    </row>
    <row r="65" spans="1:11" ht="12.75">
      <c r="A65" s="199" t="s">
        <v>128</v>
      </c>
      <c r="B65" s="972" t="s">
        <v>127</v>
      </c>
      <c r="C65" s="973"/>
      <c r="D65" s="973"/>
      <c r="E65" s="974"/>
      <c r="F65" s="186">
        <f>SUM(F66:F74)</f>
        <v>10449520</v>
      </c>
      <c r="G65" s="186">
        <f>SUM(G66:G74)</f>
        <v>0</v>
      </c>
      <c r="H65" s="186">
        <f>SUM(H66:H74)</f>
        <v>0</v>
      </c>
      <c r="I65" s="186">
        <f>SUM(I66:I74)</f>
        <v>0</v>
      </c>
      <c r="J65" s="930">
        <f t="shared" si="0"/>
        <v>10449520</v>
      </c>
      <c r="K65" s="661"/>
    </row>
    <row r="66" spans="1:11" ht="12.75" hidden="1">
      <c r="A66" s="182"/>
      <c r="B66" s="182" t="s">
        <v>198</v>
      </c>
      <c r="C66" s="971" t="s">
        <v>199</v>
      </c>
      <c r="D66" s="971"/>
      <c r="E66" s="971"/>
      <c r="F66" s="185">
        <v>0</v>
      </c>
      <c r="G66" s="185">
        <v>0</v>
      </c>
      <c r="H66" s="185">
        <v>0</v>
      </c>
      <c r="I66" s="185">
        <v>0</v>
      </c>
      <c r="J66" s="186">
        <f t="shared" si="0"/>
        <v>0</v>
      </c>
      <c r="K66" s="661"/>
    </row>
    <row r="67" spans="1:11" ht="12.75" hidden="1">
      <c r="A67" s="182"/>
      <c r="B67" s="182" t="s">
        <v>200</v>
      </c>
      <c r="C67" s="971" t="s">
        <v>201</v>
      </c>
      <c r="D67" s="971"/>
      <c r="E67" s="971"/>
      <c r="F67" s="185">
        <v>0</v>
      </c>
      <c r="G67" s="185">
        <v>0</v>
      </c>
      <c r="H67" s="185">
        <v>0</v>
      </c>
      <c r="I67" s="185">
        <v>0</v>
      </c>
      <c r="J67" s="186">
        <f t="shared" si="0"/>
        <v>0</v>
      </c>
      <c r="K67" s="661"/>
    </row>
    <row r="68" spans="1:11" ht="12.75" hidden="1">
      <c r="A68" s="182" t="s">
        <v>197</v>
      </c>
      <c r="B68" s="182" t="s">
        <v>202</v>
      </c>
      <c r="C68" s="971" t="s">
        <v>203</v>
      </c>
      <c r="D68" s="971"/>
      <c r="E68" s="971"/>
      <c r="F68" s="185">
        <v>0</v>
      </c>
      <c r="G68" s="185">
        <v>0</v>
      </c>
      <c r="H68" s="185">
        <v>0</v>
      </c>
      <c r="I68" s="185">
        <v>0</v>
      </c>
      <c r="J68" s="186">
        <f t="shared" si="0"/>
        <v>0</v>
      </c>
      <c r="K68" s="661"/>
    </row>
    <row r="69" spans="1:11" ht="12.75" hidden="1">
      <c r="A69" s="182"/>
      <c r="B69" s="182" t="s">
        <v>204</v>
      </c>
      <c r="C69" s="971" t="s">
        <v>205</v>
      </c>
      <c r="D69" s="971"/>
      <c r="E69" s="971"/>
      <c r="F69" s="185">
        <v>0</v>
      </c>
      <c r="G69" s="185">
        <v>0</v>
      </c>
      <c r="H69" s="185">
        <v>0</v>
      </c>
      <c r="I69" s="185">
        <v>0</v>
      </c>
      <c r="J69" s="186">
        <f t="shared" si="0"/>
        <v>0</v>
      </c>
      <c r="K69" s="661"/>
    </row>
    <row r="70" spans="1:11" ht="12.75" hidden="1">
      <c r="A70" s="182"/>
      <c r="B70" s="182" t="s">
        <v>206</v>
      </c>
      <c r="C70" s="971" t="s">
        <v>207</v>
      </c>
      <c r="D70" s="971"/>
      <c r="E70" s="971"/>
      <c r="F70" s="185">
        <v>0</v>
      </c>
      <c r="G70" s="185">
        <v>0</v>
      </c>
      <c r="H70" s="185">
        <v>0</v>
      </c>
      <c r="I70" s="185">
        <v>0</v>
      </c>
      <c r="J70" s="186">
        <f t="shared" si="0"/>
        <v>0</v>
      </c>
      <c r="K70" s="661"/>
    </row>
    <row r="71" spans="1:11" ht="12.75" hidden="1">
      <c r="A71" s="182"/>
      <c r="B71" s="182" t="s">
        <v>208</v>
      </c>
      <c r="C71" s="971" t="s">
        <v>209</v>
      </c>
      <c r="D71" s="971"/>
      <c r="E71" s="971"/>
      <c r="F71" s="185">
        <v>0</v>
      </c>
      <c r="G71" s="185">
        <v>0</v>
      </c>
      <c r="H71" s="185">
        <v>0</v>
      </c>
      <c r="I71" s="185">
        <v>0</v>
      </c>
      <c r="J71" s="186">
        <f t="shared" si="0"/>
        <v>0</v>
      </c>
      <c r="K71" s="661"/>
    </row>
    <row r="72" spans="1:11" ht="12.75" hidden="1">
      <c r="A72" s="182"/>
      <c r="B72" s="182" t="s">
        <v>210</v>
      </c>
      <c r="C72" s="971" t="s">
        <v>211</v>
      </c>
      <c r="D72" s="971"/>
      <c r="E72" s="971"/>
      <c r="F72" s="185">
        <v>0</v>
      </c>
      <c r="G72" s="185">
        <v>0</v>
      </c>
      <c r="H72" s="185">
        <v>0</v>
      </c>
      <c r="I72" s="185">
        <v>0</v>
      </c>
      <c r="J72" s="186">
        <f>SUM(F72:I72)</f>
        <v>0</v>
      </c>
      <c r="K72" s="661"/>
    </row>
    <row r="73" spans="1:11" ht="12.75" hidden="1">
      <c r="A73" s="182"/>
      <c r="B73" s="182" t="s">
        <v>212</v>
      </c>
      <c r="C73" s="971" t="s">
        <v>598</v>
      </c>
      <c r="D73" s="971"/>
      <c r="E73" s="971"/>
      <c r="F73" s="185">
        <v>0</v>
      </c>
      <c r="G73" s="185">
        <v>0</v>
      </c>
      <c r="H73" s="185">
        <v>0</v>
      </c>
      <c r="I73" s="185">
        <v>0</v>
      </c>
      <c r="J73" s="186">
        <f>SUM(F73:I73)</f>
        <v>0</v>
      </c>
      <c r="K73" s="661"/>
    </row>
    <row r="74" spans="1:11" ht="12.75">
      <c r="A74" s="182"/>
      <c r="B74" s="182" t="s">
        <v>597</v>
      </c>
      <c r="C74" s="971" t="s">
        <v>716</v>
      </c>
      <c r="D74" s="971"/>
      <c r="E74" s="971"/>
      <c r="F74" s="185">
        <f>5449520+5000000</f>
        <v>10449520</v>
      </c>
      <c r="G74" s="185">
        <v>0</v>
      </c>
      <c r="H74" s="185">
        <v>0</v>
      </c>
      <c r="I74" s="185">
        <v>0</v>
      </c>
      <c r="J74" s="200">
        <f>SUM(F74:I74)</f>
        <v>10449520</v>
      </c>
      <c r="K74" s="661"/>
    </row>
    <row r="75" spans="1:11" ht="12.75">
      <c r="A75" s="199" t="s">
        <v>130</v>
      </c>
      <c r="B75" s="972" t="s">
        <v>129</v>
      </c>
      <c r="C75" s="973"/>
      <c r="D75" s="973"/>
      <c r="E75" s="974"/>
      <c r="F75" s="186">
        <v>17347428</v>
      </c>
      <c r="G75" s="186">
        <v>0</v>
      </c>
      <c r="H75" s="186">
        <v>0</v>
      </c>
      <c r="I75" s="186">
        <v>0</v>
      </c>
      <c r="J75" s="930">
        <f>SUM(F75:I75)</f>
        <v>17347428</v>
      </c>
      <c r="K75" s="661"/>
    </row>
    <row r="76" spans="1:10" ht="12.75">
      <c r="A76" s="208"/>
      <c r="B76" s="209"/>
      <c r="C76" s="209"/>
      <c r="D76" s="209"/>
      <c r="E76" s="209"/>
      <c r="F76" s="210"/>
      <c r="G76" s="211"/>
      <c r="H76" s="211"/>
      <c r="I76" s="211"/>
      <c r="J76" s="212"/>
    </row>
    <row r="77" spans="1:10" ht="15.75">
      <c r="A77" s="975" t="s">
        <v>213</v>
      </c>
      <c r="B77" s="976"/>
      <c r="C77" s="976"/>
      <c r="D77" s="976"/>
      <c r="E77" s="977"/>
      <c r="F77" s="213">
        <f>SUM(F7+F8+F9+F10+F23+F63+F64+F65+F75)</f>
        <v>2073048271</v>
      </c>
      <c r="G77" s="213">
        <f>SUM(G7+G8+G9+G10+G23+G63+G64+G65+G75)</f>
        <v>164281482</v>
      </c>
      <c r="H77" s="213">
        <f>SUM(H7+H8+H9+H10+H23+H63+H64+H65+H75)</f>
        <v>282307660</v>
      </c>
      <c r="I77" s="213">
        <f>SUM(I7+I8+I9+I10+I23+I63+I64+I65+I75)</f>
        <v>51901191</v>
      </c>
      <c r="J77" s="213">
        <f>SUM(J7+J8+J9+J10+J23+J63+J64+J65+J75)</f>
        <v>2571538604</v>
      </c>
    </row>
    <row r="80" spans="2:3" ht="12.75">
      <c r="B80" s="1331">
        <v>7</v>
      </c>
      <c r="C80" s="1332" t="s">
        <v>1110</v>
      </c>
    </row>
  </sheetData>
  <sheetProtection/>
  <mergeCells count="46"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  <mergeCell ref="A1:J1"/>
    <mergeCell ref="A3:J3"/>
    <mergeCell ref="A5:E5"/>
    <mergeCell ref="B6:E6"/>
    <mergeCell ref="B7:E7"/>
    <mergeCell ref="C12:E12"/>
    <mergeCell ref="C11:E11"/>
    <mergeCell ref="D28:E28"/>
    <mergeCell ref="B10:E10"/>
    <mergeCell ref="B8:E8"/>
    <mergeCell ref="B9:E9"/>
    <mergeCell ref="D13:E13"/>
    <mergeCell ref="D14:E14"/>
    <mergeCell ref="C15:E15"/>
    <mergeCell ref="D29:E29"/>
    <mergeCell ref="D40:E40"/>
    <mergeCell ref="D41:E41"/>
    <mergeCell ref="D42:E42"/>
    <mergeCell ref="D43:E43"/>
    <mergeCell ref="D44:E44"/>
    <mergeCell ref="B65:E65"/>
    <mergeCell ref="C66:E66"/>
    <mergeCell ref="C67:E67"/>
    <mergeCell ref="B64:E64"/>
    <mergeCell ref="D46:E46"/>
    <mergeCell ref="D57:E57"/>
    <mergeCell ref="B63:E63"/>
    <mergeCell ref="C74:E74"/>
    <mergeCell ref="B75:E75"/>
    <mergeCell ref="A77:E77"/>
    <mergeCell ref="C68:E68"/>
    <mergeCell ref="C69:E69"/>
    <mergeCell ref="C70:E70"/>
    <mergeCell ref="C71:E71"/>
    <mergeCell ref="C72:E72"/>
    <mergeCell ref="C73:E7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1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125" style="101" bestFit="1" customWidth="1"/>
    <col min="2" max="2" width="55.125" style="38" bestFit="1" customWidth="1"/>
    <col min="3" max="3" width="13.375" style="38" bestFit="1" customWidth="1"/>
    <col min="4" max="5" width="15.125" style="38" bestFit="1" customWidth="1"/>
    <col min="6" max="6" width="53.875" style="38" bestFit="1" customWidth="1"/>
    <col min="7" max="7" width="15.00390625" style="38" bestFit="1" customWidth="1"/>
    <col min="8" max="9" width="15.875" style="38" bestFit="1" customWidth="1"/>
    <col min="10" max="16384" width="9.125" style="38" customWidth="1"/>
  </cols>
  <sheetData>
    <row r="1" spans="6:10" ht="12.75" customHeight="1">
      <c r="F1" s="999" t="s">
        <v>1113</v>
      </c>
      <c r="G1" s="1000"/>
      <c r="H1" s="1000"/>
      <c r="I1" s="1000"/>
      <c r="J1" s="88"/>
    </row>
    <row r="2" spans="2:9" ht="15.75">
      <c r="B2" s="1001" t="s">
        <v>886</v>
      </c>
      <c r="C2" s="1001"/>
      <c r="D2" s="1001"/>
      <c r="E2" s="1001"/>
      <c r="F2" s="1001"/>
      <c r="G2" s="1001"/>
      <c r="H2" s="1001"/>
      <c r="I2" s="1001"/>
    </row>
    <row r="3" ht="8.25" customHeight="1"/>
    <row r="4" spans="1:9" s="39" customFormat="1" ht="15" customHeight="1">
      <c r="A4" s="1003" t="s">
        <v>448</v>
      </c>
      <c r="B4" s="1002" t="s">
        <v>454</v>
      </c>
      <c r="C4" s="1002"/>
      <c r="D4" s="1002"/>
      <c r="E4" s="1002"/>
      <c r="F4" s="1002" t="s">
        <v>370</v>
      </c>
      <c r="G4" s="1002"/>
      <c r="H4" s="1002"/>
      <c r="I4" s="1002"/>
    </row>
    <row r="5" spans="1:9" s="42" customFormat="1" ht="14.25">
      <c r="A5" s="1003"/>
      <c r="B5" s="40" t="s">
        <v>369</v>
      </c>
      <c r="C5" s="41" t="s">
        <v>345</v>
      </c>
      <c r="D5" s="41" t="s">
        <v>344</v>
      </c>
      <c r="E5" s="41" t="s">
        <v>437</v>
      </c>
      <c r="F5" s="40" t="s">
        <v>369</v>
      </c>
      <c r="G5" s="41" t="s">
        <v>345</v>
      </c>
      <c r="H5" s="41" t="s">
        <v>344</v>
      </c>
      <c r="I5" s="41" t="s">
        <v>437</v>
      </c>
    </row>
    <row r="6" spans="1:9" s="100" customFormat="1" ht="12">
      <c r="A6" s="1003"/>
      <c r="B6" s="99" t="s">
        <v>442</v>
      </c>
      <c r="C6" s="99" t="s">
        <v>443</v>
      </c>
      <c r="D6" s="99" t="s">
        <v>444</v>
      </c>
      <c r="E6" s="99" t="s">
        <v>445</v>
      </c>
      <c r="F6" s="99" t="s">
        <v>446</v>
      </c>
      <c r="G6" s="99" t="s">
        <v>447</v>
      </c>
      <c r="H6" s="99" t="s">
        <v>449</v>
      </c>
      <c r="I6" s="99" t="s">
        <v>450</v>
      </c>
    </row>
    <row r="7" spans="1:9" s="63" customFormat="1" ht="14.25">
      <c r="A7" s="99">
        <v>1</v>
      </c>
      <c r="B7" s="62" t="s">
        <v>535</v>
      </c>
      <c r="C7" s="80">
        <f>SUM(C8)</f>
        <v>988477003</v>
      </c>
      <c r="D7" s="80">
        <f>SUM(D32,D8)</f>
        <v>107616378</v>
      </c>
      <c r="E7" s="80">
        <f aca="true" t="shared" si="0" ref="E7:E30">SUM(C7:D7)</f>
        <v>1096093381</v>
      </c>
      <c r="F7" s="62" t="s">
        <v>536</v>
      </c>
      <c r="G7" s="80">
        <f>SUM(G8,G32)</f>
        <v>1315000315</v>
      </c>
      <c r="H7" s="80">
        <f>SUM(H8,H32)</f>
        <v>1239190861</v>
      </c>
      <c r="I7" s="80">
        <f aca="true" t="shared" si="1" ref="I7:I18">SUM(G7:H7)</f>
        <v>2554191176</v>
      </c>
    </row>
    <row r="8" spans="1:9" s="72" customFormat="1" ht="12.75">
      <c r="A8" s="102">
        <v>2</v>
      </c>
      <c r="B8" s="69" t="s">
        <v>472</v>
      </c>
      <c r="C8" s="70">
        <f>SUM(C28+C18+C13+C9)</f>
        <v>988477003</v>
      </c>
      <c r="D8" s="70">
        <f>SUM(D28+D18+D13+D9)</f>
        <v>0</v>
      </c>
      <c r="E8" s="70">
        <f t="shared" si="0"/>
        <v>988477003</v>
      </c>
      <c r="F8" s="71" t="s">
        <v>475</v>
      </c>
      <c r="G8" s="70">
        <f>SUM(G9:G13)</f>
        <v>1315000315</v>
      </c>
      <c r="H8" s="70">
        <f>SUM(H9:H13)</f>
        <v>0</v>
      </c>
      <c r="I8" s="70">
        <f t="shared" si="1"/>
        <v>1315000315</v>
      </c>
    </row>
    <row r="9" spans="1:9" s="45" customFormat="1" ht="12.75">
      <c r="A9" s="102">
        <v>3</v>
      </c>
      <c r="B9" s="78" t="s">
        <v>15</v>
      </c>
      <c r="C9" s="59">
        <f>SUM(C10:C12)</f>
        <v>684613889</v>
      </c>
      <c r="D9" s="59">
        <v>0</v>
      </c>
      <c r="E9" s="59">
        <f t="shared" si="0"/>
        <v>684613889</v>
      </c>
      <c r="F9" s="79" t="s">
        <v>476</v>
      </c>
      <c r="G9" s="59">
        <f>422579600+36347085+11080125+812250+20900-338000+200000+1420400+338000+220000+56100</f>
        <v>472736460</v>
      </c>
      <c r="H9" s="59">
        <v>0</v>
      </c>
      <c r="I9" s="59">
        <f t="shared" si="1"/>
        <v>472736460</v>
      </c>
    </row>
    <row r="10" spans="1:9" s="45" customFormat="1" ht="12.75">
      <c r="A10" s="99">
        <v>4</v>
      </c>
      <c r="B10" s="56" t="s">
        <v>16</v>
      </c>
      <c r="C10" s="61">
        <f>474324803+593921+81261+10844656+862312+10464000</f>
        <v>497170953</v>
      </c>
      <c r="D10" s="61">
        <v>0</v>
      </c>
      <c r="E10" s="61">
        <f t="shared" si="0"/>
        <v>497170953</v>
      </c>
      <c r="F10" s="79" t="s">
        <v>730</v>
      </c>
      <c r="G10" s="59">
        <f>94757514+3543768+1080288+158389+4081-65910+39000+293204+65910+42900+10940</f>
        <v>99930084</v>
      </c>
      <c r="H10" s="59">
        <v>0</v>
      </c>
      <c r="I10" s="59">
        <f t="shared" si="1"/>
        <v>99930084</v>
      </c>
    </row>
    <row r="11" spans="1:9" s="45" customFormat="1" ht="12.75">
      <c r="A11" s="102">
        <v>5</v>
      </c>
      <c r="B11" s="56" t="s">
        <v>728</v>
      </c>
      <c r="C11" s="61">
        <v>0</v>
      </c>
      <c r="D11" s="61">
        <v>0</v>
      </c>
      <c r="E11" s="61">
        <f t="shared" si="0"/>
        <v>0</v>
      </c>
      <c r="F11" s="79" t="s">
        <v>38</v>
      </c>
      <c r="G11" s="59">
        <f>441669250+180000+220000+8618030+22660742+2730247+4347090+296854+8004000-2108200+413-413+1537859+247115+2108200+622539+10500000+656145+88787-600000</f>
        <v>501778658</v>
      </c>
      <c r="H11" s="59">
        <v>0</v>
      </c>
      <c r="I11" s="59">
        <f t="shared" si="1"/>
        <v>501778658</v>
      </c>
    </row>
    <row r="12" spans="1:9" s="45" customFormat="1" ht="12.75">
      <c r="A12" s="102">
        <v>6</v>
      </c>
      <c r="B12" s="56" t="s">
        <v>17</v>
      </c>
      <c r="C12" s="61">
        <f>136641874-6854236-6737965+42621100+16507503+3303941+1960719</f>
        <v>187442936</v>
      </c>
      <c r="D12" s="61">
        <v>0</v>
      </c>
      <c r="E12" s="61">
        <f t="shared" si="0"/>
        <v>187442936</v>
      </c>
      <c r="F12" s="79" t="s">
        <v>39</v>
      </c>
      <c r="G12" s="59">
        <v>11234900</v>
      </c>
      <c r="H12" s="59">
        <v>0</v>
      </c>
      <c r="I12" s="59">
        <f t="shared" si="1"/>
        <v>11234900</v>
      </c>
    </row>
    <row r="13" spans="1:9" s="45" customFormat="1" ht="12.75">
      <c r="A13" s="99">
        <v>7</v>
      </c>
      <c r="B13" s="78" t="s">
        <v>21</v>
      </c>
      <c r="C13" s="59">
        <f>SUM(C14:C17)</f>
        <v>254780000</v>
      </c>
      <c r="D13" s="59">
        <f>SUM(D14:D17)</f>
        <v>0</v>
      </c>
      <c r="E13" s="59">
        <f t="shared" si="0"/>
        <v>254780000</v>
      </c>
      <c r="F13" s="83" t="s">
        <v>40</v>
      </c>
      <c r="G13" s="59">
        <f>SUM(G14:G18)</f>
        <v>229320213</v>
      </c>
      <c r="H13" s="59">
        <f>SUM(H14:H18)</f>
        <v>0</v>
      </c>
      <c r="I13" s="59">
        <f t="shared" si="1"/>
        <v>229320213</v>
      </c>
    </row>
    <row r="14" spans="1:9" s="46" customFormat="1" ht="12.75">
      <c r="A14" s="102">
        <v>8</v>
      </c>
      <c r="B14" s="56" t="s">
        <v>114</v>
      </c>
      <c r="C14" s="61">
        <v>232130000</v>
      </c>
      <c r="D14" s="61">
        <v>0</v>
      </c>
      <c r="E14" s="61">
        <f t="shared" si="0"/>
        <v>232130000</v>
      </c>
      <c r="F14" s="58" t="s">
        <v>808</v>
      </c>
      <c r="G14" s="61">
        <v>46343378</v>
      </c>
      <c r="H14" s="61">
        <v>0</v>
      </c>
      <c r="I14" s="61">
        <f t="shared" si="1"/>
        <v>46343378</v>
      </c>
    </row>
    <row r="15" spans="1:9" s="46" customFormat="1" ht="12.75">
      <c r="A15" s="102"/>
      <c r="B15" s="57" t="s">
        <v>848</v>
      </c>
      <c r="C15" s="61">
        <v>50000</v>
      </c>
      <c r="D15" s="61">
        <v>0</v>
      </c>
      <c r="E15" s="61">
        <f t="shared" si="0"/>
        <v>50000</v>
      </c>
      <c r="F15" s="58" t="s">
        <v>729</v>
      </c>
      <c r="G15" s="61">
        <v>0</v>
      </c>
      <c r="H15" s="61">
        <v>0</v>
      </c>
      <c r="I15" s="61">
        <f t="shared" si="1"/>
        <v>0</v>
      </c>
    </row>
    <row r="16" spans="1:9" s="46" customFormat="1" ht="12.75">
      <c r="A16" s="102">
        <v>9</v>
      </c>
      <c r="B16" s="57" t="s">
        <v>849</v>
      </c>
      <c r="C16" s="61">
        <v>22000000</v>
      </c>
      <c r="D16" s="61">
        <v>0</v>
      </c>
      <c r="E16" s="61">
        <f t="shared" si="0"/>
        <v>22000000</v>
      </c>
      <c r="F16" s="58" t="s">
        <v>888</v>
      </c>
      <c r="G16" s="61">
        <f>1170350+46053</f>
        <v>1216403</v>
      </c>
      <c r="H16" s="61">
        <v>0</v>
      </c>
      <c r="I16" s="61">
        <f t="shared" si="1"/>
        <v>1216403</v>
      </c>
    </row>
    <row r="17" spans="1:9" s="46" customFormat="1" ht="12.75">
      <c r="A17" s="99">
        <v>10</v>
      </c>
      <c r="B17" s="56" t="s">
        <v>850</v>
      </c>
      <c r="C17" s="61">
        <v>600000</v>
      </c>
      <c r="D17" s="61">
        <v>0</v>
      </c>
      <c r="E17" s="61">
        <f t="shared" si="0"/>
        <v>600000</v>
      </c>
      <c r="F17" s="58" t="s">
        <v>889</v>
      </c>
      <c r="G17" s="61">
        <f>155533573-34818+23849000-500000-500000-700000</f>
        <v>177647755</v>
      </c>
      <c r="H17" s="61">
        <v>0</v>
      </c>
      <c r="I17" s="61">
        <f t="shared" si="1"/>
        <v>177647755</v>
      </c>
    </row>
    <row r="18" spans="1:9" s="46" customFormat="1" ht="12.75">
      <c r="A18" s="102">
        <v>11</v>
      </c>
      <c r="B18" s="78" t="s">
        <v>22</v>
      </c>
      <c r="C18" s="59">
        <f>SUM(C19:C27)</f>
        <v>49083114</v>
      </c>
      <c r="D18" s="59">
        <f>SUM(D19:D27)</f>
        <v>0</v>
      </c>
      <c r="E18" s="59">
        <f t="shared" si="0"/>
        <v>49083114</v>
      </c>
      <c r="F18" s="58" t="s">
        <v>890</v>
      </c>
      <c r="G18" s="61">
        <f>26199000-23849000+200000-1000000-180000-220000+97110256+2940272-8618030+926229-926229-22660742-6854236-6737965-46053-46343378+8004000-4923623-2940272+2036448-8004000</f>
        <v>4112677</v>
      </c>
      <c r="H18" s="61">
        <f>5039360-5000000-39360</f>
        <v>0</v>
      </c>
      <c r="I18" s="61">
        <f t="shared" si="1"/>
        <v>4112677</v>
      </c>
    </row>
    <row r="19" spans="1:9" s="45" customFormat="1" ht="12.75">
      <c r="A19" s="102">
        <v>12</v>
      </c>
      <c r="B19" s="56" t="s">
        <v>599</v>
      </c>
      <c r="C19" s="61">
        <v>8000000</v>
      </c>
      <c r="D19" s="61">
        <v>0</v>
      </c>
      <c r="E19" s="61">
        <f t="shared" si="0"/>
        <v>8000000</v>
      </c>
      <c r="F19" s="83"/>
      <c r="G19" s="59"/>
      <c r="H19" s="59"/>
      <c r="I19" s="59"/>
    </row>
    <row r="20" spans="1:9" s="45" customFormat="1" ht="12.75">
      <c r="A20" s="99">
        <v>13</v>
      </c>
      <c r="B20" s="56" t="s">
        <v>23</v>
      </c>
      <c r="C20" s="61">
        <f>17817680+540000+1080000</f>
        <v>19437680</v>
      </c>
      <c r="D20" s="61">
        <v>0</v>
      </c>
      <c r="E20" s="61">
        <f t="shared" si="0"/>
        <v>19437680</v>
      </c>
      <c r="F20" s="58"/>
      <c r="G20" s="61"/>
      <c r="H20" s="61"/>
      <c r="I20" s="61"/>
    </row>
    <row r="21" spans="1:9" s="45" customFormat="1" ht="12.75">
      <c r="A21" s="102">
        <v>14</v>
      </c>
      <c r="B21" s="56" t="s">
        <v>24</v>
      </c>
      <c r="C21" s="61">
        <v>9130778</v>
      </c>
      <c r="D21" s="61">
        <v>0</v>
      </c>
      <c r="E21" s="61">
        <f t="shared" si="0"/>
        <v>9130778</v>
      </c>
      <c r="F21" s="58"/>
      <c r="G21" s="61"/>
      <c r="H21" s="61"/>
      <c r="I21" s="61"/>
    </row>
    <row r="22" spans="1:9" s="45" customFormat="1" ht="12.75">
      <c r="A22" s="102">
        <v>15</v>
      </c>
      <c r="B22" s="56" t="s">
        <v>555</v>
      </c>
      <c r="C22" s="61">
        <v>721000</v>
      </c>
      <c r="D22" s="61">
        <v>0</v>
      </c>
      <c r="E22" s="61">
        <f t="shared" si="0"/>
        <v>721000</v>
      </c>
      <c r="F22" s="58"/>
      <c r="G22" s="61"/>
      <c r="H22" s="61"/>
      <c r="I22" s="61"/>
    </row>
    <row r="23" spans="1:9" s="45" customFormat="1" ht="12.75">
      <c r="A23" s="99">
        <v>16</v>
      </c>
      <c r="B23" s="56" t="s">
        <v>25</v>
      </c>
      <c r="C23" s="61">
        <v>6042864</v>
      </c>
      <c r="D23" s="61">
        <v>0</v>
      </c>
      <c r="E23" s="61">
        <f t="shared" si="0"/>
        <v>6042864</v>
      </c>
      <c r="F23" s="58"/>
      <c r="G23" s="61"/>
      <c r="H23" s="61"/>
      <c r="I23" s="61"/>
    </row>
    <row r="24" spans="1:9" s="45" customFormat="1" ht="12.75">
      <c r="A24" s="102">
        <v>17</v>
      </c>
      <c r="B24" s="56" t="s">
        <v>26</v>
      </c>
      <c r="C24" s="61">
        <v>5690292</v>
      </c>
      <c r="D24" s="61">
        <v>0</v>
      </c>
      <c r="E24" s="61">
        <f t="shared" si="0"/>
        <v>5690292</v>
      </c>
      <c r="F24" s="44"/>
      <c r="G24" s="61"/>
      <c r="H24" s="60"/>
      <c r="I24" s="60"/>
    </row>
    <row r="25" spans="1:9" s="45" customFormat="1" ht="12.75">
      <c r="A25" s="102">
        <v>18</v>
      </c>
      <c r="B25" s="56" t="s">
        <v>306</v>
      </c>
      <c r="C25" s="61">
        <v>0</v>
      </c>
      <c r="D25" s="61">
        <v>0</v>
      </c>
      <c r="E25" s="61">
        <f t="shared" si="0"/>
        <v>0</v>
      </c>
      <c r="F25" s="44"/>
      <c r="G25" s="61"/>
      <c r="H25" s="60"/>
      <c r="I25" s="60"/>
    </row>
    <row r="26" spans="1:9" s="45" customFormat="1" ht="12.75">
      <c r="A26" s="102">
        <v>19</v>
      </c>
      <c r="B26" s="56" t="s">
        <v>752</v>
      </c>
      <c r="C26" s="61">
        <v>500</v>
      </c>
      <c r="D26" s="61">
        <v>0</v>
      </c>
      <c r="E26" s="61">
        <f t="shared" si="0"/>
        <v>500</v>
      </c>
      <c r="F26" s="44"/>
      <c r="G26" s="61"/>
      <c r="H26" s="60"/>
      <c r="I26" s="60"/>
    </row>
    <row r="27" spans="1:9" s="43" customFormat="1" ht="12.75">
      <c r="A27" s="99">
        <v>20</v>
      </c>
      <c r="B27" s="56" t="s">
        <v>753</v>
      </c>
      <c r="C27" s="61">
        <f>12081400-233171+10464000-22252229</f>
        <v>60000</v>
      </c>
      <c r="D27" s="61">
        <v>0</v>
      </c>
      <c r="E27" s="61">
        <f t="shared" si="0"/>
        <v>60000</v>
      </c>
      <c r="F27" s="44"/>
      <c r="G27" s="60"/>
      <c r="H27" s="60"/>
      <c r="I27" s="60"/>
    </row>
    <row r="28" spans="1:9" s="43" customFormat="1" ht="12.75">
      <c r="A28" s="102">
        <v>21</v>
      </c>
      <c r="B28" s="78" t="s">
        <v>32</v>
      </c>
      <c r="C28" s="59">
        <f>SUM(C29:C30)</f>
        <v>0</v>
      </c>
      <c r="D28" s="59">
        <v>0</v>
      </c>
      <c r="E28" s="59">
        <f t="shared" si="0"/>
        <v>0</v>
      </c>
      <c r="F28" s="44"/>
      <c r="G28" s="60"/>
      <c r="H28" s="60"/>
      <c r="I28" s="60"/>
    </row>
    <row r="29" spans="1:9" s="43" customFormat="1" ht="12.75">
      <c r="A29" s="102">
        <v>22</v>
      </c>
      <c r="B29" s="56" t="s">
        <v>33</v>
      </c>
      <c r="C29" s="61">
        <v>0</v>
      </c>
      <c r="D29" s="61">
        <v>0</v>
      </c>
      <c r="E29" s="61">
        <f t="shared" si="0"/>
        <v>0</v>
      </c>
      <c r="F29" s="44"/>
      <c r="G29" s="60"/>
      <c r="H29" s="60"/>
      <c r="I29" s="60"/>
    </row>
    <row r="30" spans="1:9" s="43" customFormat="1" ht="12.75">
      <c r="A30" s="99">
        <v>23</v>
      </c>
      <c r="B30" s="56" t="s">
        <v>34</v>
      </c>
      <c r="C30" s="61">
        <v>0</v>
      </c>
      <c r="D30" s="61">
        <v>0</v>
      </c>
      <c r="E30" s="61">
        <f t="shared" si="0"/>
        <v>0</v>
      </c>
      <c r="F30" s="44"/>
      <c r="G30" s="60"/>
      <c r="H30" s="60"/>
      <c r="I30" s="60"/>
    </row>
    <row r="31" spans="1:9" s="43" customFormat="1" ht="12.75">
      <c r="A31" s="102">
        <v>24</v>
      </c>
      <c r="B31" s="56"/>
      <c r="C31" s="61"/>
      <c r="D31" s="61"/>
      <c r="E31" s="61"/>
      <c r="F31" s="44"/>
      <c r="G31" s="60"/>
      <c r="H31" s="60"/>
      <c r="I31" s="60"/>
    </row>
    <row r="32" spans="1:9" s="72" customFormat="1" ht="12.75">
      <c r="A32" s="102">
        <v>25</v>
      </c>
      <c r="B32" s="73" t="s">
        <v>474</v>
      </c>
      <c r="C32" s="70">
        <f>SUM(C41+C36+C33)</f>
        <v>0</v>
      </c>
      <c r="D32" s="70">
        <f>SUM(D41+D36+D33)</f>
        <v>107616378</v>
      </c>
      <c r="E32" s="70">
        <f>SUM(D32:D32)</f>
        <v>107616378</v>
      </c>
      <c r="F32" s="71" t="s">
        <v>340</v>
      </c>
      <c r="G32" s="70">
        <f>SUM(G33:G35)</f>
        <v>0</v>
      </c>
      <c r="H32" s="70">
        <f>SUM(H33:H35)</f>
        <v>1239190861</v>
      </c>
      <c r="I32" s="70">
        <f aca="true" t="shared" si="2" ref="I32:I40">SUM(G32:H32)</f>
        <v>1239190861</v>
      </c>
    </row>
    <row r="33" spans="1:9" s="43" customFormat="1" ht="12.75">
      <c r="A33" s="99">
        <v>26</v>
      </c>
      <c r="B33" s="78" t="s">
        <v>18</v>
      </c>
      <c r="C33" s="59">
        <f>SUM(C34:C35)</f>
        <v>0</v>
      </c>
      <c r="D33" s="59">
        <f>SUM(D34:D35)</f>
        <v>29445978</v>
      </c>
      <c r="E33" s="59">
        <f>SUM(D33:D33)</f>
        <v>29445978</v>
      </c>
      <c r="F33" s="79" t="s">
        <v>41</v>
      </c>
      <c r="G33" s="59">
        <v>0</v>
      </c>
      <c r="H33" s="59">
        <f>1039200321+138684+779383</f>
        <v>1040118388</v>
      </c>
      <c r="I33" s="59">
        <f t="shared" si="2"/>
        <v>1040118388</v>
      </c>
    </row>
    <row r="34" spans="1:9" s="43" customFormat="1" ht="12.75">
      <c r="A34" s="102">
        <v>27</v>
      </c>
      <c r="B34" s="56" t="s">
        <v>19</v>
      </c>
      <c r="C34" s="61">
        <v>0</v>
      </c>
      <c r="D34" s="61">
        <v>0</v>
      </c>
      <c r="E34" s="61">
        <f aca="true" t="shared" si="3" ref="E34:E43">SUM(D34:D34)</f>
        <v>0</v>
      </c>
      <c r="F34" s="79" t="s">
        <v>42</v>
      </c>
      <c r="G34" s="59">
        <v>0</v>
      </c>
      <c r="H34" s="59">
        <f>187022953+1600000</f>
        <v>188622953</v>
      </c>
      <c r="I34" s="59">
        <f t="shared" si="2"/>
        <v>188622953</v>
      </c>
    </row>
    <row r="35" spans="1:9" s="43" customFormat="1" ht="12.75">
      <c r="A35" s="102">
        <v>28</v>
      </c>
      <c r="B35" s="56" t="s">
        <v>20</v>
      </c>
      <c r="C35" s="61">
        <v>0</v>
      </c>
      <c r="D35" s="61">
        <f>27667271-39360+138684+900000+779383</f>
        <v>29445978</v>
      </c>
      <c r="E35" s="61">
        <f t="shared" si="3"/>
        <v>29445978</v>
      </c>
      <c r="F35" s="79" t="s">
        <v>43</v>
      </c>
      <c r="G35" s="59">
        <f>SUM(G36:G40)</f>
        <v>0</v>
      </c>
      <c r="H35" s="59">
        <f>SUM(H36:H40)</f>
        <v>10449520</v>
      </c>
      <c r="I35" s="59">
        <f t="shared" si="2"/>
        <v>10449520</v>
      </c>
    </row>
    <row r="36" spans="1:9" s="43" customFormat="1" ht="12.75">
      <c r="A36" s="99">
        <v>29</v>
      </c>
      <c r="B36" s="78" t="s">
        <v>27</v>
      </c>
      <c r="C36" s="59">
        <f>SUM(C37:C40)</f>
        <v>0</v>
      </c>
      <c r="D36" s="59">
        <f>SUM(D37:D40)</f>
        <v>78170400</v>
      </c>
      <c r="E36" s="59">
        <f t="shared" si="3"/>
        <v>78170400</v>
      </c>
      <c r="F36" s="58" t="s">
        <v>44</v>
      </c>
      <c r="G36" s="61">
        <v>0</v>
      </c>
      <c r="H36" s="61">
        <v>0</v>
      </c>
      <c r="I36" s="61">
        <f t="shared" si="2"/>
        <v>0</v>
      </c>
    </row>
    <row r="37" spans="1:9" s="43" customFormat="1" ht="12.75">
      <c r="A37" s="102">
        <v>30</v>
      </c>
      <c r="B37" s="56" t="s">
        <v>28</v>
      </c>
      <c r="C37" s="61">
        <v>0</v>
      </c>
      <c r="D37" s="61">
        <v>0</v>
      </c>
      <c r="E37" s="61">
        <f t="shared" si="3"/>
        <v>0</v>
      </c>
      <c r="F37" s="58" t="s">
        <v>45</v>
      </c>
      <c r="G37" s="61">
        <v>0</v>
      </c>
      <c r="H37" s="61">
        <v>0</v>
      </c>
      <c r="I37" s="61">
        <f t="shared" si="2"/>
        <v>0</v>
      </c>
    </row>
    <row r="38" spans="1:9" s="45" customFormat="1" ht="12.75">
      <c r="A38" s="102">
        <v>31</v>
      </c>
      <c r="B38" s="56" t="s">
        <v>29</v>
      </c>
      <c r="C38" s="61">
        <f>SUM(C39:C40)</f>
        <v>0</v>
      </c>
      <c r="D38" s="61">
        <f>78841508+140105-900000+88787</f>
        <v>78170400</v>
      </c>
      <c r="E38" s="61">
        <f t="shared" si="3"/>
        <v>78170400</v>
      </c>
      <c r="F38" s="58" t="s">
        <v>46</v>
      </c>
      <c r="G38" s="61">
        <v>0</v>
      </c>
      <c r="H38" s="61">
        <v>0</v>
      </c>
      <c r="I38" s="61">
        <f t="shared" si="2"/>
        <v>0</v>
      </c>
    </row>
    <row r="39" spans="1:9" s="45" customFormat="1" ht="12.75">
      <c r="A39" s="99">
        <v>32</v>
      </c>
      <c r="B39" s="56" t="s">
        <v>30</v>
      </c>
      <c r="C39" s="61">
        <v>0</v>
      </c>
      <c r="D39" s="61">
        <v>0</v>
      </c>
      <c r="E39" s="61">
        <f t="shared" si="3"/>
        <v>0</v>
      </c>
      <c r="F39" s="58" t="s">
        <v>47</v>
      </c>
      <c r="G39" s="61">
        <v>0</v>
      </c>
      <c r="H39" s="61">
        <v>0</v>
      </c>
      <c r="I39" s="61">
        <f t="shared" si="2"/>
        <v>0</v>
      </c>
    </row>
    <row r="40" spans="1:9" s="47" customFormat="1" ht="13.5">
      <c r="A40" s="102">
        <v>33</v>
      </c>
      <c r="B40" s="56" t="s">
        <v>31</v>
      </c>
      <c r="C40" s="61">
        <v>0</v>
      </c>
      <c r="D40" s="61">
        <v>0</v>
      </c>
      <c r="E40" s="61">
        <f t="shared" si="3"/>
        <v>0</v>
      </c>
      <c r="F40" s="58" t="s">
        <v>48</v>
      </c>
      <c r="G40" s="61">
        <v>0</v>
      </c>
      <c r="H40" s="61">
        <f>5449520+5000000</f>
        <v>10449520</v>
      </c>
      <c r="I40" s="61">
        <f t="shared" si="2"/>
        <v>10449520</v>
      </c>
    </row>
    <row r="41" spans="1:9" s="47" customFormat="1" ht="13.5">
      <c r="A41" s="102">
        <v>34</v>
      </c>
      <c r="B41" s="78" t="s">
        <v>35</v>
      </c>
      <c r="C41" s="59">
        <f>SUM(C42:C43)</f>
        <v>0</v>
      </c>
      <c r="D41" s="59">
        <f>SUM(D42:D43)</f>
        <v>0</v>
      </c>
      <c r="E41" s="59">
        <f t="shared" si="3"/>
        <v>0</v>
      </c>
      <c r="F41" s="58"/>
      <c r="G41" s="61"/>
      <c r="H41" s="61"/>
      <c r="I41" s="61"/>
    </row>
    <row r="42" spans="1:9" s="47" customFormat="1" ht="13.5">
      <c r="A42" s="99">
        <v>35</v>
      </c>
      <c r="B42" s="56" t="s">
        <v>721</v>
      </c>
      <c r="C42" s="61">
        <v>0</v>
      </c>
      <c r="D42" s="61">
        <v>0</v>
      </c>
      <c r="E42" s="61">
        <f t="shared" si="3"/>
        <v>0</v>
      </c>
      <c r="F42" s="48"/>
      <c r="G42" s="61"/>
      <c r="H42" s="61"/>
      <c r="I42" s="61"/>
    </row>
    <row r="43" spans="1:9" s="47" customFormat="1" ht="13.5">
      <c r="A43" s="102">
        <v>36</v>
      </c>
      <c r="B43" s="56" t="s">
        <v>720</v>
      </c>
      <c r="C43" s="61">
        <v>0</v>
      </c>
      <c r="D43" s="61">
        <v>0</v>
      </c>
      <c r="E43" s="61">
        <f t="shared" si="3"/>
        <v>0</v>
      </c>
      <c r="F43" s="48"/>
      <c r="G43" s="61"/>
      <c r="H43" s="61"/>
      <c r="I43" s="61"/>
    </row>
    <row r="44" spans="1:9" s="49" customFormat="1" ht="6" customHeight="1">
      <c r="A44" s="1004"/>
      <c r="B44" s="1005"/>
      <c r="C44" s="1005"/>
      <c r="D44" s="1005"/>
      <c r="E44" s="1005"/>
      <c r="F44" s="1005"/>
      <c r="G44" s="1005"/>
      <c r="H44" s="1005"/>
      <c r="I44" s="1006"/>
    </row>
    <row r="45" spans="1:9" s="49" customFormat="1" ht="15">
      <c r="A45" s="102">
        <v>37</v>
      </c>
      <c r="B45" s="1007" t="s">
        <v>537</v>
      </c>
      <c r="C45" s="1008"/>
      <c r="D45" s="1008"/>
      <c r="E45" s="1008"/>
      <c r="F45" s="1008"/>
      <c r="G45" s="146">
        <f>C7-G7</f>
        <v>-326523312</v>
      </c>
      <c r="H45" s="146">
        <f>D7-H7</f>
        <v>-1131574483</v>
      </c>
      <c r="I45" s="146">
        <f>SUM(G45:H45)</f>
        <v>-1458097795</v>
      </c>
    </row>
    <row r="46" spans="1:9" s="49" customFormat="1" ht="6" customHeight="1">
      <c r="A46" s="996"/>
      <c r="B46" s="997"/>
      <c r="C46" s="997"/>
      <c r="D46" s="997"/>
      <c r="E46" s="997"/>
      <c r="F46" s="997"/>
      <c r="G46" s="997"/>
      <c r="H46" s="997"/>
      <c r="I46" s="998"/>
    </row>
    <row r="47" spans="1:9" s="66" customFormat="1" ht="28.5">
      <c r="A47" s="102">
        <v>38</v>
      </c>
      <c r="B47" s="62" t="s">
        <v>341</v>
      </c>
      <c r="C47" s="64">
        <f>SUM(C48:C49)</f>
        <v>305548289</v>
      </c>
      <c r="D47" s="64">
        <f>SUM(D48:D49)</f>
        <v>1169896934</v>
      </c>
      <c r="E47" s="64">
        <f>SUM(E48:E49)</f>
        <v>1475445223</v>
      </c>
      <c r="F47" s="65"/>
      <c r="G47" s="64"/>
      <c r="H47" s="64"/>
      <c r="I47" s="64"/>
    </row>
    <row r="48" spans="1:9" s="75" customFormat="1" ht="13.5">
      <c r="A48" s="99">
        <v>39</v>
      </c>
      <c r="B48" s="76" t="s">
        <v>722</v>
      </c>
      <c r="C48" s="70">
        <f>192181163+55+97110256+1537859+622539+11156145</f>
        <v>302608017</v>
      </c>
      <c r="D48" s="70">
        <f>1164857629-55+5039360</f>
        <v>1169896934</v>
      </c>
      <c r="E48" s="70">
        <f aca="true" t="shared" si="4" ref="E48:E54">SUM(C48:D48)</f>
        <v>1472504951</v>
      </c>
      <c r="F48" s="71"/>
      <c r="G48" s="70"/>
      <c r="H48" s="70"/>
      <c r="I48" s="70"/>
    </row>
    <row r="49" spans="1:9" s="75" customFormat="1" ht="13.5">
      <c r="A49" s="99">
        <v>40</v>
      </c>
      <c r="B49" s="76" t="s">
        <v>723</v>
      </c>
      <c r="C49" s="70">
        <v>2940272</v>
      </c>
      <c r="D49" s="70">
        <v>0</v>
      </c>
      <c r="E49" s="70">
        <f t="shared" si="4"/>
        <v>2940272</v>
      </c>
      <c r="F49" s="71"/>
      <c r="G49" s="70"/>
      <c r="H49" s="70"/>
      <c r="I49" s="70"/>
    </row>
    <row r="50" spans="1:9" s="66" customFormat="1" ht="28.5">
      <c r="A50" s="102">
        <v>41</v>
      </c>
      <c r="B50" s="62" t="s">
        <v>342</v>
      </c>
      <c r="C50" s="64">
        <f>SUM(C51:C53)</f>
        <v>0</v>
      </c>
      <c r="D50" s="64">
        <f>SUM(D51:D53)</f>
        <v>0</v>
      </c>
      <c r="E50" s="64">
        <f t="shared" si="4"/>
        <v>0</v>
      </c>
      <c r="F50" s="81" t="s">
        <v>343</v>
      </c>
      <c r="G50" s="64">
        <f>SUM(G51:G53)</f>
        <v>17347428</v>
      </c>
      <c r="H50" s="64">
        <f>SUM(H51:H53)</f>
        <v>0</v>
      </c>
      <c r="I50" s="64">
        <f>SUM(G50:H50)</f>
        <v>17347428</v>
      </c>
    </row>
    <row r="51" spans="1:9" s="75" customFormat="1" ht="13.5">
      <c r="A51" s="102">
        <v>42</v>
      </c>
      <c r="B51" s="74" t="s">
        <v>724</v>
      </c>
      <c r="C51" s="70">
        <v>0</v>
      </c>
      <c r="D51" s="70">
        <v>0</v>
      </c>
      <c r="E51" s="70">
        <f t="shared" si="4"/>
        <v>0</v>
      </c>
      <c r="F51" s="71" t="s">
        <v>726</v>
      </c>
      <c r="G51" s="70">
        <v>0</v>
      </c>
      <c r="H51" s="70">
        <v>0</v>
      </c>
      <c r="I51" s="70">
        <f>SUM(G51:H51)</f>
        <v>0</v>
      </c>
    </row>
    <row r="52" spans="1:9" s="77" customFormat="1" ht="12.75">
      <c r="A52" s="102">
        <v>43</v>
      </c>
      <c r="B52" s="74" t="s">
        <v>725</v>
      </c>
      <c r="C52" s="70">
        <v>0</v>
      </c>
      <c r="D52" s="70">
        <v>0</v>
      </c>
      <c r="E52" s="70">
        <f>SUM(C52:D52)</f>
        <v>0</v>
      </c>
      <c r="F52" s="71" t="s">
        <v>727</v>
      </c>
      <c r="G52" s="70">
        <v>0</v>
      </c>
      <c r="H52" s="70">
        <v>0</v>
      </c>
      <c r="I52" s="70">
        <f>SUM(G52:H52)</f>
        <v>0</v>
      </c>
    </row>
    <row r="53" spans="1:9" s="77" customFormat="1" ht="12.75">
      <c r="A53" s="102">
        <v>44</v>
      </c>
      <c r="B53" s="74" t="s">
        <v>718</v>
      </c>
      <c r="C53" s="70">
        <v>0</v>
      </c>
      <c r="D53" s="70">
        <v>0</v>
      </c>
      <c r="E53" s="70">
        <f>SUM(C53:D53)</f>
        <v>0</v>
      </c>
      <c r="F53" s="74" t="s">
        <v>719</v>
      </c>
      <c r="G53" s="70">
        <v>17347428</v>
      </c>
      <c r="H53" s="70">
        <v>0</v>
      </c>
      <c r="I53" s="70">
        <f>SUM(G53:H53)</f>
        <v>17347428</v>
      </c>
    </row>
    <row r="54" spans="1:9" s="68" customFormat="1" ht="15.75">
      <c r="A54" s="102">
        <v>45</v>
      </c>
      <c r="B54" s="67" t="s">
        <v>455</v>
      </c>
      <c r="C54" s="82">
        <f>SUM(C7,C47,C50)</f>
        <v>1294025292</v>
      </c>
      <c r="D54" s="82">
        <f>SUM(D7,D47,D50)</f>
        <v>1277513312</v>
      </c>
      <c r="E54" s="82">
        <f t="shared" si="4"/>
        <v>2571538604</v>
      </c>
      <c r="F54" s="67" t="s">
        <v>351</v>
      </c>
      <c r="G54" s="82">
        <f>SUM(G7,G50)</f>
        <v>1332347743</v>
      </c>
      <c r="H54" s="82">
        <f>SUM(H7,H50)</f>
        <v>1239190861</v>
      </c>
      <c r="I54" s="82">
        <f>SUM(G54:H54)</f>
        <v>2571538604</v>
      </c>
    </row>
    <row r="57" spans="1:7" ht="15">
      <c r="A57" s="1331">
        <v>8</v>
      </c>
      <c r="B57" s="1332" t="s">
        <v>1110</v>
      </c>
      <c r="D57" s="187"/>
      <c r="G57" s="187"/>
    </row>
    <row r="61" ht="15">
      <c r="B61" s="50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C61"/>
  <sheetViews>
    <sheetView zoomScale="95" zoomScaleNormal="95" zoomScalePageLayoutView="0" workbookViewId="0" topLeftCell="C1">
      <pane xSplit="4" ySplit="7" topLeftCell="R38" activePane="bottomRight" state="frozen"/>
      <selection pane="topLeft" activeCell="C1" sqref="C1"/>
      <selection pane="topRight" activeCell="G1" sqref="G1"/>
      <selection pane="bottomLeft" activeCell="C8" sqref="C8"/>
      <selection pane="bottomRight" activeCell="T1" sqref="T1:Z1"/>
    </sheetView>
  </sheetViews>
  <sheetFormatPr defaultColWidth="8.875" defaultRowHeight="12.75"/>
  <cols>
    <col min="1" max="1" width="1.37890625" style="538" hidden="1" customWidth="1"/>
    <col min="2" max="2" width="8.00390625" style="539" hidden="1" customWidth="1"/>
    <col min="3" max="3" width="8.00390625" style="539" customWidth="1"/>
    <col min="4" max="4" width="4.625" style="540" bestFit="1" customWidth="1"/>
    <col min="5" max="5" width="30.375" style="538" customWidth="1"/>
    <col min="6" max="6" width="9.25390625" style="541" hidden="1" customWidth="1"/>
    <col min="7" max="7" width="11.375" style="538" bestFit="1" customWidth="1"/>
    <col min="8" max="8" width="11.125" style="538" customWidth="1"/>
    <col min="9" max="9" width="11.375" style="538" customWidth="1"/>
    <col min="10" max="11" width="10.25390625" style="538" customWidth="1"/>
    <col min="12" max="12" width="11.625" style="538" customWidth="1"/>
    <col min="13" max="13" width="9.875" style="538" customWidth="1"/>
    <col min="14" max="14" width="9.25390625" style="538" customWidth="1"/>
    <col min="15" max="16" width="10.00390625" style="538" customWidth="1"/>
    <col min="17" max="17" width="10.375" style="538" bestFit="1" customWidth="1"/>
    <col min="18" max="18" width="9.25390625" style="538" bestFit="1" customWidth="1"/>
    <col min="19" max="19" width="10.00390625" style="538" customWidth="1"/>
    <col min="20" max="20" width="10.375" style="538" bestFit="1" customWidth="1"/>
    <col min="21" max="21" width="10.375" style="538" customWidth="1"/>
    <col min="22" max="22" width="12.875" style="538" bestFit="1" customWidth="1"/>
    <col min="23" max="23" width="11.375" style="538" bestFit="1" customWidth="1"/>
    <col min="24" max="24" width="11.125" style="538" customWidth="1"/>
    <col min="25" max="25" width="10.625" style="538" customWidth="1"/>
    <col min="26" max="26" width="15.75390625" style="595" bestFit="1" customWidth="1"/>
    <col min="27" max="27" width="14.375" style="538" customWidth="1"/>
    <col min="28" max="28" width="9.875" style="538" bestFit="1" customWidth="1"/>
    <col min="29" max="16384" width="8.875" style="538" customWidth="1"/>
  </cols>
  <sheetData>
    <row r="1" spans="3:26" ht="18">
      <c r="C1" s="1010"/>
      <c r="M1" s="191"/>
      <c r="N1" s="191"/>
      <c r="O1" s="191"/>
      <c r="P1" s="191"/>
      <c r="Q1" s="191"/>
      <c r="R1" s="191"/>
      <c r="S1" s="191"/>
      <c r="T1" s="1011" t="s">
        <v>1115</v>
      </c>
      <c r="U1" s="1011"/>
      <c r="V1" s="1012"/>
      <c r="W1" s="1012"/>
      <c r="X1" s="1012"/>
      <c r="Y1" s="1012"/>
      <c r="Z1" s="1012"/>
    </row>
    <row r="2" spans="1:26" ht="15.75">
      <c r="A2" s="542"/>
      <c r="B2" s="543"/>
      <c r="C2" s="1010"/>
      <c r="D2" s="543"/>
      <c r="E2" s="1013" t="s">
        <v>899</v>
      </c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3"/>
      <c r="Z2" s="1013"/>
    </row>
    <row r="3" ht="12.75" thickBot="1">
      <c r="Z3" s="544"/>
    </row>
    <row r="4" spans="2:26" s="545" customFormat="1" ht="12.75" customHeight="1">
      <c r="B4" s="546"/>
      <c r="C4" s="546"/>
      <c r="D4" s="1014" t="s">
        <v>448</v>
      </c>
      <c r="E4" s="1017" t="s">
        <v>369</v>
      </c>
      <c r="F4" s="1020" t="s">
        <v>376</v>
      </c>
      <c r="G4" s="1026" t="s">
        <v>377</v>
      </c>
      <c r="H4" s="1027"/>
      <c r="I4" s="1027"/>
      <c r="J4" s="1027"/>
      <c r="K4" s="1027"/>
      <c r="L4" s="1027"/>
      <c r="M4" s="1027"/>
      <c r="N4" s="1027"/>
      <c r="O4" s="1027"/>
      <c r="P4" s="1027"/>
      <c r="Q4" s="1027"/>
      <c r="R4" s="1027"/>
      <c r="S4" s="1027"/>
      <c r="T4" s="1027"/>
      <c r="U4" s="1027"/>
      <c r="V4" s="1027"/>
      <c r="W4" s="1027"/>
      <c r="X4" s="1027"/>
      <c r="Y4" s="1028"/>
      <c r="Z4" s="1029" t="s">
        <v>378</v>
      </c>
    </row>
    <row r="5" spans="2:26" s="547" customFormat="1" ht="12" customHeight="1">
      <c r="B5" s="548"/>
      <c r="C5" s="548"/>
      <c r="D5" s="1015"/>
      <c r="E5" s="1018"/>
      <c r="F5" s="1021"/>
      <c r="G5" s="549" t="s">
        <v>1</v>
      </c>
      <c r="H5" s="549" t="s">
        <v>3</v>
      </c>
      <c r="I5" s="549" t="s">
        <v>5</v>
      </c>
      <c r="J5" s="549" t="s">
        <v>8</v>
      </c>
      <c r="K5" s="1023" t="s">
        <v>673</v>
      </c>
      <c r="L5" s="1024"/>
      <c r="M5" s="1024"/>
      <c r="N5" s="1024"/>
      <c r="O5" s="1024"/>
      <c r="P5" s="1024"/>
      <c r="Q5" s="1024"/>
      <c r="R5" s="1024"/>
      <c r="S5" s="1024"/>
      <c r="T5" s="1025"/>
      <c r="U5" s="551"/>
      <c r="V5" s="551" t="s">
        <v>124</v>
      </c>
      <c r="W5" s="551" t="s">
        <v>126</v>
      </c>
      <c r="X5" s="549" t="s">
        <v>128</v>
      </c>
      <c r="Y5" s="549" t="s">
        <v>130</v>
      </c>
      <c r="Z5" s="1030"/>
    </row>
    <row r="6" spans="2:26" s="547" customFormat="1" ht="63.75" customHeight="1">
      <c r="B6" s="548"/>
      <c r="C6" s="548"/>
      <c r="D6" s="1015"/>
      <c r="E6" s="1019"/>
      <c r="F6" s="1022"/>
      <c r="G6" s="552" t="s">
        <v>350</v>
      </c>
      <c r="H6" s="552" t="s">
        <v>664</v>
      </c>
      <c r="I6" s="552" t="s">
        <v>371</v>
      </c>
      <c r="J6" s="552" t="s">
        <v>9</v>
      </c>
      <c r="K6" s="552" t="s">
        <v>147</v>
      </c>
      <c r="L6" s="552" t="s">
        <v>123</v>
      </c>
      <c r="M6" s="552" t="s">
        <v>900</v>
      </c>
      <c r="N6" s="552" t="s">
        <v>441</v>
      </c>
      <c r="O6" s="552" t="s">
        <v>453</v>
      </c>
      <c r="P6" s="552" t="s">
        <v>478</v>
      </c>
      <c r="Q6" s="552" t="s">
        <v>1065</v>
      </c>
      <c r="R6" s="552" t="s">
        <v>1066</v>
      </c>
      <c r="S6" s="552" t="s">
        <v>1067</v>
      </c>
      <c r="T6" s="552" t="s">
        <v>1052</v>
      </c>
      <c r="U6" s="552" t="s">
        <v>1064</v>
      </c>
      <c r="V6" s="550" t="s">
        <v>348</v>
      </c>
      <c r="W6" s="550" t="s">
        <v>381</v>
      </c>
      <c r="X6" s="552" t="s">
        <v>672</v>
      </c>
      <c r="Y6" s="552" t="s">
        <v>129</v>
      </c>
      <c r="Z6" s="1031"/>
    </row>
    <row r="7" spans="2:26" s="553" customFormat="1" ht="12">
      <c r="B7" s="554"/>
      <c r="C7" s="554"/>
      <c r="D7" s="1016"/>
      <c r="E7" s="555" t="s">
        <v>442</v>
      </c>
      <c r="F7" s="556" t="s">
        <v>443</v>
      </c>
      <c r="G7" s="557" t="s">
        <v>443</v>
      </c>
      <c r="H7" s="557" t="s">
        <v>444</v>
      </c>
      <c r="I7" s="558" t="s">
        <v>445</v>
      </c>
      <c r="J7" s="555" t="s">
        <v>446</v>
      </c>
      <c r="K7" s="555" t="s">
        <v>447</v>
      </c>
      <c r="L7" s="558" t="s">
        <v>449</v>
      </c>
      <c r="M7" s="558" t="s">
        <v>450</v>
      </c>
      <c r="N7" s="558" t="s">
        <v>400</v>
      </c>
      <c r="O7" s="558" t="s">
        <v>401</v>
      </c>
      <c r="P7" s="557" t="s">
        <v>402</v>
      </c>
      <c r="Q7" s="558"/>
      <c r="R7" s="558"/>
      <c r="S7" s="557"/>
      <c r="T7" s="557" t="s">
        <v>403</v>
      </c>
      <c r="U7" s="557"/>
      <c r="V7" s="558" t="s">
        <v>404</v>
      </c>
      <c r="W7" s="558" t="s">
        <v>405</v>
      </c>
      <c r="X7" s="559" t="s">
        <v>406</v>
      </c>
      <c r="Y7" s="560" t="s">
        <v>407</v>
      </c>
      <c r="Z7" s="561" t="s">
        <v>934</v>
      </c>
    </row>
    <row r="8" spans="1:26" s="569" customFormat="1" ht="24">
      <c r="A8" s="538"/>
      <c r="B8" s="539"/>
      <c r="C8" s="539" t="s">
        <v>58</v>
      </c>
      <c r="D8" s="562" t="s">
        <v>408</v>
      </c>
      <c r="E8" s="563" t="s">
        <v>59</v>
      </c>
      <c r="F8" s="564"/>
      <c r="G8" s="565">
        <f>29452346+20900</f>
        <v>29473246</v>
      </c>
      <c r="H8" s="565">
        <f>7831519+4081</f>
        <v>7835600</v>
      </c>
      <c r="I8" s="566">
        <f>17230314+45000-2108200-413</f>
        <v>15166701</v>
      </c>
      <c r="J8" s="566">
        <v>0</v>
      </c>
      <c r="K8" s="566">
        <v>0</v>
      </c>
      <c r="L8" s="566">
        <v>23349000</v>
      </c>
      <c r="M8" s="566">
        <v>1155350</v>
      </c>
      <c r="N8" s="566">
        <v>0</v>
      </c>
      <c r="O8" s="566">
        <v>0</v>
      </c>
      <c r="P8" s="566">
        <v>0</v>
      </c>
      <c r="Q8" s="566"/>
      <c r="R8" s="566"/>
      <c r="S8" s="566"/>
      <c r="T8" s="566">
        <v>0</v>
      </c>
      <c r="U8" s="565"/>
      <c r="V8" s="565">
        <v>0</v>
      </c>
      <c r="W8" s="566">
        <v>0</v>
      </c>
      <c r="X8" s="567">
        <v>0</v>
      </c>
      <c r="Y8" s="566">
        <v>0</v>
      </c>
      <c r="Z8" s="568">
        <f aca="true" t="shared" si="0" ref="Z8:Z55">SUM(G8:Y8)</f>
        <v>76979897</v>
      </c>
    </row>
    <row r="9" spans="1:26" s="569" customFormat="1" ht="23.25" customHeight="1">
      <c r="A9" s="538"/>
      <c r="B9" s="539"/>
      <c r="C9" s="539" t="s">
        <v>966</v>
      </c>
      <c r="D9" s="570" t="s">
        <v>409</v>
      </c>
      <c r="E9" s="563" t="s">
        <v>967</v>
      </c>
      <c r="F9" s="564"/>
      <c r="G9" s="565">
        <v>0</v>
      </c>
      <c r="H9" s="565">
        <v>0</v>
      </c>
      <c r="I9" s="566">
        <v>100000</v>
      </c>
      <c r="J9" s="566">
        <v>0</v>
      </c>
      <c r="K9" s="566">
        <v>0</v>
      </c>
      <c r="L9" s="566">
        <v>0</v>
      </c>
      <c r="M9" s="566">
        <v>0</v>
      </c>
      <c r="N9" s="566">
        <v>0</v>
      </c>
      <c r="O9" s="566">
        <v>0</v>
      </c>
      <c r="P9" s="566">
        <v>0</v>
      </c>
      <c r="Q9" s="567"/>
      <c r="R9" s="567"/>
      <c r="S9" s="566"/>
      <c r="T9" s="566">
        <v>0</v>
      </c>
      <c r="U9" s="565"/>
      <c r="V9" s="565">
        <v>0</v>
      </c>
      <c r="W9" s="566">
        <v>0</v>
      </c>
      <c r="X9" s="567">
        <v>0</v>
      </c>
      <c r="Y9" s="566">
        <v>0</v>
      </c>
      <c r="Z9" s="568">
        <f t="shared" si="0"/>
        <v>100000</v>
      </c>
    </row>
    <row r="10" spans="1:26" s="569" customFormat="1" ht="24">
      <c r="A10" s="538"/>
      <c r="B10" s="539" t="s">
        <v>52</v>
      </c>
      <c r="C10" s="539" t="s">
        <v>55</v>
      </c>
      <c r="D10" s="570" t="s">
        <v>410</v>
      </c>
      <c r="E10" s="571" t="s">
        <v>56</v>
      </c>
      <c r="F10" s="572"/>
      <c r="G10" s="573">
        <v>0</v>
      </c>
      <c r="H10" s="573">
        <v>0</v>
      </c>
      <c r="I10" s="567">
        <f>34604863+8618030+88787</f>
        <v>43311680</v>
      </c>
      <c r="J10" s="567">
        <v>0</v>
      </c>
      <c r="K10" s="567">
        <v>0</v>
      </c>
      <c r="L10" s="567">
        <v>35126000</v>
      </c>
      <c r="M10" s="567">
        <v>0</v>
      </c>
      <c r="N10" s="567">
        <v>0</v>
      </c>
      <c r="O10" s="567">
        <v>0</v>
      </c>
      <c r="P10" s="567">
        <v>0</v>
      </c>
      <c r="Q10" s="567"/>
      <c r="R10" s="567"/>
      <c r="S10" s="567"/>
      <c r="T10" s="567">
        <v>0</v>
      </c>
      <c r="U10" s="573"/>
      <c r="V10" s="573">
        <v>686685231</v>
      </c>
      <c r="W10" s="567">
        <v>8350000</v>
      </c>
      <c r="X10" s="567">
        <v>449520</v>
      </c>
      <c r="Y10" s="567">
        <v>0</v>
      </c>
      <c r="Z10" s="568">
        <f t="shared" si="0"/>
        <v>773922431</v>
      </c>
    </row>
    <row r="11" spans="1:26" s="569" customFormat="1" ht="24">
      <c r="A11" s="538"/>
      <c r="B11" s="539" t="s">
        <v>54</v>
      </c>
      <c r="C11" s="539" t="s">
        <v>60</v>
      </c>
      <c r="D11" s="570" t="s">
        <v>411</v>
      </c>
      <c r="E11" s="571" t="s">
        <v>387</v>
      </c>
      <c r="F11" s="572"/>
      <c r="G11" s="573">
        <v>303150</v>
      </c>
      <c r="H11" s="573">
        <v>156750</v>
      </c>
      <c r="I11" s="567">
        <v>363850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7">
        <v>0</v>
      </c>
      <c r="P11" s="567">
        <v>0</v>
      </c>
      <c r="Q11" s="567"/>
      <c r="R11" s="567"/>
      <c r="S11" s="567"/>
      <c r="T11" s="567">
        <v>0</v>
      </c>
      <c r="U11" s="573"/>
      <c r="V11" s="573">
        <v>0</v>
      </c>
      <c r="W11" s="567">
        <v>0</v>
      </c>
      <c r="X11" s="567">
        <v>0</v>
      </c>
      <c r="Y11" s="567">
        <v>0</v>
      </c>
      <c r="Z11" s="568">
        <f t="shared" si="0"/>
        <v>823750</v>
      </c>
    </row>
    <row r="12" spans="1:26" s="569" customFormat="1" ht="24">
      <c r="A12" s="538"/>
      <c r="B12" s="539"/>
      <c r="C12" s="539" t="s">
        <v>1061</v>
      </c>
      <c r="D12" s="940" t="s">
        <v>412</v>
      </c>
      <c r="E12" s="571" t="s">
        <v>1060</v>
      </c>
      <c r="F12" s="572"/>
      <c r="G12" s="573">
        <v>0</v>
      </c>
      <c r="H12" s="573">
        <v>0</v>
      </c>
      <c r="I12" s="573">
        <v>0</v>
      </c>
      <c r="J12" s="573">
        <v>0</v>
      </c>
      <c r="K12" s="573">
        <v>46343378</v>
      </c>
      <c r="L12" s="573">
        <v>0</v>
      </c>
      <c r="M12" s="573">
        <v>0</v>
      </c>
      <c r="N12" s="573">
        <v>0</v>
      </c>
      <c r="O12" s="573">
        <v>0</v>
      </c>
      <c r="P12" s="573">
        <v>0</v>
      </c>
      <c r="Q12" s="573"/>
      <c r="R12" s="573"/>
      <c r="S12" s="573"/>
      <c r="T12" s="573">
        <v>0</v>
      </c>
      <c r="U12" s="573"/>
      <c r="V12" s="573">
        <v>0</v>
      </c>
      <c r="W12" s="567">
        <v>0</v>
      </c>
      <c r="X12" s="567">
        <v>0</v>
      </c>
      <c r="Y12" s="567">
        <v>0</v>
      </c>
      <c r="Z12" s="568">
        <f t="shared" si="0"/>
        <v>46343378</v>
      </c>
    </row>
    <row r="13" spans="1:26" s="569" customFormat="1" ht="23.25" customHeight="1">
      <c r="A13" s="538"/>
      <c r="B13" s="539"/>
      <c r="C13" s="539" t="s">
        <v>660</v>
      </c>
      <c r="D13" s="570" t="s">
        <v>413</v>
      </c>
      <c r="E13" s="571" t="s">
        <v>661</v>
      </c>
      <c r="F13" s="572"/>
      <c r="G13" s="573">
        <v>0</v>
      </c>
      <c r="H13" s="573">
        <v>0</v>
      </c>
      <c r="I13" s="573">
        <v>413</v>
      </c>
      <c r="J13" s="573">
        <v>0</v>
      </c>
      <c r="K13" s="573">
        <v>0</v>
      </c>
      <c r="L13" s="573">
        <v>0</v>
      </c>
      <c r="M13" s="573">
        <v>0</v>
      </c>
      <c r="N13" s="573">
        <v>0</v>
      </c>
      <c r="O13" s="573">
        <v>0</v>
      </c>
      <c r="P13" s="573">
        <v>0</v>
      </c>
      <c r="Q13" s="573"/>
      <c r="R13" s="573"/>
      <c r="S13" s="573"/>
      <c r="T13" s="573">
        <v>0</v>
      </c>
      <c r="U13" s="573"/>
      <c r="V13" s="573">
        <v>0</v>
      </c>
      <c r="W13" s="567">
        <v>0</v>
      </c>
      <c r="X13" s="567">
        <v>0</v>
      </c>
      <c r="Y13" s="567">
        <v>17347428</v>
      </c>
      <c r="Z13" s="568">
        <f t="shared" si="0"/>
        <v>17347841</v>
      </c>
    </row>
    <row r="14" spans="1:26" s="569" customFormat="1" ht="24">
      <c r="A14" s="538">
        <v>20215</v>
      </c>
      <c r="B14" s="539" t="s">
        <v>55</v>
      </c>
      <c r="C14" s="539" t="s">
        <v>63</v>
      </c>
      <c r="D14" s="570" t="s">
        <v>414</v>
      </c>
      <c r="E14" s="571" t="s">
        <v>64</v>
      </c>
      <c r="F14" s="572"/>
      <c r="G14" s="573">
        <v>2861900</v>
      </c>
      <c r="H14" s="573">
        <v>558071</v>
      </c>
      <c r="I14" s="567">
        <v>228600</v>
      </c>
      <c r="J14" s="567">
        <v>0</v>
      </c>
      <c r="K14" s="567">
        <v>0</v>
      </c>
      <c r="L14" s="567">
        <f>16442529-34818</f>
        <v>16407711</v>
      </c>
      <c r="M14" s="567">
        <v>0</v>
      </c>
      <c r="N14" s="567">
        <v>0</v>
      </c>
      <c r="O14" s="567">
        <v>0</v>
      </c>
      <c r="P14" s="567">
        <v>0</v>
      </c>
      <c r="Q14" s="567"/>
      <c r="R14" s="567"/>
      <c r="S14" s="567"/>
      <c r="T14" s="567">
        <v>0</v>
      </c>
      <c r="U14" s="573"/>
      <c r="V14" s="573">
        <v>0</v>
      </c>
      <c r="W14" s="567">
        <v>0</v>
      </c>
      <c r="X14" s="567">
        <v>0</v>
      </c>
      <c r="Y14" s="567">
        <v>0</v>
      </c>
      <c r="Z14" s="568">
        <f t="shared" si="0"/>
        <v>20056282</v>
      </c>
    </row>
    <row r="15" spans="1:26" s="569" customFormat="1" ht="24">
      <c r="A15" s="538"/>
      <c r="B15" s="539"/>
      <c r="C15" s="539" t="s">
        <v>815</v>
      </c>
      <c r="D15" s="570" t="s">
        <v>415</v>
      </c>
      <c r="E15" s="571" t="s">
        <v>809</v>
      </c>
      <c r="F15" s="572"/>
      <c r="G15" s="573">
        <f>9367995+11080125</f>
        <v>20448120</v>
      </c>
      <c r="H15" s="573">
        <f>913380+1080288</f>
        <v>1993668</v>
      </c>
      <c r="I15" s="573">
        <f>351636+4347090</f>
        <v>4698726</v>
      </c>
      <c r="J15" s="573">
        <v>0</v>
      </c>
      <c r="K15" s="573">
        <v>0</v>
      </c>
      <c r="L15" s="573">
        <v>0</v>
      </c>
      <c r="M15" s="573">
        <v>0</v>
      </c>
      <c r="N15" s="573">
        <v>0</v>
      </c>
      <c r="O15" s="573">
        <v>0</v>
      </c>
      <c r="P15" s="573">
        <v>0</v>
      </c>
      <c r="Q15" s="573"/>
      <c r="R15" s="573"/>
      <c r="S15" s="573"/>
      <c r="T15" s="573">
        <v>0</v>
      </c>
      <c r="U15" s="573"/>
      <c r="V15" s="573">
        <f>289870+138684</f>
        <v>428554</v>
      </c>
      <c r="W15" s="567">
        <v>0</v>
      </c>
      <c r="X15" s="573">
        <v>0</v>
      </c>
      <c r="Y15" s="567">
        <v>0</v>
      </c>
      <c r="Z15" s="568">
        <f t="shared" si="0"/>
        <v>27569068</v>
      </c>
    </row>
    <row r="16" spans="1:26" s="569" customFormat="1" ht="24">
      <c r="A16" s="538"/>
      <c r="B16" s="539"/>
      <c r="C16" s="539" t="s">
        <v>816</v>
      </c>
      <c r="D16" s="570" t="s">
        <v>416</v>
      </c>
      <c r="E16" s="571" t="s">
        <v>810</v>
      </c>
      <c r="F16" s="572"/>
      <c r="G16" s="573">
        <f>11117970+36347085</f>
        <v>47465055</v>
      </c>
      <c r="H16" s="573">
        <f>1084002+3543768</f>
        <v>4627770</v>
      </c>
      <c r="I16" s="573">
        <f>278994+2730247</f>
        <v>3009241</v>
      </c>
      <c r="J16" s="573">
        <v>0</v>
      </c>
      <c r="K16" s="573">
        <v>0</v>
      </c>
      <c r="L16" s="573">
        <v>0</v>
      </c>
      <c r="M16" s="573">
        <v>0</v>
      </c>
      <c r="N16" s="573">
        <v>0</v>
      </c>
      <c r="O16" s="573">
        <v>0</v>
      </c>
      <c r="P16" s="573">
        <v>0</v>
      </c>
      <c r="Q16" s="573"/>
      <c r="R16" s="573"/>
      <c r="S16" s="573"/>
      <c r="T16" s="573">
        <v>0</v>
      </c>
      <c r="U16" s="573"/>
      <c r="V16" s="573">
        <v>0</v>
      </c>
      <c r="W16" s="567">
        <v>0</v>
      </c>
      <c r="X16" s="573">
        <v>0</v>
      </c>
      <c r="Y16" s="567">
        <v>0</v>
      </c>
      <c r="Z16" s="568">
        <f t="shared" si="0"/>
        <v>55102066</v>
      </c>
    </row>
    <row r="17" spans="1:26" s="569" customFormat="1" ht="22.5" customHeight="1">
      <c r="A17" s="538"/>
      <c r="B17" s="539"/>
      <c r="C17" s="539" t="s">
        <v>663</v>
      </c>
      <c r="D17" s="570" t="s">
        <v>417</v>
      </c>
      <c r="E17" s="571" t="s">
        <v>662</v>
      </c>
      <c r="F17" s="572"/>
      <c r="G17" s="573">
        <v>0</v>
      </c>
      <c r="H17" s="573">
        <v>0</v>
      </c>
      <c r="I17" s="573">
        <v>0</v>
      </c>
      <c r="J17" s="573">
        <v>0</v>
      </c>
      <c r="K17" s="573">
        <v>0</v>
      </c>
      <c r="L17" s="573">
        <v>0</v>
      </c>
      <c r="M17" s="573">
        <v>0</v>
      </c>
      <c r="N17" s="573">
        <v>0</v>
      </c>
      <c r="O17" s="573">
        <v>0</v>
      </c>
      <c r="P17" s="573">
        <v>0</v>
      </c>
      <c r="Q17" s="573"/>
      <c r="R17" s="573"/>
      <c r="S17" s="573"/>
      <c r="T17" s="573">
        <v>0</v>
      </c>
      <c r="U17" s="573"/>
      <c r="V17" s="573">
        <v>12223750</v>
      </c>
      <c r="W17" s="567">
        <v>0</v>
      </c>
      <c r="X17" s="573">
        <v>0</v>
      </c>
      <c r="Y17" s="567">
        <v>0</v>
      </c>
      <c r="Z17" s="568">
        <f t="shared" si="0"/>
        <v>12223750</v>
      </c>
    </row>
    <row r="18" spans="2:26" ht="24">
      <c r="B18" s="539" t="s">
        <v>58</v>
      </c>
      <c r="C18" s="539" t="s">
        <v>53</v>
      </c>
      <c r="D18" s="570" t="s">
        <v>418</v>
      </c>
      <c r="E18" s="571" t="s">
        <v>557</v>
      </c>
      <c r="F18" s="572"/>
      <c r="G18" s="573">
        <v>0</v>
      </c>
      <c r="H18" s="573">
        <v>0</v>
      </c>
      <c r="I18" s="567">
        <f>15352369+1</f>
        <v>15352370</v>
      </c>
      <c r="J18" s="567">
        <v>0</v>
      </c>
      <c r="K18" s="567">
        <v>0</v>
      </c>
      <c r="L18" s="567">
        <v>0</v>
      </c>
      <c r="M18" s="567">
        <v>0</v>
      </c>
      <c r="N18" s="567">
        <v>0</v>
      </c>
      <c r="O18" s="567">
        <v>0</v>
      </c>
      <c r="P18" s="567">
        <v>0</v>
      </c>
      <c r="Q18" s="573"/>
      <c r="R18" s="573"/>
      <c r="S18" s="567"/>
      <c r="T18" s="567">
        <v>0</v>
      </c>
      <c r="U18" s="567"/>
      <c r="V18" s="567">
        <v>0</v>
      </c>
      <c r="W18" s="567">
        <v>0</v>
      </c>
      <c r="X18" s="567">
        <v>0</v>
      </c>
      <c r="Y18" s="567">
        <v>0</v>
      </c>
      <c r="Z18" s="568">
        <f t="shared" si="0"/>
        <v>15352370</v>
      </c>
    </row>
    <row r="19" spans="2:26" ht="24">
      <c r="B19" s="539" t="s">
        <v>60</v>
      </c>
      <c r="C19" s="539" t="s">
        <v>65</v>
      </c>
      <c r="D19" s="570" t="s">
        <v>419</v>
      </c>
      <c r="E19" s="571" t="s">
        <v>66</v>
      </c>
      <c r="F19" s="572"/>
      <c r="G19" s="573">
        <v>0</v>
      </c>
      <c r="H19" s="573">
        <v>0</v>
      </c>
      <c r="I19" s="567">
        <v>1000000</v>
      </c>
      <c r="J19" s="567">
        <v>0</v>
      </c>
      <c r="K19" s="567">
        <v>0</v>
      </c>
      <c r="L19" s="567">
        <v>0</v>
      </c>
      <c r="M19" s="567">
        <v>0</v>
      </c>
      <c r="N19" s="567">
        <v>0</v>
      </c>
      <c r="O19" s="567">
        <v>0</v>
      </c>
      <c r="P19" s="567">
        <v>0</v>
      </c>
      <c r="Q19" s="573"/>
      <c r="R19" s="573"/>
      <c r="S19" s="567"/>
      <c r="T19" s="567">
        <v>0</v>
      </c>
      <c r="U19" s="567"/>
      <c r="V19" s="567">
        <v>106961800</v>
      </c>
      <c r="W19" s="567">
        <v>0</v>
      </c>
      <c r="X19" s="567">
        <v>0</v>
      </c>
      <c r="Y19" s="567">
        <v>0</v>
      </c>
      <c r="Z19" s="568">
        <f t="shared" si="0"/>
        <v>107961800</v>
      </c>
    </row>
    <row r="20" spans="3:26" ht="24">
      <c r="C20" s="539" t="s">
        <v>926</v>
      </c>
      <c r="D20" s="570" t="s">
        <v>420</v>
      </c>
      <c r="E20" s="571" t="s">
        <v>901</v>
      </c>
      <c r="F20" s="574"/>
      <c r="G20" s="573">
        <v>0</v>
      </c>
      <c r="H20" s="573">
        <v>0</v>
      </c>
      <c r="I20" s="567">
        <v>0</v>
      </c>
      <c r="J20" s="567">
        <v>0</v>
      </c>
      <c r="K20" s="567">
        <v>0</v>
      </c>
      <c r="L20" s="567">
        <v>0</v>
      </c>
      <c r="M20" s="567">
        <v>0</v>
      </c>
      <c r="N20" s="567">
        <v>0</v>
      </c>
      <c r="O20" s="567">
        <v>0</v>
      </c>
      <c r="P20" s="567">
        <v>0</v>
      </c>
      <c r="Q20" s="573"/>
      <c r="R20" s="573"/>
      <c r="S20" s="567"/>
      <c r="T20" s="567">
        <v>0</v>
      </c>
      <c r="U20" s="567"/>
      <c r="V20" s="567">
        <v>196302400</v>
      </c>
      <c r="W20" s="567">
        <v>0</v>
      </c>
      <c r="X20" s="567">
        <v>0</v>
      </c>
      <c r="Y20" s="567">
        <v>0</v>
      </c>
      <c r="Z20" s="568">
        <f t="shared" si="0"/>
        <v>196302400</v>
      </c>
    </row>
    <row r="21" spans="1:26" ht="24">
      <c r="A21" s="538">
        <v>751791</v>
      </c>
      <c r="B21" s="539" t="s">
        <v>61</v>
      </c>
      <c r="C21" s="539" t="s">
        <v>49</v>
      </c>
      <c r="D21" s="570" t="s">
        <v>421</v>
      </c>
      <c r="E21" s="571" t="s">
        <v>50</v>
      </c>
      <c r="F21" s="574"/>
      <c r="G21" s="567">
        <v>0</v>
      </c>
      <c r="H21" s="573">
        <v>0</v>
      </c>
      <c r="I21" s="567">
        <v>2827348</v>
      </c>
      <c r="J21" s="567">
        <v>0</v>
      </c>
      <c r="K21" s="567">
        <v>0</v>
      </c>
      <c r="L21" s="567">
        <v>0</v>
      </c>
      <c r="M21" s="567">
        <v>0</v>
      </c>
      <c r="N21" s="567">
        <v>0</v>
      </c>
      <c r="O21" s="567">
        <v>0</v>
      </c>
      <c r="P21" s="567">
        <v>0</v>
      </c>
      <c r="Q21" s="567"/>
      <c r="R21" s="567"/>
      <c r="S21" s="567"/>
      <c r="T21" s="567">
        <v>0</v>
      </c>
      <c r="U21" s="567"/>
      <c r="V21" s="567">
        <v>0</v>
      </c>
      <c r="W21" s="567">
        <v>0</v>
      </c>
      <c r="X21" s="567">
        <v>0</v>
      </c>
      <c r="Y21" s="567">
        <v>0</v>
      </c>
      <c r="Z21" s="568">
        <f t="shared" si="0"/>
        <v>2827348</v>
      </c>
    </row>
    <row r="22" spans="1:26" ht="24">
      <c r="A22" s="538">
        <v>751834</v>
      </c>
      <c r="B22" s="539" t="s">
        <v>62</v>
      </c>
      <c r="C22" s="539" t="s">
        <v>51</v>
      </c>
      <c r="D22" s="570" t="s">
        <v>422</v>
      </c>
      <c r="E22" s="571" t="s">
        <v>385</v>
      </c>
      <c r="F22" s="572"/>
      <c r="G22" s="573">
        <v>0</v>
      </c>
      <c r="H22" s="573">
        <v>0</v>
      </c>
      <c r="I22" s="567">
        <f>10052423+1</f>
        <v>10052424</v>
      </c>
      <c r="J22" s="567">
        <v>0</v>
      </c>
      <c r="K22" s="567">
        <v>0</v>
      </c>
      <c r="L22" s="567">
        <v>0</v>
      </c>
      <c r="M22" s="567">
        <v>0</v>
      </c>
      <c r="N22" s="567">
        <v>0</v>
      </c>
      <c r="O22" s="567">
        <v>0</v>
      </c>
      <c r="P22" s="567">
        <v>0</v>
      </c>
      <c r="Q22" s="567"/>
      <c r="R22" s="567"/>
      <c r="S22" s="567"/>
      <c r="T22" s="567">
        <v>0</v>
      </c>
      <c r="U22" s="567"/>
      <c r="V22" s="567">
        <v>0</v>
      </c>
      <c r="W22" s="567">
        <v>0</v>
      </c>
      <c r="X22" s="567">
        <v>0</v>
      </c>
      <c r="Y22" s="567">
        <v>0</v>
      </c>
      <c r="Z22" s="568">
        <f t="shared" si="0"/>
        <v>10052424</v>
      </c>
    </row>
    <row r="23" spans="3:26" ht="24">
      <c r="C23" s="539" t="s">
        <v>52</v>
      </c>
      <c r="D23" s="570" t="s">
        <v>423</v>
      </c>
      <c r="E23" s="571" t="s">
        <v>902</v>
      </c>
      <c r="F23" s="572"/>
      <c r="G23" s="573">
        <v>22000</v>
      </c>
      <c r="H23" s="573">
        <v>8956</v>
      </c>
      <c r="I23" s="567">
        <f>5410023+22660742</f>
        <v>28070765</v>
      </c>
      <c r="J23" s="567">
        <v>0</v>
      </c>
      <c r="K23" s="567">
        <v>0</v>
      </c>
      <c r="L23" s="567">
        <v>0</v>
      </c>
      <c r="M23" s="567">
        <v>0</v>
      </c>
      <c r="N23" s="567">
        <v>0</v>
      </c>
      <c r="O23" s="567">
        <v>0</v>
      </c>
      <c r="P23" s="567">
        <v>0</v>
      </c>
      <c r="Q23" s="567"/>
      <c r="R23" s="567"/>
      <c r="S23" s="567"/>
      <c r="T23" s="567">
        <v>0</v>
      </c>
      <c r="U23" s="573"/>
      <c r="V23" s="573">
        <v>0</v>
      </c>
      <c r="W23" s="567">
        <v>0</v>
      </c>
      <c r="X23" s="567">
        <f>5000000+5000000</f>
        <v>10000000</v>
      </c>
      <c r="Y23" s="567">
        <v>0</v>
      </c>
      <c r="Z23" s="568">
        <f t="shared" si="0"/>
        <v>38101721</v>
      </c>
    </row>
    <row r="24" spans="3:26" ht="24">
      <c r="C24" s="539" t="s">
        <v>927</v>
      </c>
      <c r="D24" s="570" t="s">
        <v>424</v>
      </c>
      <c r="E24" s="571" t="s">
        <v>903</v>
      </c>
      <c r="F24" s="572"/>
      <c r="G24" s="573">
        <v>0</v>
      </c>
      <c r="H24" s="573">
        <v>0</v>
      </c>
      <c r="I24" s="567">
        <v>0</v>
      </c>
      <c r="J24" s="567">
        <v>0</v>
      </c>
      <c r="K24" s="567">
        <v>0</v>
      </c>
      <c r="L24" s="567">
        <v>0</v>
      </c>
      <c r="M24" s="567">
        <v>0</v>
      </c>
      <c r="N24" s="567">
        <v>0</v>
      </c>
      <c r="O24" s="567">
        <v>0</v>
      </c>
      <c r="P24" s="567">
        <v>0</v>
      </c>
      <c r="Q24" s="567"/>
      <c r="R24" s="567"/>
      <c r="S24" s="567"/>
      <c r="T24" s="567">
        <v>0</v>
      </c>
      <c r="U24" s="573"/>
      <c r="V24" s="573">
        <v>0</v>
      </c>
      <c r="W24" s="567">
        <v>47550000</v>
      </c>
      <c r="X24" s="567">
        <v>0</v>
      </c>
      <c r="Y24" s="567">
        <v>0</v>
      </c>
      <c r="Z24" s="568">
        <f t="shared" si="0"/>
        <v>47550000</v>
      </c>
    </row>
    <row r="25" spans="3:26" ht="24">
      <c r="C25" s="539" t="s">
        <v>1062</v>
      </c>
      <c r="D25" s="940" t="s">
        <v>425</v>
      </c>
      <c r="E25" s="571" t="s">
        <v>1063</v>
      </c>
      <c r="F25" s="572"/>
      <c r="G25" s="573">
        <v>812250</v>
      </c>
      <c r="H25" s="573">
        <v>158389</v>
      </c>
      <c r="I25" s="567">
        <v>296854</v>
      </c>
      <c r="J25" s="567">
        <v>0</v>
      </c>
      <c r="K25" s="567">
        <v>0</v>
      </c>
      <c r="L25" s="567">
        <v>0</v>
      </c>
      <c r="M25" s="567">
        <v>0</v>
      </c>
      <c r="N25" s="567">
        <v>0</v>
      </c>
      <c r="O25" s="567">
        <v>0</v>
      </c>
      <c r="P25" s="567">
        <v>0</v>
      </c>
      <c r="Q25" s="567"/>
      <c r="R25" s="567"/>
      <c r="S25" s="567"/>
      <c r="T25" s="567">
        <v>0</v>
      </c>
      <c r="U25" s="573">
        <v>0</v>
      </c>
      <c r="V25" s="573">
        <v>779383</v>
      </c>
      <c r="W25" s="567">
        <v>0</v>
      </c>
      <c r="X25" s="567">
        <v>0</v>
      </c>
      <c r="Y25" s="567">
        <v>0</v>
      </c>
      <c r="Z25" s="568">
        <f t="shared" si="0"/>
        <v>2046876</v>
      </c>
    </row>
    <row r="26" spans="3:26" ht="24">
      <c r="C26" s="539" t="s">
        <v>928</v>
      </c>
      <c r="D26" s="570" t="s">
        <v>426</v>
      </c>
      <c r="E26" s="571" t="s">
        <v>904</v>
      </c>
      <c r="F26" s="572"/>
      <c r="G26" s="573">
        <v>0</v>
      </c>
      <c r="H26" s="573">
        <v>0</v>
      </c>
      <c r="I26" s="567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7">
        <v>0</v>
      </c>
      <c r="P26" s="567">
        <v>0</v>
      </c>
      <c r="Q26" s="567"/>
      <c r="R26" s="567"/>
      <c r="S26" s="567"/>
      <c r="T26" s="567">
        <v>0</v>
      </c>
      <c r="U26" s="573"/>
      <c r="V26" s="573">
        <f>6911048+1000000</f>
        <v>7911048</v>
      </c>
      <c r="W26" s="567">
        <v>104181382</v>
      </c>
      <c r="X26" s="567">
        <v>0</v>
      </c>
      <c r="Y26" s="567">
        <v>0</v>
      </c>
      <c r="Z26" s="568">
        <f t="shared" si="0"/>
        <v>112092430</v>
      </c>
    </row>
    <row r="27" spans="3:26" ht="24" customHeight="1">
      <c r="C27" s="539" t="s">
        <v>811</v>
      </c>
      <c r="D27" s="570" t="s">
        <v>427</v>
      </c>
      <c r="E27" s="571" t="s">
        <v>812</v>
      </c>
      <c r="F27" s="572"/>
      <c r="G27" s="573">
        <v>0</v>
      </c>
      <c r="H27" s="567">
        <v>0</v>
      </c>
      <c r="I27" s="567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7">
        <v>0</v>
      </c>
      <c r="P27" s="567">
        <v>0</v>
      </c>
      <c r="Q27" s="567"/>
      <c r="R27" s="567"/>
      <c r="S27" s="567"/>
      <c r="T27" s="567">
        <v>0</v>
      </c>
      <c r="U27" s="573"/>
      <c r="V27" s="573">
        <v>0</v>
      </c>
      <c r="W27" s="567">
        <v>6462419</v>
      </c>
      <c r="X27" s="567">
        <v>0</v>
      </c>
      <c r="Y27" s="567">
        <v>0</v>
      </c>
      <c r="Z27" s="568">
        <f t="shared" si="0"/>
        <v>6462419</v>
      </c>
    </row>
    <row r="28" spans="1:26" ht="24" customHeight="1">
      <c r="A28" s="538">
        <v>751966</v>
      </c>
      <c r="B28" s="539" t="s">
        <v>63</v>
      </c>
      <c r="C28" s="539" t="s">
        <v>61</v>
      </c>
      <c r="D28" s="570" t="s">
        <v>428</v>
      </c>
      <c r="E28" s="571" t="s">
        <v>388</v>
      </c>
      <c r="F28" s="572"/>
      <c r="G28" s="573">
        <v>0</v>
      </c>
      <c r="H28" s="567">
        <v>0</v>
      </c>
      <c r="I28" s="567">
        <v>23398480</v>
      </c>
      <c r="J28" s="567">
        <v>0</v>
      </c>
      <c r="K28" s="567">
        <v>0</v>
      </c>
      <c r="L28" s="567">
        <v>0</v>
      </c>
      <c r="M28" s="567">
        <v>0</v>
      </c>
      <c r="N28" s="567">
        <v>0</v>
      </c>
      <c r="O28" s="567">
        <v>0</v>
      </c>
      <c r="P28" s="567">
        <v>0</v>
      </c>
      <c r="Q28" s="567"/>
      <c r="R28" s="567"/>
      <c r="S28" s="567"/>
      <c r="T28" s="567">
        <v>0</v>
      </c>
      <c r="U28" s="573"/>
      <c r="V28" s="573">
        <v>0</v>
      </c>
      <c r="W28" s="567">
        <v>0</v>
      </c>
      <c r="X28" s="567">
        <v>0</v>
      </c>
      <c r="Y28" s="567">
        <v>0</v>
      </c>
      <c r="Z28" s="568">
        <f t="shared" si="0"/>
        <v>23398480</v>
      </c>
    </row>
    <row r="29" spans="1:26" ht="24" customHeight="1">
      <c r="A29" s="538">
        <v>751999</v>
      </c>
      <c r="B29" s="539" t="s">
        <v>65</v>
      </c>
      <c r="C29" s="539" t="s">
        <v>57</v>
      </c>
      <c r="D29" s="570" t="s">
        <v>429</v>
      </c>
      <c r="E29" s="571" t="s">
        <v>558</v>
      </c>
      <c r="F29" s="572"/>
      <c r="G29" s="573">
        <v>0</v>
      </c>
      <c r="H29" s="573">
        <v>0</v>
      </c>
      <c r="I29" s="567">
        <v>1700000</v>
      </c>
      <c r="J29" s="567">
        <v>0</v>
      </c>
      <c r="K29" s="567">
        <v>0</v>
      </c>
      <c r="L29" s="567">
        <v>28275000</v>
      </c>
      <c r="M29" s="567">
        <v>0</v>
      </c>
      <c r="N29" s="567">
        <v>0</v>
      </c>
      <c r="O29" s="567">
        <v>0</v>
      </c>
      <c r="P29" s="567">
        <v>0</v>
      </c>
      <c r="Q29" s="567"/>
      <c r="R29" s="567"/>
      <c r="S29" s="567"/>
      <c r="T29" s="567">
        <v>0</v>
      </c>
      <c r="U29" s="573"/>
      <c r="V29" s="573">
        <v>0</v>
      </c>
      <c r="W29" s="567">
        <v>0</v>
      </c>
      <c r="X29" s="567">
        <v>0</v>
      </c>
      <c r="Y29" s="567">
        <v>0</v>
      </c>
      <c r="Z29" s="568">
        <f t="shared" si="0"/>
        <v>29975000</v>
      </c>
    </row>
    <row r="30" spans="2:27" ht="24">
      <c r="B30" s="539" t="s">
        <v>67</v>
      </c>
      <c r="C30" s="539" t="s">
        <v>62</v>
      </c>
      <c r="D30" s="570" t="s">
        <v>503</v>
      </c>
      <c r="E30" s="571" t="s">
        <v>559</v>
      </c>
      <c r="F30" s="572"/>
      <c r="G30" s="573">
        <v>25000</v>
      </c>
      <c r="H30" s="573">
        <v>4388</v>
      </c>
      <c r="I30" s="567">
        <f>13998342+180000+220000</f>
        <v>14398342</v>
      </c>
      <c r="J30" s="567">
        <v>0</v>
      </c>
      <c r="K30" s="567">
        <v>0</v>
      </c>
      <c r="L30" s="567">
        <v>12677000</v>
      </c>
      <c r="M30" s="567">
        <v>0</v>
      </c>
      <c r="N30" s="567">
        <v>0</v>
      </c>
      <c r="O30" s="567">
        <v>0</v>
      </c>
      <c r="P30" s="567">
        <v>0</v>
      </c>
      <c r="Q30" s="567"/>
      <c r="R30" s="567"/>
      <c r="S30" s="567"/>
      <c r="T30" s="567">
        <v>0</v>
      </c>
      <c r="U30" s="573"/>
      <c r="V30" s="573">
        <v>6823000</v>
      </c>
      <c r="W30" s="567">
        <v>0</v>
      </c>
      <c r="X30" s="567">
        <v>0</v>
      </c>
      <c r="Y30" s="567">
        <v>0</v>
      </c>
      <c r="Z30" s="568">
        <f t="shared" si="0"/>
        <v>33927730</v>
      </c>
      <c r="AA30" s="575"/>
    </row>
    <row r="31" spans="2:27" ht="24" customHeight="1">
      <c r="B31" s="539" t="s">
        <v>68</v>
      </c>
      <c r="C31" s="539" t="s">
        <v>68</v>
      </c>
      <c r="D31" s="1009" t="s">
        <v>1068</v>
      </c>
      <c r="E31" s="571" t="s">
        <v>390</v>
      </c>
      <c r="F31" s="576"/>
      <c r="G31" s="567">
        <v>0</v>
      </c>
      <c r="H31" s="567">
        <v>0</v>
      </c>
      <c r="I31" s="567">
        <v>360000</v>
      </c>
      <c r="J31" s="567">
        <v>0</v>
      </c>
      <c r="K31" s="567">
        <v>0</v>
      </c>
      <c r="L31" s="567">
        <v>0</v>
      </c>
      <c r="M31" s="567">
        <v>0</v>
      </c>
      <c r="N31" s="567">
        <v>0</v>
      </c>
      <c r="O31" s="567">
        <v>0</v>
      </c>
      <c r="P31" s="567">
        <v>0</v>
      </c>
      <c r="Q31" s="567"/>
      <c r="R31" s="567"/>
      <c r="S31" s="567"/>
      <c r="T31" s="567">
        <v>0</v>
      </c>
      <c r="U31" s="567"/>
      <c r="V31" s="567">
        <v>0</v>
      </c>
      <c r="W31" s="567">
        <v>0</v>
      </c>
      <c r="X31" s="567">
        <v>0</v>
      </c>
      <c r="Y31" s="567">
        <v>0</v>
      </c>
      <c r="Z31" s="568">
        <f t="shared" si="0"/>
        <v>360000</v>
      </c>
      <c r="AA31" s="575"/>
    </row>
    <row r="32" spans="2:28" ht="24" customHeight="1">
      <c r="B32" s="539" t="s">
        <v>69</v>
      </c>
      <c r="C32" s="539" t="s">
        <v>69</v>
      </c>
      <c r="D32" s="1009"/>
      <c r="E32" s="571" t="s">
        <v>391</v>
      </c>
      <c r="F32" s="576"/>
      <c r="G32" s="567">
        <f>2542580-2141000</f>
        <v>401580</v>
      </c>
      <c r="H32" s="567">
        <f>496881-417495</f>
        <v>79386</v>
      </c>
      <c r="I32" s="567">
        <f>7109080+29995230-12000000</f>
        <v>25104310</v>
      </c>
      <c r="J32" s="567">
        <v>0</v>
      </c>
      <c r="K32" s="567">
        <v>0</v>
      </c>
      <c r="L32" s="567">
        <v>0</v>
      </c>
      <c r="M32" s="567">
        <v>46053</v>
      </c>
      <c r="N32" s="567">
        <v>0</v>
      </c>
      <c r="O32" s="567">
        <v>0</v>
      </c>
      <c r="P32" s="567">
        <v>0</v>
      </c>
      <c r="Q32" s="567"/>
      <c r="R32" s="567"/>
      <c r="S32" s="567"/>
      <c r="T32" s="567">
        <v>0</v>
      </c>
      <c r="U32" s="567"/>
      <c r="V32" s="567">
        <v>0</v>
      </c>
      <c r="W32" s="567">
        <v>0</v>
      </c>
      <c r="X32" s="567">
        <v>0</v>
      </c>
      <c r="Y32" s="567">
        <v>0</v>
      </c>
      <c r="Z32" s="568">
        <f t="shared" si="0"/>
        <v>25631329</v>
      </c>
      <c r="AB32" s="538" t="s">
        <v>771</v>
      </c>
    </row>
    <row r="33" spans="1:28" ht="24" customHeight="1">
      <c r="A33" s="538">
        <v>851286</v>
      </c>
      <c r="B33" s="539" t="s">
        <v>70</v>
      </c>
      <c r="C33" s="539" t="s">
        <v>70</v>
      </c>
      <c r="D33" s="1009"/>
      <c r="E33" s="571" t="s">
        <v>392</v>
      </c>
      <c r="F33" s="576"/>
      <c r="G33" s="567">
        <v>0</v>
      </c>
      <c r="H33" s="567">
        <v>0</v>
      </c>
      <c r="I33" s="567">
        <v>120000</v>
      </c>
      <c r="J33" s="567">
        <v>0</v>
      </c>
      <c r="K33" s="567">
        <v>0</v>
      </c>
      <c r="L33" s="567">
        <v>0</v>
      </c>
      <c r="M33" s="567">
        <v>0</v>
      </c>
      <c r="N33" s="567">
        <v>0</v>
      </c>
      <c r="O33" s="567">
        <v>0</v>
      </c>
      <c r="P33" s="567">
        <v>0</v>
      </c>
      <c r="Q33" s="567"/>
      <c r="R33" s="567"/>
      <c r="S33" s="567"/>
      <c r="T33" s="567">
        <v>0</v>
      </c>
      <c r="U33" s="567"/>
      <c r="V33" s="567">
        <v>0</v>
      </c>
      <c r="W33" s="567">
        <v>0</v>
      </c>
      <c r="X33" s="567">
        <v>0</v>
      </c>
      <c r="Y33" s="567">
        <v>0</v>
      </c>
      <c r="Z33" s="568">
        <f t="shared" si="0"/>
        <v>120000</v>
      </c>
      <c r="AB33" s="575">
        <f>SUM(Z31:Z34)</f>
        <v>50565063</v>
      </c>
    </row>
    <row r="34" spans="1:26" s="569" customFormat="1" ht="27" customHeight="1">
      <c r="A34" s="538">
        <v>851297</v>
      </c>
      <c r="B34" s="539" t="s">
        <v>71</v>
      </c>
      <c r="C34" s="539" t="s">
        <v>71</v>
      </c>
      <c r="D34" s="1009"/>
      <c r="E34" s="571" t="s">
        <v>452</v>
      </c>
      <c r="F34" s="576"/>
      <c r="G34" s="567">
        <v>18065184</v>
      </c>
      <c r="H34" s="567">
        <v>3522630</v>
      </c>
      <c r="I34" s="567">
        <f>2611920+254000</f>
        <v>2865920</v>
      </c>
      <c r="J34" s="567">
        <v>0</v>
      </c>
      <c r="K34" s="567">
        <v>0</v>
      </c>
      <c r="L34" s="567">
        <v>0</v>
      </c>
      <c r="M34" s="567">
        <v>0</v>
      </c>
      <c r="N34" s="567">
        <v>0</v>
      </c>
      <c r="O34" s="567">
        <v>0</v>
      </c>
      <c r="P34" s="567">
        <v>0</v>
      </c>
      <c r="Q34" s="567"/>
      <c r="R34" s="567"/>
      <c r="S34" s="567"/>
      <c r="T34" s="567">
        <v>0</v>
      </c>
      <c r="U34" s="567"/>
      <c r="V34" s="567">
        <v>0</v>
      </c>
      <c r="W34" s="567">
        <v>0</v>
      </c>
      <c r="X34" s="567">
        <v>0</v>
      </c>
      <c r="Y34" s="567">
        <v>0</v>
      </c>
      <c r="Z34" s="568">
        <f t="shared" si="0"/>
        <v>24453734</v>
      </c>
    </row>
    <row r="35" spans="1:26" s="569" customFormat="1" ht="24" customHeight="1">
      <c r="A35" s="538">
        <v>853322</v>
      </c>
      <c r="B35" s="539" t="s">
        <v>72</v>
      </c>
      <c r="C35" s="539" t="s">
        <v>80</v>
      </c>
      <c r="D35" s="570" t="s">
        <v>505</v>
      </c>
      <c r="E35" s="571" t="s">
        <v>81</v>
      </c>
      <c r="F35" s="577"/>
      <c r="G35" s="567">
        <v>0</v>
      </c>
      <c r="H35" s="567">
        <v>0</v>
      </c>
      <c r="I35" s="567">
        <v>0</v>
      </c>
      <c r="J35" s="567">
        <v>0</v>
      </c>
      <c r="K35" s="567">
        <v>0</v>
      </c>
      <c r="L35" s="567">
        <v>18713000</v>
      </c>
      <c r="M35" s="567">
        <v>0</v>
      </c>
      <c r="N35" s="567">
        <v>0</v>
      </c>
      <c r="O35" s="567">
        <v>0</v>
      </c>
      <c r="P35" s="567">
        <v>0</v>
      </c>
      <c r="Q35" s="567"/>
      <c r="R35" s="567"/>
      <c r="S35" s="567"/>
      <c r="T35" s="567">
        <v>0</v>
      </c>
      <c r="U35" s="567"/>
      <c r="V35" s="567"/>
      <c r="W35" s="567">
        <v>0</v>
      </c>
      <c r="X35" s="567">
        <v>0</v>
      </c>
      <c r="Y35" s="567">
        <v>0</v>
      </c>
      <c r="Z35" s="568">
        <f t="shared" si="0"/>
        <v>18713000</v>
      </c>
    </row>
    <row r="36" spans="1:26" s="569" customFormat="1" ht="24" customHeight="1">
      <c r="A36" s="538"/>
      <c r="B36" s="539"/>
      <c r="C36" s="539" t="s">
        <v>54</v>
      </c>
      <c r="D36" s="570" t="s">
        <v>477</v>
      </c>
      <c r="E36" s="571" t="s">
        <v>905</v>
      </c>
      <c r="F36" s="577"/>
      <c r="G36" s="567">
        <v>0</v>
      </c>
      <c r="H36" s="567">
        <v>0</v>
      </c>
      <c r="I36" s="567">
        <v>0</v>
      </c>
      <c r="J36" s="567">
        <v>0</v>
      </c>
      <c r="K36" s="567">
        <v>0</v>
      </c>
      <c r="L36" s="567">
        <v>0</v>
      </c>
      <c r="M36" s="567">
        <v>15000</v>
      </c>
      <c r="N36" s="567">
        <v>0</v>
      </c>
      <c r="O36" s="567">
        <v>0</v>
      </c>
      <c r="P36" s="567">
        <v>0</v>
      </c>
      <c r="Q36" s="567"/>
      <c r="R36" s="567"/>
      <c r="S36" s="567"/>
      <c r="T36" s="567">
        <v>0</v>
      </c>
      <c r="U36" s="567"/>
      <c r="V36" s="567">
        <v>0</v>
      </c>
      <c r="W36" s="567">
        <v>0</v>
      </c>
      <c r="X36" s="567">
        <v>0</v>
      </c>
      <c r="Y36" s="567">
        <v>0</v>
      </c>
      <c r="Z36" s="568">
        <f t="shared" si="0"/>
        <v>15000</v>
      </c>
    </row>
    <row r="37" spans="1:26" s="569" customFormat="1" ht="24">
      <c r="A37" s="538"/>
      <c r="B37" s="539" t="s">
        <v>73</v>
      </c>
      <c r="C37" s="539" t="s">
        <v>556</v>
      </c>
      <c r="D37" s="570" t="s">
        <v>506</v>
      </c>
      <c r="E37" s="578" t="s">
        <v>629</v>
      </c>
      <c r="F37" s="577"/>
      <c r="G37" s="567">
        <v>80000</v>
      </c>
      <c r="H37" s="567">
        <v>41361</v>
      </c>
      <c r="I37" s="567">
        <v>1701950</v>
      </c>
      <c r="J37" s="567">
        <v>0</v>
      </c>
      <c r="K37" s="567">
        <v>0</v>
      </c>
      <c r="L37" s="567">
        <v>0</v>
      </c>
      <c r="M37" s="567">
        <v>0</v>
      </c>
      <c r="N37" s="567">
        <v>0</v>
      </c>
      <c r="O37" s="567">
        <v>0</v>
      </c>
      <c r="P37" s="567">
        <v>0</v>
      </c>
      <c r="Q37" s="567"/>
      <c r="R37" s="567"/>
      <c r="S37" s="567"/>
      <c r="T37" s="567">
        <v>0</v>
      </c>
      <c r="U37" s="567"/>
      <c r="V37" s="567">
        <v>700000</v>
      </c>
      <c r="W37" s="567"/>
      <c r="X37" s="567">
        <v>0</v>
      </c>
      <c r="Y37" s="567">
        <v>0</v>
      </c>
      <c r="Z37" s="568">
        <f t="shared" si="0"/>
        <v>2523311</v>
      </c>
    </row>
    <row r="38" spans="2:28" ht="20.25" customHeight="1">
      <c r="B38" s="539" t="s">
        <v>75</v>
      </c>
      <c r="C38" s="539" t="s">
        <v>929</v>
      </c>
      <c r="D38" s="580" t="s">
        <v>430</v>
      </c>
      <c r="E38" s="571" t="s">
        <v>83</v>
      </c>
      <c r="F38" s="576"/>
      <c r="G38" s="567">
        <v>0</v>
      </c>
      <c r="H38" s="567">
        <v>0</v>
      </c>
      <c r="I38" s="567">
        <v>49530</v>
      </c>
      <c r="J38" s="567">
        <v>0</v>
      </c>
      <c r="K38" s="579">
        <v>0</v>
      </c>
      <c r="L38" s="579">
        <v>0</v>
      </c>
      <c r="M38" s="567">
        <v>0</v>
      </c>
      <c r="N38" s="567">
        <v>0</v>
      </c>
      <c r="O38" s="567">
        <v>0</v>
      </c>
      <c r="P38" s="567">
        <v>0</v>
      </c>
      <c r="Q38" s="567"/>
      <c r="R38" s="567"/>
      <c r="S38" s="567"/>
      <c r="T38" s="567">
        <v>0</v>
      </c>
      <c r="U38" s="567"/>
      <c r="V38" s="567">
        <v>0</v>
      </c>
      <c r="W38" s="567">
        <v>0</v>
      </c>
      <c r="X38" s="567">
        <v>0</v>
      </c>
      <c r="Y38" s="567">
        <v>0</v>
      </c>
      <c r="Z38" s="568">
        <f t="shared" si="0"/>
        <v>49530</v>
      </c>
      <c r="AB38" s="575">
        <f>SUM(Z38:Z38)</f>
        <v>49530</v>
      </c>
    </row>
    <row r="39" spans="3:28" ht="27" customHeight="1">
      <c r="C39" s="539" t="s">
        <v>930</v>
      </c>
      <c r="D39" s="580" t="s">
        <v>431</v>
      </c>
      <c r="E39" s="571" t="s">
        <v>906</v>
      </c>
      <c r="F39" s="576"/>
      <c r="G39" s="567">
        <v>8000000</v>
      </c>
      <c r="H39" s="567">
        <v>1578000</v>
      </c>
      <c r="I39" s="567">
        <f>10194715+55</f>
        <v>10194770</v>
      </c>
      <c r="J39" s="567">
        <v>0</v>
      </c>
      <c r="K39" s="579">
        <v>0</v>
      </c>
      <c r="L39" s="579">
        <v>0</v>
      </c>
      <c r="M39" s="567">
        <v>0</v>
      </c>
      <c r="N39" s="567">
        <v>0</v>
      </c>
      <c r="O39" s="567">
        <v>0</v>
      </c>
      <c r="P39" s="567">
        <v>0</v>
      </c>
      <c r="Q39" s="567"/>
      <c r="R39" s="567"/>
      <c r="S39" s="567"/>
      <c r="T39" s="567">
        <v>0</v>
      </c>
      <c r="U39" s="567"/>
      <c r="V39" s="567">
        <f>55-55</f>
        <v>0</v>
      </c>
      <c r="W39" s="567">
        <v>0</v>
      </c>
      <c r="X39" s="567">
        <v>0</v>
      </c>
      <c r="Y39" s="567">
        <v>0</v>
      </c>
      <c r="Z39" s="568">
        <f t="shared" si="0"/>
        <v>19772770</v>
      </c>
      <c r="AB39" s="575"/>
    </row>
    <row r="40" spans="3:28" ht="26.25" customHeight="1">
      <c r="C40" s="539" t="s">
        <v>67</v>
      </c>
      <c r="D40" s="580" t="s">
        <v>432</v>
      </c>
      <c r="E40" s="571" t="s">
        <v>907</v>
      </c>
      <c r="F40" s="576"/>
      <c r="G40" s="567">
        <v>0</v>
      </c>
      <c r="H40" s="567">
        <v>0</v>
      </c>
      <c r="I40" s="567">
        <v>0</v>
      </c>
      <c r="J40" s="567">
        <v>0</v>
      </c>
      <c r="K40" s="579">
        <v>0</v>
      </c>
      <c r="L40" s="579">
        <v>0</v>
      </c>
      <c r="M40" s="567">
        <v>0</v>
      </c>
      <c r="N40" s="567">
        <v>0</v>
      </c>
      <c r="O40" s="567">
        <v>0</v>
      </c>
      <c r="P40" s="567">
        <v>0</v>
      </c>
      <c r="Q40" s="567"/>
      <c r="R40" s="567"/>
      <c r="S40" s="567"/>
      <c r="T40" s="567">
        <v>0</v>
      </c>
      <c r="U40" s="567"/>
      <c r="V40" s="567">
        <v>0</v>
      </c>
      <c r="W40" s="567">
        <f>19957013+1600000</f>
        <v>21557013</v>
      </c>
      <c r="X40" s="567">
        <v>0</v>
      </c>
      <c r="Y40" s="567">
        <v>0</v>
      </c>
      <c r="Z40" s="568">
        <f t="shared" si="0"/>
        <v>21557013</v>
      </c>
      <c r="AB40" s="575"/>
    </row>
    <row r="41" spans="3:28" ht="24.75" customHeight="1">
      <c r="C41" s="539" t="s">
        <v>931</v>
      </c>
      <c r="D41" s="580" t="s">
        <v>507</v>
      </c>
      <c r="E41" s="571" t="s">
        <v>908</v>
      </c>
      <c r="F41" s="576"/>
      <c r="G41" s="567">
        <v>5977600</v>
      </c>
      <c r="H41" s="567">
        <v>1165632</v>
      </c>
      <c r="I41" s="567">
        <v>4264649</v>
      </c>
      <c r="J41" s="567">
        <v>0</v>
      </c>
      <c r="K41" s="579">
        <v>0</v>
      </c>
      <c r="L41" s="579">
        <v>1564044</v>
      </c>
      <c r="M41" s="567">
        <v>0</v>
      </c>
      <c r="N41" s="567">
        <v>0</v>
      </c>
      <c r="O41" s="567">
        <v>0</v>
      </c>
      <c r="P41" s="567">
        <v>0</v>
      </c>
      <c r="Q41" s="567"/>
      <c r="R41" s="567"/>
      <c r="S41" s="567"/>
      <c r="T41" s="567">
        <v>0</v>
      </c>
      <c r="U41" s="567"/>
      <c r="V41" s="567">
        <v>0</v>
      </c>
      <c r="W41" s="567">
        <v>0</v>
      </c>
      <c r="X41" s="567">
        <v>0</v>
      </c>
      <c r="Y41" s="567">
        <v>0</v>
      </c>
      <c r="Z41" s="568">
        <f t="shared" si="0"/>
        <v>12971925</v>
      </c>
      <c r="AB41" s="575"/>
    </row>
    <row r="42" spans="3:26" ht="24">
      <c r="C42" s="539" t="s">
        <v>668</v>
      </c>
      <c r="D42" s="580" t="s">
        <v>433</v>
      </c>
      <c r="E42" s="571" t="s">
        <v>669</v>
      </c>
      <c r="F42" s="576"/>
      <c r="G42" s="567">
        <v>2357500</v>
      </c>
      <c r="H42" s="567">
        <v>459713</v>
      </c>
      <c r="I42" s="567">
        <v>55206576</v>
      </c>
      <c r="J42" s="567">
        <v>0</v>
      </c>
      <c r="K42" s="567">
        <v>0</v>
      </c>
      <c r="L42" s="567">
        <v>0</v>
      </c>
      <c r="M42" s="567">
        <v>0</v>
      </c>
      <c r="N42" s="567">
        <v>0</v>
      </c>
      <c r="O42" s="567">
        <v>0</v>
      </c>
      <c r="P42" s="567">
        <v>0</v>
      </c>
      <c r="Q42" s="567"/>
      <c r="R42" s="567"/>
      <c r="S42" s="567"/>
      <c r="T42" s="567">
        <v>0</v>
      </c>
      <c r="U42" s="567"/>
      <c r="V42" s="567">
        <v>0</v>
      </c>
      <c r="W42" s="567">
        <v>0</v>
      </c>
      <c r="X42" s="567">
        <v>0</v>
      </c>
      <c r="Y42" s="567">
        <v>0</v>
      </c>
      <c r="Z42" s="568">
        <f t="shared" si="0"/>
        <v>58023789</v>
      </c>
    </row>
    <row r="43" spans="3:26" ht="24">
      <c r="C43" s="539" t="s">
        <v>626</v>
      </c>
      <c r="D43" s="580" t="s">
        <v>451</v>
      </c>
      <c r="E43" s="571" t="s">
        <v>627</v>
      </c>
      <c r="F43" s="576"/>
      <c r="G43" s="567">
        <v>0</v>
      </c>
      <c r="H43" s="567">
        <v>0</v>
      </c>
      <c r="I43" s="567">
        <v>117194</v>
      </c>
      <c r="J43" s="567">
        <v>0</v>
      </c>
      <c r="K43" s="579">
        <v>0</v>
      </c>
      <c r="L43" s="579">
        <v>0</v>
      </c>
      <c r="M43" s="567">
        <v>0</v>
      </c>
      <c r="N43" s="567">
        <v>0</v>
      </c>
      <c r="O43" s="567">
        <v>0</v>
      </c>
      <c r="P43" s="567">
        <v>0</v>
      </c>
      <c r="Q43" s="567"/>
      <c r="R43" s="567"/>
      <c r="S43" s="567"/>
      <c r="T43" s="567">
        <v>0</v>
      </c>
      <c r="U43" s="567"/>
      <c r="V43" s="567">
        <v>0</v>
      </c>
      <c r="W43" s="567">
        <v>0</v>
      </c>
      <c r="X43" s="567">
        <v>0</v>
      </c>
      <c r="Y43" s="567">
        <v>0</v>
      </c>
      <c r="Z43" s="568">
        <f t="shared" si="0"/>
        <v>117194</v>
      </c>
    </row>
    <row r="44" spans="2:26" ht="24" customHeight="1">
      <c r="B44" s="539" t="s">
        <v>76</v>
      </c>
      <c r="C44" s="539" t="s">
        <v>665</v>
      </c>
      <c r="D44" s="580" t="s">
        <v>508</v>
      </c>
      <c r="E44" s="571" t="s">
        <v>666</v>
      </c>
      <c r="F44" s="576"/>
      <c r="G44" s="567">
        <v>0</v>
      </c>
      <c r="H44" s="567">
        <v>0</v>
      </c>
      <c r="I44" s="567">
        <v>11500000</v>
      </c>
      <c r="J44" s="567">
        <v>0</v>
      </c>
      <c r="K44" s="567">
        <v>0</v>
      </c>
      <c r="L44" s="567">
        <v>22522000</v>
      </c>
      <c r="M44" s="567">
        <v>0</v>
      </c>
      <c r="N44" s="567">
        <v>0</v>
      </c>
      <c r="O44" s="567">
        <v>0</v>
      </c>
      <c r="P44" s="567">
        <v>0</v>
      </c>
      <c r="Q44" s="567"/>
      <c r="R44" s="567"/>
      <c r="S44" s="567"/>
      <c r="T44" s="567">
        <v>0</v>
      </c>
      <c r="U44" s="567"/>
      <c r="V44" s="567">
        <v>0</v>
      </c>
      <c r="W44" s="567">
        <v>0</v>
      </c>
      <c r="X44" s="567">
        <v>0</v>
      </c>
      <c r="Y44" s="567">
        <v>0</v>
      </c>
      <c r="Z44" s="568">
        <f t="shared" si="0"/>
        <v>34022000</v>
      </c>
    </row>
    <row r="45" spans="3:26" ht="24" customHeight="1">
      <c r="C45" s="539" t="s">
        <v>932</v>
      </c>
      <c r="D45" s="580" t="s">
        <v>509</v>
      </c>
      <c r="E45" s="571" t="s">
        <v>909</v>
      </c>
      <c r="F45" s="576"/>
      <c r="G45" s="567">
        <v>0</v>
      </c>
      <c r="H45" s="567">
        <v>0</v>
      </c>
      <c r="I45" s="567">
        <v>0</v>
      </c>
      <c r="J45" s="567">
        <v>0</v>
      </c>
      <c r="K45" s="567">
        <v>0</v>
      </c>
      <c r="L45" s="567">
        <v>4417000</v>
      </c>
      <c r="M45" s="567">
        <v>0</v>
      </c>
      <c r="N45" s="567">
        <v>0</v>
      </c>
      <c r="O45" s="567">
        <v>0</v>
      </c>
      <c r="P45" s="567">
        <v>0</v>
      </c>
      <c r="Q45" s="567">
        <v>0</v>
      </c>
      <c r="R45" s="567">
        <v>0</v>
      </c>
      <c r="S45" s="567"/>
      <c r="T45" s="567">
        <v>0</v>
      </c>
      <c r="U45" s="567"/>
      <c r="V45" s="567">
        <v>0</v>
      </c>
      <c r="W45" s="567">
        <v>0</v>
      </c>
      <c r="X45" s="567">
        <v>0</v>
      </c>
      <c r="Y45" s="567">
        <v>0</v>
      </c>
      <c r="Z45" s="568">
        <f t="shared" si="0"/>
        <v>4417000</v>
      </c>
    </row>
    <row r="46" spans="3:26" ht="24">
      <c r="C46" s="539" t="s">
        <v>670</v>
      </c>
      <c r="D46" s="580" t="s">
        <v>918</v>
      </c>
      <c r="E46" s="571" t="s">
        <v>671</v>
      </c>
      <c r="F46" s="576"/>
      <c r="G46" s="567">
        <v>0</v>
      </c>
      <c r="H46" s="567">
        <v>0</v>
      </c>
      <c r="I46" s="567">
        <v>1778400</v>
      </c>
      <c r="J46" s="567">
        <v>0</v>
      </c>
      <c r="K46" s="567">
        <v>0</v>
      </c>
      <c r="L46" s="567">
        <v>0</v>
      </c>
      <c r="M46" s="567">
        <v>0</v>
      </c>
      <c r="N46" s="567">
        <v>0</v>
      </c>
      <c r="O46" s="567">
        <v>0</v>
      </c>
      <c r="P46" s="567">
        <v>0</v>
      </c>
      <c r="Q46" s="567"/>
      <c r="R46" s="567"/>
      <c r="S46" s="567"/>
      <c r="T46" s="567">
        <v>0</v>
      </c>
      <c r="U46" s="567"/>
      <c r="V46" s="567">
        <v>0</v>
      </c>
      <c r="W46" s="567">
        <v>0</v>
      </c>
      <c r="X46" s="567">
        <v>0</v>
      </c>
      <c r="Y46" s="567">
        <v>0</v>
      </c>
      <c r="Z46" s="568">
        <f t="shared" si="0"/>
        <v>1778400</v>
      </c>
    </row>
    <row r="47" spans="3:28" ht="24" customHeight="1">
      <c r="C47" s="539" t="s">
        <v>76</v>
      </c>
      <c r="D47" s="580" t="s">
        <v>919</v>
      </c>
      <c r="E47" s="571" t="s">
        <v>813</v>
      </c>
      <c r="F47" s="576"/>
      <c r="G47" s="567">
        <f>34334865-338000</f>
        <v>33996865</v>
      </c>
      <c r="H47" s="567">
        <f>6704834-65910</f>
        <v>6638924</v>
      </c>
      <c r="I47" s="567">
        <v>17188297</v>
      </c>
      <c r="J47" s="567">
        <v>0</v>
      </c>
      <c r="K47" s="567">
        <v>0</v>
      </c>
      <c r="L47" s="567">
        <v>0</v>
      </c>
      <c r="M47" s="567">
        <v>0</v>
      </c>
      <c r="N47" s="567">
        <v>0</v>
      </c>
      <c r="O47" s="567">
        <v>0</v>
      </c>
      <c r="P47" s="567">
        <v>0</v>
      </c>
      <c r="Q47" s="567"/>
      <c r="R47" s="567"/>
      <c r="S47" s="567"/>
      <c r="T47" s="567">
        <v>0</v>
      </c>
      <c r="U47" s="567"/>
      <c r="V47" s="567">
        <v>11411381</v>
      </c>
      <c r="W47" s="567">
        <v>0</v>
      </c>
      <c r="X47" s="567">
        <v>0</v>
      </c>
      <c r="Y47" s="567">
        <v>0</v>
      </c>
      <c r="Z47" s="568">
        <f t="shared" si="0"/>
        <v>69235467</v>
      </c>
      <c r="AB47" s="575">
        <f>SUM(Z44:Z50)</f>
        <v>123911867</v>
      </c>
    </row>
    <row r="48" spans="3:28" ht="24" customHeight="1">
      <c r="C48" s="539" t="s">
        <v>911</v>
      </c>
      <c r="D48" s="580" t="s">
        <v>920</v>
      </c>
      <c r="E48" s="571" t="s">
        <v>910</v>
      </c>
      <c r="F48" s="576"/>
      <c r="G48" s="567">
        <v>0</v>
      </c>
      <c r="H48" s="567">
        <v>0</v>
      </c>
      <c r="I48" s="567">
        <v>0</v>
      </c>
      <c r="J48" s="567">
        <v>0</v>
      </c>
      <c r="K48" s="567">
        <v>0</v>
      </c>
      <c r="L48" s="567">
        <v>3047000</v>
      </c>
      <c r="M48" s="567">
        <v>0</v>
      </c>
      <c r="N48" s="567">
        <v>0</v>
      </c>
      <c r="O48" s="567">
        <v>0</v>
      </c>
      <c r="P48" s="567">
        <v>0</v>
      </c>
      <c r="Q48" s="567"/>
      <c r="R48" s="567"/>
      <c r="S48" s="567"/>
      <c r="T48" s="567">
        <v>0</v>
      </c>
      <c r="U48" s="567"/>
      <c r="V48" s="567">
        <v>0</v>
      </c>
      <c r="W48" s="567">
        <v>0</v>
      </c>
      <c r="X48" s="567">
        <v>0</v>
      </c>
      <c r="Y48" s="567">
        <v>0</v>
      </c>
      <c r="Z48" s="568">
        <f t="shared" si="0"/>
        <v>3047000</v>
      </c>
      <c r="AB48" s="575"/>
    </row>
    <row r="49" spans="3:28" ht="24" customHeight="1">
      <c r="C49" s="539" t="s">
        <v>912</v>
      </c>
      <c r="D49" s="580" t="s">
        <v>921</v>
      </c>
      <c r="E49" s="571" t="s">
        <v>913</v>
      </c>
      <c r="F49" s="576"/>
      <c r="G49" s="567">
        <v>0</v>
      </c>
      <c r="H49" s="567">
        <v>0</v>
      </c>
      <c r="I49" s="567">
        <v>0</v>
      </c>
      <c r="J49" s="567">
        <v>0</v>
      </c>
      <c r="K49" s="567">
        <v>0</v>
      </c>
      <c r="L49" s="567">
        <v>4852000</v>
      </c>
      <c r="M49" s="567">
        <v>0</v>
      </c>
      <c r="N49" s="567">
        <v>0</v>
      </c>
      <c r="O49" s="567">
        <v>0</v>
      </c>
      <c r="P49" s="567">
        <v>0</v>
      </c>
      <c r="Q49" s="567"/>
      <c r="R49" s="567"/>
      <c r="S49" s="567"/>
      <c r="T49" s="567">
        <v>0</v>
      </c>
      <c r="U49" s="567"/>
      <c r="V49" s="567">
        <v>0</v>
      </c>
      <c r="W49" s="567">
        <v>0</v>
      </c>
      <c r="X49" s="567">
        <v>0</v>
      </c>
      <c r="Y49" s="567">
        <v>0</v>
      </c>
      <c r="Z49" s="568">
        <f t="shared" si="0"/>
        <v>4852000</v>
      </c>
      <c r="AB49" s="575"/>
    </row>
    <row r="50" spans="2:26" ht="24" customHeight="1">
      <c r="B50" s="539" t="s">
        <v>78</v>
      </c>
      <c r="C50" s="539" t="s">
        <v>74</v>
      </c>
      <c r="D50" s="580" t="s">
        <v>922</v>
      </c>
      <c r="E50" s="571" t="s">
        <v>473</v>
      </c>
      <c r="F50" s="576"/>
      <c r="G50" s="567">
        <v>0</v>
      </c>
      <c r="H50" s="567">
        <v>0</v>
      </c>
      <c r="I50" s="567">
        <v>2600000</v>
      </c>
      <c r="J50" s="567">
        <v>0</v>
      </c>
      <c r="K50" s="567">
        <v>0</v>
      </c>
      <c r="L50" s="567">
        <v>3960000</v>
      </c>
      <c r="M50" s="567">
        <v>0</v>
      </c>
      <c r="N50" s="567">
        <v>0</v>
      </c>
      <c r="O50" s="567">
        <v>0</v>
      </c>
      <c r="P50" s="567">
        <v>0</v>
      </c>
      <c r="Q50" s="567"/>
      <c r="R50" s="567"/>
      <c r="S50" s="567"/>
      <c r="T50" s="567">
        <v>0</v>
      </c>
      <c r="U50" s="567"/>
      <c r="V50" s="567">
        <v>0</v>
      </c>
      <c r="W50" s="567">
        <v>0</v>
      </c>
      <c r="X50" s="567">
        <v>0</v>
      </c>
      <c r="Y50" s="567">
        <v>0</v>
      </c>
      <c r="Z50" s="568">
        <f t="shared" si="0"/>
        <v>6560000</v>
      </c>
    </row>
    <row r="51" spans="3:26" ht="24" customHeight="1">
      <c r="C51" s="539" t="s">
        <v>914</v>
      </c>
      <c r="D51" s="580" t="s">
        <v>923</v>
      </c>
      <c r="E51" s="571" t="s">
        <v>915</v>
      </c>
      <c r="F51" s="576"/>
      <c r="G51" s="567">
        <v>0</v>
      </c>
      <c r="H51" s="567">
        <v>0</v>
      </c>
      <c r="I51" s="567">
        <v>0</v>
      </c>
      <c r="J51" s="567">
        <v>0</v>
      </c>
      <c r="K51" s="567">
        <v>0</v>
      </c>
      <c r="L51" s="567">
        <v>2738000</v>
      </c>
      <c r="M51" s="567">
        <v>0</v>
      </c>
      <c r="N51" s="567">
        <v>0</v>
      </c>
      <c r="O51" s="567">
        <v>0</v>
      </c>
      <c r="P51" s="567">
        <v>0</v>
      </c>
      <c r="Q51" s="567"/>
      <c r="R51" s="567"/>
      <c r="S51" s="567"/>
      <c r="T51" s="567">
        <v>0</v>
      </c>
      <c r="U51" s="567"/>
      <c r="V51" s="567">
        <v>0</v>
      </c>
      <c r="W51" s="567">
        <v>0</v>
      </c>
      <c r="X51" s="581">
        <v>0</v>
      </c>
      <c r="Y51" s="567">
        <v>0</v>
      </c>
      <c r="Z51" s="568">
        <f t="shared" si="0"/>
        <v>2738000</v>
      </c>
    </row>
    <row r="52" spans="2:26" ht="24">
      <c r="B52" s="539" t="s">
        <v>80</v>
      </c>
      <c r="C52" s="539" t="s">
        <v>77</v>
      </c>
      <c r="D52" s="580" t="s">
        <v>924</v>
      </c>
      <c r="E52" s="571" t="s">
        <v>667</v>
      </c>
      <c r="F52" s="576"/>
      <c r="G52" s="567">
        <v>0</v>
      </c>
      <c r="H52" s="567">
        <v>0</v>
      </c>
      <c r="I52" s="567">
        <f>8004000</f>
        <v>8004000</v>
      </c>
      <c r="J52" s="567">
        <v>3804900</v>
      </c>
      <c r="K52" s="567">
        <v>0</v>
      </c>
      <c r="L52" s="567">
        <v>0</v>
      </c>
      <c r="M52" s="567">
        <v>0</v>
      </c>
      <c r="N52" s="567">
        <v>0</v>
      </c>
      <c r="O52" s="567">
        <v>0</v>
      </c>
      <c r="P52" s="567">
        <v>0</v>
      </c>
      <c r="Q52" s="567"/>
      <c r="R52" s="567"/>
      <c r="S52" s="567"/>
      <c r="T52" s="567">
        <v>0</v>
      </c>
      <c r="U52" s="567"/>
      <c r="V52" s="567">
        <v>0</v>
      </c>
      <c r="W52" s="567">
        <v>0</v>
      </c>
      <c r="X52" s="581">
        <v>0</v>
      </c>
      <c r="Y52" s="567">
        <v>0</v>
      </c>
      <c r="Z52" s="568">
        <f t="shared" si="0"/>
        <v>11808900</v>
      </c>
    </row>
    <row r="53" spans="3:26" ht="24">
      <c r="C53" s="539" t="s">
        <v>916</v>
      </c>
      <c r="D53" s="580" t="s">
        <v>925</v>
      </c>
      <c r="E53" s="571" t="s">
        <v>917</v>
      </c>
      <c r="F53" s="582"/>
      <c r="G53" s="583">
        <v>14179532</v>
      </c>
      <c r="H53" s="581">
        <v>3124662</v>
      </c>
      <c r="I53" s="581">
        <v>58739847</v>
      </c>
      <c r="J53" s="581">
        <v>0</v>
      </c>
      <c r="K53" s="581">
        <v>0</v>
      </c>
      <c r="L53" s="581">
        <v>0</v>
      </c>
      <c r="M53" s="581">
        <v>0</v>
      </c>
      <c r="N53" s="581">
        <v>0</v>
      </c>
      <c r="O53" s="581">
        <v>0</v>
      </c>
      <c r="P53" s="581">
        <v>0</v>
      </c>
      <c r="Q53" s="567"/>
      <c r="R53" s="567"/>
      <c r="S53" s="581"/>
      <c r="T53" s="581">
        <v>0</v>
      </c>
      <c r="U53" s="581"/>
      <c r="V53" s="581">
        <v>4797591</v>
      </c>
      <c r="W53" s="581">
        <v>522139</v>
      </c>
      <c r="X53" s="583">
        <v>0</v>
      </c>
      <c r="Y53" s="581">
        <v>0</v>
      </c>
      <c r="Z53" s="568">
        <f t="shared" si="0"/>
        <v>81363771</v>
      </c>
    </row>
    <row r="54" spans="4:26" ht="24">
      <c r="D54" s="580" t="s">
        <v>968</v>
      </c>
      <c r="E54" s="571" t="s">
        <v>389</v>
      </c>
      <c r="F54" s="582"/>
      <c r="G54" s="583">
        <v>0</v>
      </c>
      <c r="H54" s="581">
        <v>0</v>
      </c>
      <c r="I54" s="581">
        <v>0</v>
      </c>
      <c r="J54" s="581">
        <v>0</v>
      </c>
      <c r="K54" s="581">
        <v>0</v>
      </c>
      <c r="L54" s="581">
        <v>0</v>
      </c>
      <c r="M54" s="581">
        <v>0</v>
      </c>
      <c r="N54" s="581">
        <f>1000000-180000-220000</f>
        <v>600000</v>
      </c>
      <c r="O54" s="581">
        <f>350000+926229</f>
        <v>1276229</v>
      </c>
      <c r="P54" s="581">
        <f>1000000-1000000</f>
        <v>0</v>
      </c>
      <c r="Q54" s="581">
        <f>59808757-7679730-553029-602617-1492000-8045171-7935168-4176519-28922-20906574-217072-8171955</f>
        <v>0</v>
      </c>
      <c r="R54" s="581">
        <f>9782649-6323709-100000-3358940</f>
        <v>0</v>
      </c>
      <c r="S54" s="581">
        <v>0</v>
      </c>
      <c r="T54" s="581">
        <v>200000</v>
      </c>
      <c r="U54" s="581">
        <v>2036448</v>
      </c>
      <c r="V54" s="581">
        <v>0</v>
      </c>
      <c r="W54" s="581">
        <v>0</v>
      </c>
      <c r="X54" s="583">
        <v>0</v>
      </c>
      <c r="Y54" s="581">
        <v>0</v>
      </c>
      <c r="Z54" s="568">
        <f t="shared" si="0"/>
        <v>4112677</v>
      </c>
    </row>
    <row r="55" spans="3:26" ht="24">
      <c r="C55" s="539" t="s">
        <v>814</v>
      </c>
      <c r="D55" s="580" t="s">
        <v>976</v>
      </c>
      <c r="E55" s="585" t="s">
        <v>628</v>
      </c>
      <c r="F55" s="582"/>
      <c r="G55" s="583">
        <v>0</v>
      </c>
      <c r="H55" s="583">
        <v>0</v>
      </c>
      <c r="I55" s="583">
        <v>8285000</v>
      </c>
      <c r="J55" s="583">
        <v>0</v>
      </c>
      <c r="K55" s="583">
        <v>0</v>
      </c>
      <c r="L55" s="583">
        <v>0</v>
      </c>
      <c r="M55" s="583">
        <v>0</v>
      </c>
      <c r="N55" s="583">
        <v>0</v>
      </c>
      <c r="O55" s="583">
        <v>0</v>
      </c>
      <c r="P55" s="583">
        <v>0</v>
      </c>
      <c r="Q55" s="581"/>
      <c r="R55" s="581"/>
      <c r="S55" s="583"/>
      <c r="T55" s="583">
        <v>0</v>
      </c>
      <c r="U55" s="583"/>
      <c r="V55" s="583">
        <v>0</v>
      </c>
      <c r="W55" s="583">
        <v>0</v>
      </c>
      <c r="X55" s="583">
        <v>0</v>
      </c>
      <c r="Y55" s="583">
        <v>0</v>
      </c>
      <c r="Z55" s="568">
        <f t="shared" si="0"/>
        <v>8285000</v>
      </c>
    </row>
    <row r="56" spans="1:29" s="586" customFormat="1" ht="24" customHeight="1" thickBot="1">
      <c r="A56" s="586">
        <v>999997</v>
      </c>
      <c r="B56" s="584"/>
      <c r="D56" s="587" t="s">
        <v>977</v>
      </c>
      <c r="E56" s="588" t="s">
        <v>373</v>
      </c>
      <c r="F56" s="589">
        <f>SUM(F8:F52)</f>
        <v>0</v>
      </c>
      <c r="G56" s="590">
        <f aca="true" t="shared" si="1" ref="G56:Z56">SUM(G8:G55)</f>
        <v>184468982</v>
      </c>
      <c r="H56" s="590">
        <f t="shared" si="1"/>
        <v>31953900</v>
      </c>
      <c r="I56" s="590">
        <f t="shared" si="1"/>
        <v>372056237</v>
      </c>
      <c r="J56" s="590">
        <f t="shared" si="1"/>
        <v>3804900</v>
      </c>
      <c r="K56" s="590">
        <f t="shared" si="1"/>
        <v>46343378</v>
      </c>
      <c r="L56" s="590">
        <f t="shared" si="1"/>
        <v>177647755</v>
      </c>
      <c r="M56" s="590">
        <f t="shared" si="1"/>
        <v>1216403</v>
      </c>
      <c r="N56" s="590">
        <f t="shared" si="1"/>
        <v>600000</v>
      </c>
      <c r="O56" s="590">
        <f t="shared" si="1"/>
        <v>1276229</v>
      </c>
      <c r="P56" s="590">
        <f t="shared" si="1"/>
        <v>0</v>
      </c>
      <c r="Q56" s="590">
        <f t="shared" si="1"/>
        <v>0</v>
      </c>
      <c r="R56" s="590">
        <f t="shared" si="1"/>
        <v>0</v>
      </c>
      <c r="S56" s="590">
        <f t="shared" si="1"/>
        <v>0</v>
      </c>
      <c r="T56" s="590">
        <f t="shared" si="1"/>
        <v>200000</v>
      </c>
      <c r="U56" s="590">
        <f t="shared" si="1"/>
        <v>2036448</v>
      </c>
      <c r="V56" s="590">
        <f t="shared" si="1"/>
        <v>1035024138</v>
      </c>
      <c r="W56" s="590">
        <f t="shared" si="1"/>
        <v>188622953</v>
      </c>
      <c r="X56" s="590">
        <f t="shared" si="1"/>
        <v>10449520</v>
      </c>
      <c r="Y56" s="590">
        <f t="shared" si="1"/>
        <v>17347428</v>
      </c>
      <c r="Z56" s="591">
        <f t="shared" si="1"/>
        <v>2073048271</v>
      </c>
      <c r="AA56" s="592">
        <f>SUM(G56:Y56)</f>
        <v>2073048271</v>
      </c>
      <c r="AB56" s="593"/>
      <c r="AC56" s="593"/>
    </row>
    <row r="57" spans="5:18" ht="12.75">
      <c r="E57" s="594"/>
      <c r="Q57" s="592"/>
      <c r="R57" s="592"/>
    </row>
    <row r="59" spans="6:20" ht="15">
      <c r="F59" s="187"/>
      <c r="R59" s="1331">
        <v>9</v>
      </c>
      <c r="S59" s="1332" t="s">
        <v>1110</v>
      </c>
      <c r="T59" s="38"/>
    </row>
    <row r="61" ht="12">
      <c r="F61" s="596"/>
    </row>
  </sheetData>
  <sheetProtection/>
  <mergeCells count="10">
    <mergeCell ref="D31:D34"/>
    <mergeCell ref="C1:C2"/>
    <mergeCell ref="T1:Z1"/>
    <mergeCell ref="E2:Z2"/>
    <mergeCell ref="D4:D7"/>
    <mergeCell ref="E4:E6"/>
    <mergeCell ref="F4:F6"/>
    <mergeCell ref="K5:T5"/>
    <mergeCell ref="G4:Y4"/>
    <mergeCell ref="Z4:Z6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zoomScalePageLayoutView="0" workbookViewId="0" topLeftCell="C1">
      <selection activeCell="H2" sqref="H2"/>
    </sheetView>
  </sheetViews>
  <sheetFormatPr defaultColWidth="8.875" defaultRowHeight="12.75"/>
  <cols>
    <col min="1" max="1" width="1.37890625" style="538" hidden="1" customWidth="1"/>
    <col min="2" max="2" width="8.00390625" style="539" hidden="1" customWidth="1"/>
    <col min="3" max="3" width="8.00390625" style="539" customWidth="1"/>
    <col min="4" max="4" width="7.625" style="540" customWidth="1"/>
    <col min="5" max="5" width="38.00390625" style="538" customWidth="1"/>
    <col min="6" max="11" width="13.125" style="538" customWidth="1"/>
    <col min="12" max="12" width="16.75390625" style="595" customWidth="1"/>
    <col min="13" max="13" width="14.375" style="538" customWidth="1"/>
    <col min="14" max="14" width="9.875" style="538" bestFit="1" customWidth="1"/>
    <col min="15" max="16384" width="8.875" style="538" customWidth="1"/>
  </cols>
  <sheetData>
    <row r="1" spans="3:12" ht="15">
      <c r="C1" s="1010"/>
      <c r="J1" s="1012"/>
      <c r="K1" s="1012"/>
      <c r="L1" s="1012"/>
    </row>
    <row r="2" spans="3:15" ht="18">
      <c r="C2" s="1010"/>
      <c r="H2" s="654"/>
      <c r="I2" s="654"/>
      <c r="J2" s="654"/>
      <c r="K2" s="655"/>
      <c r="L2" s="654" t="s">
        <v>1114</v>
      </c>
      <c r="M2" s="655"/>
      <c r="N2" s="655"/>
      <c r="O2" s="655"/>
    </row>
    <row r="3" spans="3:15" ht="15">
      <c r="C3" s="1010"/>
      <c r="H3" s="654"/>
      <c r="I3" s="654"/>
      <c r="J3" s="654"/>
      <c r="K3" s="655"/>
      <c r="L3" s="654"/>
      <c r="M3" s="655"/>
      <c r="N3" s="655"/>
      <c r="O3" s="655"/>
    </row>
    <row r="4" spans="1:12" s="781" customFormat="1" ht="39" customHeight="1">
      <c r="A4" s="542"/>
      <c r="B4" s="543"/>
      <c r="C4" s="1010"/>
      <c r="D4" s="1032" t="s">
        <v>892</v>
      </c>
      <c r="E4" s="1032"/>
      <c r="F4" s="1032"/>
      <c r="G4" s="1032"/>
      <c r="H4" s="1032"/>
      <c r="I4" s="1032"/>
      <c r="J4" s="1032"/>
      <c r="K4" s="1032"/>
      <c r="L4" s="1032"/>
    </row>
    <row r="5" ht="12">
      <c r="L5" s="782"/>
    </row>
    <row r="6" ht="12.75" thickBot="1">
      <c r="L6" s="544"/>
    </row>
    <row r="7" spans="2:12" s="545" customFormat="1" ht="12.75" customHeight="1">
      <c r="B7" s="546"/>
      <c r="C7" s="546"/>
      <c r="D7" s="1014" t="s">
        <v>448</v>
      </c>
      <c r="E7" s="1017" t="s">
        <v>369</v>
      </c>
      <c r="F7" s="1026" t="s">
        <v>377</v>
      </c>
      <c r="G7" s="1027"/>
      <c r="H7" s="1027"/>
      <c r="I7" s="1027"/>
      <c r="J7" s="1027"/>
      <c r="K7" s="1027"/>
      <c r="L7" s="1029" t="s">
        <v>378</v>
      </c>
    </row>
    <row r="8" spans="2:12" s="547" customFormat="1" ht="12" customHeight="1">
      <c r="B8" s="548"/>
      <c r="C8" s="548"/>
      <c r="D8" s="1015"/>
      <c r="E8" s="1018"/>
      <c r="F8" s="549" t="s">
        <v>1</v>
      </c>
      <c r="G8" s="549" t="s">
        <v>3</v>
      </c>
      <c r="H8" s="549" t="s">
        <v>5</v>
      </c>
      <c r="I8" s="551" t="s">
        <v>8</v>
      </c>
      <c r="J8" s="551" t="s">
        <v>124</v>
      </c>
      <c r="K8" s="551" t="s">
        <v>126</v>
      </c>
      <c r="L8" s="1030"/>
    </row>
    <row r="9" spans="2:12" s="547" customFormat="1" ht="63.75" customHeight="1">
      <c r="B9" s="548"/>
      <c r="C9" s="548"/>
      <c r="D9" s="1015"/>
      <c r="E9" s="1019"/>
      <c r="F9" s="552" t="s">
        <v>350</v>
      </c>
      <c r="G9" s="552" t="s">
        <v>664</v>
      </c>
      <c r="H9" s="552" t="s">
        <v>371</v>
      </c>
      <c r="I9" s="550" t="s">
        <v>9</v>
      </c>
      <c r="J9" s="550" t="s">
        <v>348</v>
      </c>
      <c r="K9" s="550" t="s">
        <v>381</v>
      </c>
      <c r="L9" s="1031"/>
    </row>
    <row r="10" spans="2:12" s="663" customFormat="1" ht="12.75" thickBot="1">
      <c r="B10" s="664"/>
      <c r="C10" s="664"/>
      <c r="D10" s="1015"/>
      <c r="E10" s="665" t="s">
        <v>442</v>
      </c>
      <c r="F10" s="666" t="s">
        <v>443</v>
      </c>
      <c r="G10" s="666" t="s">
        <v>444</v>
      </c>
      <c r="H10" s="667" t="s">
        <v>445</v>
      </c>
      <c r="I10" s="667"/>
      <c r="J10" s="667" t="s">
        <v>403</v>
      </c>
      <c r="K10" s="667" t="s">
        <v>404</v>
      </c>
      <c r="L10" s="668" t="s">
        <v>407</v>
      </c>
    </row>
    <row r="11" spans="1:12" s="569" customFormat="1" ht="36" customHeight="1">
      <c r="A11" s="538"/>
      <c r="B11" s="539"/>
      <c r="C11" s="539"/>
      <c r="D11" s="1039" t="s">
        <v>380</v>
      </c>
      <c r="E11" s="1040"/>
      <c r="F11" s="1040"/>
      <c r="G11" s="1040"/>
      <c r="H11" s="1040"/>
      <c r="I11" s="1040"/>
      <c r="J11" s="1040"/>
      <c r="K11" s="1040"/>
      <c r="L11" s="1041"/>
    </row>
    <row r="12" spans="2:12" s="672" customFormat="1" ht="34.5" customHeight="1">
      <c r="B12" s="673" t="s">
        <v>52</v>
      </c>
      <c r="C12" s="673"/>
      <c r="D12" s="674" t="s">
        <v>408</v>
      </c>
      <c r="E12" s="675" t="s">
        <v>851</v>
      </c>
      <c r="F12" s="677">
        <f>102608557+200000</f>
        <v>102808557</v>
      </c>
      <c r="G12" s="677">
        <f>20644903+39000</f>
        <v>20683903</v>
      </c>
      <c r="H12" s="677">
        <f>22317134+1537859+2108200</f>
        <v>25963193</v>
      </c>
      <c r="I12" s="677">
        <v>0</v>
      </c>
      <c r="J12" s="677">
        <v>1016000</v>
      </c>
      <c r="K12" s="677">
        <v>0</v>
      </c>
      <c r="L12" s="678">
        <f>SUM(F12:K12)</f>
        <v>150471653</v>
      </c>
    </row>
    <row r="13" spans="2:12" s="672" customFormat="1" ht="30.75" customHeight="1">
      <c r="B13" s="673" t="s">
        <v>53</v>
      </c>
      <c r="C13" s="673"/>
      <c r="D13" s="674" t="s">
        <v>409</v>
      </c>
      <c r="E13" s="675" t="s">
        <v>847</v>
      </c>
      <c r="F13" s="677">
        <v>0</v>
      </c>
      <c r="G13" s="677">
        <v>0</v>
      </c>
      <c r="H13" s="677">
        <v>0</v>
      </c>
      <c r="I13" s="677">
        <v>7430000</v>
      </c>
      <c r="J13" s="677">
        <v>0</v>
      </c>
      <c r="K13" s="677">
        <v>0</v>
      </c>
      <c r="L13" s="678">
        <f>SUM(F13:K13)</f>
        <v>7430000</v>
      </c>
    </row>
    <row r="14" spans="2:12" s="672" customFormat="1" ht="30.75" customHeight="1">
      <c r="B14" s="673"/>
      <c r="C14" s="673"/>
      <c r="D14" s="679" t="s">
        <v>410</v>
      </c>
      <c r="E14" s="680" t="s">
        <v>1069</v>
      </c>
      <c r="F14" s="681">
        <v>1420400</v>
      </c>
      <c r="G14" s="681">
        <v>293204</v>
      </c>
      <c r="H14" s="681">
        <v>247115</v>
      </c>
      <c r="I14" s="681">
        <v>0</v>
      </c>
      <c r="J14" s="681">
        <v>0</v>
      </c>
      <c r="K14" s="681">
        <v>0</v>
      </c>
      <c r="L14" s="678">
        <f>SUM(F14:K14)</f>
        <v>1960719</v>
      </c>
    </row>
    <row r="15" spans="2:12" s="672" customFormat="1" ht="71.25">
      <c r="B15" s="673"/>
      <c r="C15" s="673"/>
      <c r="D15" s="674" t="s">
        <v>411</v>
      </c>
      <c r="E15" s="675" t="s">
        <v>893</v>
      </c>
      <c r="F15" s="677">
        <v>3360000</v>
      </c>
      <c r="G15" s="677">
        <v>655200</v>
      </c>
      <c r="H15" s="677">
        <v>0</v>
      </c>
      <c r="I15" s="677">
        <v>0</v>
      </c>
      <c r="J15" s="677">
        <v>0</v>
      </c>
      <c r="K15" s="677">
        <v>0</v>
      </c>
      <c r="L15" s="678">
        <f>SUM(F15:K15)</f>
        <v>4015200</v>
      </c>
    </row>
    <row r="16" spans="2:12" s="672" customFormat="1" ht="43.5" thickBot="1">
      <c r="B16" s="673"/>
      <c r="C16" s="673"/>
      <c r="D16" s="832" t="s">
        <v>412</v>
      </c>
      <c r="E16" s="941" t="s">
        <v>1070</v>
      </c>
      <c r="F16" s="833">
        <v>338000</v>
      </c>
      <c r="G16" s="833">
        <v>65910</v>
      </c>
      <c r="H16" s="833">
        <v>0</v>
      </c>
      <c r="I16" s="833">
        <v>0</v>
      </c>
      <c r="J16" s="833">
        <v>0</v>
      </c>
      <c r="K16" s="833">
        <v>0</v>
      </c>
      <c r="L16" s="834">
        <f>SUM(F16:K16)</f>
        <v>403910</v>
      </c>
    </row>
    <row r="17" spans="1:15" s="683" customFormat="1" ht="24" customHeight="1" thickBot="1">
      <c r="A17" s="683">
        <v>999997</v>
      </c>
      <c r="B17" s="684"/>
      <c r="D17" s="685" t="s">
        <v>413</v>
      </c>
      <c r="E17" s="686" t="s">
        <v>373</v>
      </c>
      <c r="F17" s="687">
        <f aca="true" t="shared" si="0" ref="F17:L17">SUM(F9:F16)</f>
        <v>107926957</v>
      </c>
      <c r="G17" s="687">
        <f t="shared" si="0"/>
        <v>21698217</v>
      </c>
      <c r="H17" s="687">
        <f t="shared" si="0"/>
        <v>26210308</v>
      </c>
      <c r="I17" s="687">
        <f t="shared" si="0"/>
        <v>7430000</v>
      </c>
      <c r="J17" s="687">
        <f t="shared" si="0"/>
        <v>1016000</v>
      </c>
      <c r="K17" s="687">
        <f t="shared" si="0"/>
        <v>0</v>
      </c>
      <c r="L17" s="688">
        <f t="shared" si="0"/>
        <v>164281482</v>
      </c>
      <c r="M17" s="689">
        <f>SUM(F17:K17)</f>
        <v>164281482</v>
      </c>
      <c r="N17" s="690"/>
      <c r="O17" s="690"/>
    </row>
    <row r="18" spans="1:12" s="671" customFormat="1" ht="36.75" customHeight="1">
      <c r="A18" s="669"/>
      <c r="B18" s="670"/>
      <c r="C18" s="670"/>
      <c r="D18" s="1033" t="s">
        <v>785</v>
      </c>
      <c r="E18" s="1034"/>
      <c r="F18" s="1034"/>
      <c r="G18" s="1034"/>
      <c r="H18" s="1034"/>
      <c r="I18" s="1034"/>
      <c r="J18" s="1034"/>
      <c r="K18" s="1034"/>
      <c r="L18" s="1035"/>
    </row>
    <row r="19" spans="2:12" s="672" customFormat="1" ht="23.25" customHeight="1">
      <c r="B19" s="673" t="s">
        <v>52</v>
      </c>
      <c r="C19" s="673"/>
      <c r="D19" s="674" t="s">
        <v>408</v>
      </c>
      <c r="E19" s="675" t="s">
        <v>817</v>
      </c>
      <c r="F19" s="676">
        <v>0</v>
      </c>
      <c r="G19" s="676">
        <v>0</v>
      </c>
      <c r="H19" s="676">
        <v>34363647</v>
      </c>
      <c r="I19" s="677">
        <v>0</v>
      </c>
      <c r="J19" s="676">
        <v>0</v>
      </c>
      <c r="K19" s="677">
        <v>0</v>
      </c>
      <c r="L19" s="678">
        <f aca="true" t="shared" si="1" ref="L19:L28">SUM(F19:K19)</f>
        <v>34363647</v>
      </c>
    </row>
    <row r="20" spans="2:12" s="672" customFormat="1" ht="23.25" customHeight="1">
      <c r="B20" s="673" t="s">
        <v>53</v>
      </c>
      <c r="C20" s="673"/>
      <c r="D20" s="674" t="s">
        <v>409</v>
      </c>
      <c r="E20" s="675" t="s">
        <v>895</v>
      </c>
      <c r="F20" s="676">
        <f>93384492-240000+220000</f>
        <v>93364492</v>
      </c>
      <c r="G20" s="676">
        <f>21312024-46800+42900</f>
        <v>21308124</v>
      </c>
      <c r="H20" s="676">
        <f>12087124-1073150+656145-600000</f>
        <v>11070119</v>
      </c>
      <c r="I20" s="677">
        <v>0</v>
      </c>
      <c r="J20" s="676">
        <v>552450</v>
      </c>
      <c r="K20" s="677">
        <v>0</v>
      </c>
      <c r="L20" s="678">
        <f t="shared" si="1"/>
        <v>126295185</v>
      </c>
    </row>
    <row r="21" spans="2:12" s="672" customFormat="1" ht="23.25" customHeight="1">
      <c r="B21" s="673"/>
      <c r="C21" s="673"/>
      <c r="D21" s="674" t="s">
        <v>410</v>
      </c>
      <c r="E21" s="675" t="s">
        <v>561</v>
      </c>
      <c r="F21" s="676">
        <v>4891000</v>
      </c>
      <c r="G21" s="676">
        <v>953745</v>
      </c>
      <c r="H21" s="676">
        <v>400366</v>
      </c>
      <c r="I21" s="677">
        <v>0</v>
      </c>
      <c r="J21" s="676">
        <v>0</v>
      </c>
      <c r="K21" s="677">
        <v>0</v>
      </c>
      <c r="L21" s="678">
        <f t="shared" si="1"/>
        <v>6245111</v>
      </c>
    </row>
    <row r="22" spans="2:12" s="672" customFormat="1" ht="23.25" customHeight="1">
      <c r="B22" s="673"/>
      <c r="C22" s="673"/>
      <c r="D22" s="674" t="s">
        <v>411</v>
      </c>
      <c r="E22" s="675" t="s">
        <v>601</v>
      </c>
      <c r="F22" s="676">
        <v>19682997</v>
      </c>
      <c r="G22" s="676">
        <v>3846449</v>
      </c>
      <c r="H22" s="676">
        <v>4977802</v>
      </c>
      <c r="I22" s="677">
        <v>0</v>
      </c>
      <c r="J22" s="676">
        <v>152400</v>
      </c>
      <c r="K22" s="677">
        <v>0</v>
      </c>
      <c r="L22" s="678">
        <f t="shared" si="1"/>
        <v>28659648</v>
      </c>
    </row>
    <row r="23" spans="1:12" s="672" customFormat="1" ht="23.25" customHeight="1">
      <c r="A23" s="672">
        <v>20215</v>
      </c>
      <c r="B23" s="673" t="s">
        <v>55</v>
      </c>
      <c r="C23" s="673"/>
      <c r="D23" s="674" t="s">
        <v>412</v>
      </c>
      <c r="E23" s="675" t="s">
        <v>733</v>
      </c>
      <c r="F23" s="676">
        <v>15007293</v>
      </c>
      <c r="G23" s="676">
        <v>2937022</v>
      </c>
      <c r="H23" s="676">
        <v>2794382</v>
      </c>
      <c r="I23" s="677">
        <v>0</v>
      </c>
      <c r="J23" s="676">
        <v>241300</v>
      </c>
      <c r="K23" s="677">
        <v>0</v>
      </c>
      <c r="L23" s="678">
        <f t="shared" si="1"/>
        <v>20979997</v>
      </c>
    </row>
    <row r="24" spans="2:12" s="672" customFormat="1" ht="23.25" customHeight="1">
      <c r="B24" s="673"/>
      <c r="C24" s="673"/>
      <c r="D24" s="674" t="s">
        <v>413</v>
      </c>
      <c r="E24" s="675" t="s">
        <v>734</v>
      </c>
      <c r="F24" s="676">
        <f>9229786+56100</f>
        <v>9285886</v>
      </c>
      <c r="G24" s="676">
        <f>1799808+10940</f>
        <v>1810748</v>
      </c>
      <c r="H24" s="676">
        <v>1133928</v>
      </c>
      <c r="I24" s="677">
        <v>0</v>
      </c>
      <c r="J24" s="676">
        <v>0</v>
      </c>
      <c r="K24" s="677">
        <v>0</v>
      </c>
      <c r="L24" s="678">
        <f t="shared" si="1"/>
        <v>12230562</v>
      </c>
    </row>
    <row r="25" spans="2:12" s="672" customFormat="1" ht="15">
      <c r="B25" s="673"/>
      <c r="C25" s="673"/>
      <c r="D25" s="674" t="s">
        <v>414</v>
      </c>
      <c r="E25" s="675" t="s">
        <v>818</v>
      </c>
      <c r="F25" s="676">
        <v>0</v>
      </c>
      <c r="G25" s="676">
        <v>0</v>
      </c>
      <c r="H25" s="676">
        <v>3260222</v>
      </c>
      <c r="I25" s="677">
        <v>0</v>
      </c>
      <c r="J25" s="676">
        <v>0</v>
      </c>
      <c r="K25" s="677">
        <v>0</v>
      </c>
      <c r="L25" s="678">
        <f t="shared" si="1"/>
        <v>3260222</v>
      </c>
    </row>
    <row r="26" spans="2:12" s="672" customFormat="1" ht="71.25">
      <c r="B26" s="673"/>
      <c r="C26" s="673"/>
      <c r="D26" s="674" t="s">
        <v>415</v>
      </c>
      <c r="E26" s="675" t="s">
        <v>898</v>
      </c>
      <c r="F26" s="676">
        <v>5760000</v>
      </c>
      <c r="G26" s="676">
        <v>1123200</v>
      </c>
      <c r="H26" s="676">
        <v>0</v>
      </c>
      <c r="I26" s="677">
        <v>0</v>
      </c>
      <c r="J26" s="676">
        <v>0</v>
      </c>
      <c r="K26" s="677">
        <v>0</v>
      </c>
      <c r="L26" s="678">
        <f t="shared" si="1"/>
        <v>6883200</v>
      </c>
    </row>
    <row r="27" spans="2:12" s="672" customFormat="1" ht="57">
      <c r="B27" s="673"/>
      <c r="C27" s="673"/>
      <c r="D27" s="674" t="s">
        <v>416</v>
      </c>
      <c r="E27" s="675" t="s">
        <v>897</v>
      </c>
      <c r="F27" s="676">
        <v>12880157</v>
      </c>
      <c r="G27" s="676">
        <v>10151079</v>
      </c>
      <c r="H27" s="676">
        <f>4399746+10500000</f>
        <v>14899746</v>
      </c>
      <c r="I27" s="677">
        <v>0</v>
      </c>
      <c r="J27" s="676">
        <v>0</v>
      </c>
      <c r="K27" s="677">
        <v>0</v>
      </c>
      <c r="L27" s="678">
        <f t="shared" si="1"/>
        <v>37930982</v>
      </c>
    </row>
    <row r="28" spans="2:12" s="672" customFormat="1" ht="29.25" thickBot="1">
      <c r="B28" s="673"/>
      <c r="C28" s="673"/>
      <c r="D28" s="832" t="s">
        <v>417</v>
      </c>
      <c r="E28" s="675" t="s">
        <v>896</v>
      </c>
      <c r="F28" s="833">
        <v>2303000</v>
      </c>
      <c r="G28" s="833">
        <v>449085</v>
      </c>
      <c r="H28" s="833">
        <v>2707021</v>
      </c>
      <c r="I28" s="833">
        <v>0</v>
      </c>
      <c r="J28" s="833">
        <v>0</v>
      </c>
      <c r="K28" s="833">
        <v>0</v>
      </c>
      <c r="L28" s="834">
        <f t="shared" si="1"/>
        <v>5459106</v>
      </c>
    </row>
    <row r="29" spans="1:15" s="683" customFormat="1" ht="24" customHeight="1" thickBot="1">
      <c r="A29" s="683">
        <v>999997</v>
      </c>
      <c r="B29" s="684"/>
      <c r="D29" s="685" t="s">
        <v>418</v>
      </c>
      <c r="E29" s="686" t="s">
        <v>373</v>
      </c>
      <c r="F29" s="687">
        <f>SUM(F18:F28)</f>
        <v>163174825</v>
      </c>
      <c r="G29" s="687">
        <f aca="true" t="shared" si="2" ref="G29:L29">SUM(G18:G28)</f>
        <v>42579452</v>
      </c>
      <c r="H29" s="687">
        <f t="shared" si="2"/>
        <v>75607233</v>
      </c>
      <c r="I29" s="687">
        <f t="shared" si="2"/>
        <v>0</v>
      </c>
      <c r="J29" s="687">
        <f t="shared" si="2"/>
        <v>946150</v>
      </c>
      <c r="K29" s="687">
        <f t="shared" si="2"/>
        <v>0</v>
      </c>
      <c r="L29" s="688">
        <f t="shared" si="2"/>
        <v>282307660</v>
      </c>
      <c r="M29" s="689">
        <f>SUM(F29:K29)</f>
        <v>282307660</v>
      </c>
      <c r="N29" s="690"/>
      <c r="O29" s="690"/>
    </row>
    <row r="30" spans="1:12" s="569" customFormat="1" ht="39" customHeight="1">
      <c r="A30" s="538"/>
      <c r="B30" s="539"/>
      <c r="C30" s="539"/>
      <c r="D30" s="1036" t="s">
        <v>852</v>
      </c>
      <c r="E30" s="1037"/>
      <c r="F30" s="1037"/>
      <c r="G30" s="1037"/>
      <c r="H30" s="1037"/>
      <c r="I30" s="1037"/>
      <c r="J30" s="1037"/>
      <c r="K30" s="1037"/>
      <c r="L30" s="1038"/>
    </row>
    <row r="31" spans="2:12" s="672" customFormat="1" ht="31.5" customHeight="1">
      <c r="B31" s="673" t="s">
        <v>52</v>
      </c>
      <c r="C31" s="673"/>
      <c r="D31" s="674" t="s">
        <v>408</v>
      </c>
      <c r="E31" s="675" t="s">
        <v>560</v>
      </c>
      <c r="F31" s="677">
        <v>0</v>
      </c>
      <c r="G31" s="677">
        <v>0</v>
      </c>
      <c r="H31" s="677">
        <v>1100000</v>
      </c>
      <c r="I31" s="677">
        <v>0</v>
      </c>
      <c r="J31" s="677">
        <v>0</v>
      </c>
      <c r="K31" s="677">
        <v>0</v>
      </c>
      <c r="L31" s="678">
        <f>SUM(F31:K31)</f>
        <v>1100000</v>
      </c>
    </row>
    <row r="32" spans="2:12" s="672" customFormat="1" ht="23.25" customHeight="1">
      <c r="B32" s="673" t="s">
        <v>53</v>
      </c>
      <c r="C32" s="673"/>
      <c r="D32" s="674" t="s">
        <v>409</v>
      </c>
      <c r="E32" s="675" t="s">
        <v>393</v>
      </c>
      <c r="F32" s="677">
        <v>2629600</v>
      </c>
      <c r="G32" s="677">
        <v>512772</v>
      </c>
      <c r="H32" s="677">
        <v>289700</v>
      </c>
      <c r="I32" s="677">
        <v>0</v>
      </c>
      <c r="J32" s="677">
        <v>0</v>
      </c>
      <c r="K32" s="677">
        <v>0</v>
      </c>
      <c r="L32" s="678">
        <f>SUM(F32:K32)</f>
        <v>3432072</v>
      </c>
    </row>
    <row r="33" spans="2:12" s="672" customFormat="1" ht="33" customHeight="1">
      <c r="B33" s="673"/>
      <c r="C33" s="673"/>
      <c r="D33" s="674" t="s">
        <v>410</v>
      </c>
      <c r="E33" s="675" t="s">
        <v>819</v>
      </c>
      <c r="F33" s="677">
        <v>7774800</v>
      </c>
      <c r="G33" s="677">
        <v>1539290</v>
      </c>
      <c r="H33" s="677">
        <f>13067490-1270000+622539</f>
        <v>12420029</v>
      </c>
      <c r="I33" s="677">
        <v>0</v>
      </c>
      <c r="J33" s="677">
        <v>635000</v>
      </c>
      <c r="K33" s="677">
        <v>0</v>
      </c>
      <c r="L33" s="678">
        <f>SUM(F33:K33)</f>
        <v>22369119</v>
      </c>
    </row>
    <row r="34" spans="2:12" s="672" customFormat="1" ht="33" customHeight="1" thickBot="1">
      <c r="B34" s="673"/>
      <c r="C34" s="673"/>
      <c r="D34" s="679" t="s">
        <v>411</v>
      </c>
      <c r="E34" s="680" t="s">
        <v>894</v>
      </c>
      <c r="F34" s="681">
        <v>6761296</v>
      </c>
      <c r="G34" s="681">
        <v>1646453</v>
      </c>
      <c r="H34" s="681">
        <v>14095151</v>
      </c>
      <c r="I34" s="681">
        <v>0</v>
      </c>
      <c r="J34" s="681">
        <v>2497100</v>
      </c>
      <c r="K34" s="681">
        <v>0</v>
      </c>
      <c r="L34" s="682">
        <f>SUM(F34:K34)</f>
        <v>25000000</v>
      </c>
    </row>
    <row r="35" spans="1:15" s="683" customFormat="1" ht="24" customHeight="1" thickBot="1">
      <c r="A35" s="683">
        <v>999997</v>
      </c>
      <c r="B35" s="684"/>
      <c r="D35" s="685" t="s">
        <v>412</v>
      </c>
      <c r="E35" s="686" t="s">
        <v>373</v>
      </c>
      <c r="F35" s="687">
        <f>SUM(F30:F34)</f>
        <v>17165696</v>
      </c>
      <c r="G35" s="687">
        <f aca="true" t="shared" si="3" ref="G35:L35">SUM(G30:G34)</f>
        <v>3698515</v>
      </c>
      <c r="H35" s="687">
        <f t="shared" si="3"/>
        <v>27904880</v>
      </c>
      <c r="I35" s="687">
        <f t="shared" si="3"/>
        <v>0</v>
      </c>
      <c r="J35" s="687">
        <f t="shared" si="3"/>
        <v>3132100</v>
      </c>
      <c r="K35" s="687">
        <f t="shared" si="3"/>
        <v>0</v>
      </c>
      <c r="L35" s="835">
        <f t="shared" si="3"/>
        <v>51901191</v>
      </c>
      <c r="M35" s="689">
        <f>SUM(F35:K35)</f>
        <v>51901191</v>
      </c>
      <c r="N35" s="690"/>
      <c r="O35" s="690"/>
    </row>
    <row r="38" spans="4:7" ht="15">
      <c r="D38" s="1331">
        <v>10</v>
      </c>
      <c r="E38" s="1332" t="s">
        <v>1111</v>
      </c>
      <c r="F38" s="38"/>
      <c r="G38" s="187"/>
    </row>
  </sheetData>
  <sheetProtection/>
  <mergeCells count="10">
    <mergeCell ref="D4:L4"/>
    <mergeCell ref="D18:L18"/>
    <mergeCell ref="D30:L30"/>
    <mergeCell ref="C1:C4"/>
    <mergeCell ref="J1:L1"/>
    <mergeCell ref="D7:D10"/>
    <mergeCell ref="E7:E9"/>
    <mergeCell ref="F7:K7"/>
    <mergeCell ref="L7:L9"/>
    <mergeCell ref="D11:L11"/>
  </mergeCells>
  <printOptions/>
  <pageMargins left="0.11811023622047245" right="0.11811023622047245" top="1.141732283464567" bottom="0.7480314960629921" header="0.31496062992125984" footer="0.31496062992125984"/>
  <pageSetup horizontalDpi="600" verticalDpi="600" orientation="portrait" paperSize="9" scale="65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2"/>
  <sheetViews>
    <sheetView workbookViewId="0" topLeftCell="D1">
      <selection activeCell="G1" sqref="G1:M1"/>
    </sheetView>
  </sheetViews>
  <sheetFormatPr defaultColWidth="9.00390625" defaultRowHeight="12.75"/>
  <cols>
    <col min="1" max="1" width="7.75390625" style="187" customWidth="1"/>
    <col min="2" max="2" width="31.75390625" style="187" customWidth="1"/>
    <col min="3" max="3" width="14.375" style="187" customWidth="1"/>
    <col min="4" max="5" width="14.375" style="187" bestFit="1" customWidth="1"/>
    <col min="6" max="6" width="16.25390625" style="187" bestFit="1" customWidth="1"/>
    <col min="7" max="8" width="14.625" style="187" bestFit="1" customWidth="1"/>
    <col min="9" max="9" width="16.25390625" style="187" bestFit="1" customWidth="1"/>
    <col min="10" max="11" width="12.875" style="187" customWidth="1"/>
    <col min="12" max="12" width="15.00390625" style="187" customWidth="1"/>
    <col min="13" max="13" width="17.00390625" style="187" bestFit="1" customWidth="1"/>
    <col min="14" max="15" width="9.125" style="187" customWidth="1"/>
    <col min="16" max="16" width="12.875" style="187" bestFit="1" customWidth="1"/>
    <col min="17" max="16384" width="9.125" style="187" customWidth="1"/>
  </cols>
  <sheetData>
    <row r="1" spans="1:21" ht="15.75">
      <c r="A1" s="254"/>
      <c r="B1" s="255"/>
      <c r="C1" s="256"/>
      <c r="D1" s="256"/>
      <c r="E1" s="256"/>
      <c r="F1" s="256"/>
      <c r="G1" s="1042" t="s">
        <v>1116</v>
      </c>
      <c r="H1" s="1042"/>
      <c r="I1" s="1043"/>
      <c r="J1" s="1043"/>
      <c r="K1" s="1043"/>
      <c r="L1" s="1043"/>
      <c r="M1" s="1043"/>
      <c r="N1" s="255"/>
      <c r="O1" s="255"/>
      <c r="P1" s="255"/>
      <c r="Q1" s="255"/>
      <c r="R1" s="257"/>
      <c r="S1" s="257"/>
      <c r="T1" s="257"/>
      <c r="U1" s="255"/>
    </row>
    <row r="2" spans="1:21" ht="12.75">
      <c r="A2" s="254"/>
      <c r="B2" s="255"/>
      <c r="C2" s="256"/>
      <c r="D2" s="256"/>
      <c r="E2" s="256"/>
      <c r="F2" s="256"/>
      <c r="G2" s="258"/>
      <c r="H2" s="258"/>
      <c r="I2" s="259"/>
      <c r="J2" s="259"/>
      <c r="K2" s="259"/>
      <c r="L2" s="259"/>
      <c r="M2" s="259"/>
      <c r="N2" s="255"/>
      <c r="O2" s="255"/>
      <c r="P2" s="255"/>
      <c r="Q2" s="255"/>
      <c r="R2" s="257"/>
      <c r="S2" s="257"/>
      <c r="T2" s="257"/>
      <c r="U2" s="255"/>
    </row>
    <row r="3" spans="1:27" ht="15.75" customHeight="1">
      <c r="A3" s="1047" t="s">
        <v>963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</row>
    <row r="4" spans="1:27" ht="13.5" thickBot="1">
      <c r="A4" s="1047"/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</row>
    <row r="5" spans="1:27" ht="16.5" thickBot="1">
      <c r="A5" s="1069" t="s">
        <v>448</v>
      </c>
      <c r="B5" s="1066" t="s">
        <v>369</v>
      </c>
      <c r="C5" s="1072" t="s">
        <v>498</v>
      </c>
      <c r="D5" s="1072"/>
      <c r="E5" s="1072"/>
      <c r="F5" s="1072"/>
      <c r="G5" s="1072"/>
      <c r="H5" s="1072"/>
      <c r="I5" s="1072"/>
      <c r="J5" s="1072"/>
      <c r="K5" s="1072"/>
      <c r="L5" s="1072"/>
      <c r="M5" s="1073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62"/>
    </row>
    <row r="6" spans="1:13" ht="12.75" customHeight="1">
      <c r="A6" s="1070"/>
      <c r="B6" s="1067"/>
      <c r="C6" s="1048" t="s">
        <v>499</v>
      </c>
      <c r="D6" s="1051" t="s">
        <v>500</v>
      </c>
      <c r="E6" s="1052"/>
      <c r="F6" s="1053"/>
      <c r="G6" s="1051" t="s">
        <v>501</v>
      </c>
      <c r="H6" s="1052"/>
      <c r="I6" s="1053"/>
      <c r="J6" s="1051" t="s">
        <v>502</v>
      </c>
      <c r="K6" s="1052"/>
      <c r="L6" s="1053"/>
      <c r="M6" s="1044" t="s">
        <v>378</v>
      </c>
    </row>
    <row r="7" spans="1:13" ht="12.75" customHeight="1">
      <c r="A7" s="1070"/>
      <c r="B7" s="1067"/>
      <c r="C7" s="1049"/>
      <c r="D7" s="1054"/>
      <c r="E7" s="1055"/>
      <c r="F7" s="1056"/>
      <c r="G7" s="1054"/>
      <c r="H7" s="1055"/>
      <c r="I7" s="1056"/>
      <c r="J7" s="1054"/>
      <c r="K7" s="1055"/>
      <c r="L7" s="1056"/>
      <c r="M7" s="1045"/>
    </row>
    <row r="8" spans="1:13" ht="24" customHeight="1" thickBot="1">
      <c r="A8" s="1071"/>
      <c r="B8" s="1068"/>
      <c r="C8" s="1050"/>
      <c r="D8" s="263" t="s">
        <v>84</v>
      </c>
      <c r="E8" s="264" t="s">
        <v>85</v>
      </c>
      <c r="F8" s="265" t="s">
        <v>86</v>
      </c>
      <c r="G8" s="266" t="s">
        <v>84</v>
      </c>
      <c r="H8" s="264" t="s">
        <v>85</v>
      </c>
      <c r="I8" s="265" t="s">
        <v>86</v>
      </c>
      <c r="J8" s="266" t="s">
        <v>84</v>
      </c>
      <c r="K8" s="264" t="s">
        <v>85</v>
      </c>
      <c r="L8" s="265" t="s">
        <v>86</v>
      </c>
      <c r="M8" s="1046"/>
    </row>
    <row r="9" spans="1:13" ht="29.25" customHeight="1" thickBot="1">
      <c r="A9" s="267" t="s">
        <v>408</v>
      </c>
      <c r="B9" s="268" t="s">
        <v>59</v>
      </c>
      <c r="C9" s="269" t="s">
        <v>749</v>
      </c>
      <c r="D9" s="270">
        <f>55669529+45000+23349000+20900+4081-2108200-413</f>
        <v>76979897</v>
      </c>
      <c r="E9" s="692"/>
      <c r="F9" s="272">
        <f aca="true" t="shared" si="0" ref="F9:F56">SUM(D9:E9)</f>
        <v>76979897</v>
      </c>
      <c r="G9" s="697"/>
      <c r="H9" s="692"/>
      <c r="I9" s="272">
        <f aca="true" t="shared" si="1" ref="I9:I56">SUM(G9:H9)</f>
        <v>0</v>
      </c>
      <c r="J9" s="274"/>
      <c r="K9" s="275"/>
      <c r="L9" s="272">
        <f aca="true" t="shared" si="2" ref="L9:L45">SUM(J9:K9)</f>
        <v>0</v>
      </c>
      <c r="M9" s="276">
        <f aca="true" t="shared" si="3" ref="M9:M56">SUM(F9+I9+L9)</f>
        <v>76979897</v>
      </c>
    </row>
    <row r="10" spans="1:13" ht="29.25" customHeight="1">
      <c r="A10" s="277" t="s">
        <v>409</v>
      </c>
      <c r="B10" s="563" t="s">
        <v>967</v>
      </c>
      <c r="C10" s="269" t="s">
        <v>738</v>
      </c>
      <c r="D10" s="270">
        <v>100000</v>
      </c>
      <c r="E10" s="692"/>
      <c r="F10" s="272">
        <f t="shared" si="0"/>
        <v>100000</v>
      </c>
      <c r="G10" s="697"/>
      <c r="H10" s="692"/>
      <c r="I10" s="272">
        <f t="shared" si="1"/>
        <v>0</v>
      </c>
      <c r="J10" s="274"/>
      <c r="K10" s="275"/>
      <c r="L10" s="272">
        <f t="shared" si="2"/>
        <v>0</v>
      </c>
      <c r="M10" s="276">
        <f t="shared" si="3"/>
        <v>100000</v>
      </c>
    </row>
    <row r="11" spans="1:13" ht="29.25" customHeight="1">
      <c r="A11" s="277" t="s">
        <v>410</v>
      </c>
      <c r="B11" s="279" t="s">
        <v>56</v>
      </c>
      <c r="C11" s="278" t="s">
        <v>736</v>
      </c>
      <c r="D11" s="270">
        <f>62555863-700000+8618030+88787</f>
        <v>70562680</v>
      </c>
      <c r="E11" s="271">
        <v>13299520</v>
      </c>
      <c r="F11" s="272">
        <f t="shared" si="0"/>
        <v>83862200</v>
      </c>
      <c r="G11" s="273">
        <v>7875000</v>
      </c>
      <c r="H11" s="271">
        <v>682185231</v>
      </c>
      <c r="I11" s="272">
        <f t="shared" si="1"/>
        <v>690060231</v>
      </c>
      <c r="J11" s="274"/>
      <c r="K11" s="275"/>
      <c r="L11" s="272">
        <f t="shared" si="2"/>
        <v>0</v>
      </c>
      <c r="M11" s="276">
        <f t="shared" si="3"/>
        <v>773922431</v>
      </c>
    </row>
    <row r="12" spans="1:13" ht="29.25" customHeight="1">
      <c r="A12" s="277" t="s">
        <v>411</v>
      </c>
      <c r="B12" s="279" t="s">
        <v>387</v>
      </c>
      <c r="C12" s="280"/>
      <c r="D12" s="691"/>
      <c r="E12" s="692"/>
      <c r="F12" s="272">
        <f t="shared" si="0"/>
        <v>0</v>
      </c>
      <c r="G12" s="273">
        <v>823750</v>
      </c>
      <c r="H12" s="692"/>
      <c r="I12" s="272">
        <f t="shared" si="1"/>
        <v>823750</v>
      </c>
      <c r="J12" s="274"/>
      <c r="K12" s="275"/>
      <c r="L12" s="272">
        <f t="shared" si="2"/>
        <v>0</v>
      </c>
      <c r="M12" s="276">
        <f t="shared" si="3"/>
        <v>823750</v>
      </c>
    </row>
    <row r="13" spans="1:13" ht="29.25" customHeight="1">
      <c r="A13" s="944" t="s">
        <v>412</v>
      </c>
      <c r="B13" s="279" t="s">
        <v>1060</v>
      </c>
      <c r="C13" s="272" t="s">
        <v>822</v>
      </c>
      <c r="D13" s="270">
        <v>46343378</v>
      </c>
      <c r="E13" s="692"/>
      <c r="F13" s="272">
        <f t="shared" si="0"/>
        <v>46343378</v>
      </c>
      <c r="G13" s="273"/>
      <c r="H13" s="692"/>
      <c r="I13" s="272"/>
      <c r="J13" s="274"/>
      <c r="K13" s="275"/>
      <c r="L13" s="272"/>
      <c r="M13" s="276">
        <f t="shared" si="3"/>
        <v>46343378</v>
      </c>
    </row>
    <row r="14" spans="1:13" ht="21.75" customHeight="1">
      <c r="A14" s="277" t="s">
        <v>413</v>
      </c>
      <c r="B14" s="295" t="s">
        <v>661</v>
      </c>
      <c r="C14" s="272" t="s">
        <v>822</v>
      </c>
      <c r="D14" s="282">
        <f>17347428+413</f>
        <v>17347841</v>
      </c>
      <c r="E14" s="694"/>
      <c r="F14" s="272">
        <f t="shared" si="0"/>
        <v>17347841</v>
      </c>
      <c r="G14" s="698"/>
      <c r="H14" s="694"/>
      <c r="I14" s="272">
        <f t="shared" si="1"/>
        <v>0</v>
      </c>
      <c r="J14" s="285"/>
      <c r="K14" s="286"/>
      <c r="L14" s="272">
        <f t="shared" si="2"/>
        <v>0</v>
      </c>
      <c r="M14" s="276">
        <f t="shared" si="3"/>
        <v>17347841</v>
      </c>
    </row>
    <row r="15" spans="1:13" ht="29.25" customHeight="1">
      <c r="A15" s="277" t="s">
        <v>414</v>
      </c>
      <c r="B15" s="279" t="s">
        <v>64</v>
      </c>
      <c r="C15" s="272" t="s">
        <v>737</v>
      </c>
      <c r="D15" s="691"/>
      <c r="E15" s="692"/>
      <c r="F15" s="272">
        <f t="shared" si="0"/>
        <v>0</v>
      </c>
      <c r="G15" s="697"/>
      <c r="H15" s="692"/>
      <c r="I15" s="272">
        <f t="shared" si="1"/>
        <v>0</v>
      </c>
      <c r="J15" s="274">
        <f>20091100-34818</f>
        <v>20056282</v>
      </c>
      <c r="K15" s="275"/>
      <c r="L15" s="272">
        <f t="shared" si="2"/>
        <v>20056282</v>
      </c>
      <c r="M15" s="276">
        <f t="shared" si="3"/>
        <v>20056282</v>
      </c>
    </row>
    <row r="16" spans="1:13" ht="29.25" customHeight="1">
      <c r="A16" s="277" t="s">
        <v>415</v>
      </c>
      <c r="B16" s="279" t="s">
        <v>809</v>
      </c>
      <c r="C16" s="278" t="s">
        <v>820</v>
      </c>
      <c r="D16" s="270">
        <f>10633011+11080125+1080288+4347090</f>
        <v>27140514</v>
      </c>
      <c r="E16" s="271">
        <f>289870+138684</f>
        <v>428554</v>
      </c>
      <c r="F16" s="272">
        <f t="shared" si="0"/>
        <v>27569068</v>
      </c>
      <c r="G16" s="697"/>
      <c r="H16" s="692"/>
      <c r="I16" s="272">
        <f t="shared" si="1"/>
        <v>0</v>
      </c>
      <c r="J16" s="274"/>
      <c r="K16" s="275"/>
      <c r="L16" s="272">
        <f t="shared" si="2"/>
        <v>0</v>
      </c>
      <c r="M16" s="276">
        <f t="shared" si="3"/>
        <v>27569068</v>
      </c>
    </row>
    <row r="17" spans="1:13" ht="29.25" customHeight="1">
      <c r="A17" s="277" t="s">
        <v>416</v>
      </c>
      <c r="B17" s="279" t="s">
        <v>810</v>
      </c>
      <c r="C17" s="278" t="s">
        <v>820</v>
      </c>
      <c r="D17" s="270">
        <f>12480966+36347085+3543768+2730247</f>
        <v>55102066</v>
      </c>
      <c r="E17" s="692"/>
      <c r="F17" s="272">
        <f t="shared" si="0"/>
        <v>55102066</v>
      </c>
      <c r="G17" s="697"/>
      <c r="H17" s="692"/>
      <c r="I17" s="272">
        <f t="shared" si="1"/>
        <v>0</v>
      </c>
      <c r="J17" s="274"/>
      <c r="K17" s="275"/>
      <c r="L17" s="272">
        <f t="shared" si="2"/>
        <v>0</v>
      </c>
      <c r="M17" s="276">
        <f t="shared" si="3"/>
        <v>55102066</v>
      </c>
    </row>
    <row r="18" spans="1:13" ht="21.75" customHeight="1">
      <c r="A18" s="277" t="s">
        <v>417</v>
      </c>
      <c r="B18" s="295" t="s">
        <v>662</v>
      </c>
      <c r="C18" s="278" t="s">
        <v>738</v>
      </c>
      <c r="D18" s="693"/>
      <c r="E18" s="283">
        <v>12223750</v>
      </c>
      <c r="F18" s="272">
        <f t="shared" si="0"/>
        <v>12223750</v>
      </c>
      <c r="G18" s="698"/>
      <c r="H18" s="283"/>
      <c r="I18" s="272">
        <f t="shared" si="1"/>
        <v>0</v>
      </c>
      <c r="J18" s="285"/>
      <c r="K18" s="286"/>
      <c r="L18" s="272">
        <f t="shared" si="2"/>
        <v>0</v>
      </c>
      <c r="M18" s="276">
        <f t="shared" si="3"/>
        <v>12223750</v>
      </c>
    </row>
    <row r="19" spans="1:13" ht="29.25" customHeight="1">
      <c r="A19" s="281" t="s">
        <v>418</v>
      </c>
      <c r="B19" s="279" t="s">
        <v>349</v>
      </c>
      <c r="C19" s="278" t="s">
        <v>738</v>
      </c>
      <c r="D19" s="270">
        <f>15352369+1</f>
        <v>15352370</v>
      </c>
      <c r="E19" s="271"/>
      <c r="F19" s="272">
        <f t="shared" si="0"/>
        <v>15352370</v>
      </c>
      <c r="G19" s="697"/>
      <c r="H19" s="692"/>
      <c r="I19" s="272">
        <f t="shared" si="1"/>
        <v>0</v>
      </c>
      <c r="J19" s="274"/>
      <c r="K19" s="275"/>
      <c r="L19" s="272">
        <f t="shared" si="2"/>
        <v>0</v>
      </c>
      <c r="M19" s="276">
        <f t="shared" si="3"/>
        <v>15352370</v>
      </c>
    </row>
    <row r="20" spans="1:13" ht="29.25" customHeight="1">
      <c r="A20" s="277" t="s">
        <v>419</v>
      </c>
      <c r="B20" s="279" t="s">
        <v>66</v>
      </c>
      <c r="C20" s="278" t="s">
        <v>739</v>
      </c>
      <c r="D20" s="270">
        <v>1000000</v>
      </c>
      <c r="E20" s="271">
        <v>106961800</v>
      </c>
      <c r="F20" s="272">
        <f t="shared" si="0"/>
        <v>107961800</v>
      </c>
      <c r="G20" s="697"/>
      <c r="H20" s="692"/>
      <c r="I20" s="272">
        <f t="shared" si="1"/>
        <v>0</v>
      </c>
      <c r="J20" s="274"/>
      <c r="K20" s="275"/>
      <c r="L20" s="272">
        <f t="shared" si="2"/>
        <v>0</v>
      </c>
      <c r="M20" s="276">
        <f t="shared" si="3"/>
        <v>107961800</v>
      </c>
    </row>
    <row r="21" spans="1:13" ht="29.25" customHeight="1">
      <c r="A21" s="277" t="s">
        <v>420</v>
      </c>
      <c r="B21" s="279" t="s">
        <v>901</v>
      </c>
      <c r="C21" s="278"/>
      <c r="D21" s="270"/>
      <c r="E21" s="271"/>
      <c r="F21" s="272">
        <f t="shared" si="0"/>
        <v>0</v>
      </c>
      <c r="G21" s="697"/>
      <c r="H21" s="271">
        <v>196302400</v>
      </c>
      <c r="I21" s="272">
        <f t="shared" si="1"/>
        <v>196302400</v>
      </c>
      <c r="J21" s="274"/>
      <c r="K21" s="275"/>
      <c r="L21" s="272">
        <f t="shared" si="2"/>
        <v>0</v>
      </c>
      <c r="M21" s="276">
        <f t="shared" si="3"/>
        <v>196302400</v>
      </c>
    </row>
    <row r="22" spans="1:13" ht="30.75" customHeight="1">
      <c r="A22" s="277" t="s">
        <v>421</v>
      </c>
      <c r="B22" s="279" t="s">
        <v>50</v>
      </c>
      <c r="C22" s="278" t="s">
        <v>740</v>
      </c>
      <c r="D22" s="282">
        <v>2827348</v>
      </c>
      <c r="E22" s="694"/>
      <c r="F22" s="272">
        <f t="shared" si="0"/>
        <v>2827348</v>
      </c>
      <c r="G22" s="698"/>
      <c r="H22" s="694"/>
      <c r="I22" s="272">
        <f t="shared" si="1"/>
        <v>0</v>
      </c>
      <c r="J22" s="285"/>
      <c r="K22" s="286"/>
      <c r="L22" s="272">
        <f t="shared" si="2"/>
        <v>0</v>
      </c>
      <c r="M22" s="276">
        <f t="shared" si="3"/>
        <v>2827348</v>
      </c>
    </row>
    <row r="23" spans="1:13" ht="31.5" customHeight="1">
      <c r="A23" s="277" t="s">
        <v>422</v>
      </c>
      <c r="B23" s="279" t="s">
        <v>385</v>
      </c>
      <c r="C23" s="278" t="s">
        <v>741</v>
      </c>
      <c r="D23" s="282">
        <f>10052423+1</f>
        <v>10052424</v>
      </c>
      <c r="E23" s="694"/>
      <c r="F23" s="272">
        <f t="shared" si="0"/>
        <v>10052424</v>
      </c>
      <c r="G23" s="698"/>
      <c r="H23" s="694"/>
      <c r="I23" s="272">
        <f t="shared" si="1"/>
        <v>0</v>
      </c>
      <c r="J23" s="285"/>
      <c r="K23" s="286"/>
      <c r="L23" s="272">
        <f t="shared" si="2"/>
        <v>0</v>
      </c>
      <c r="M23" s="276">
        <f t="shared" si="3"/>
        <v>10052424</v>
      </c>
    </row>
    <row r="24" spans="1:13" ht="31.5" customHeight="1">
      <c r="A24" s="277" t="s">
        <v>423</v>
      </c>
      <c r="B24" s="279" t="s">
        <v>902</v>
      </c>
      <c r="C24" s="278" t="s">
        <v>964</v>
      </c>
      <c r="D24" s="282">
        <f>5440979+22660742</f>
        <v>28101721</v>
      </c>
      <c r="E24" s="283">
        <f>5000000+5000000</f>
        <v>10000000</v>
      </c>
      <c r="F24" s="272">
        <f t="shared" si="0"/>
        <v>38101721</v>
      </c>
      <c r="G24" s="698"/>
      <c r="H24" s="694"/>
      <c r="I24" s="272">
        <f t="shared" si="1"/>
        <v>0</v>
      </c>
      <c r="J24" s="285"/>
      <c r="K24" s="286"/>
      <c r="L24" s="272">
        <f t="shared" si="2"/>
        <v>0</v>
      </c>
      <c r="M24" s="276">
        <f t="shared" si="3"/>
        <v>38101721</v>
      </c>
    </row>
    <row r="25" spans="1:13" ht="31.5" customHeight="1">
      <c r="A25" s="277" t="s">
        <v>424</v>
      </c>
      <c r="B25" s="279" t="s">
        <v>903</v>
      </c>
      <c r="C25" s="278" t="s">
        <v>739</v>
      </c>
      <c r="D25" s="282"/>
      <c r="E25" s="283">
        <v>47550000</v>
      </c>
      <c r="F25" s="272">
        <f t="shared" si="0"/>
        <v>47550000</v>
      </c>
      <c r="G25" s="698"/>
      <c r="H25" s="694"/>
      <c r="I25" s="272">
        <f t="shared" si="1"/>
        <v>0</v>
      </c>
      <c r="J25" s="285"/>
      <c r="K25" s="286"/>
      <c r="L25" s="272">
        <f t="shared" si="2"/>
        <v>0</v>
      </c>
      <c r="M25" s="276">
        <f t="shared" si="3"/>
        <v>47550000</v>
      </c>
    </row>
    <row r="26" spans="1:13" ht="31.5" customHeight="1">
      <c r="A26" s="944" t="s">
        <v>425</v>
      </c>
      <c r="B26" s="279" t="s">
        <v>1063</v>
      </c>
      <c r="C26" s="278"/>
      <c r="D26" s="282"/>
      <c r="E26" s="283"/>
      <c r="F26" s="272">
        <f t="shared" si="0"/>
        <v>0</v>
      </c>
      <c r="G26" s="284">
        <f>812250+158389+296854</f>
        <v>1267493</v>
      </c>
      <c r="H26" s="283">
        <f>779383</f>
        <v>779383</v>
      </c>
      <c r="I26" s="272">
        <f t="shared" si="1"/>
        <v>2046876</v>
      </c>
      <c r="J26" s="285"/>
      <c r="K26" s="286"/>
      <c r="L26" s="272">
        <f t="shared" si="2"/>
        <v>0</v>
      </c>
      <c r="M26" s="276">
        <f t="shared" si="3"/>
        <v>2046876</v>
      </c>
    </row>
    <row r="27" spans="1:13" ht="31.5" customHeight="1">
      <c r="A27" s="277" t="s">
        <v>426</v>
      </c>
      <c r="B27" s="279" t="s">
        <v>904</v>
      </c>
      <c r="C27" s="290" t="s">
        <v>965</v>
      </c>
      <c r="D27" s="282"/>
      <c r="E27" s="283">
        <f>104006598+1000000</f>
        <v>105006598</v>
      </c>
      <c r="F27" s="272">
        <f t="shared" si="0"/>
        <v>105006598</v>
      </c>
      <c r="G27" s="698"/>
      <c r="H27" s="283">
        <v>7085832</v>
      </c>
      <c r="I27" s="272">
        <f t="shared" si="1"/>
        <v>7085832</v>
      </c>
      <c r="J27" s="285"/>
      <c r="K27" s="286"/>
      <c r="L27" s="272">
        <f t="shared" si="2"/>
        <v>0</v>
      </c>
      <c r="M27" s="276">
        <f t="shared" si="3"/>
        <v>112092430</v>
      </c>
    </row>
    <row r="28" spans="1:13" ht="21.75" customHeight="1">
      <c r="A28" s="277" t="s">
        <v>427</v>
      </c>
      <c r="B28" s="295" t="s">
        <v>812</v>
      </c>
      <c r="C28" s="290" t="s">
        <v>821</v>
      </c>
      <c r="D28" s="282"/>
      <c r="E28" s="283">
        <v>6462419</v>
      </c>
      <c r="F28" s="272">
        <f t="shared" si="0"/>
        <v>6462419</v>
      </c>
      <c r="G28" s="698"/>
      <c r="H28" s="694"/>
      <c r="I28" s="272">
        <f t="shared" si="1"/>
        <v>0</v>
      </c>
      <c r="J28" s="285"/>
      <c r="K28" s="286"/>
      <c r="L28" s="272">
        <f t="shared" si="2"/>
        <v>0</v>
      </c>
      <c r="M28" s="276">
        <f t="shared" si="3"/>
        <v>6462419</v>
      </c>
    </row>
    <row r="29" spans="1:13" ht="21.75" customHeight="1">
      <c r="A29" s="277" t="s">
        <v>428</v>
      </c>
      <c r="B29" s="295" t="s">
        <v>388</v>
      </c>
      <c r="C29" s="290" t="s">
        <v>738</v>
      </c>
      <c r="D29" s="282">
        <v>23398480</v>
      </c>
      <c r="E29" s="694"/>
      <c r="F29" s="272">
        <f t="shared" si="0"/>
        <v>23398480</v>
      </c>
      <c r="G29" s="698"/>
      <c r="H29" s="694"/>
      <c r="I29" s="272">
        <f t="shared" si="1"/>
        <v>0</v>
      </c>
      <c r="J29" s="285"/>
      <c r="K29" s="286"/>
      <c r="L29" s="272">
        <f t="shared" si="2"/>
        <v>0</v>
      </c>
      <c r="M29" s="276">
        <f t="shared" si="3"/>
        <v>23398480</v>
      </c>
    </row>
    <row r="30" spans="1:13" ht="21.75" customHeight="1">
      <c r="A30" s="277" t="s">
        <v>429</v>
      </c>
      <c r="B30" s="295" t="s">
        <v>386</v>
      </c>
      <c r="C30" s="290" t="s">
        <v>738</v>
      </c>
      <c r="D30" s="282">
        <v>29975000</v>
      </c>
      <c r="E30" s="283"/>
      <c r="F30" s="272">
        <f t="shared" si="0"/>
        <v>29975000</v>
      </c>
      <c r="G30" s="698"/>
      <c r="H30" s="694"/>
      <c r="I30" s="272">
        <f t="shared" si="1"/>
        <v>0</v>
      </c>
      <c r="J30" s="285"/>
      <c r="K30" s="286"/>
      <c r="L30" s="272">
        <f t="shared" si="2"/>
        <v>0</v>
      </c>
      <c r="M30" s="276">
        <f t="shared" si="3"/>
        <v>29975000</v>
      </c>
    </row>
    <row r="31" spans="1:13" ht="22.5" customHeight="1">
      <c r="A31" s="277" t="s">
        <v>503</v>
      </c>
      <c r="B31" s="295" t="s">
        <v>82</v>
      </c>
      <c r="C31" s="290" t="s">
        <v>742</v>
      </c>
      <c r="D31" s="282">
        <f>25086204-500000+650000+180000+220000</f>
        <v>25636204</v>
      </c>
      <c r="E31" s="283">
        <v>6823000</v>
      </c>
      <c r="F31" s="272">
        <f t="shared" si="0"/>
        <v>32459204</v>
      </c>
      <c r="G31" s="284">
        <v>1468526</v>
      </c>
      <c r="H31" s="694"/>
      <c r="I31" s="272">
        <f t="shared" si="1"/>
        <v>1468526</v>
      </c>
      <c r="J31" s="285"/>
      <c r="K31" s="286"/>
      <c r="L31" s="272">
        <f t="shared" si="2"/>
        <v>0</v>
      </c>
      <c r="M31" s="276">
        <f t="shared" si="3"/>
        <v>33927730</v>
      </c>
    </row>
    <row r="32" spans="1:13" ht="23.25" customHeight="1">
      <c r="A32" s="277" t="s">
        <v>504</v>
      </c>
      <c r="B32" s="295" t="s">
        <v>390</v>
      </c>
      <c r="C32" s="290" t="s">
        <v>743</v>
      </c>
      <c r="D32" s="282">
        <v>360000</v>
      </c>
      <c r="E32" s="694"/>
      <c r="F32" s="272">
        <f t="shared" si="0"/>
        <v>360000</v>
      </c>
      <c r="G32" s="698"/>
      <c r="H32" s="694"/>
      <c r="I32" s="272">
        <f t="shared" si="1"/>
        <v>0</v>
      </c>
      <c r="J32" s="285"/>
      <c r="K32" s="286"/>
      <c r="L32" s="272">
        <f t="shared" si="2"/>
        <v>0</v>
      </c>
      <c r="M32" s="276">
        <f t="shared" si="3"/>
        <v>360000</v>
      </c>
    </row>
    <row r="33" spans="1:13" ht="22.5" customHeight="1">
      <c r="A33" s="277" t="s">
        <v>505</v>
      </c>
      <c r="B33" s="295" t="s">
        <v>391</v>
      </c>
      <c r="C33" s="290" t="s">
        <v>743</v>
      </c>
      <c r="D33" s="282">
        <f>10148541+27436735-12000000+46053</f>
        <v>25631329</v>
      </c>
      <c r="E33" s="283"/>
      <c r="F33" s="272">
        <f t="shared" si="0"/>
        <v>25631329</v>
      </c>
      <c r="G33" s="698"/>
      <c r="H33" s="694"/>
      <c r="I33" s="272">
        <f t="shared" si="1"/>
        <v>0</v>
      </c>
      <c r="J33" s="285"/>
      <c r="K33" s="286"/>
      <c r="L33" s="272">
        <f t="shared" si="2"/>
        <v>0</v>
      </c>
      <c r="M33" s="276">
        <f t="shared" si="3"/>
        <v>25631329</v>
      </c>
    </row>
    <row r="34" spans="1:13" ht="22.5" customHeight="1">
      <c r="A34" s="277" t="s">
        <v>477</v>
      </c>
      <c r="B34" s="295" t="s">
        <v>392</v>
      </c>
      <c r="C34" s="290" t="s">
        <v>743</v>
      </c>
      <c r="D34" s="282">
        <v>120000</v>
      </c>
      <c r="E34" s="694"/>
      <c r="F34" s="272">
        <f t="shared" si="0"/>
        <v>120000</v>
      </c>
      <c r="G34" s="698"/>
      <c r="H34" s="694"/>
      <c r="I34" s="272">
        <f t="shared" si="1"/>
        <v>0</v>
      </c>
      <c r="J34" s="285"/>
      <c r="K34" s="286"/>
      <c r="L34" s="272">
        <f t="shared" si="2"/>
        <v>0</v>
      </c>
      <c r="M34" s="276">
        <f t="shared" si="3"/>
        <v>120000</v>
      </c>
    </row>
    <row r="35" spans="1:13" ht="29.25" customHeight="1">
      <c r="A35" s="277" t="s">
        <v>506</v>
      </c>
      <c r="B35" s="279" t="s">
        <v>751</v>
      </c>
      <c r="C35" s="278" t="s">
        <v>743</v>
      </c>
      <c r="D35" s="282">
        <f>24199734+254000</f>
        <v>24453734</v>
      </c>
      <c r="E35" s="283"/>
      <c r="F35" s="272">
        <f t="shared" si="0"/>
        <v>24453734</v>
      </c>
      <c r="G35" s="698"/>
      <c r="H35" s="694"/>
      <c r="I35" s="272">
        <f t="shared" si="1"/>
        <v>0</v>
      </c>
      <c r="J35" s="285"/>
      <c r="K35" s="286"/>
      <c r="L35" s="272">
        <f t="shared" si="2"/>
        <v>0</v>
      </c>
      <c r="M35" s="276">
        <f t="shared" si="3"/>
        <v>24453734</v>
      </c>
    </row>
    <row r="36" spans="1:13" ht="29.25" customHeight="1">
      <c r="A36" s="277" t="s">
        <v>430</v>
      </c>
      <c r="B36" s="287" t="s">
        <v>81</v>
      </c>
      <c r="C36" s="272" t="s">
        <v>744</v>
      </c>
      <c r="D36" s="282">
        <v>18713000</v>
      </c>
      <c r="E36" s="694"/>
      <c r="F36" s="272">
        <f t="shared" si="0"/>
        <v>18713000</v>
      </c>
      <c r="G36" s="699"/>
      <c r="H36" s="283"/>
      <c r="I36" s="272">
        <f t="shared" si="1"/>
        <v>0</v>
      </c>
      <c r="J36" s="285"/>
      <c r="K36" s="286"/>
      <c r="L36" s="272">
        <f t="shared" si="2"/>
        <v>0</v>
      </c>
      <c r="M36" s="276">
        <f t="shared" si="3"/>
        <v>18713000</v>
      </c>
    </row>
    <row r="37" spans="1:13" ht="29.25" customHeight="1">
      <c r="A37" s="277" t="s">
        <v>431</v>
      </c>
      <c r="B37" s="287" t="s">
        <v>969</v>
      </c>
      <c r="C37" s="272"/>
      <c r="D37" s="282"/>
      <c r="E37" s="694"/>
      <c r="F37" s="272">
        <f t="shared" si="0"/>
        <v>0</v>
      </c>
      <c r="G37" s="840">
        <v>15000</v>
      </c>
      <c r="H37" s="283"/>
      <c r="I37" s="272">
        <f t="shared" si="1"/>
        <v>15000</v>
      </c>
      <c r="J37" s="285"/>
      <c r="K37" s="286"/>
      <c r="L37" s="272">
        <f t="shared" si="2"/>
        <v>0</v>
      </c>
      <c r="M37" s="276">
        <f t="shared" si="3"/>
        <v>15000</v>
      </c>
    </row>
    <row r="38" spans="1:13" ht="30.75" customHeight="1">
      <c r="A38" s="277" t="s">
        <v>432</v>
      </c>
      <c r="B38" s="302" t="s">
        <v>630</v>
      </c>
      <c r="C38" s="272"/>
      <c r="D38" s="693"/>
      <c r="E38" s="694"/>
      <c r="F38" s="272">
        <f t="shared" si="0"/>
        <v>0</v>
      </c>
      <c r="G38" s="289">
        <v>1823311</v>
      </c>
      <c r="H38" s="283">
        <v>700000</v>
      </c>
      <c r="I38" s="272">
        <f t="shared" si="1"/>
        <v>2523311</v>
      </c>
      <c r="J38" s="285"/>
      <c r="K38" s="286"/>
      <c r="L38" s="272">
        <f t="shared" si="2"/>
        <v>0</v>
      </c>
      <c r="M38" s="276">
        <f t="shared" si="3"/>
        <v>2523311</v>
      </c>
    </row>
    <row r="39" spans="1:13" ht="23.25" customHeight="1">
      <c r="A39" s="277" t="s">
        <v>507</v>
      </c>
      <c r="B39" s="279" t="s">
        <v>83</v>
      </c>
      <c r="C39" s="294"/>
      <c r="D39" s="695"/>
      <c r="E39" s="696"/>
      <c r="F39" s="272">
        <f t="shared" si="0"/>
        <v>0</v>
      </c>
      <c r="G39" s="293">
        <v>49530</v>
      </c>
      <c r="H39" s="696"/>
      <c r="I39" s="272">
        <f t="shared" si="1"/>
        <v>49530</v>
      </c>
      <c r="J39" s="285"/>
      <c r="K39" s="286"/>
      <c r="L39" s="272">
        <f t="shared" si="2"/>
        <v>0</v>
      </c>
      <c r="M39" s="276">
        <f t="shared" si="3"/>
        <v>49530</v>
      </c>
    </row>
    <row r="40" spans="1:13" ht="23.25" customHeight="1">
      <c r="A40" s="277" t="s">
        <v>433</v>
      </c>
      <c r="B40" s="279" t="s">
        <v>970</v>
      </c>
      <c r="C40" s="294"/>
      <c r="D40" s="695"/>
      <c r="E40" s="696"/>
      <c r="F40" s="272">
        <f t="shared" si="0"/>
        <v>0</v>
      </c>
      <c r="G40" s="293">
        <f>19772715+55</f>
        <v>19772770</v>
      </c>
      <c r="H40" s="292">
        <f>55-55</f>
        <v>0</v>
      </c>
      <c r="I40" s="272">
        <f t="shared" si="1"/>
        <v>19772770</v>
      </c>
      <c r="J40" s="285"/>
      <c r="K40" s="286"/>
      <c r="L40" s="272">
        <f t="shared" si="2"/>
        <v>0</v>
      </c>
      <c r="M40" s="276">
        <f t="shared" si="3"/>
        <v>19772770</v>
      </c>
    </row>
    <row r="41" spans="1:13" ht="23.25" customHeight="1">
      <c r="A41" s="277" t="s">
        <v>451</v>
      </c>
      <c r="B41" s="279" t="s">
        <v>907</v>
      </c>
      <c r="C41" s="272" t="s">
        <v>750</v>
      </c>
      <c r="D41" s="695"/>
      <c r="E41" s="292">
        <f>19957013+1600000</f>
        <v>21557013</v>
      </c>
      <c r="F41" s="272">
        <f t="shared" si="0"/>
        <v>21557013</v>
      </c>
      <c r="G41" s="293"/>
      <c r="H41" s="696"/>
      <c r="I41" s="272">
        <f t="shared" si="1"/>
        <v>0</v>
      </c>
      <c r="J41" s="285"/>
      <c r="K41" s="286"/>
      <c r="L41" s="272">
        <f t="shared" si="2"/>
        <v>0</v>
      </c>
      <c r="M41" s="276">
        <f t="shared" si="3"/>
        <v>21557013</v>
      </c>
    </row>
    <row r="42" spans="1:13" ht="23.25" customHeight="1">
      <c r="A42" s="277" t="s">
        <v>508</v>
      </c>
      <c r="B42" s="279" t="s">
        <v>908</v>
      </c>
      <c r="C42" s="294"/>
      <c r="D42" s="695"/>
      <c r="E42" s="292"/>
      <c r="F42" s="272">
        <f t="shared" si="0"/>
        <v>0</v>
      </c>
      <c r="G42" s="293">
        <v>12971925</v>
      </c>
      <c r="H42" s="696"/>
      <c r="I42" s="272">
        <f t="shared" si="1"/>
        <v>12971925</v>
      </c>
      <c r="J42" s="285"/>
      <c r="K42" s="286"/>
      <c r="L42" s="272">
        <f t="shared" si="2"/>
        <v>0</v>
      </c>
      <c r="M42" s="276">
        <f t="shared" si="3"/>
        <v>12971925</v>
      </c>
    </row>
    <row r="43" spans="1:13" ht="24" customHeight="1">
      <c r="A43" s="277" t="s">
        <v>509</v>
      </c>
      <c r="B43" s="279" t="s">
        <v>669</v>
      </c>
      <c r="C43" s="288" t="s">
        <v>754</v>
      </c>
      <c r="D43" s="291">
        <v>58023789</v>
      </c>
      <c r="E43" s="292"/>
      <c r="F43" s="272">
        <f t="shared" si="0"/>
        <v>58023789</v>
      </c>
      <c r="G43" s="700"/>
      <c r="H43" s="696"/>
      <c r="I43" s="272">
        <f t="shared" si="1"/>
        <v>0</v>
      </c>
      <c r="J43" s="285"/>
      <c r="K43" s="286"/>
      <c r="L43" s="272">
        <f t="shared" si="2"/>
        <v>0</v>
      </c>
      <c r="M43" s="276">
        <f t="shared" si="3"/>
        <v>58023789</v>
      </c>
    </row>
    <row r="44" spans="1:13" ht="24">
      <c r="A44" s="277" t="s">
        <v>918</v>
      </c>
      <c r="B44" s="279" t="s">
        <v>627</v>
      </c>
      <c r="C44" s="278"/>
      <c r="D44" s="695"/>
      <c r="E44" s="696"/>
      <c r="F44" s="272">
        <f>SUM(D44:E44)</f>
        <v>0</v>
      </c>
      <c r="G44" s="293">
        <v>117194</v>
      </c>
      <c r="H44" s="696"/>
      <c r="I44" s="272">
        <f>SUM(G44:H44)</f>
        <v>117194</v>
      </c>
      <c r="J44" s="285"/>
      <c r="K44" s="286"/>
      <c r="L44" s="272">
        <f>SUM(J44:K44)</f>
        <v>0</v>
      </c>
      <c r="M44" s="276">
        <f>SUM(F44+I44+L44)</f>
        <v>117194</v>
      </c>
    </row>
    <row r="45" spans="1:13" ht="21.75" customHeight="1">
      <c r="A45" s="277" t="s">
        <v>919</v>
      </c>
      <c r="B45" s="295" t="s">
        <v>731</v>
      </c>
      <c r="C45" s="290"/>
      <c r="D45" s="693"/>
      <c r="E45" s="694"/>
      <c r="F45" s="272">
        <f t="shared" si="0"/>
        <v>0</v>
      </c>
      <c r="G45" s="284">
        <v>34022000</v>
      </c>
      <c r="H45" s="694"/>
      <c r="I45" s="272">
        <f t="shared" si="1"/>
        <v>34022000</v>
      </c>
      <c r="J45" s="285"/>
      <c r="K45" s="286"/>
      <c r="L45" s="272">
        <f t="shared" si="2"/>
        <v>0</v>
      </c>
      <c r="M45" s="276">
        <f t="shared" si="3"/>
        <v>34022000</v>
      </c>
    </row>
    <row r="46" spans="1:13" ht="21.75" customHeight="1">
      <c r="A46" s="277" t="s">
        <v>920</v>
      </c>
      <c r="B46" s="295" t="s">
        <v>909</v>
      </c>
      <c r="C46" s="290" t="s">
        <v>971</v>
      </c>
      <c r="D46" s="282">
        <v>4417000</v>
      </c>
      <c r="E46" s="694"/>
      <c r="F46" s="272">
        <f>SUM(D46:E46)</f>
        <v>4417000</v>
      </c>
      <c r="G46" s="284"/>
      <c r="H46" s="694"/>
      <c r="I46" s="272">
        <f>SUM(G46:H46)</f>
        <v>0</v>
      </c>
      <c r="J46" s="285"/>
      <c r="K46" s="286"/>
      <c r="L46" s="272">
        <f aca="true" t="shared" si="4" ref="L46:L56">SUM(J46:K46)</f>
        <v>0</v>
      </c>
      <c r="M46" s="276">
        <f>SUM(F46+I46+L46)</f>
        <v>4417000</v>
      </c>
    </row>
    <row r="47" spans="1:13" ht="24" customHeight="1">
      <c r="A47" s="277" t="s">
        <v>921</v>
      </c>
      <c r="B47" s="279" t="s">
        <v>671</v>
      </c>
      <c r="C47" s="288" t="s">
        <v>759</v>
      </c>
      <c r="D47" s="291">
        <v>1778400</v>
      </c>
      <c r="E47" s="696"/>
      <c r="F47" s="272">
        <f>SUM(D47:E47)</f>
        <v>1778400</v>
      </c>
      <c r="G47" s="700"/>
      <c r="H47" s="696"/>
      <c r="I47" s="272">
        <f>SUM(G47:H47)</f>
        <v>0</v>
      </c>
      <c r="J47" s="285"/>
      <c r="K47" s="286"/>
      <c r="L47" s="272">
        <f t="shared" si="4"/>
        <v>0</v>
      </c>
      <c r="M47" s="276">
        <f>SUM(F47+I47+L47)</f>
        <v>1778400</v>
      </c>
    </row>
    <row r="48" spans="1:13" ht="29.25" customHeight="1">
      <c r="A48" s="277" t="s">
        <v>922</v>
      </c>
      <c r="B48" s="295" t="s">
        <v>813</v>
      </c>
      <c r="C48" s="290"/>
      <c r="D48" s="693"/>
      <c r="E48" s="694"/>
      <c r="F48" s="272">
        <f t="shared" si="0"/>
        <v>0</v>
      </c>
      <c r="G48" s="284">
        <f>58227996-338000-65910</f>
        <v>57824086</v>
      </c>
      <c r="H48" s="283">
        <v>11411381</v>
      </c>
      <c r="I48" s="272">
        <f t="shared" si="1"/>
        <v>69235467</v>
      </c>
      <c r="J48" s="285"/>
      <c r="K48" s="286"/>
      <c r="L48" s="272">
        <f t="shared" si="4"/>
        <v>0</v>
      </c>
      <c r="M48" s="276">
        <f t="shared" si="3"/>
        <v>69235467</v>
      </c>
    </row>
    <row r="49" spans="1:13" ht="29.25" customHeight="1">
      <c r="A49" s="277" t="s">
        <v>923</v>
      </c>
      <c r="B49" s="295" t="s">
        <v>972</v>
      </c>
      <c r="C49" s="272" t="s">
        <v>974</v>
      </c>
      <c r="D49" s="693"/>
      <c r="E49" s="694"/>
      <c r="F49" s="272">
        <f t="shared" si="0"/>
        <v>0</v>
      </c>
      <c r="G49" s="284">
        <v>3047000</v>
      </c>
      <c r="H49" s="283"/>
      <c r="I49" s="272">
        <f t="shared" si="1"/>
        <v>3047000</v>
      </c>
      <c r="J49" s="285"/>
      <c r="K49" s="286"/>
      <c r="L49" s="272">
        <f t="shared" si="4"/>
        <v>0</v>
      </c>
      <c r="M49" s="276">
        <f t="shared" si="3"/>
        <v>3047000</v>
      </c>
    </row>
    <row r="50" spans="1:13" ht="29.25" customHeight="1">
      <c r="A50" s="277" t="s">
        <v>924</v>
      </c>
      <c r="B50" s="295" t="s">
        <v>973</v>
      </c>
      <c r="C50" s="272" t="s">
        <v>974</v>
      </c>
      <c r="D50" s="693"/>
      <c r="E50" s="694"/>
      <c r="F50" s="272">
        <f t="shared" si="0"/>
        <v>0</v>
      </c>
      <c r="G50" s="284">
        <v>4852000</v>
      </c>
      <c r="H50" s="283"/>
      <c r="I50" s="272">
        <f t="shared" si="1"/>
        <v>4852000</v>
      </c>
      <c r="J50" s="285"/>
      <c r="K50" s="286"/>
      <c r="L50" s="272">
        <f t="shared" si="4"/>
        <v>0</v>
      </c>
      <c r="M50" s="276">
        <f t="shared" si="3"/>
        <v>4852000</v>
      </c>
    </row>
    <row r="51" spans="1:13" ht="21.75" customHeight="1">
      <c r="A51" s="277" t="s">
        <v>925</v>
      </c>
      <c r="B51" s="295" t="s">
        <v>473</v>
      </c>
      <c r="C51" s="290" t="s">
        <v>747</v>
      </c>
      <c r="D51" s="282">
        <v>6560000</v>
      </c>
      <c r="E51" s="694"/>
      <c r="F51" s="272">
        <f t="shared" si="0"/>
        <v>6560000</v>
      </c>
      <c r="G51" s="698"/>
      <c r="H51" s="694"/>
      <c r="I51" s="272">
        <f t="shared" si="1"/>
        <v>0</v>
      </c>
      <c r="J51" s="285"/>
      <c r="K51" s="286"/>
      <c r="L51" s="272">
        <f t="shared" si="4"/>
        <v>0</v>
      </c>
      <c r="M51" s="276">
        <f t="shared" si="3"/>
        <v>6560000</v>
      </c>
    </row>
    <row r="52" spans="1:13" ht="21.75" customHeight="1">
      <c r="A52" s="277" t="s">
        <v>968</v>
      </c>
      <c r="B52" s="295" t="s">
        <v>915</v>
      </c>
      <c r="C52" s="290" t="s">
        <v>975</v>
      </c>
      <c r="D52" s="282">
        <v>2738000</v>
      </c>
      <c r="E52" s="694"/>
      <c r="F52" s="272">
        <f t="shared" si="0"/>
        <v>2738000</v>
      </c>
      <c r="G52" s="698"/>
      <c r="H52" s="694"/>
      <c r="I52" s="272">
        <f t="shared" si="1"/>
        <v>0</v>
      </c>
      <c r="J52" s="285"/>
      <c r="K52" s="286"/>
      <c r="L52" s="272">
        <f t="shared" si="4"/>
        <v>0</v>
      </c>
      <c r="M52" s="276">
        <f t="shared" si="3"/>
        <v>2738000</v>
      </c>
    </row>
    <row r="53" spans="1:13" ht="26.25" customHeight="1">
      <c r="A53" s="277" t="s">
        <v>976</v>
      </c>
      <c r="B53" s="279" t="s">
        <v>631</v>
      </c>
      <c r="C53" s="272" t="s">
        <v>755</v>
      </c>
      <c r="D53" s="282">
        <f>3804900+8004000</f>
        <v>11808900</v>
      </c>
      <c r="E53" s="694"/>
      <c r="F53" s="272">
        <f t="shared" si="0"/>
        <v>11808900</v>
      </c>
      <c r="G53" s="698"/>
      <c r="H53" s="694"/>
      <c r="I53" s="272">
        <f t="shared" si="1"/>
        <v>0</v>
      </c>
      <c r="J53" s="285"/>
      <c r="K53" s="286"/>
      <c r="L53" s="272">
        <f t="shared" si="4"/>
        <v>0</v>
      </c>
      <c r="M53" s="276">
        <f t="shared" si="3"/>
        <v>11808900</v>
      </c>
    </row>
    <row r="54" spans="1:13" ht="26.25" customHeight="1">
      <c r="A54" s="277" t="s">
        <v>977</v>
      </c>
      <c r="B54" s="279" t="s">
        <v>917</v>
      </c>
      <c r="C54" s="278"/>
      <c r="D54" s="282"/>
      <c r="E54" s="694"/>
      <c r="F54" s="272">
        <f t="shared" si="0"/>
        <v>0</v>
      </c>
      <c r="G54" s="284">
        <v>76044041</v>
      </c>
      <c r="H54" s="283">
        <v>5319730</v>
      </c>
      <c r="I54" s="272">
        <f t="shared" si="1"/>
        <v>81363771</v>
      </c>
      <c r="J54" s="285"/>
      <c r="K54" s="285"/>
      <c r="L54" s="272">
        <f t="shared" si="4"/>
        <v>0</v>
      </c>
      <c r="M54" s="276">
        <f t="shared" si="3"/>
        <v>81363771</v>
      </c>
    </row>
    <row r="55" spans="1:13" s="248" customFormat="1" ht="27.75" customHeight="1">
      <c r="A55" s="277" t="s">
        <v>1073</v>
      </c>
      <c r="B55" s="279" t="s">
        <v>389</v>
      </c>
      <c r="C55" s="278" t="s">
        <v>748</v>
      </c>
      <c r="D55" s="282">
        <f>2350000-1000000-180000-220000+926229</f>
        <v>1876229</v>
      </c>
      <c r="E55" s="283"/>
      <c r="F55" s="272">
        <f t="shared" si="0"/>
        <v>1876229</v>
      </c>
      <c r="G55" s="282">
        <f>200000+2036448</f>
        <v>2236448</v>
      </c>
      <c r="H55" s="694"/>
      <c r="I55" s="272">
        <f t="shared" si="1"/>
        <v>2236448</v>
      </c>
      <c r="J55" s="297"/>
      <c r="K55" s="297"/>
      <c r="L55" s="272">
        <f t="shared" si="4"/>
        <v>0</v>
      </c>
      <c r="M55" s="276">
        <f t="shared" si="3"/>
        <v>4112677</v>
      </c>
    </row>
    <row r="56" spans="1:13" ht="24.75" customHeight="1" thickBot="1">
      <c r="A56" s="277" t="s">
        <v>1074</v>
      </c>
      <c r="B56" s="279" t="s">
        <v>628</v>
      </c>
      <c r="C56" s="299"/>
      <c r="D56" s="704"/>
      <c r="E56" s="705"/>
      <c r="F56" s="306">
        <f t="shared" si="0"/>
        <v>0</v>
      </c>
      <c r="G56" s="706">
        <v>8285000</v>
      </c>
      <c r="H56" s="705"/>
      <c r="I56" s="306">
        <f t="shared" si="1"/>
        <v>8285000</v>
      </c>
      <c r="J56" s="707"/>
      <c r="K56" s="707"/>
      <c r="L56" s="306">
        <f t="shared" si="4"/>
        <v>0</v>
      </c>
      <c r="M56" s="708">
        <f t="shared" si="3"/>
        <v>8285000</v>
      </c>
    </row>
    <row r="57" spans="1:16" s="248" customFormat="1" ht="14.25" thickBot="1">
      <c r="A57" s="1060" t="s">
        <v>732</v>
      </c>
      <c r="B57" s="1061"/>
      <c r="C57" s="1062"/>
      <c r="D57" s="304">
        <f aca="true" t="shared" si="5" ref="D57:M57">SUM(D9:D56)</f>
        <v>586400304</v>
      </c>
      <c r="E57" s="709">
        <f t="shared" si="5"/>
        <v>330312654</v>
      </c>
      <c r="F57" s="710">
        <f t="shared" si="5"/>
        <v>916712958</v>
      </c>
      <c r="G57" s="709">
        <f t="shared" si="5"/>
        <v>232495074</v>
      </c>
      <c r="H57" s="709">
        <f t="shared" si="5"/>
        <v>903783957</v>
      </c>
      <c r="I57" s="710">
        <f t="shared" si="5"/>
        <v>1136279031</v>
      </c>
      <c r="J57" s="709">
        <f t="shared" si="5"/>
        <v>20056282</v>
      </c>
      <c r="K57" s="709">
        <f t="shared" si="5"/>
        <v>0</v>
      </c>
      <c r="L57" s="710">
        <f t="shared" si="5"/>
        <v>20056282</v>
      </c>
      <c r="M57" s="710">
        <f t="shared" si="5"/>
        <v>2073048271</v>
      </c>
      <c r="P57" s="536">
        <f>SUM(L57,I57,F57)</f>
        <v>2073048271</v>
      </c>
    </row>
    <row r="58" spans="1:13" ht="30.75" customHeight="1">
      <c r="A58" s="281" t="s">
        <v>408</v>
      </c>
      <c r="B58" s="279" t="s">
        <v>59</v>
      </c>
      <c r="C58" s="269" t="s">
        <v>749</v>
      </c>
      <c r="D58" s="300">
        <f>142790403+2326520+453671+1537859+200000+39000+2108200</f>
        <v>149455653</v>
      </c>
      <c r="E58" s="301">
        <v>1016000</v>
      </c>
      <c r="F58" s="272">
        <f>SUM(D58:E58)</f>
        <v>150471653</v>
      </c>
      <c r="G58" s="300"/>
      <c r="H58" s="301"/>
      <c r="I58" s="943">
        <f>SUM(G58:H58)</f>
        <v>0</v>
      </c>
      <c r="J58" s="300"/>
      <c r="K58" s="301"/>
      <c r="L58" s="269">
        <f>SUM(J58:K58)</f>
        <v>0</v>
      </c>
      <c r="M58" s="276">
        <f>SUM(L58,I58,F58)</f>
        <v>150471653</v>
      </c>
    </row>
    <row r="59" spans="1:13" ht="30.75" customHeight="1">
      <c r="A59" s="281" t="s">
        <v>409</v>
      </c>
      <c r="B59" s="279" t="s">
        <v>1069</v>
      </c>
      <c r="C59" s="278" t="s">
        <v>1071</v>
      </c>
      <c r="D59" s="270">
        <f>1420400+293204+247115</f>
        <v>1960719</v>
      </c>
      <c r="E59" s="271"/>
      <c r="F59" s="272">
        <f>SUM(D59:E59)</f>
        <v>1960719</v>
      </c>
      <c r="G59" s="270"/>
      <c r="H59" s="271"/>
      <c r="I59" s="272">
        <f>SUM(G59:H59)</f>
        <v>0</v>
      </c>
      <c r="J59" s="270"/>
      <c r="K59" s="271"/>
      <c r="L59" s="278"/>
      <c r="M59" s="276">
        <f>SUM(L59,I59,F59)</f>
        <v>1960719</v>
      </c>
    </row>
    <row r="60" spans="1:13" ht="48">
      <c r="A60" s="281" t="s">
        <v>410</v>
      </c>
      <c r="B60" s="279" t="s">
        <v>893</v>
      </c>
      <c r="C60" s="278"/>
      <c r="D60" s="270"/>
      <c r="E60" s="271"/>
      <c r="F60" s="272">
        <f>SUM(D60:E60)</f>
        <v>0</v>
      </c>
      <c r="G60" s="270">
        <v>4015200</v>
      </c>
      <c r="H60" s="271"/>
      <c r="I60" s="272">
        <f>SUM(G60:H60)</f>
        <v>4015200</v>
      </c>
      <c r="J60" s="270"/>
      <c r="K60" s="271"/>
      <c r="L60" s="272">
        <f>SUM(J60:K60)</f>
        <v>0</v>
      </c>
      <c r="M60" s="276">
        <f>SUM(L60,I60,F60)</f>
        <v>4015200</v>
      </c>
    </row>
    <row r="61" spans="1:13" ht="36">
      <c r="A61" s="281" t="s">
        <v>411</v>
      </c>
      <c r="B61" s="279" t="s">
        <v>1070</v>
      </c>
      <c r="C61" s="278"/>
      <c r="D61" s="270"/>
      <c r="E61" s="271"/>
      <c r="F61" s="272">
        <f>SUM(D61:E61)</f>
        <v>0</v>
      </c>
      <c r="G61" s="270">
        <f>338000+65910</f>
        <v>403910</v>
      </c>
      <c r="H61" s="271"/>
      <c r="I61" s="272">
        <f>SUM(G61:H61)</f>
        <v>403910</v>
      </c>
      <c r="J61" s="270"/>
      <c r="K61" s="271"/>
      <c r="L61" s="272"/>
      <c r="M61" s="276">
        <f>SUM(L61,I61,F61)</f>
        <v>403910</v>
      </c>
    </row>
    <row r="62" spans="1:13" ht="36.75" thickBot="1">
      <c r="A62" s="281" t="s">
        <v>412</v>
      </c>
      <c r="B62" s="302" t="s">
        <v>634</v>
      </c>
      <c r="C62" s="303" t="s">
        <v>636</v>
      </c>
      <c r="D62" s="282">
        <v>7430000</v>
      </c>
      <c r="E62" s="283"/>
      <c r="F62" s="272">
        <f>SUM(D62:E62)</f>
        <v>7430000</v>
      </c>
      <c r="G62" s="282"/>
      <c r="H62" s="283"/>
      <c r="I62" s="278">
        <f>SUM(G62:H62)</f>
        <v>0</v>
      </c>
      <c r="J62" s="282"/>
      <c r="K62" s="283"/>
      <c r="L62" s="272">
        <f>SUM(J62:K62)</f>
        <v>0</v>
      </c>
      <c r="M62" s="276">
        <f>SUM(L62,I62,F62)</f>
        <v>7430000</v>
      </c>
    </row>
    <row r="63" spans="1:13" s="248" customFormat="1" ht="14.25" thickBot="1">
      <c r="A63" s="1060" t="s">
        <v>510</v>
      </c>
      <c r="B63" s="1061"/>
      <c r="C63" s="1062"/>
      <c r="D63" s="304">
        <f aca="true" t="shared" si="6" ref="D63:M63">SUM(D58:D62)</f>
        <v>158846372</v>
      </c>
      <c r="E63" s="304">
        <f t="shared" si="6"/>
        <v>1016000</v>
      </c>
      <c r="F63" s="304">
        <f t="shared" si="6"/>
        <v>159862372</v>
      </c>
      <c r="G63" s="304">
        <f t="shared" si="6"/>
        <v>4419110</v>
      </c>
      <c r="H63" s="304">
        <f t="shared" si="6"/>
        <v>0</v>
      </c>
      <c r="I63" s="304">
        <f t="shared" si="6"/>
        <v>4419110</v>
      </c>
      <c r="J63" s="304">
        <f t="shared" si="6"/>
        <v>0</v>
      </c>
      <c r="K63" s="304">
        <f t="shared" si="6"/>
        <v>0</v>
      </c>
      <c r="L63" s="304">
        <f t="shared" si="6"/>
        <v>0</v>
      </c>
      <c r="M63" s="305">
        <f t="shared" si="6"/>
        <v>164281482</v>
      </c>
    </row>
    <row r="64" spans="1:13" ht="23.25" customHeight="1">
      <c r="A64" s="267" t="s">
        <v>408</v>
      </c>
      <c r="B64" s="307" t="s">
        <v>511</v>
      </c>
      <c r="C64" s="288" t="s">
        <v>754</v>
      </c>
      <c r="D64" s="308">
        <v>34363647</v>
      </c>
      <c r="E64" s="309"/>
      <c r="F64" s="306">
        <f aca="true" t="shared" si="7" ref="F64:F73">SUM(D64:E64)</f>
        <v>34363647</v>
      </c>
      <c r="G64" s="308"/>
      <c r="H64" s="309"/>
      <c r="I64" s="306">
        <f aca="true" t="shared" si="8" ref="I64:I73">SUM(G64:H64)</f>
        <v>0</v>
      </c>
      <c r="J64" s="308"/>
      <c r="K64" s="309"/>
      <c r="L64" s="306">
        <f aca="true" t="shared" si="9" ref="L64:L73">SUM(J64:K64)</f>
        <v>0</v>
      </c>
      <c r="M64" s="276">
        <f aca="true" t="shared" si="10" ref="M64:M73">SUM(L64,I64,F64)</f>
        <v>34363647</v>
      </c>
    </row>
    <row r="65" spans="1:13" ht="23.25" customHeight="1">
      <c r="A65" s="281" t="s">
        <v>409</v>
      </c>
      <c r="B65" s="279" t="s">
        <v>978</v>
      </c>
      <c r="C65" s="321" t="s">
        <v>750</v>
      </c>
      <c r="D65" s="291">
        <f>126783640-1359950+656145+220000+42900-600000</f>
        <v>125742735</v>
      </c>
      <c r="E65" s="292">
        <v>552450</v>
      </c>
      <c r="F65" s="272">
        <f t="shared" si="7"/>
        <v>126295185</v>
      </c>
      <c r="G65" s="298"/>
      <c r="H65" s="296"/>
      <c r="I65" s="272">
        <f t="shared" si="8"/>
        <v>0</v>
      </c>
      <c r="J65" s="285"/>
      <c r="K65" s="285"/>
      <c r="L65" s="272">
        <f t="shared" si="9"/>
        <v>0</v>
      </c>
      <c r="M65" s="276">
        <f t="shared" si="10"/>
        <v>126295185</v>
      </c>
    </row>
    <row r="66" spans="1:13" ht="23.25" customHeight="1">
      <c r="A66" s="277" t="s">
        <v>410</v>
      </c>
      <c r="B66" s="279" t="s">
        <v>601</v>
      </c>
      <c r="C66" s="321" t="s">
        <v>635</v>
      </c>
      <c r="D66" s="291">
        <v>28507248</v>
      </c>
      <c r="E66" s="292">
        <v>152400</v>
      </c>
      <c r="F66" s="272">
        <f t="shared" si="7"/>
        <v>28659648</v>
      </c>
      <c r="G66" s="298"/>
      <c r="H66" s="296"/>
      <c r="I66" s="272">
        <f t="shared" si="8"/>
        <v>0</v>
      </c>
      <c r="J66" s="285"/>
      <c r="K66" s="285"/>
      <c r="L66" s="272">
        <f t="shared" si="9"/>
        <v>0</v>
      </c>
      <c r="M66" s="276">
        <f t="shared" si="10"/>
        <v>28659648</v>
      </c>
    </row>
    <row r="67" spans="1:13" ht="23.25" customHeight="1">
      <c r="A67" s="277" t="s">
        <v>411</v>
      </c>
      <c r="B67" s="279" t="s">
        <v>733</v>
      </c>
      <c r="C67" s="321" t="s">
        <v>756</v>
      </c>
      <c r="D67" s="291">
        <v>20738697</v>
      </c>
      <c r="E67" s="292">
        <v>241300</v>
      </c>
      <c r="F67" s="272">
        <f t="shared" si="7"/>
        <v>20979997</v>
      </c>
      <c r="G67" s="298"/>
      <c r="H67" s="296"/>
      <c r="I67" s="272">
        <f t="shared" si="8"/>
        <v>0</v>
      </c>
      <c r="J67" s="285"/>
      <c r="K67" s="285"/>
      <c r="L67" s="272">
        <f t="shared" si="9"/>
        <v>0</v>
      </c>
      <c r="M67" s="276">
        <f t="shared" si="10"/>
        <v>20979997</v>
      </c>
    </row>
    <row r="68" spans="1:13" ht="23.25" customHeight="1">
      <c r="A68" s="277" t="s">
        <v>412</v>
      </c>
      <c r="B68" s="279" t="s">
        <v>734</v>
      </c>
      <c r="C68" s="321" t="s">
        <v>757</v>
      </c>
      <c r="D68" s="293">
        <f>12163522+56100+10940</f>
        <v>12230562</v>
      </c>
      <c r="E68" s="292"/>
      <c r="F68" s="272">
        <f t="shared" si="7"/>
        <v>12230562</v>
      </c>
      <c r="G68" s="293"/>
      <c r="H68" s="292"/>
      <c r="I68" s="272">
        <f t="shared" si="8"/>
        <v>0</v>
      </c>
      <c r="J68" s="285"/>
      <c r="K68" s="285"/>
      <c r="L68" s="272">
        <f t="shared" si="9"/>
        <v>0</v>
      </c>
      <c r="M68" s="276">
        <f t="shared" si="10"/>
        <v>12230562</v>
      </c>
    </row>
    <row r="69" spans="1:13" ht="23.25" customHeight="1">
      <c r="A69" s="277" t="s">
        <v>413</v>
      </c>
      <c r="B69" s="279" t="s">
        <v>735</v>
      </c>
      <c r="C69" s="288" t="s">
        <v>754</v>
      </c>
      <c r="D69" s="293">
        <v>3260222</v>
      </c>
      <c r="E69" s="292"/>
      <c r="F69" s="272">
        <f t="shared" si="7"/>
        <v>3260222</v>
      </c>
      <c r="G69" s="293"/>
      <c r="H69" s="292"/>
      <c r="I69" s="272">
        <f t="shared" si="8"/>
        <v>0</v>
      </c>
      <c r="J69" s="285"/>
      <c r="K69" s="285"/>
      <c r="L69" s="272">
        <f t="shared" si="9"/>
        <v>0</v>
      </c>
      <c r="M69" s="276">
        <f t="shared" si="10"/>
        <v>3260222</v>
      </c>
    </row>
    <row r="70" spans="1:13" ht="23.25" customHeight="1">
      <c r="A70" s="281" t="s">
        <v>414</v>
      </c>
      <c r="B70" s="307" t="s">
        <v>561</v>
      </c>
      <c r="C70" s="288" t="s">
        <v>758</v>
      </c>
      <c r="D70" s="841"/>
      <c r="E70" s="842"/>
      <c r="F70" s="272">
        <f t="shared" si="7"/>
        <v>0</v>
      </c>
      <c r="G70" s="706">
        <v>6245111</v>
      </c>
      <c r="H70" s="842"/>
      <c r="I70" s="272">
        <f t="shared" si="8"/>
        <v>6245111</v>
      </c>
      <c r="J70" s="707"/>
      <c r="K70" s="707"/>
      <c r="L70" s="272">
        <f t="shared" si="9"/>
        <v>0</v>
      </c>
      <c r="M70" s="276">
        <f t="shared" si="10"/>
        <v>6245111</v>
      </c>
    </row>
    <row r="71" spans="1:13" ht="38.25" customHeight="1">
      <c r="A71" s="281" t="s">
        <v>415</v>
      </c>
      <c r="B71" s="279" t="s">
        <v>1025</v>
      </c>
      <c r="C71" s="288"/>
      <c r="D71" s="841"/>
      <c r="E71" s="842"/>
      <c r="F71" s="272">
        <f t="shared" si="7"/>
        <v>0</v>
      </c>
      <c r="G71" s="706">
        <v>6883200</v>
      </c>
      <c r="H71" s="842"/>
      <c r="I71" s="272">
        <f t="shared" si="8"/>
        <v>6883200</v>
      </c>
      <c r="J71" s="707"/>
      <c r="K71" s="707"/>
      <c r="L71" s="272">
        <f t="shared" si="9"/>
        <v>0</v>
      </c>
      <c r="M71" s="276">
        <f t="shared" si="10"/>
        <v>6883200</v>
      </c>
    </row>
    <row r="72" spans="1:13" ht="23.25" customHeight="1">
      <c r="A72" s="281" t="s">
        <v>416</v>
      </c>
      <c r="B72" s="912" t="s">
        <v>1026</v>
      </c>
      <c r="C72" s="288"/>
      <c r="D72" s="841"/>
      <c r="E72" s="842"/>
      <c r="F72" s="272">
        <f t="shared" si="7"/>
        <v>0</v>
      </c>
      <c r="G72" s="706">
        <v>5459106</v>
      </c>
      <c r="H72" s="842"/>
      <c r="I72" s="272">
        <f t="shared" si="8"/>
        <v>5459106</v>
      </c>
      <c r="J72" s="707"/>
      <c r="K72" s="707"/>
      <c r="L72" s="272">
        <f t="shared" si="9"/>
        <v>0</v>
      </c>
      <c r="M72" s="276">
        <f t="shared" si="10"/>
        <v>5459106</v>
      </c>
    </row>
    <row r="73" spans="1:13" ht="27" customHeight="1" thickBot="1">
      <c r="A73" s="843" t="s">
        <v>417</v>
      </c>
      <c r="B73" s="279" t="s">
        <v>1027</v>
      </c>
      <c r="C73" s="288"/>
      <c r="D73" s="308"/>
      <c r="E73" s="309"/>
      <c r="F73" s="306">
        <f t="shared" si="7"/>
        <v>0</v>
      </c>
      <c r="G73" s="308">
        <f>27430982+10500000</f>
        <v>37930982</v>
      </c>
      <c r="H73" s="309"/>
      <c r="I73" s="306">
        <f t="shared" si="8"/>
        <v>37930982</v>
      </c>
      <c r="J73" s="308"/>
      <c r="K73" s="309"/>
      <c r="L73" s="306">
        <f t="shared" si="9"/>
        <v>0</v>
      </c>
      <c r="M73" s="276">
        <f t="shared" si="10"/>
        <v>37930982</v>
      </c>
    </row>
    <row r="74" spans="1:16" ht="27.75" customHeight="1" thickBot="1">
      <c r="A74" s="1063" t="s">
        <v>825</v>
      </c>
      <c r="B74" s="1064"/>
      <c r="C74" s="1065"/>
      <c r="D74" s="310">
        <f aca="true" t="shared" si="11" ref="D74:M74">SUM(D64:D73)</f>
        <v>224843111</v>
      </c>
      <c r="E74" s="534">
        <f t="shared" si="11"/>
        <v>946150</v>
      </c>
      <c r="F74" s="533">
        <f t="shared" si="11"/>
        <v>225789261</v>
      </c>
      <c r="G74" s="310">
        <f t="shared" si="11"/>
        <v>56518399</v>
      </c>
      <c r="H74" s="534">
        <f t="shared" si="11"/>
        <v>0</v>
      </c>
      <c r="I74" s="533">
        <f t="shared" si="11"/>
        <v>56518399</v>
      </c>
      <c r="J74" s="310">
        <f t="shared" si="11"/>
        <v>0</v>
      </c>
      <c r="K74" s="534">
        <f t="shared" si="11"/>
        <v>0</v>
      </c>
      <c r="L74" s="533">
        <f t="shared" si="11"/>
        <v>0</v>
      </c>
      <c r="M74" s="305">
        <f t="shared" si="11"/>
        <v>282307660</v>
      </c>
      <c r="P74" s="537">
        <f>SUM(L74,I74,F74)</f>
        <v>282307660</v>
      </c>
    </row>
    <row r="75" spans="1:13" ht="32.25" customHeight="1">
      <c r="A75" s="277" t="s">
        <v>408</v>
      </c>
      <c r="B75" s="287" t="s">
        <v>560</v>
      </c>
      <c r="C75" s="278" t="s">
        <v>745</v>
      </c>
      <c r="D75" s="282">
        <v>1100000</v>
      </c>
      <c r="E75" s="283"/>
      <c r="F75" s="272">
        <f>SUM(D75:E75)</f>
        <v>1100000</v>
      </c>
      <c r="G75" s="284"/>
      <c r="H75" s="283"/>
      <c r="I75" s="272">
        <f>SUM(G75:H75)</f>
        <v>0</v>
      </c>
      <c r="J75" s="285"/>
      <c r="K75" s="286"/>
      <c r="L75" s="272">
        <f>SUM(J75:K75)</f>
        <v>0</v>
      </c>
      <c r="M75" s="276">
        <f>SUM(F75+I75+L75)</f>
        <v>1100000</v>
      </c>
    </row>
    <row r="76" spans="1:13" ht="22.5" customHeight="1">
      <c r="A76" s="277" t="s">
        <v>409</v>
      </c>
      <c r="B76" s="295" t="s">
        <v>393</v>
      </c>
      <c r="C76" s="290" t="s">
        <v>745</v>
      </c>
      <c r="D76" s="282">
        <v>3432072</v>
      </c>
      <c r="E76" s="283"/>
      <c r="F76" s="272">
        <f>SUM(D76:E76)</f>
        <v>3432072</v>
      </c>
      <c r="G76" s="284"/>
      <c r="H76" s="283"/>
      <c r="I76" s="272">
        <f>SUM(G76:H76)</f>
        <v>0</v>
      </c>
      <c r="J76" s="285"/>
      <c r="K76" s="286"/>
      <c r="L76" s="272">
        <f>SUM(J76:K76)</f>
        <v>0</v>
      </c>
      <c r="M76" s="276">
        <f>SUM(F76+I76+L76)</f>
        <v>3432072</v>
      </c>
    </row>
    <row r="77" spans="1:13" ht="33.75" customHeight="1">
      <c r="A77" s="277" t="s">
        <v>410</v>
      </c>
      <c r="B77" s="279" t="s">
        <v>79</v>
      </c>
      <c r="C77" s="294" t="s">
        <v>746</v>
      </c>
      <c r="D77" s="291">
        <f>22381580-1270000+622539</f>
        <v>21734119</v>
      </c>
      <c r="E77" s="292">
        <v>635000</v>
      </c>
      <c r="F77" s="272">
        <f>SUM(D77:E77)</f>
        <v>22369119</v>
      </c>
      <c r="G77" s="293"/>
      <c r="H77" s="292"/>
      <c r="I77" s="272">
        <f>SUM(G77:H77)</f>
        <v>0</v>
      </c>
      <c r="J77" s="285"/>
      <c r="K77" s="286"/>
      <c r="L77" s="272">
        <f>SUM(J77:K77)</f>
        <v>0</v>
      </c>
      <c r="M77" s="276">
        <f>SUM(F77+I77+L77)</f>
        <v>22369119</v>
      </c>
    </row>
    <row r="78" spans="1:13" ht="33.75" customHeight="1" thickBot="1">
      <c r="A78" s="277" t="s">
        <v>411</v>
      </c>
      <c r="B78" s="279" t="s">
        <v>917</v>
      </c>
      <c r="C78" s="294"/>
      <c r="D78" s="291"/>
      <c r="E78" s="292"/>
      <c r="F78" s="272">
        <f>SUM(D78:E78)</f>
        <v>0</v>
      </c>
      <c r="G78" s="293">
        <v>22502900</v>
      </c>
      <c r="H78" s="292">
        <v>2497100</v>
      </c>
      <c r="I78" s="272">
        <f>SUM(G78:H78)</f>
        <v>25000000</v>
      </c>
      <c r="J78" s="285"/>
      <c r="K78" s="286"/>
      <c r="L78" s="272">
        <f>SUM(J78:K78)</f>
        <v>0</v>
      </c>
      <c r="M78" s="276">
        <f>SUM(F78+I78+L78)</f>
        <v>25000000</v>
      </c>
    </row>
    <row r="79" spans="1:16" ht="27.75" customHeight="1" thickBot="1">
      <c r="A79" s="1063" t="s">
        <v>853</v>
      </c>
      <c r="B79" s="1064"/>
      <c r="C79" s="1065"/>
      <c r="D79" s="310">
        <f>SUM(D75:D78)</f>
        <v>26266191</v>
      </c>
      <c r="E79" s="534">
        <f aca="true" t="shared" si="12" ref="E79:K79">SUM(E75:E78)</f>
        <v>635000</v>
      </c>
      <c r="F79" s="533">
        <f t="shared" si="12"/>
        <v>26901191</v>
      </c>
      <c r="G79" s="310">
        <f t="shared" si="12"/>
        <v>22502900</v>
      </c>
      <c r="H79" s="534">
        <f t="shared" si="12"/>
        <v>2497100</v>
      </c>
      <c r="I79" s="533">
        <f t="shared" si="12"/>
        <v>25000000</v>
      </c>
      <c r="J79" s="310">
        <f t="shared" si="12"/>
        <v>0</v>
      </c>
      <c r="K79" s="534">
        <f t="shared" si="12"/>
        <v>0</v>
      </c>
      <c r="L79" s="533">
        <f>SUM(L75:L78)</f>
        <v>0</v>
      </c>
      <c r="M79" s="305">
        <f>SUM(M75:M78)</f>
        <v>51901191</v>
      </c>
      <c r="P79" s="537"/>
    </row>
    <row r="80" spans="1:13" s="252" customFormat="1" ht="16.5" thickBot="1">
      <c r="A80" s="1057" t="s">
        <v>512</v>
      </c>
      <c r="B80" s="1058"/>
      <c r="C80" s="1059"/>
      <c r="D80" s="311">
        <f aca="true" t="shared" si="13" ref="D80:M80">D57+D63+D74+D79</f>
        <v>996355978</v>
      </c>
      <c r="E80" s="311">
        <f t="shared" si="13"/>
        <v>332909804</v>
      </c>
      <c r="F80" s="701">
        <f t="shared" si="13"/>
        <v>1329265782</v>
      </c>
      <c r="G80" s="311">
        <f t="shared" si="13"/>
        <v>315935483</v>
      </c>
      <c r="H80" s="311">
        <f t="shared" si="13"/>
        <v>906281057</v>
      </c>
      <c r="I80" s="312">
        <f t="shared" si="13"/>
        <v>1222216540</v>
      </c>
      <c r="J80" s="535">
        <f t="shared" si="13"/>
        <v>20056282</v>
      </c>
      <c r="K80" s="702">
        <f t="shared" si="13"/>
        <v>0</v>
      </c>
      <c r="L80" s="703">
        <f t="shared" si="13"/>
        <v>20056282</v>
      </c>
      <c r="M80" s="313">
        <f t="shared" si="13"/>
        <v>2571538604</v>
      </c>
    </row>
    <row r="82" spans="1:2" ht="12.75">
      <c r="A82" s="187" t="s">
        <v>513</v>
      </c>
      <c r="B82" s="187" t="s">
        <v>514</v>
      </c>
    </row>
    <row r="83" spans="1:2" ht="12.75">
      <c r="A83" s="187" t="s">
        <v>515</v>
      </c>
      <c r="B83" s="187" t="s">
        <v>516</v>
      </c>
    </row>
    <row r="84" spans="1:2" ht="12.75">
      <c r="A84" s="187" t="s">
        <v>517</v>
      </c>
      <c r="B84" s="187" t="s">
        <v>518</v>
      </c>
    </row>
    <row r="85" spans="1:2" ht="12.75">
      <c r="A85" s="187" t="s">
        <v>519</v>
      </c>
      <c r="B85" s="187" t="s">
        <v>520</v>
      </c>
    </row>
    <row r="86" spans="1:2" ht="12.75">
      <c r="A86" s="187" t="s">
        <v>521</v>
      </c>
      <c r="B86" s="187" t="s">
        <v>522</v>
      </c>
    </row>
    <row r="87" spans="1:2" ht="12.75">
      <c r="A87" s="187" t="s">
        <v>823</v>
      </c>
      <c r="B87" s="187" t="s">
        <v>824</v>
      </c>
    </row>
    <row r="88" spans="1:2" ht="12.75">
      <c r="A88" s="187" t="s">
        <v>633</v>
      </c>
      <c r="B88" s="187" t="s">
        <v>632</v>
      </c>
    </row>
    <row r="89" spans="1:2" ht="12.75">
      <c r="A89" s="187" t="s">
        <v>1071</v>
      </c>
      <c r="B89" s="187" t="s">
        <v>1072</v>
      </c>
    </row>
    <row r="92" spans="1:3" ht="15">
      <c r="A92" s="1331">
        <v>11</v>
      </c>
      <c r="B92" s="1332" t="s">
        <v>1111</v>
      </c>
      <c r="C92" s="38"/>
    </row>
  </sheetData>
  <sheetProtection/>
  <mergeCells count="15">
    <mergeCell ref="A80:C80"/>
    <mergeCell ref="A63:C63"/>
    <mergeCell ref="D6:F7"/>
    <mergeCell ref="A74:C74"/>
    <mergeCell ref="B5:B8"/>
    <mergeCell ref="A5:A8"/>
    <mergeCell ref="C5:M5"/>
    <mergeCell ref="A57:C57"/>
    <mergeCell ref="A79:C79"/>
    <mergeCell ref="G1:M1"/>
    <mergeCell ref="M6:M8"/>
    <mergeCell ref="A3:M4"/>
    <mergeCell ref="C6:C8"/>
    <mergeCell ref="G6:I7"/>
    <mergeCell ref="J6:L7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59" r:id="rId1"/>
  <rowBreaks count="2" manualBreakCount="2">
    <brk id="29" max="12" man="1"/>
    <brk id="5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O89"/>
  <sheetViews>
    <sheetView zoomScalePageLayoutView="0" workbookViewId="0" topLeftCell="R1">
      <pane ySplit="7" topLeftCell="A8" activePane="bottomLeft" state="frozen"/>
      <selection pane="topLeft" activeCell="A1" sqref="A1"/>
      <selection pane="bottomLeft" activeCell="A3" sqref="A3:AC3"/>
    </sheetView>
  </sheetViews>
  <sheetFormatPr defaultColWidth="9.00390625" defaultRowHeight="12.75"/>
  <cols>
    <col min="1" max="2" width="9.125" style="187" customWidth="1"/>
    <col min="3" max="3" width="19.125" style="187" customWidth="1"/>
    <col min="4" max="6" width="18.00390625" style="187" bestFit="1" customWidth="1"/>
    <col min="7" max="7" width="12.625" style="187" customWidth="1"/>
    <col min="8" max="8" width="18.875" style="187" customWidth="1"/>
    <col min="9" max="9" width="9.25390625" style="187" bestFit="1" customWidth="1"/>
    <col min="10" max="10" width="11.375" style="187" bestFit="1" customWidth="1"/>
    <col min="11" max="11" width="19.25390625" style="187" customWidth="1"/>
    <col min="12" max="12" width="9.75390625" style="187" customWidth="1"/>
    <col min="13" max="13" width="9.125" style="187" customWidth="1"/>
    <col min="14" max="14" width="12.625" style="187" customWidth="1"/>
    <col min="15" max="15" width="8.125" style="187" customWidth="1"/>
    <col min="16" max="16" width="10.375" style="187" bestFit="1" customWidth="1"/>
    <col min="17" max="17" width="14.00390625" style="187" bestFit="1" customWidth="1"/>
    <col min="18" max="20" width="9.125" style="187" customWidth="1"/>
    <col min="21" max="21" width="9.875" style="187" customWidth="1"/>
    <col min="22" max="22" width="13.125" style="187" customWidth="1"/>
    <col min="23" max="23" width="16.625" style="187" bestFit="1" customWidth="1"/>
    <col min="24" max="24" width="18.00390625" style="322" bestFit="1" customWidth="1"/>
    <col min="25" max="25" width="18.25390625" style="322" customWidth="1"/>
    <col min="26" max="26" width="18.75390625" style="322" customWidth="1"/>
    <col min="27" max="27" width="19.75390625" style="322" bestFit="1" customWidth="1"/>
    <col min="28" max="28" width="17.375" style="322" bestFit="1" customWidth="1"/>
    <col min="29" max="29" width="19.75390625" style="322" bestFit="1" customWidth="1"/>
    <col min="30" max="223" width="9.125" style="322" customWidth="1"/>
    <col min="224" max="16384" width="9.125" style="187" customWidth="1"/>
  </cols>
  <sheetData>
    <row r="1" spans="1:28" ht="18">
      <c r="A1" s="254"/>
      <c r="B1" s="255"/>
      <c r="C1" s="256"/>
      <c r="H1" s="255"/>
      <c r="I1" s="255"/>
      <c r="J1" s="255"/>
      <c r="K1" s="257"/>
      <c r="L1" s="257"/>
      <c r="M1" s="257"/>
      <c r="N1" s="255"/>
      <c r="T1" s="1208" t="s">
        <v>1117</v>
      </c>
      <c r="U1" s="1209"/>
      <c r="V1" s="1209"/>
      <c r="W1" s="1209"/>
      <c r="X1" s="1210"/>
      <c r="Y1" s="1210"/>
      <c r="Z1" s="1210"/>
      <c r="AA1" s="1210"/>
      <c r="AB1" s="1210"/>
    </row>
    <row r="2" spans="1:14" ht="12.75">
      <c r="A2" s="254"/>
      <c r="B2" s="255"/>
      <c r="C2" s="256"/>
      <c r="D2" s="258"/>
      <c r="E2" s="259"/>
      <c r="F2" s="259"/>
      <c r="G2" s="259"/>
      <c r="H2" s="255"/>
      <c r="I2" s="255"/>
      <c r="J2" s="255"/>
      <c r="K2" s="257"/>
      <c r="L2" s="257"/>
      <c r="M2" s="257"/>
      <c r="N2" s="255"/>
    </row>
    <row r="3" spans="1:29" ht="15.75" customHeight="1">
      <c r="A3" s="1221" t="s">
        <v>979</v>
      </c>
      <c r="B3" s="1221"/>
      <c r="C3" s="1221"/>
      <c r="D3" s="1221"/>
      <c r="E3" s="1221"/>
      <c r="F3" s="1221"/>
      <c r="G3" s="1221"/>
      <c r="H3" s="1221"/>
      <c r="I3" s="1221"/>
      <c r="J3" s="1221"/>
      <c r="K3" s="1221"/>
      <c r="L3" s="1221"/>
      <c r="M3" s="1221"/>
      <c r="N3" s="1221"/>
      <c r="O3" s="1221"/>
      <c r="P3" s="1221"/>
      <c r="Q3" s="1221"/>
      <c r="R3" s="1221"/>
      <c r="S3" s="1221"/>
      <c r="T3" s="1221"/>
      <c r="U3" s="1221"/>
      <c r="V3" s="1221"/>
      <c r="W3" s="1221"/>
      <c r="X3" s="1221"/>
      <c r="Y3" s="1221"/>
      <c r="Z3" s="1221"/>
      <c r="AA3" s="1221"/>
      <c r="AB3" s="1221"/>
      <c r="AC3" s="1221"/>
    </row>
    <row r="4" spans="1:29" ht="15.75" customHeight="1">
      <c r="A4" s="529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</row>
    <row r="5" spans="1:29" ht="13.5" customHeight="1" thickBot="1">
      <c r="A5" s="530"/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</row>
    <row r="6" spans="1:223" s="323" customFormat="1" ht="15" customHeight="1" thickBot="1" thickTop="1">
      <c r="A6" s="1150" t="s">
        <v>87</v>
      </c>
      <c r="B6" s="1151"/>
      <c r="C6" s="1151"/>
      <c r="D6" s="1124" t="s">
        <v>370</v>
      </c>
      <c r="E6" s="1118"/>
      <c r="F6" s="1119"/>
      <c r="G6" s="1125" t="s">
        <v>523</v>
      </c>
      <c r="H6" s="1216"/>
      <c r="I6" s="1216"/>
      <c r="J6" s="1216"/>
      <c r="K6" s="1217"/>
      <c r="L6" s="1117" t="s">
        <v>524</v>
      </c>
      <c r="M6" s="1145"/>
      <c r="N6" s="1145"/>
      <c r="O6" s="1145"/>
      <c r="P6" s="1145"/>
      <c r="Q6" s="1164"/>
      <c r="R6" s="1117" t="s">
        <v>525</v>
      </c>
      <c r="S6" s="1145"/>
      <c r="T6" s="1145"/>
      <c r="U6" s="1145"/>
      <c r="V6" s="1145"/>
      <c r="W6" s="1145"/>
      <c r="X6" s="1211" t="s">
        <v>526</v>
      </c>
      <c r="Y6" s="1087"/>
      <c r="Z6" s="1087"/>
      <c r="AA6" s="1083" t="s">
        <v>88</v>
      </c>
      <c r="AB6" s="1084"/>
      <c r="AC6" s="1085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322"/>
      <c r="DF6" s="322"/>
      <c r="DG6" s="322"/>
      <c r="DH6" s="322"/>
      <c r="DI6" s="322"/>
      <c r="DJ6" s="322"/>
      <c r="DK6" s="322"/>
      <c r="DL6" s="322"/>
      <c r="DM6" s="322"/>
      <c r="DN6" s="322"/>
      <c r="DO6" s="322"/>
      <c r="DP6" s="322"/>
      <c r="DQ6" s="322"/>
      <c r="DR6" s="322"/>
      <c r="DS6" s="322"/>
      <c r="DT6" s="322"/>
      <c r="DU6" s="322"/>
      <c r="DV6" s="322"/>
      <c r="DW6" s="322"/>
      <c r="DX6" s="322"/>
      <c r="DY6" s="322"/>
      <c r="DZ6" s="322"/>
      <c r="EA6" s="322"/>
      <c r="EB6" s="322"/>
      <c r="EC6" s="322"/>
      <c r="ED6" s="322"/>
      <c r="EE6" s="322"/>
      <c r="EF6" s="322"/>
      <c r="EG6" s="322"/>
      <c r="EH6" s="322"/>
      <c r="EI6" s="322"/>
      <c r="EJ6" s="322"/>
      <c r="EK6" s="322"/>
      <c r="EL6" s="322"/>
      <c r="EM6" s="322"/>
      <c r="EN6" s="322"/>
      <c r="EO6" s="322"/>
      <c r="EP6" s="322"/>
      <c r="EQ6" s="322"/>
      <c r="ER6" s="322"/>
      <c r="ES6" s="322"/>
      <c r="ET6" s="322"/>
      <c r="EU6" s="322"/>
      <c r="EV6" s="322"/>
      <c r="EW6" s="322"/>
      <c r="EX6" s="322"/>
      <c r="EY6" s="322"/>
      <c r="EZ6" s="322"/>
      <c r="FA6" s="322"/>
      <c r="FB6" s="322"/>
      <c r="FC6" s="322"/>
      <c r="FD6" s="322"/>
      <c r="FE6" s="322"/>
      <c r="FF6" s="322"/>
      <c r="FG6" s="322"/>
      <c r="FH6" s="322"/>
      <c r="FI6" s="322"/>
      <c r="FJ6" s="322"/>
      <c r="FK6" s="322"/>
      <c r="FL6" s="322"/>
      <c r="FM6" s="322"/>
      <c r="FN6" s="322"/>
      <c r="FO6" s="322"/>
      <c r="FP6" s="322"/>
      <c r="FQ6" s="322"/>
      <c r="FR6" s="322"/>
      <c r="FS6" s="322"/>
      <c r="FT6" s="322"/>
      <c r="FU6" s="322"/>
      <c r="FV6" s="322"/>
      <c r="FW6" s="322"/>
      <c r="FX6" s="322"/>
      <c r="FY6" s="322"/>
      <c r="FZ6" s="322"/>
      <c r="GA6" s="322"/>
      <c r="GB6" s="322"/>
      <c r="GC6" s="322"/>
      <c r="GD6" s="322"/>
      <c r="GE6" s="322"/>
      <c r="GF6" s="322"/>
      <c r="GG6" s="322"/>
      <c r="GH6" s="322"/>
      <c r="GI6" s="322"/>
      <c r="GJ6" s="322"/>
      <c r="GK6" s="322"/>
      <c r="GL6" s="322"/>
      <c r="GM6" s="322"/>
      <c r="GN6" s="322"/>
      <c r="GO6" s="322"/>
      <c r="GP6" s="322"/>
      <c r="GQ6" s="322"/>
      <c r="GR6" s="322"/>
      <c r="GS6" s="322"/>
      <c r="GT6" s="322"/>
      <c r="GU6" s="322"/>
      <c r="GV6" s="322"/>
      <c r="GW6" s="322"/>
      <c r="GX6" s="322"/>
      <c r="GY6" s="322"/>
      <c r="GZ6" s="322"/>
      <c r="HA6" s="322"/>
      <c r="HB6" s="322"/>
      <c r="HC6" s="322"/>
      <c r="HD6" s="322"/>
      <c r="HE6" s="322"/>
      <c r="HF6" s="322"/>
      <c r="HG6" s="322"/>
      <c r="HH6" s="322"/>
      <c r="HI6" s="322"/>
      <c r="HJ6" s="322"/>
      <c r="HK6" s="322"/>
      <c r="HL6" s="322"/>
      <c r="HM6" s="322"/>
      <c r="HN6" s="322"/>
      <c r="HO6" s="322"/>
    </row>
    <row r="7" spans="1:29" s="322" customFormat="1" ht="16.5" customHeight="1" thickBot="1">
      <c r="A7" s="1152"/>
      <c r="B7" s="1153"/>
      <c r="C7" s="1153"/>
      <c r="D7" s="492" t="s">
        <v>89</v>
      </c>
      <c r="E7" s="821" t="s">
        <v>85</v>
      </c>
      <c r="F7" s="325" t="s">
        <v>90</v>
      </c>
      <c r="G7" s="1218"/>
      <c r="H7" s="1219"/>
      <c r="I7" s="1219"/>
      <c r="J7" s="1219"/>
      <c r="K7" s="1220"/>
      <c r="L7" s="1147"/>
      <c r="M7" s="1148"/>
      <c r="N7" s="1148"/>
      <c r="O7" s="1148"/>
      <c r="P7" s="1148"/>
      <c r="Q7" s="1165"/>
      <c r="R7" s="1147"/>
      <c r="S7" s="1148"/>
      <c r="T7" s="1148"/>
      <c r="U7" s="1148"/>
      <c r="V7" s="1148"/>
      <c r="W7" s="1148"/>
      <c r="X7" s="324" t="s">
        <v>89</v>
      </c>
      <c r="Y7" s="492" t="s">
        <v>85</v>
      </c>
      <c r="Z7" s="808" t="s">
        <v>90</v>
      </c>
      <c r="AA7" s="324" t="s">
        <v>89</v>
      </c>
      <c r="AB7" s="492" t="s">
        <v>85</v>
      </c>
      <c r="AC7" s="325" t="s">
        <v>90</v>
      </c>
    </row>
    <row r="8" spans="1:29" s="340" customFormat="1" ht="26.25" customHeight="1">
      <c r="A8" s="326"/>
      <c r="B8" s="327"/>
      <c r="C8" s="328"/>
      <c r="D8" s="329"/>
      <c r="E8" s="327"/>
      <c r="F8" s="330"/>
      <c r="G8" s="1171" t="s">
        <v>527</v>
      </c>
      <c r="H8" s="1075"/>
      <c r="I8" s="1075"/>
      <c r="J8" s="527">
        <f>67592700</f>
        <v>67592700</v>
      </c>
      <c r="K8" s="1080">
        <f>SUM(J8:J15)</f>
        <v>167465133</v>
      </c>
      <c r="L8" s="1222"/>
      <c r="M8" s="1110"/>
      <c r="N8" s="1110"/>
      <c r="O8" s="1110"/>
      <c r="P8" s="332"/>
      <c r="Q8" s="1230">
        <f>SUM(P8:P15)</f>
        <v>91588408</v>
      </c>
      <c r="R8" s="1092" t="s">
        <v>238</v>
      </c>
      <c r="S8" s="1093"/>
      <c r="T8" s="1093"/>
      <c r="U8" s="1093"/>
      <c r="V8" s="527">
        <v>254780000</v>
      </c>
      <c r="W8" s="1140">
        <f>SUM(V8:V15)</f>
        <v>405268566</v>
      </c>
      <c r="X8" s="334"/>
      <c r="Y8" s="335"/>
      <c r="Z8" s="336"/>
      <c r="AA8" s="337"/>
      <c r="AB8" s="338"/>
      <c r="AC8" s="339"/>
    </row>
    <row r="9" spans="1:29" s="340" customFormat="1" ht="27" customHeight="1">
      <c r="A9" s="326"/>
      <c r="B9" s="327"/>
      <c r="C9" s="329"/>
      <c r="D9" s="329"/>
      <c r="E9" s="327"/>
      <c r="F9" s="330"/>
      <c r="G9" s="1130" t="s">
        <v>638</v>
      </c>
      <c r="H9" s="1089"/>
      <c r="I9" s="1089"/>
      <c r="J9" s="527">
        <v>1778400</v>
      </c>
      <c r="K9" s="1094"/>
      <c r="L9" s="1135" t="s">
        <v>528</v>
      </c>
      <c r="M9" s="1136"/>
      <c r="N9" s="1136"/>
      <c r="O9" s="1136"/>
      <c r="P9" s="527">
        <v>1710029</v>
      </c>
      <c r="Q9" s="1231"/>
      <c r="R9" s="1092" t="s">
        <v>112</v>
      </c>
      <c r="S9" s="1093"/>
      <c r="T9" s="1093"/>
      <c r="U9" s="1093"/>
      <c r="V9" s="527">
        <f>9471380+540000</f>
        <v>10011380</v>
      </c>
      <c r="W9" s="1141"/>
      <c r="X9" s="341"/>
      <c r="Y9" s="335"/>
      <c r="Z9" s="342"/>
      <c r="AA9" s="326"/>
      <c r="AB9" s="343"/>
      <c r="AC9" s="344"/>
    </row>
    <row r="10" spans="1:29" s="340" customFormat="1" ht="24.75" customHeight="1">
      <c r="A10" s="345"/>
      <c r="B10" s="346"/>
      <c r="C10" s="347" t="s">
        <v>500</v>
      </c>
      <c r="D10" s="348">
        <f>SUM('6. kiadások megbontása'!D57)</f>
        <v>586400304</v>
      </c>
      <c r="E10" s="349">
        <f>SUM('6. kiadások megbontása'!E57)</f>
        <v>330312654</v>
      </c>
      <c r="F10" s="350">
        <f>SUM(D10:E10)</f>
        <v>916712958</v>
      </c>
      <c r="G10" s="1130" t="s">
        <v>769</v>
      </c>
      <c r="H10" s="1089"/>
      <c r="I10" s="1089"/>
      <c r="J10" s="527">
        <v>48302876</v>
      </c>
      <c r="K10" s="1094"/>
      <c r="L10" s="1135" t="s">
        <v>529</v>
      </c>
      <c r="M10" s="1136"/>
      <c r="N10" s="1136"/>
      <c r="O10" s="1136"/>
      <c r="P10" s="527">
        <v>21228000</v>
      </c>
      <c r="Q10" s="1231"/>
      <c r="R10" s="829" t="s">
        <v>831</v>
      </c>
      <c r="S10" s="836"/>
      <c r="T10" s="836"/>
      <c r="U10" s="836"/>
      <c r="V10" s="527">
        <v>60000</v>
      </c>
      <c r="W10" s="1141"/>
      <c r="X10" s="351"/>
      <c r="Y10" s="352"/>
      <c r="Z10" s="342"/>
      <c r="AA10" s="353"/>
      <c r="AB10" s="354"/>
      <c r="AC10" s="355"/>
    </row>
    <row r="11" spans="1:29" s="340" customFormat="1" ht="16.5" customHeight="1">
      <c r="A11" s="356"/>
      <c r="B11" s="357"/>
      <c r="C11" s="358"/>
      <c r="D11" s="358"/>
      <c r="E11" s="327"/>
      <c r="F11" s="330"/>
      <c r="G11" s="1129" t="s">
        <v>562</v>
      </c>
      <c r="H11" s="1129"/>
      <c r="I11" s="1129"/>
      <c r="J11" s="527">
        <v>49762591</v>
      </c>
      <c r="K11" s="1094"/>
      <c r="L11" s="829" t="s">
        <v>981</v>
      </c>
      <c r="M11" s="830"/>
      <c r="N11" s="830"/>
      <c r="O11" s="830"/>
      <c r="P11" s="527">
        <f>10633011-6854236+16507503</f>
        <v>20286278</v>
      </c>
      <c r="Q11" s="1231"/>
      <c r="R11" s="829" t="s">
        <v>279</v>
      </c>
      <c r="S11" s="836"/>
      <c r="T11" s="836"/>
      <c r="U11" s="836"/>
      <c r="V11" s="527">
        <f>706000+123120+15000</f>
        <v>844120</v>
      </c>
      <c r="W11" s="1141"/>
      <c r="X11" s="351"/>
      <c r="Y11" s="352"/>
      <c r="Z11" s="342"/>
      <c r="AA11" s="353"/>
      <c r="AB11" s="354"/>
      <c r="AC11" s="355"/>
    </row>
    <row r="12" spans="1:29" s="340" customFormat="1" ht="18.75" customHeight="1">
      <c r="A12" s="356"/>
      <c r="B12" s="357"/>
      <c r="C12" s="358"/>
      <c r="D12" s="358"/>
      <c r="E12" s="327"/>
      <c r="F12" s="330"/>
      <c r="G12" s="1130" t="s">
        <v>1076</v>
      </c>
      <c r="H12" s="1089"/>
      <c r="I12" s="1089"/>
      <c r="J12" s="331">
        <f>3585+20900+4081</f>
        <v>28566</v>
      </c>
      <c r="K12" s="1094"/>
      <c r="L12" s="1092" t="s">
        <v>982</v>
      </c>
      <c r="M12" s="1093"/>
      <c r="N12" s="1093"/>
      <c r="O12" s="1093"/>
      <c r="P12" s="523">
        <f>12480966-6737965+42621100</f>
        <v>48364101</v>
      </c>
      <c r="Q12" s="1231"/>
      <c r="R12" s="829" t="s">
        <v>766</v>
      </c>
      <c r="S12" s="836"/>
      <c r="T12" s="836"/>
      <c r="U12" s="836"/>
      <c r="V12" s="527">
        <f>2840247+537587+853440</f>
        <v>4231274</v>
      </c>
      <c r="W12" s="1141"/>
      <c r="X12" s="351"/>
      <c r="Y12" s="352"/>
      <c r="Z12" s="342"/>
      <c r="AA12" s="353"/>
      <c r="AB12" s="354"/>
      <c r="AC12" s="355"/>
    </row>
    <row r="13" spans="1:29" s="340" customFormat="1" ht="15.75" customHeight="1">
      <c r="A13" s="356"/>
      <c r="B13" s="357"/>
      <c r="C13" s="358"/>
      <c r="D13" s="358"/>
      <c r="E13" s="327"/>
      <c r="F13" s="330"/>
      <c r="G13" s="1129"/>
      <c r="H13" s="1129"/>
      <c r="I13" s="1129"/>
      <c r="J13" s="331"/>
      <c r="K13" s="1094"/>
      <c r="L13" s="1092"/>
      <c r="M13" s="1093"/>
      <c r="N13" s="1093"/>
      <c r="O13" s="1093"/>
      <c r="P13" s="523"/>
      <c r="Q13" s="1231"/>
      <c r="R13" s="829" t="s">
        <v>829</v>
      </c>
      <c r="S13" s="830"/>
      <c r="T13" s="830"/>
      <c r="U13" s="830"/>
      <c r="V13" s="787">
        <v>6592967</v>
      </c>
      <c r="W13" s="1141"/>
      <c r="X13" s="351"/>
      <c r="Y13" s="352"/>
      <c r="Z13" s="342"/>
      <c r="AA13" s="353"/>
      <c r="AB13" s="354"/>
      <c r="AC13" s="355"/>
    </row>
    <row r="14" spans="1:29" s="340" customFormat="1" ht="16.5" customHeight="1">
      <c r="A14" s="356"/>
      <c r="B14" s="357"/>
      <c r="C14" s="358"/>
      <c r="D14" s="358"/>
      <c r="E14" s="327"/>
      <c r="F14" s="359"/>
      <c r="G14" s="1129"/>
      <c r="H14" s="1129"/>
      <c r="I14" s="1129"/>
      <c r="J14" s="331"/>
      <c r="K14" s="1094"/>
      <c r="L14" s="1225"/>
      <c r="M14" s="1129"/>
      <c r="N14" s="1129"/>
      <c r="O14" s="1129"/>
      <c r="Q14" s="1231"/>
      <c r="R14" s="1092" t="s">
        <v>767</v>
      </c>
      <c r="S14" s="1093"/>
      <c r="T14" s="1093"/>
      <c r="U14" s="1093"/>
      <c r="V14" s="787">
        <v>500</v>
      </c>
      <c r="W14" s="1141"/>
      <c r="X14" s="361">
        <f>SUM(W8,Q8,K8)</f>
        <v>664322107</v>
      </c>
      <c r="Y14" s="362">
        <f>SUM(W16+Q16+K16)</f>
        <v>381930078</v>
      </c>
      <c r="Z14" s="363">
        <f>SUM(Y14,X14)</f>
        <v>1046252185</v>
      </c>
      <c r="AA14" s="361">
        <f>X14-D10</f>
        <v>77921803</v>
      </c>
      <c r="AB14" s="362">
        <f>Y14-E10</f>
        <v>51617424</v>
      </c>
      <c r="AC14" s="364">
        <f>SUM(AA14:AB14)</f>
        <v>129539227</v>
      </c>
    </row>
    <row r="15" spans="1:29" s="322" customFormat="1" ht="17.25" customHeight="1" thickBot="1">
      <c r="A15" s="365"/>
      <c r="B15" s="366"/>
      <c r="C15" s="367"/>
      <c r="D15" s="367"/>
      <c r="E15" s="368"/>
      <c r="F15" s="369"/>
      <c r="G15" s="1130"/>
      <c r="H15" s="1089"/>
      <c r="I15" s="1089"/>
      <c r="J15" s="331"/>
      <c r="K15" s="1094"/>
      <c r="L15" s="1225"/>
      <c r="M15" s="1129"/>
      <c r="N15" s="1129"/>
      <c r="O15" s="1129"/>
      <c r="P15" s="360"/>
      <c r="Q15" s="1231"/>
      <c r="R15" s="1092" t="s">
        <v>768</v>
      </c>
      <c r="S15" s="1093"/>
      <c r="T15" s="1093"/>
      <c r="U15" s="1093"/>
      <c r="V15" s="787">
        <f>29101707+97110256+2940272-403910</f>
        <v>128748325</v>
      </c>
      <c r="W15" s="1141"/>
      <c r="X15" s="351"/>
      <c r="Y15" s="352"/>
      <c r="Z15" s="342"/>
      <c r="AA15" s="353"/>
      <c r="AB15" s="354"/>
      <c r="AC15" s="355"/>
    </row>
    <row r="16" spans="1:29" s="322" customFormat="1" ht="65.25" customHeight="1">
      <c r="A16" s="365"/>
      <c r="B16" s="366"/>
      <c r="C16" s="367"/>
      <c r="D16" s="367"/>
      <c r="E16" s="368"/>
      <c r="F16" s="369"/>
      <c r="G16" s="373"/>
      <c r="H16" s="374"/>
      <c r="I16" s="374"/>
      <c r="J16" s="375"/>
      <c r="K16" s="1080"/>
      <c r="L16" s="1074" t="s">
        <v>984</v>
      </c>
      <c r="M16" s="1075"/>
      <c r="N16" s="1075"/>
      <c r="O16" s="1075"/>
      <c r="P16" s="784">
        <f>9999992</f>
        <v>9999992</v>
      </c>
      <c r="Q16" s="1101">
        <f>SUM(P16:P17)</f>
        <v>10389186</v>
      </c>
      <c r="R16" s="1232" t="s">
        <v>92</v>
      </c>
      <c r="S16" s="1194"/>
      <c r="T16" s="1194"/>
      <c r="U16" s="1194"/>
      <c r="V16" s="528">
        <f>78841508+140105-900000+88787</f>
        <v>78170400</v>
      </c>
      <c r="W16" s="1140">
        <f>SUM(V16:V17)</f>
        <v>371540892</v>
      </c>
      <c r="X16" s="351"/>
      <c r="Y16" s="352"/>
      <c r="Z16" s="342"/>
      <c r="AA16" s="353"/>
      <c r="AB16" s="354"/>
      <c r="AC16" s="355"/>
    </row>
    <row r="17" spans="1:29" s="322" customFormat="1" ht="18.75" customHeight="1" thickBot="1">
      <c r="A17" s="365"/>
      <c r="B17" s="366"/>
      <c r="C17" s="367"/>
      <c r="D17" s="367"/>
      <c r="E17" s="368"/>
      <c r="F17" s="369"/>
      <c r="G17" s="371"/>
      <c r="H17" s="372"/>
      <c r="I17" s="372"/>
      <c r="J17" s="377"/>
      <c r="K17" s="1094"/>
      <c r="L17" s="1225" t="s">
        <v>983</v>
      </c>
      <c r="M17" s="1129"/>
      <c r="N17" s="1129"/>
      <c r="O17" s="1129"/>
      <c r="P17" s="360">
        <f>289870-39360+138684</f>
        <v>389194</v>
      </c>
      <c r="Q17" s="1081"/>
      <c r="R17" s="1135" t="s">
        <v>763</v>
      </c>
      <c r="S17" s="1136"/>
      <c r="T17" s="1136"/>
      <c r="U17" s="1136"/>
      <c r="V17" s="525">
        <f>288331132+5039360</f>
        <v>293370492</v>
      </c>
      <c r="W17" s="1141"/>
      <c r="X17" s="351"/>
      <c r="Y17" s="352"/>
      <c r="Z17" s="342"/>
      <c r="AA17" s="353"/>
      <c r="AB17" s="354"/>
      <c r="AC17" s="355"/>
    </row>
    <row r="18" spans="1:29" s="322" customFormat="1" ht="18" customHeight="1" thickTop="1">
      <c r="A18" s="531"/>
      <c r="B18" s="378"/>
      <c r="C18" s="379"/>
      <c r="D18" s="379"/>
      <c r="E18" s="380"/>
      <c r="F18" s="381"/>
      <c r="G18" s="1226"/>
      <c r="H18" s="1227"/>
      <c r="I18" s="1227"/>
      <c r="J18" s="532"/>
      <c r="K18" s="1223">
        <f>SUM(J18:J19)</f>
        <v>0</v>
      </c>
      <c r="L18" s="1200" t="s">
        <v>530</v>
      </c>
      <c r="M18" s="1201"/>
      <c r="N18" s="1201"/>
      <c r="O18" s="1201"/>
      <c r="P18" s="785"/>
      <c r="Q18" s="1223">
        <f>SUM(P18:P19)</f>
        <v>0</v>
      </c>
      <c r="R18" s="383"/>
      <c r="S18" s="384"/>
      <c r="T18" s="384"/>
      <c r="U18" s="384"/>
      <c r="V18" s="385"/>
      <c r="W18" s="386"/>
      <c r="X18" s="387"/>
      <c r="Y18" s="388"/>
      <c r="Z18" s="389"/>
      <c r="AA18" s="390"/>
      <c r="AB18" s="391"/>
      <c r="AC18" s="392"/>
    </row>
    <row r="19" spans="1:223" s="498" customFormat="1" ht="19.5" customHeight="1" thickBot="1">
      <c r="A19" s="811"/>
      <c r="B19" s="1203" t="s">
        <v>93</v>
      </c>
      <c r="C19" s="1204"/>
      <c r="D19" s="812">
        <f>SUM('6. kiadások megbontása'!J57)</f>
        <v>20056282</v>
      </c>
      <c r="E19" s="813">
        <f>SUM('6. kiadások megbontása'!K57)</f>
        <v>0</v>
      </c>
      <c r="F19" s="814">
        <f>SUM(D19:E19)</f>
        <v>20056282</v>
      </c>
      <c r="G19" s="1228"/>
      <c r="H19" s="1229"/>
      <c r="I19" s="1229"/>
      <c r="J19" s="815"/>
      <c r="K19" s="1224"/>
      <c r="L19" s="1235" t="s">
        <v>639</v>
      </c>
      <c r="M19" s="1236"/>
      <c r="N19" s="1236"/>
      <c r="O19" s="1236"/>
      <c r="P19" s="786"/>
      <c r="Q19" s="1224"/>
      <c r="R19" s="1235"/>
      <c r="S19" s="1236"/>
      <c r="T19" s="1236"/>
      <c r="U19" s="1236"/>
      <c r="V19" s="816"/>
      <c r="W19" s="817">
        <f>SUM(V19)</f>
        <v>0</v>
      </c>
      <c r="X19" s="818">
        <f>SUM(W19,Q18,K18)</f>
        <v>0</v>
      </c>
      <c r="Y19" s="819">
        <v>0</v>
      </c>
      <c r="Z19" s="820">
        <f>SUM(X19:Y19)</f>
        <v>0</v>
      </c>
      <c r="AA19" s="818">
        <f>X19-D19</f>
        <v>-20056282</v>
      </c>
      <c r="AB19" s="819">
        <f>Y19-E19</f>
        <v>0</v>
      </c>
      <c r="AC19" s="393">
        <f>SUM(AA19:AB19)</f>
        <v>-20056282</v>
      </c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8"/>
      <c r="BC19" s="518"/>
      <c r="BD19" s="518"/>
      <c r="BE19" s="518"/>
      <c r="BF19" s="518"/>
      <c r="BG19" s="518"/>
      <c r="BH19" s="518"/>
      <c r="BI19" s="518"/>
      <c r="BJ19" s="518"/>
      <c r="BK19" s="518"/>
      <c r="BL19" s="518"/>
      <c r="BM19" s="518"/>
      <c r="BN19" s="518"/>
      <c r="BO19" s="518"/>
      <c r="BP19" s="518"/>
      <c r="BQ19" s="518"/>
      <c r="BR19" s="518"/>
      <c r="BS19" s="518"/>
      <c r="BT19" s="518"/>
      <c r="BU19" s="518"/>
      <c r="BV19" s="518"/>
      <c r="BW19" s="518"/>
      <c r="BX19" s="518"/>
      <c r="BY19" s="518"/>
      <c r="BZ19" s="518"/>
      <c r="CA19" s="518"/>
      <c r="CB19" s="518"/>
      <c r="CC19" s="518"/>
      <c r="CD19" s="518"/>
      <c r="CE19" s="518"/>
      <c r="CF19" s="518"/>
      <c r="CG19" s="518"/>
      <c r="CH19" s="518"/>
      <c r="CI19" s="518"/>
      <c r="CJ19" s="518"/>
      <c r="CK19" s="518"/>
      <c r="CL19" s="518"/>
      <c r="CM19" s="518"/>
      <c r="CN19" s="518"/>
      <c r="CO19" s="518"/>
      <c r="CP19" s="518"/>
      <c r="CQ19" s="518"/>
      <c r="CR19" s="518"/>
      <c r="CS19" s="518"/>
      <c r="CT19" s="518"/>
      <c r="CU19" s="518"/>
      <c r="CV19" s="518"/>
      <c r="CW19" s="518"/>
      <c r="CX19" s="518"/>
      <c r="CY19" s="518"/>
      <c r="CZ19" s="518"/>
      <c r="DA19" s="518"/>
      <c r="DB19" s="518"/>
      <c r="DC19" s="518"/>
      <c r="DD19" s="518"/>
      <c r="DE19" s="518"/>
      <c r="DF19" s="518"/>
      <c r="DG19" s="518"/>
      <c r="DH19" s="518"/>
      <c r="DI19" s="518"/>
      <c r="DJ19" s="518"/>
      <c r="DK19" s="518"/>
      <c r="DL19" s="518"/>
      <c r="DM19" s="518"/>
      <c r="DN19" s="518"/>
      <c r="DO19" s="518"/>
      <c r="DP19" s="518"/>
      <c r="DQ19" s="518"/>
      <c r="DR19" s="518"/>
      <c r="DS19" s="518"/>
      <c r="DT19" s="518"/>
      <c r="DU19" s="518"/>
      <c r="DV19" s="518"/>
      <c r="DW19" s="518"/>
      <c r="DX19" s="518"/>
      <c r="DY19" s="518"/>
      <c r="DZ19" s="518"/>
      <c r="EA19" s="518"/>
      <c r="EB19" s="518"/>
      <c r="EC19" s="518"/>
      <c r="ED19" s="518"/>
      <c r="EE19" s="518"/>
      <c r="EF19" s="518"/>
      <c r="EG19" s="518"/>
      <c r="EH19" s="518"/>
      <c r="EI19" s="518"/>
      <c r="EJ19" s="518"/>
      <c r="EK19" s="518"/>
      <c r="EL19" s="518"/>
      <c r="EM19" s="518"/>
      <c r="EN19" s="518"/>
      <c r="EO19" s="518"/>
      <c r="EP19" s="518"/>
      <c r="EQ19" s="518"/>
      <c r="ER19" s="518"/>
      <c r="ES19" s="518"/>
      <c r="ET19" s="518"/>
      <c r="EU19" s="518"/>
      <c r="EV19" s="518"/>
      <c r="EW19" s="518"/>
      <c r="EX19" s="518"/>
      <c r="EY19" s="518"/>
      <c r="EZ19" s="518"/>
      <c r="FA19" s="518"/>
      <c r="FB19" s="518"/>
      <c r="FC19" s="518"/>
      <c r="FD19" s="518"/>
      <c r="FE19" s="518"/>
      <c r="FF19" s="518"/>
      <c r="FG19" s="518"/>
      <c r="FH19" s="518"/>
      <c r="FI19" s="518"/>
      <c r="FJ19" s="518"/>
      <c r="FK19" s="518"/>
      <c r="FL19" s="518"/>
      <c r="FM19" s="518"/>
      <c r="FN19" s="518"/>
      <c r="FO19" s="518"/>
      <c r="FP19" s="518"/>
      <c r="FQ19" s="518"/>
      <c r="FR19" s="518"/>
      <c r="FS19" s="518"/>
      <c r="FT19" s="518"/>
      <c r="FU19" s="518"/>
      <c r="FV19" s="518"/>
      <c r="FW19" s="518"/>
      <c r="FX19" s="518"/>
      <c r="FY19" s="518"/>
      <c r="FZ19" s="518"/>
      <c r="GA19" s="518"/>
      <c r="GB19" s="518"/>
      <c r="GC19" s="518"/>
      <c r="GD19" s="518"/>
      <c r="GE19" s="518"/>
      <c r="GF19" s="518"/>
      <c r="GG19" s="518"/>
      <c r="GH19" s="518"/>
      <c r="GI19" s="518"/>
      <c r="GJ19" s="518"/>
      <c r="GK19" s="518"/>
      <c r="GL19" s="518"/>
      <c r="GM19" s="518"/>
      <c r="GN19" s="518"/>
      <c r="GO19" s="518"/>
      <c r="GP19" s="518"/>
      <c r="GQ19" s="518"/>
      <c r="GR19" s="518"/>
      <c r="GS19" s="518"/>
      <c r="GT19" s="518"/>
      <c r="GU19" s="518"/>
      <c r="GV19" s="518"/>
      <c r="GW19" s="518"/>
      <c r="GX19" s="518"/>
      <c r="GY19" s="518"/>
      <c r="GZ19" s="518"/>
      <c r="HA19" s="518"/>
      <c r="HB19" s="518"/>
      <c r="HC19" s="518"/>
      <c r="HD19" s="518"/>
      <c r="HE19" s="518"/>
      <c r="HF19" s="518"/>
      <c r="HG19" s="518"/>
      <c r="HH19" s="518"/>
      <c r="HI19" s="518"/>
      <c r="HJ19" s="518"/>
      <c r="HK19" s="518"/>
      <c r="HL19" s="518"/>
      <c r="HM19" s="518"/>
      <c r="HN19" s="518"/>
      <c r="HO19" s="518"/>
    </row>
    <row r="20" spans="1:29" ht="24.75" customHeight="1" thickTop="1">
      <c r="A20" s="414"/>
      <c r="B20" s="368"/>
      <c r="C20" s="395"/>
      <c r="D20" s="396"/>
      <c r="E20" s="396"/>
      <c r="F20" s="369"/>
      <c r="G20" s="371"/>
      <c r="H20" s="372"/>
      <c r="I20" s="372"/>
      <c r="J20" s="397"/>
      <c r="K20" s="1223">
        <f>SUM(J20:J23)</f>
        <v>0</v>
      </c>
      <c r="L20" s="1092" t="s">
        <v>111</v>
      </c>
      <c r="M20" s="1093"/>
      <c r="N20" s="1093"/>
      <c r="O20" s="1093"/>
      <c r="P20" s="331">
        <v>2000000</v>
      </c>
      <c r="Q20" s="1223">
        <f>SUM(P20:P23)</f>
        <v>57715794</v>
      </c>
      <c r="R20" s="1135" t="s">
        <v>764</v>
      </c>
      <c r="S20" s="1136"/>
      <c r="T20" s="1136"/>
      <c r="U20" s="1136"/>
      <c r="V20" s="525">
        <v>8000000</v>
      </c>
      <c r="W20" s="1214">
        <f>SUM(V20:V23)</f>
        <v>140006417</v>
      </c>
      <c r="X20" s="398"/>
      <c r="Y20" s="399"/>
      <c r="Z20" s="400"/>
      <c r="AA20" s="398"/>
      <c r="AB20" s="399"/>
      <c r="AC20" s="381"/>
    </row>
    <row r="21" spans="1:29" ht="24.75" customHeight="1">
      <c r="A21" s="414"/>
      <c r="B21" s="368"/>
      <c r="C21" s="395"/>
      <c r="D21" s="396"/>
      <c r="E21" s="368"/>
      <c r="F21" s="369"/>
      <c r="G21" s="371"/>
      <c r="H21" s="372"/>
      <c r="I21" s="372"/>
      <c r="J21" s="397"/>
      <c r="K21" s="1094"/>
      <c r="L21" s="1088" t="s">
        <v>830</v>
      </c>
      <c r="M21" s="1089"/>
      <c r="N21" s="1089"/>
      <c r="O21" s="1089"/>
      <c r="P21" s="331">
        <v>52411853</v>
      </c>
      <c r="Q21" s="1094"/>
      <c r="R21" s="1135" t="s">
        <v>766</v>
      </c>
      <c r="S21" s="1136"/>
      <c r="T21" s="1136"/>
      <c r="U21" s="1136"/>
      <c r="V21" s="525">
        <v>117194</v>
      </c>
      <c r="W21" s="1081"/>
      <c r="X21" s="858"/>
      <c r="Y21" s="396"/>
      <c r="Z21" s="368"/>
      <c r="AA21" s="414"/>
      <c r="AB21" s="396"/>
      <c r="AC21" s="369"/>
    </row>
    <row r="22" spans="1:29" ht="24.75" customHeight="1">
      <c r="A22" s="414"/>
      <c r="B22" s="368"/>
      <c r="C22" s="395"/>
      <c r="D22" s="396"/>
      <c r="E22" s="368"/>
      <c r="F22" s="369"/>
      <c r="G22" s="371"/>
      <c r="H22" s="372"/>
      <c r="I22" s="372"/>
      <c r="J22" s="397"/>
      <c r="K22" s="1094"/>
      <c r="L22" s="1088" t="s">
        <v>1075</v>
      </c>
      <c r="M22" s="1089"/>
      <c r="N22" s="1089"/>
      <c r="O22" s="1089"/>
      <c r="P22" s="331">
        <v>3303941</v>
      </c>
      <c r="Q22" s="1094"/>
      <c r="R22" s="1092" t="s">
        <v>768</v>
      </c>
      <c r="S22" s="1093"/>
      <c r="T22" s="1093"/>
      <c r="U22" s="1093"/>
      <c r="V22" s="525">
        <f>130189368-4015200+55</f>
        <v>126174223</v>
      </c>
      <c r="W22" s="1081"/>
      <c r="X22" s="858"/>
      <c r="Y22" s="396"/>
      <c r="Z22" s="368"/>
      <c r="AA22" s="414"/>
      <c r="AB22" s="396"/>
      <c r="AC22" s="369"/>
    </row>
    <row r="23" spans="1:29" ht="25.5" customHeight="1" thickBot="1">
      <c r="A23" s="1108" t="s">
        <v>501</v>
      </c>
      <c r="B23" s="1099"/>
      <c r="C23" s="1100"/>
      <c r="D23" s="401">
        <f>SUM('6. kiadások megbontása'!G57)</f>
        <v>232495074</v>
      </c>
      <c r="E23" s="349">
        <f>SUM('6. kiadások megbontása'!H57)</f>
        <v>903783957</v>
      </c>
      <c r="F23" s="350">
        <f>SUM(D23:E23)</f>
        <v>1136279031</v>
      </c>
      <c r="G23" s="402"/>
      <c r="H23" s="333"/>
      <c r="I23" s="333"/>
      <c r="J23" s="360"/>
      <c r="K23" s="1082"/>
      <c r="L23" s="1088"/>
      <c r="M23" s="1089"/>
      <c r="N23" s="1089"/>
      <c r="O23" s="1089"/>
      <c r="P23" s="331"/>
      <c r="Q23" s="1082"/>
      <c r="R23" s="1137" t="s">
        <v>765</v>
      </c>
      <c r="S23" s="1138"/>
      <c r="T23" s="1138"/>
      <c r="U23" s="1138"/>
      <c r="V23" s="524">
        <v>5715000</v>
      </c>
      <c r="W23" s="1215"/>
      <c r="X23" s="403">
        <f>SUM(W20,Q20,K20)</f>
        <v>197722211</v>
      </c>
      <c r="Y23" s="362">
        <f>SUM(Q24,W24,K24)</f>
        <v>893086134</v>
      </c>
      <c r="Z23" s="363">
        <f>SUM(X23:Y23)</f>
        <v>1090808345</v>
      </c>
      <c r="AA23" s="361">
        <f>X23-D23</f>
        <v>-34772863</v>
      </c>
      <c r="AB23" s="362">
        <f>Y23-E23</f>
        <v>-10697823</v>
      </c>
      <c r="AC23" s="364">
        <f>SUM(AA23:AB23)</f>
        <v>-45470686</v>
      </c>
    </row>
    <row r="24" spans="1:29" ht="29.25" customHeight="1">
      <c r="A24" s="345"/>
      <c r="B24" s="346"/>
      <c r="C24" s="347"/>
      <c r="D24" s="401"/>
      <c r="E24" s="349"/>
      <c r="F24" s="350"/>
      <c r="G24" s="657"/>
      <c r="H24" s="658"/>
      <c r="I24" s="658"/>
      <c r="J24" s="376"/>
      <c r="K24" s="1080">
        <f>SUM(J24)</f>
        <v>0</v>
      </c>
      <c r="L24" s="1074" t="s">
        <v>985</v>
      </c>
      <c r="M24" s="1075"/>
      <c r="N24" s="1075"/>
      <c r="O24" s="1075"/>
      <c r="P24" s="784">
        <v>4990349</v>
      </c>
      <c r="Q24" s="1080">
        <f>SUM(P24:P27)</f>
        <v>16559692</v>
      </c>
      <c r="R24" s="1135" t="s">
        <v>763</v>
      </c>
      <c r="S24" s="1136"/>
      <c r="T24" s="1136"/>
      <c r="U24" s="1136"/>
      <c r="V24" s="526">
        <f>876526497-55</f>
        <v>876526442</v>
      </c>
      <c r="W24" s="1212">
        <f>SUM(V24:V27)</f>
        <v>876526442</v>
      </c>
      <c r="X24" s="404"/>
      <c r="Y24" s="362"/>
      <c r="Z24" s="363"/>
      <c r="AA24" s="361"/>
      <c r="AB24" s="362"/>
      <c r="AC24" s="364"/>
    </row>
    <row r="25" spans="1:29" ht="29.25" customHeight="1">
      <c r="A25" s="345"/>
      <c r="B25" s="346"/>
      <c r="C25" s="347"/>
      <c r="D25" s="401"/>
      <c r="E25" s="349"/>
      <c r="F25" s="350"/>
      <c r="G25" s="402"/>
      <c r="H25" s="333"/>
      <c r="I25" s="333"/>
      <c r="J25" s="360"/>
      <c r="K25" s="1094"/>
      <c r="L25" s="1088" t="s">
        <v>828</v>
      </c>
      <c r="M25" s="1089"/>
      <c r="N25" s="1089"/>
      <c r="O25" s="1089"/>
      <c r="P25" s="523">
        <v>9889960</v>
      </c>
      <c r="Q25" s="1094"/>
      <c r="R25" s="928"/>
      <c r="S25" s="836"/>
      <c r="T25" s="836"/>
      <c r="U25" s="836"/>
      <c r="V25" s="526"/>
      <c r="W25" s="1213"/>
      <c r="X25" s="404"/>
      <c r="Y25" s="362"/>
      <c r="Z25" s="363"/>
      <c r="AA25" s="361"/>
      <c r="AB25" s="362"/>
      <c r="AC25" s="364"/>
    </row>
    <row r="26" spans="1:29" ht="29.25" customHeight="1">
      <c r="A26" s="345"/>
      <c r="B26" s="346"/>
      <c r="C26" s="347"/>
      <c r="D26" s="401"/>
      <c r="E26" s="349"/>
      <c r="F26" s="350"/>
      <c r="G26" s="402"/>
      <c r="H26" s="333"/>
      <c r="I26" s="333"/>
      <c r="J26" s="360"/>
      <c r="K26" s="1094"/>
      <c r="L26" s="1088" t="s">
        <v>1075</v>
      </c>
      <c r="M26" s="1089"/>
      <c r="N26" s="1089"/>
      <c r="O26" s="1089"/>
      <c r="P26" s="331">
        <v>779383</v>
      </c>
      <c r="Q26" s="1094"/>
      <c r="R26" s="928"/>
      <c r="S26" s="836"/>
      <c r="T26" s="836"/>
      <c r="U26" s="836"/>
      <c r="V26" s="526"/>
      <c r="W26" s="1213"/>
      <c r="X26" s="404"/>
      <c r="Y26" s="362"/>
      <c r="Z26" s="363"/>
      <c r="AA26" s="361"/>
      <c r="AB26" s="362"/>
      <c r="AC26" s="364"/>
    </row>
    <row r="27" spans="1:29" ht="25.5" customHeight="1" thickBot="1">
      <c r="A27" s="345"/>
      <c r="B27" s="346"/>
      <c r="C27" s="347"/>
      <c r="D27" s="401"/>
      <c r="E27" s="349"/>
      <c r="F27" s="350"/>
      <c r="G27" s="402"/>
      <c r="H27" s="333"/>
      <c r="I27" s="333"/>
      <c r="J27" s="360"/>
      <c r="K27" s="1094"/>
      <c r="L27" s="1137" t="s">
        <v>1080</v>
      </c>
      <c r="M27" s="1138"/>
      <c r="N27" s="1138"/>
      <c r="O27" s="1138"/>
      <c r="P27" s="711">
        <v>900000</v>
      </c>
      <c r="Q27" s="1094"/>
      <c r="R27" s="499"/>
      <c r="S27" s="656"/>
      <c r="T27" s="656"/>
      <c r="U27" s="656"/>
      <c r="V27" s="525"/>
      <c r="W27" s="1213"/>
      <c r="X27" s="404"/>
      <c r="Y27" s="362"/>
      <c r="Z27" s="363"/>
      <c r="AA27" s="361"/>
      <c r="AB27" s="362"/>
      <c r="AC27" s="364"/>
    </row>
    <row r="28" spans="1:223" s="498" customFormat="1" ht="25.5" customHeight="1" thickBot="1">
      <c r="A28" s="1205" t="s">
        <v>94</v>
      </c>
      <c r="B28" s="1206"/>
      <c r="C28" s="1207"/>
      <c r="D28" s="789">
        <f>SUM(D9:D27)</f>
        <v>838951660</v>
      </c>
      <c r="E28" s="790">
        <f>SUM(E8:E27)</f>
        <v>1234096611</v>
      </c>
      <c r="F28" s="791">
        <f>SUM(F8:F27)</f>
        <v>2073048271</v>
      </c>
      <c r="G28" s="513"/>
      <c r="H28" s="1105" t="s">
        <v>95</v>
      </c>
      <c r="I28" s="1106"/>
      <c r="J28" s="1107"/>
      <c r="K28" s="823">
        <f>SUM(K8:K27)</f>
        <v>167465133</v>
      </c>
      <c r="L28" s="511"/>
      <c r="M28" s="1090" t="s">
        <v>96</v>
      </c>
      <c r="N28" s="1090"/>
      <c r="O28" s="1090"/>
      <c r="P28" s="1091"/>
      <c r="Q28" s="823">
        <f>SUM(Q8:Q27)</f>
        <v>176253080</v>
      </c>
      <c r="R28" s="511"/>
      <c r="S28" s="1090" t="s">
        <v>97</v>
      </c>
      <c r="T28" s="1090"/>
      <c r="U28" s="1090"/>
      <c r="V28" s="1091"/>
      <c r="W28" s="823">
        <f>SUM(W8:W27)</f>
        <v>1793342317</v>
      </c>
      <c r="X28" s="824">
        <f>SUM(X8:X27)</f>
        <v>862044318</v>
      </c>
      <c r="Y28" s="796">
        <f>SUM(Y8:Y27)</f>
        <v>1275016212</v>
      </c>
      <c r="Z28" s="797">
        <f>SUM(X28:Y28)</f>
        <v>2137060530</v>
      </c>
      <c r="AA28" s="798">
        <f>SUM(AA11:AA27)</f>
        <v>23092658</v>
      </c>
      <c r="AB28" s="799">
        <f>SUM(AB10:AB27)</f>
        <v>40919601</v>
      </c>
      <c r="AC28" s="825">
        <f>SUM(AA28:AB28)</f>
        <v>64012259</v>
      </c>
      <c r="AD28" s="518"/>
      <c r="AE28" s="518"/>
      <c r="AF28" s="518"/>
      <c r="AG28" s="518"/>
      <c r="AH28" s="518"/>
      <c r="AI28" s="518"/>
      <c r="AJ28" s="518"/>
      <c r="AK28" s="518"/>
      <c r="AL28" s="518"/>
      <c r="AM28" s="518"/>
      <c r="AN28" s="518"/>
      <c r="AO28" s="518"/>
      <c r="AP28" s="518"/>
      <c r="AQ28" s="518"/>
      <c r="AR28" s="518"/>
      <c r="AS28" s="518"/>
      <c r="AT28" s="518"/>
      <c r="AU28" s="518"/>
      <c r="AV28" s="518"/>
      <c r="AW28" s="518"/>
      <c r="AX28" s="518"/>
      <c r="AY28" s="518"/>
      <c r="AZ28" s="518"/>
      <c r="BA28" s="518"/>
      <c r="BB28" s="518"/>
      <c r="BC28" s="518"/>
      <c r="BD28" s="518"/>
      <c r="BE28" s="518"/>
      <c r="BF28" s="518"/>
      <c r="BG28" s="518"/>
      <c r="BH28" s="518"/>
      <c r="BI28" s="518"/>
      <c r="BJ28" s="518"/>
      <c r="BK28" s="518"/>
      <c r="BL28" s="518"/>
      <c r="BM28" s="518"/>
      <c r="BN28" s="518"/>
      <c r="BO28" s="518"/>
      <c r="BP28" s="518"/>
      <c r="BQ28" s="518"/>
      <c r="BR28" s="518"/>
      <c r="BS28" s="518"/>
      <c r="BT28" s="518"/>
      <c r="BU28" s="518"/>
      <c r="BV28" s="518"/>
      <c r="BW28" s="518"/>
      <c r="BX28" s="518"/>
      <c r="BY28" s="518"/>
      <c r="BZ28" s="518"/>
      <c r="CA28" s="518"/>
      <c r="CB28" s="518"/>
      <c r="CC28" s="518"/>
      <c r="CD28" s="518"/>
      <c r="CE28" s="518"/>
      <c r="CF28" s="518"/>
      <c r="CG28" s="518"/>
      <c r="CH28" s="518"/>
      <c r="CI28" s="518"/>
      <c r="CJ28" s="518"/>
      <c r="CK28" s="518"/>
      <c r="CL28" s="518"/>
      <c r="CM28" s="518"/>
      <c r="CN28" s="518"/>
      <c r="CO28" s="518"/>
      <c r="CP28" s="518"/>
      <c r="CQ28" s="518"/>
      <c r="CR28" s="518"/>
      <c r="CS28" s="518"/>
      <c r="CT28" s="518"/>
      <c r="CU28" s="518"/>
      <c r="CV28" s="518"/>
      <c r="CW28" s="518"/>
      <c r="CX28" s="518"/>
      <c r="CY28" s="518"/>
      <c r="CZ28" s="518"/>
      <c r="DA28" s="518"/>
      <c r="DB28" s="518"/>
      <c r="DC28" s="518"/>
      <c r="DD28" s="518"/>
      <c r="DE28" s="518"/>
      <c r="DF28" s="518"/>
      <c r="DG28" s="518"/>
      <c r="DH28" s="518"/>
      <c r="DI28" s="518"/>
      <c r="DJ28" s="518"/>
      <c r="DK28" s="518"/>
      <c r="DL28" s="518"/>
      <c r="DM28" s="518"/>
      <c r="DN28" s="518"/>
      <c r="DO28" s="518"/>
      <c r="DP28" s="518"/>
      <c r="DQ28" s="518"/>
      <c r="DR28" s="518"/>
      <c r="DS28" s="518"/>
      <c r="DT28" s="518"/>
      <c r="DU28" s="518"/>
      <c r="DV28" s="518"/>
      <c r="DW28" s="518"/>
      <c r="DX28" s="518"/>
      <c r="DY28" s="518"/>
      <c r="DZ28" s="518"/>
      <c r="EA28" s="518"/>
      <c r="EB28" s="518"/>
      <c r="EC28" s="518"/>
      <c r="ED28" s="518"/>
      <c r="EE28" s="518"/>
      <c r="EF28" s="518"/>
      <c r="EG28" s="518"/>
      <c r="EH28" s="518"/>
      <c r="EI28" s="518"/>
      <c r="EJ28" s="518"/>
      <c r="EK28" s="518"/>
      <c r="EL28" s="518"/>
      <c r="EM28" s="518"/>
      <c r="EN28" s="518"/>
      <c r="EO28" s="518"/>
      <c r="EP28" s="518"/>
      <c r="EQ28" s="518"/>
      <c r="ER28" s="518"/>
      <c r="ES28" s="518"/>
      <c r="ET28" s="518"/>
      <c r="EU28" s="518"/>
      <c r="EV28" s="518"/>
      <c r="EW28" s="518"/>
      <c r="EX28" s="518"/>
      <c r="EY28" s="518"/>
      <c r="EZ28" s="518"/>
      <c r="FA28" s="518"/>
      <c r="FB28" s="518"/>
      <c r="FC28" s="518"/>
      <c r="FD28" s="518"/>
      <c r="FE28" s="518"/>
      <c r="FF28" s="518"/>
      <c r="FG28" s="518"/>
      <c r="FH28" s="518"/>
      <c r="FI28" s="518"/>
      <c r="FJ28" s="518"/>
      <c r="FK28" s="518"/>
      <c r="FL28" s="518"/>
      <c r="FM28" s="518"/>
      <c r="FN28" s="518"/>
      <c r="FO28" s="518"/>
      <c r="FP28" s="518"/>
      <c r="FQ28" s="518"/>
      <c r="FR28" s="518"/>
      <c r="FS28" s="518"/>
      <c r="FT28" s="518"/>
      <c r="FU28" s="518"/>
      <c r="FV28" s="518"/>
      <c r="FW28" s="518"/>
      <c r="FX28" s="518"/>
      <c r="FY28" s="518"/>
      <c r="FZ28" s="518"/>
      <c r="GA28" s="518"/>
      <c r="GB28" s="518"/>
      <c r="GC28" s="518"/>
      <c r="GD28" s="518"/>
      <c r="GE28" s="518"/>
      <c r="GF28" s="518"/>
      <c r="GG28" s="518"/>
      <c r="GH28" s="518"/>
      <c r="GI28" s="518"/>
      <c r="GJ28" s="518"/>
      <c r="GK28" s="518"/>
      <c r="GL28" s="518"/>
      <c r="GM28" s="518"/>
      <c r="GN28" s="518"/>
      <c r="GO28" s="518"/>
      <c r="GP28" s="518"/>
      <c r="GQ28" s="518"/>
      <c r="GR28" s="518"/>
      <c r="GS28" s="518"/>
      <c r="GT28" s="518"/>
      <c r="GU28" s="518"/>
      <c r="GV28" s="518"/>
      <c r="GW28" s="518"/>
      <c r="GX28" s="518"/>
      <c r="GY28" s="518"/>
      <c r="GZ28" s="518"/>
      <c r="HA28" s="518"/>
      <c r="HB28" s="518"/>
      <c r="HC28" s="518"/>
      <c r="HD28" s="518"/>
      <c r="HE28" s="518"/>
      <c r="HF28" s="518"/>
      <c r="HG28" s="518"/>
      <c r="HH28" s="518"/>
      <c r="HI28" s="518"/>
      <c r="HJ28" s="518"/>
      <c r="HK28" s="518"/>
      <c r="HL28" s="518"/>
      <c r="HM28" s="518"/>
      <c r="HN28" s="518"/>
      <c r="HO28" s="518"/>
    </row>
    <row r="29" spans="1:29" ht="27.75" customHeight="1" thickBot="1" thickTop="1">
      <c r="A29" s="1111" t="s">
        <v>98</v>
      </c>
      <c r="B29" s="1112"/>
      <c r="C29" s="1113"/>
      <c r="D29" s="1124" t="s">
        <v>370</v>
      </c>
      <c r="E29" s="1118"/>
      <c r="F29" s="1119"/>
      <c r="G29" s="1125" t="s">
        <v>523</v>
      </c>
      <c r="H29" s="1118"/>
      <c r="I29" s="1118"/>
      <c r="J29" s="1118"/>
      <c r="K29" s="1122"/>
      <c r="L29" s="1117" t="s">
        <v>524</v>
      </c>
      <c r="M29" s="1118"/>
      <c r="N29" s="1118"/>
      <c r="O29" s="1118"/>
      <c r="P29" s="1118"/>
      <c r="Q29" s="1122"/>
      <c r="R29" s="1117" t="s">
        <v>525</v>
      </c>
      <c r="S29" s="1118"/>
      <c r="T29" s="1118"/>
      <c r="U29" s="1118"/>
      <c r="V29" s="1118"/>
      <c r="W29" s="1119"/>
      <c r="X29" s="1086" t="s">
        <v>526</v>
      </c>
      <c r="Y29" s="1087"/>
      <c r="Z29" s="1087"/>
      <c r="AA29" s="1083" t="s">
        <v>88</v>
      </c>
      <c r="AB29" s="1084"/>
      <c r="AC29" s="1085"/>
    </row>
    <row r="30" spans="1:223" s="410" customFormat="1" ht="18.75" customHeight="1" thickBot="1" thickTop="1">
      <c r="A30" s="1114"/>
      <c r="B30" s="1115"/>
      <c r="C30" s="1116"/>
      <c r="D30" s="494" t="s">
        <v>89</v>
      </c>
      <c r="E30" s="822" t="s">
        <v>85</v>
      </c>
      <c r="F30" s="325" t="s">
        <v>90</v>
      </c>
      <c r="G30" s="1126"/>
      <c r="H30" s="1121"/>
      <c r="I30" s="1121"/>
      <c r="J30" s="1127"/>
      <c r="K30" s="1123"/>
      <c r="L30" s="1120"/>
      <c r="M30" s="1121"/>
      <c r="N30" s="1121"/>
      <c r="O30" s="1121"/>
      <c r="P30" s="1121"/>
      <c r="Q30" s="1123"/>
      <c r="R30" s="1120"/>
      <c r="S30" s="1121"/>
      <c r="T30" s="1121"/>
      <c r="U30" s="1121"/>
      <c r="V30" s="1121"/>
      <c r="W30" s="1202"/>
      <c r="X30" s="807" t="s">
        <v>89</v>
      </c>
      <c r="Y30" s="810" t="s">
        <v>85</v>
      </c>
      <c r="Z30" s="325" t="s">
        <v>90</v>
      </c>
      <c r="AA30" s="801" t="s">
        <v>89</v>
      </c>
      <c r="AB30" s="494" t="s">
        <v>85</v>
      </c>
      <c r="AC30" s="325" t="s">
        <v>90</v>
      </c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  <c r="CV30" s="322"/>
      <c r="CW30" s="322"/>
      <c r="CX30" s="322"/>
      <c r="CY30" s="322"/>
      <c r="CZ30" s="322"/>
      <c r="DA30" s="322"/>
      <c r="DB30" s="322"/>
      <c r="DC30" s="322"/>
      <c r="DD30" s="322"/>
      <c r="DE30" s="322"/>
      <c r="DF30" s="322"/>
      <c r="DG30" s="322"/>
      <c r="DH30" s="322"/>
      <c r="DI30" s="322"/>
      <c r="DJ30" s="322"/>
      <c r="DK30" s="322"/>
      <c r="DL30" s="322"/>
      <c r="DM30" s="322"/>
      <c r="DN30" s="322"/>
      <c r="DO30" s="322"/>
      <c r="DP30" s="322"/>
      <c r="DQ30" s="322"/>
      <c r="DR30" s="322"/>
      <c r="DS30" s="322"/>
      <c r="DT30" s="322"/>
      <c r="DU30" s="322"/>
      <c r="DV30" s="322"/>
      <c r="DW30" s="322"/>
      <c r="DX30" s="322"/>
      <c r="DY30" s="322"/>
      <c r="DZ30" s="322"/>
      <c r="EA30" s="322"/>
      <c r="EB30" s="322"/>
      <c r="EC30" s="322"/>
      <c r="ED30" s="322"/>
      <c r="EE30" s="322"/>
      <c r="EF30" s="322"/>
      <c r="EG30" s="322"/>
      <c r="EH30" s="322"/>
      <c r="EI30" s="322"/>
      <c r="EJ30" s="322"/>
      <c r="EK30" s="322"/>
      <c r="EL30" s="322"/>
      <c r="EM30" s="322"/>
      <c r="EN30" s="322"/>
      <c r="EO30" s="322"/>
      <c r="EP30" s="322"/>
      <c r="EQ30" s="322"/>
      <c r="ER30" s="322"/>
      <c r="ES30" s="322"/>
      <c r="ET30" s="322"/>
      <c r="EU30" s="322"/>
      <c r="EV30" s="322"/>
      <c r="EW30" s="322"/>
      <c r="EX30" s="322"/>
      <c r="EY30" s="322"/>
      <c r="EZ30" s="322"/>
      <c r="FA30" s="322"/>
      <c r="FB30" s="322"/>
      <c r="FC30" s="322"/>
      <c r="FD30" s="322"/>
      <c r="FE30" s="322"/>
      <c r="FF30" s="322"/>
      <c r="FG30" s="322"/>
      <c r="FH30" s="322"/>
      <c r="FI30" s="322"/>
      <c r="FJ30" s="322"/>
      <c r="FK30" s="322"/>
      <c r="FL30" s="322"/>
      <c r="FM30" s="322"/>
      <c r="FN30" s="322"/>
      <c r="FO30" s="322"/>
      <c r="FP30" s="322"/>
      <c r="FQ30" s="322"/>
      <c r="FR30" s="322"/>
      <c r="FS30" s="322"/>
      <c r="FT30" s="322"/>
      <c r="FU30" s="322"/>
      <c r="FV30" s="322"/>
      <c r="FW30" s="322"/>
      <c r="FX30" s="322"/>
      <c r="FY30" s="322"/>
      <c r="FZ30" s="322"/>
      <c r="GA30" s="322"/>
      <c r="GB30" s="322"/>
      <c r="GC30" s="322"/>
      <c r="GD30" s="322"/>
      <c r="GE30" s="322"/>
      <c r="GF30" s="322"/>
      <c r="GG30" s="322"/>
      <c r="GH30" s="322"/>
      <c r="GI30" s="322"/>
      <c r="GJ30" s="322"/>
      <c r="GK30" s="322"/>
      <c r="GL30" s="322"/>
      <c r="GM30" s="322"/>
      <c r="GN30" s="322"/>
      <c r="GO30" s="322"/>
      <c r="GP30" s="322"/>
      <c r="GQ30" s="322"/>
      <c r="GR30" s="322"/>
      <c r="GS30" s="322"/>
      <c r="GT30" s="322"/>
      <c r="GU30" s="322"/>
      <c r="GV30" s="322"/>
      <c r="GW30" s="322"/>
      <c r="GX30" s="322"/>
      <c r="GY30" s="322"/>
      <c r="GZ30" s="322"/>
      <c r="HA30" s="322"/>
      <c r="HB30" s="322"/>
      <c r="HC30" s="322"/>
      <c r="HD30" s="322"/>
      <c r="HE30" s="322"/>
      <c r="HF30" s="322"/>
      <c r="HG30" s="322"/>
      <c r="HH30" s="322"/>
      <c r="HI30" s="322"/>
      <c r="HJ30" s="322"/>
      <c r="HK30" s="322"/>
      <c r="HL30" s="322"/>
      <c r="HM30" s="322"/>
      <c r="HN30" s="322"/>
      <c r="HO30" s="322"/>
    </row>
    <row r="31" spans="1:29" ht="12.75" customHeight="1">
      <c r="A31" s="326"/>
      <c r="B31" s="368"/>
      <c r="C31" s="368"/>
      <c r="D31" s="396"/>
      <c r="E31" s="368"/>
      <c r="F31" s="330"/>
      <c r="G31" s="1193" t="s">
        <v>481</v>
      </c>
      <c r="H31" s="1194"/>
      <c r="I31" s="1194"/>
      <c r="J31" s="1195">
        <v>119812800</v>
      </c>
      <c r="K31" s="1192">
        <f>SUM(J31:J34)</f>
        <v>130549619</v>
      </c>
      <c r="L31" s="1185"/>
      <c r="M31" s="1183"/>
      <c r="N31" s="1183"/>
      <c r="O31" s="1183"/>
      <c r="P31" s="1095"/>
      <c r="Q31" s="1080">
        <f>SUM(P31:P34)</f>
        <v>9390719</v>
      </c>
      <c r="R31" s="1232" t="s">
        <v>855</v>
      </c>
      <c r="S31" s="1194"/>
      <c r="T31" s="1194"/>
      <c r="U31" s="1194"/>
      <c r="V31" s="1095">
        <v>250000</v>
      </c>
      <c r="W31" s="1140">
        <f>SUM(V31:V34)</f>
        <v>8587068</v>
      </c>
      <c r="X31" s="411"/>
      <c r="Y31" s="412"/>
      <c r="Z31" s="413"/>
      <c r="AA31" s="326"/>
      <c r="AB31" s="343"/>
      <c r="AC31" s="344"/>
    </row>
    <row r="32" spans="1:29" ht="12.75" customHeight="1">
      <c r="A32" s="414"/>
      <c r="B32" s="366"/>
      <c r="C32" s="366"/>
      <c r="D32" s="415"/>
      <c r="E32" s="368"/>
      <c r="F32" s="369"/>
      <c r="G32" s="1184"/>
      <c r="H32" s="1093"/>
      <c r="I32" s="1093"/>
      <c r="J32" s="1196"/>
      <c r="K32" s="1094"/>
      <c r="L32" s="1135"/>
      <c r="M32" s="1136"/>
      <c r="N32" s="1136"/>
      <c r="O32" s="1136"/>
      <c r="P32" s="1096"/>
      <c r="Q32" s="1094"/>
      <c r="R32" s="1092"/>
      <c r="S32" s="1093"/>
      <c r="T32" s="1093"/>
      <c r="U32" s="1093"/>
      <c r="V32" s="1096"/>
      <c r="W32" s="1141"/>
      <c r="X32" s="416"/>
      <c r="Y32" s="352"/>
      <c r="Z32" s="342"/>
      <c r="AA32" s="353"/>
      <c r="AB32" s="354"/>
      <c r="AC32" s="355"/>
    </row>
    <row r="33" spans="1:29" ht="24.75" customHeight="1">
      <c r="A33" s="414"/>
      <c r="B33" s="1099" t="s">
        <v>500</v>
      </c>
      <c r="C33" s="1100"/>
      <c r="D33" s="401">
        <f>SUM('6. kiadások megbontása'!D63)</f>
        <v>158846372</v>
      </c>
      <c r="E33" s="349">
        <f>SUM('6. kiadások megbontása'!E63)</f>
        <v>1016000</v>
      </c>
      <c r="F33" s="350">
        <f>SUM(D33:E33)</f>
        <v>159862372</v>
      </c>
      <c r="G33" s="1184" t="s">
        <v>1076</v>
      </c>
      <c r="H33" s="1093"/>
      <c r="I33" s="1093"/>
      <c r="J33" s="504">
        <f>33819+239000</f>
        <v>272819</v>
      </c>
      <c r="K33" s="1094"/>
      <c r="L33" s="1135" t="s">
        <v>762</v>
      </c>
      <c r="M33" s="1136"/>
      <c r="N33" s="1136"/>
      <c r="O33" s="1136"/>
      <c r="P33" s="523">
        <v>7430000</v>
      </c>
      <c r="Q33" s="1094"/>
      <c r="R33" s="1092" t="s">
        <v>531</v>
      </c>
      <c r="S33" s="1093"/>
      <c r="T33" s="1093"/>
      <c r="U33" s="1093"/>
      <c r="V33" s="521">
        <v>6799209</v>
      </c>
      <c r="W33" s="1141"/>
      <c r="X33" s="416">
        <f>SUM(W31,Q31,K31)</f>
        <v>148527406</v>
      </c>
      <c r="Y33" s="352">
        <v>0</v>
      </c>
      <c r="Z33" s="363">
        <f>SUM(Y33,X33)</f>
        <v>148527406</v>
      </c>
      <c r="AA33" s="361">
        <f>X33-D33</f>
        <v>-10318966</v>
      </c>
      <c r="AB33" s="362">
        <f>Y33-E33</f>
        <v>-1016000</v>
      </c>
      <c r="AC33" s="355">
        <f>SUM(AA33:AB33)</f>
        <v>-11334966</v>
      </c>
    </row>
    <row r="34" spans="1:29" ht="24.75" customHeight="1" thickBot="1">
      <c r="A34" s="414"/>
      <c r="B34" s="346"/>
      <c r="C34" s="346"/>
      <c r="D34" s="401"/>
      <c r="E34" s="349"/>
      <c r="F34" s="350"/>
      <c r="G34" s="1128" t="s">
        <v>1079</v>
      </c>
      <c r="H34" s="1129"/>
      <c r="I34" s="1129"/>
      <c r="J34" s="929">
        <v>10464000</v>
      </c>
      <c r="K34" s="1094"/>
      <c r="L34" s="1233" t="s">
        <v>1081</v>
      </c>
      <c r="M34" s="1234"/>
      <c r="N34" s="1234"/>
      <c r="O34" s="1234"/>
      <c r="P34" s="523">
        <v>1960719</v>
      </c>
      <c r="Q34" s="1094"/>
      <c r="R34" s="1097" t="s">
        <v>768</v>
      </c>
      <c r="S34" s="1098"/>
      <c r="T34" s="1098"/>
      <c r="U34" s="1098"/>
      <c r="V34" s="711">
        <v>1537859</v>
      </c>
      <c r="W34" s="1141"/>
      <c r="X34" s="416"/>
      <c r="Y34" s="352"/>
      <c r="Z34" s="363"/>
      <c r="AA34" s="361"/>
      <c r="AB34" s="362"/>
      <c r="AC34" s="355"/>
    </row>
    <row r="35" spans="1:29" ht="20.25" customHeight="1" thickBot="1">
      <c r="A35" s="1197" t="s">
        <v>501</v>
      </c>
      <c r="B35" s="1198"/>
      <c r="C35" s="1199"/>
      <c r="D35" s="856">
        <f>'6. kiadások megbontása'!G63</f>
        <v>4419110</v>
      </c>
      <c r="E35" s="844"/>
      <c r="F35" s="857">
        <f>SUM(D35:E35)</f>
        <v>4419110</v>
      </c>
      <c r="G35" s="845"/>
      <c r="H35" s="845"/>
      <c r="I35" s="845"/>
      <c r="J35" s="846"/>
      <c r="K35" s="847"/>
      <c r="L35" s="848"/>
      <c r="M35" s="849"/>
      <c r="N35" s="849"/>
      <c r="O35" s="849"/>
      <c r="P35" s="850"/>
      <c r="Q35" s="847"/>
      <c r="R35" s="1097" t="s">
        <v>768</v>
      </c>
      <c r="S35" s="1098"/>
      <c r="T35" s="1098"/>
      <c r="U35" s="1098"/>
      <c r="V35" s="851">
        <f>4015200+403910</f>
        <v>4419110</v>
      </c>
      <c r="W35" s="852">
        <f>SUM(V35)</f>
        <v>4419110</v>
      </c>
      <c r="X35" s="853">
        <f>SUM(W35)</f>
        <v>4419110</v>
      </c>
      <c r="Y35" s="854"/>
      <c r="Z35" s="945">
        <f>SUM(Y35,X35)</f>
        <v>4419110</v>
      </c>
      <c r="AA35" s="946">
        <f>X35-D35</f>
        <v>0</v>
      </c>
      <c r="AB35" s="947">
        <f>Y35-E35</f>
        <v>0</v>
      </c>
      <c r="AC35" s="855">
        <f>SUM(AA35:AB35)</f>
        <v>0</v>
      </c>
    </row>
    <row r="36" spans="1:29" ht="16.5" thickBot="1">
      <c r="A36" s="1186" t="s">
        <v>99</v>
      </c>
      <c r="B36" s="1187"/>
      <c r="C36" s="1188"/>
      <c r="D36" s="502">
        <f>SUM(D31:D35)</f>
        <v>163265482</v>
      </c>
      <c r="E36" s="502">
        <f>SUM(E31:E35)</f>
        <v>1016000</v>
      </c>
      <c r="F36" s="502">
        <f>SUM(F31:F35)</f>
        <v>164281482</v>
      </c>
      <c r="G36" s="505"/>
      <c r="H36" s="1189" t="s">
        <v>95</v>
      </c>
      <c r="I36" s="1190"/>
      <c r="J36" s="1191"/>
      <c r="K36" s="506">
        <f>SUM(K31:K34)</f>
        <v>130549619</v>
      </c>
      <c r="L36" s="405"/>
      <c r="M36" s="1078" t="s">
        <v>96</v>
      </c>
      <c r="N36" s="1078"/>
      <c r="O36" s="1078"/>
      <c r="P36" s="1079"/>
      <c r="Q36" s="506">
        <f>SUM(Q31:Q34)</f>
        <v>9390719</v>
      </c>
      <c r="R36" s="468"/>
      <c r="S36" s="1078" t="s">
        <v>97</v>
      </c>
      <c r="T36" s="1078"/>
      <c r="U36" s="1078"/>
      <c r="V36" s="1079"/>
      <c r="W36" s="507">
        <f>SUM(W31:W35)</f>
        <v>13006178</v>
      </c>
      <c r="X36" s="508">
        <f>SUM(X31:X35)</f>
        <v>152946516</v>
      </c>
      <c r="Y36" s="406">
        <v>0</v>
      </c>
      <c r="Z36" s="407">
        <f>SUM(X36:Y36)</f>
        <v>152946516</v>
      </c>
      <c r="AA36" s="408">
        <f>X36-D36</f>
        <v>-10318966</v>
      </c>
      <c r="AB36" s="409">
        <f>Y36-E36</f>
        <v>-1016000</v>
      </c>
      <c r="AC36" s="509">
        <f>SUM(AA36:AB36)</f>
        <v>-11334966</v>
      </c>
    </row>
    <row r="37" spans="1:29" ht="27.75" customHeight="1" thickBot="1" thickTop="1">
      <c r="A37" s="1111" t="s">
        <v>852</v>
      </c>
      <c r="B37" s="1112"/>
      <c r="C37" s="1113"/>
      <c r="D37" s="1124" t="s">
        <v>370</v>
      </c>
      <c r="E37" s="1118"/>
      <c r="F37" s="1119"/>
      <c r="G37" s="1125" t="s">
        <v>523</v>
      </c>
      <c r="H37" s="1118"/>
      <c r="I37" s="1118"/>
      <c r="J37" s="1118"/>
      <c r="K37" s="1122"/>
      <c r="L37" s="1117" t="s">
        <v>524</v>
      </c>
      <c r="M37" s="1118"/>
      <c r="N37" s="1118"/>
      <c r="O37" s="1118"/>
      <c r="P37" s="1118"/>
      <c r="Q37" s="1122"/>
      <c r="R37" s="1117" t="s">
        <v>525</v>
      </c>
      <c r="S37" s="1118"/>
      <c r="T37" s="1118"/>
      <c r="U37" s="1118"/>
      <c r="V37" s="1118"/>
      <c r="W37" s="1119"/>
      <c r="X37" s="1086" t="s">
        <v>526</v>
      </c>
      <c r="Y37" s="1087"/>
      <c r="Z37" s="1087"/>
      <c r="AA37" s="1083" t="s">
        <v>88</v>
      </c>
      <c r="AB37" s="1084"/>
      <c r="AC37" s="1085"/>
    </row>
    <row r="38" spans="1:223" s="410" customFormat="1" ht="18.75" customHeight="1" thickBot="1" thickTop="1">
      <c r="A38" s="1114"/>
      <c r="B38" s="1115"/>
      <c r="C38" s="1116"/>
      <c r="D38" s="494" t="s">
        <v>89</v>
      </c>
      <c r="E38" s="822" t="s">
        <v>85</v>
      </c>
      <c r="F38" s="325" t="s">
        <v>90</v>
      </c>
      <c r="G38" s="1126"/>
      <c r="H38" s="1121"/>
      <c r="I38" s="1121"/>
      <c r="J38" s="1127"/>
      <c r="K38" s="1123"/>
      <c r="L38" s="1120"/>
      <c r="M38" s="1121"/>
      <c r="N38" s="1121"/>
      <c r="O38" s="1121"/>
      <c r="P38" s="1121"/>
      <c r="Q38" s="1123"/>
      <c r="R38" s="1120"/>
      <c r="S38" s="1121"/>
      <c r="T38" s="1121"/>
      <c r="U38" s="1121"/>
      <c r="V38" s="1121"/>
      <c r="W38" s="1121"/>
      <c r="X38" s="809" t="s">
        <v>89</v>
      </c>
      <c r="Y38" s="810" t="s">
        <v>85</v>
      </c>
      <c r="Z38" s="325" t="s">
        <v>90</v>
      </c>
      <c r="AA38" s="801" t="s">
        <v>89</v>
      </c>
      <c r="AB38" s="494" t="s">
        <v>85</v>
      </c>
      <c r="AC38" s="325" t="s">
        <v>90</v>
      </c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N38" s="322"/>
      <c r="CO38" s="322"/>
      <c r="CP38" s="322"/>
      <c r="CQ38" s="322"/>
      <c r="CR38" s="322"/>
      <c r="CS38" s="322"/>
      <c r="CT38" s="322"/>
      <c r="CU38" s="322"/>
      <c r="CV38" s="322"/>
      <c r="CW38" s="322"/>
      <c r="CX38" s="322"/>
      <c r="CY38" s="322"/>
      <c r="CZ38" s="322"/>
      <c r="DA38" s="322"/>
      <c r="DB38" s="322"/>
      <c r="DC38" s="322"/>
      <c r="DD38" s="322"/>
      <c r="DE38" s="322"/>
      <c r="DF38" s="322"/>
      <c r="DG38" s="322"/>
      <c r="DH38" s="322"/>
      <c r="DI38" s="322"/>
      <c r="DJ38" s="322"/>
      <c r="DK38" s="322"/>
      <c r="DL38" s="322"/>
      <c r="DM38" s="322"/>
      <c r="DN38" s="322"/>
      <c r="DO38" s="322"/>
      <c r="DP38" s="322"/>
      <c r="DQ38" s="322"/>
      <c r="DR38" s="322"/>
      <c r="DS38" s="322"/>
      <c r="DT38" s="322"/>
      <c r="DU38" s="322"/>
      <c r="DV38" s="322"/>
      <c r="DW38" s="322"/>
      <c r="DX38" s="322"/>
      <c r="DY38" s="322"/>
      <c r="DZ38" s="322"/>
      <c r="EA38" s="322"/>
      <c r="EB38" s="322"/>
      <c r="EC38" s="322"/>
      <c r="ED38" s="322"/>
      <c r="EE38" s="322"/>
      <c r="EF38" s="322"/>
      <c r="EG38" s="322"/>
      <c r="EH38" s="322"/>
      <c r="EI38" s="322"/>
      <c r="EJ38" s="322"/>
      <c r="EK38" s="322"/>
      <c r="EL38" s="322"/>
      <c r="EM38" s="322"/>
      <c r="EN38" s="322"/>
      <c r="EO38" s="322"/>
      <c r="EP38" s="322"/>
      <c r="EQ38" s="322"/>
      <c r="ER38" s="322"/>
      <c r="ES38" s="322"/>
      <c r="ET38" s="322"/>
      <c r="EU38" s="322"/>
      <c r="EV38" s="322"/>
      <c r="EW38" s="322"/>
      <c r="EX38" s="322"/>
      <c r="EY38" s="322"/>
      <c r="EZ38" s="322"/>
      <c r="FA38" s="322"/>
      <c r="FB38" s="322"/>
      <c r="FC38" s="322"/>
      <c r="FD38" s="322"/>
      <c r="FE38" s="322"/>
      <c r="FF38" s="322"/>
      <c r="FG38" s="322"/>
      <c r="FH38" s="322"/>
      <c r="FI38" s="322"/>
      <c r="FJ38" s="322"/>
      <c r="FK38" s="322"/>
      <c r="FL38" s="322"/>
      <c r="FM38" s="322"/>
      <c r="FN38" s="322"/>
      <c r="FO38" s="322"/>
      <c r="FP38" s="322"/>
      <c r="FQ38" s="322"/>
      <c r="FR38" s="322"/>
      <c r="FS38" s="322"/>
      <c r="FT38" s="322"/>
      <c r="FU38" s="322"/>
      <c r="FV38" s="322"/>
      <c r="FW38" s="322"/>
      <c r="FX38" s="322"/>
      <c r="FY38" s="322"/>
      <c r="FZ38" s="322"/>
      <c r="GA38" s="322"/>
      <c r="GB38" s="322"/>
      <c r="GC38" s="322"/>
      <c r="GD38" s="322"/>
      <c r="GE38" s="322"/>
      <c r="GF38" s="322"/>
      <c r="GG38" s="322"/>
      <c r="GH38" s="322"/>
      <c r="GI38" s="322"/>
      <c r="GJ38" s="322"/>
      <c r="GK38" s="322"/>
      <c r="GL38" s="322"/>
      <c r="GM38" s="322"/>
      <c r="GN38" s="322"/>
      <c r="GO38" s="322"/>
      <c r="GP38" s="322"/>
      <c r="GQ38" s="322"/>
      <c r="GR38" s="322"/>
      <c r="GS38" s="322"/>
      <c r="GT38" s="322"/>
      <c r="GU38" s="322"/>
      <c r="GV38" s="322"/>
      <c r="GW38" s="322"/>
      <c r="GX38" s="322"/>
      <c r="GY38" s="322"/>
      <c r="GZ38" s="322"/>
      <c r="HA38" s="322"/>
      <c r="HB38" s="322"/>
      <c r="HC38" s="322"/>
      <c r="HD38" s="322"/>
      <c r="HE38" s="322"/>
      <c r="HF38" s="322"/>
      <c r="HG38" s="322"/>
      <c r="HH38" s="322"/>
      <c r="HI38" s="322"/>
      <c r="HJ38" s="322"/>
      <c r="HK38" s="322"/>
      <c r="HL38" s="322"/>
      <c r="HM38" s="322"/>
      <c r="HN38" s="322"/>
      <c r="HO38" s="322"/>
    </row>
    <row r="39" spans="1:29" ht="26.25" customHeight="1">
      <c r="A39" s="326"/>
      <c r="B39" s="368"/>
      <c r="C39" s="368"/>
      <c r="D39" s="396"/>
      <c r="E39" s="368"/>
      <c r="F39" s="330"/>
      <c r="G39" s="1130" t="s">
        <v>551</v>
      </c>
      <c r="H39" s="1089"/>
      <c r="I39" s="1089"/>
      <c r="J39" s="503">
        <v>10507640</v>
      </c>
      <c r="K39" s="1080">
        <f>SUM(J39:J41)</f>
        <v>11369952</v>
      </c>
      <c r="L39" s="1074"/>
      <c r="M39" s="1075"/>
      <c r="N39" s="1075"/>
      <c r="O39" s="1075"/>
      <c r="P39" s="1095"/>
      <c r="Q39" s="1080">
        <f>SUM(P39:P41)</f>
        <v>0</v>
      </c>
      <c r="R39" s="1092" t="s">
        <v>832</v>
      </c>
      <c r="S39" s="1093"/>
      <c r="T39" s="1093"/>
      <c r="U39" s="1093"/>
      <c r="V39" s="527">
        <v>110000</v>
      </c>
      <c r="W39" s="1101">
        <f>SUM(V39:V41)</f>
        <v>6002539</v>
      </c>
      <c r="X39" s="805"/>
      <c r="Y39" s="412"/>
      <c r="Z39" s="413"/>
      <c r="AA39" s="326"/>
      <c r="AB39" s="343"/>
      <c r="AC39" s="344"/>
    </row>
    <row r="40" spans="1:29" ht="19.5" customHeight="1">
      <c r="A40" s="414"/>
      <c r="B40" s="1099" t="s">
        <v>500</v>
      </c>
      <c r="C40" s="1100"/>
      <c r="D40" s="401">
        <f>SUM('6. kiadások megbontása'!D79)</f>
        <v>26266191</v>
      </c>
      <c r="E40" s="349">
        <f>SUM('6. kiadások megbontása'!E79)</f>
        <v>635000</v>
      </c>
      <c r="F40" s="350">
        <f>SUM(D40:E40)</f>
        <v>26901191</v>
      </c>
      <c r="G40" s="1128" t="s">
        <v>1078</v>
      </c>
      <c r="H40" s="1129"/>
      <c r="I40" s="1129"/>
      <c r="J40" s="504">
        <v>862312</v>
      </c>
      <c r="K40" s="1094"/>
      <c r="L40" s="1088"/>
      <c r="M40" s="1089"/>
      <c r="N40" s="1089"/>
      <c r="O40" s="1089"/>
      <c r="P40" s="1096"/>
      <c r="Q40" s="1094"/>
      <c r="R40" s="1092" t="s">
        <v>833</v>
      </c>
      <c r="S40" s="1093"/>
      <c r="T40" s="1093"/>
      <c r="U40" s="1093"/>
      <c r="V40" s="527">
        <f>4190000+1080000</f>
        <v>5270000</v>
      </c>
      <c r="W40" s="1081"/>
      <c r="X40" s="804">
        <f>SUM(W39,Q39,K39)</f>
        <v>17372491</v>
      </c>
      <c r="Y40" s="352">
        <v>0</v>
      </c>
      <c r="Z40" s="363">
        <f>SUM(Y40,X40)</f>
        <v>17372491</v>
      </c>
      <c r="AA40" s="361">
        <f>X40-D40</f>
        <v>-8893700</v>
      </c>
      <c r="AB40" s="362">
        <f>Y40-E40</f>
        <v>-635000</v>
      </c>
      <c r="AC40" s="355">
        <f>SUM(AA40:AB40)</f>
        <v>-9528700</v>
      </c>
    </row>
    <row r="41" spans="1:29" ht="17.25" customHeight="1" thickBot="1">
      <c r="A41" s="414"/>
      <c r="B41" s="366"/>
      <c r="C41" s="366"/>
      <c r="D41" s="417"/>
      <c r="E41" s="418"/>
      <c r="F41" s="419"/>
      <c r="G41" s="333"/>
      <c r="H41" s="333"/>
      <c r="I41" s="333"/>
      <c r="J41" s="420"/>
      <c r="K41" s="1094"/>
      <c r="L41" s="519"/>
      <c r="M41" s="520"/>
      <c r="N41" s="520"/>
      <c r="O41" s="520"/>
      <c r="P41" s="522"/>
      <c r="Q41" s="1094"/>
      <c r="R41" s="1097" t="s">
        <v>768</v>
      </c>
      <c r="S41" s="1098"/>
      <c r="T41" s="1098"/>
      <c r="U41" s="1098"/>
      <c r="V41" s="527">
        <v>622539</v>
      </c>
      <c r="W41" s="1081"/>
      <c r="X41" s="806"/>
      <c r="Y41" s="352"/>
      <c r="Z41" s="342"/>
      <c r="AA41" s="353"/>
      <c r="AB41" s="354"/>
      <c r="AC41" s="355"/>
    </row>
    <row r="42" spans="1:29" ht="15.75">
      <c r="A42" s="443"/>
      <c r="B42" s="444"/>
      <c r="C42" s="510"/>
      <c r="D42" s="445"/>
      <c r="E42" s="446"/>
      <c r="F42" s="447"/>
      <c r="G42" s="1109"/>
      <c r="H42" s="1110"/>
      <c r="I42" s="1110"/>
      <c r="J42" s="448"/>
      <c r="K42" s="1080">
        <f>SUM(J42:J44)</f>
        <v>0</v>
      </c>
      <c r="L42" s="1074" t="s">
        <v>986</v>
      </c>
      <c r="M42" s="1075"/>
      <c r="N42" s="1075"/>
      <c r="O42" s="1075"/>
      <c r="P42" s="448"/>
      <c r="Q42" s="838"/>
      <c r="R42" s="449"/>
      <c r="S42" s="450"/>
      <c r="T42" s="450"/>
      <c r="U42" s="450"/>
      <c r="V42" s="451"/>
      <c r="W42" s="1080">
        <f>SUM(V42:V44)</f>
        <v>0</v>
      </c>
      <c r="X42" s="452"/>
      <c r="Y42" s="453"/>
      <c r="Z42" s="454"/>
      <c r="AA42" s="455"/>
      <c r="AB42" s="456"/>
      <c r="AC42" s="457"/>
    </row>
    <row r="43" spans="1:29" ht="16.5" customHeight="1" thickBot="1">
      <c r="A43" s="1108" t="s">
        <v>501</v>
      </c>
      <c r="B43" s="1099"/>
      <c r="C43" s="1100"/>
      <c r="D43" s="401">
        <f>SUM('6. kiadások megbontása'!G79)</f>
        <v>22502900</v>
      </c>
      <c r="E43" s="349">
        <f>SUM('6. kiadások megbontása'!H79)</f>
        <v>2497100</v>
      </c>
      <c r="F43" s="350">
        <f>SUM(D43:E43)</f>
        <v>25000000</v>
      </c>
      <c r="G43" s="371"/>
      <c r="H43" s="372"/>
      <c r="I43" s="372"/>
      <c r="J43" s="458"/>
      <c r="K43" s="1094"/>
      <c r="L43" s="1137"/>
      <c r="M43" s="1138"/>
      <c r="N43" s="1138"/>
      <c r="O43" s="1138"/>
      <c r="P43" s="331">
        <v>22502900</v>
      </c>
      <c r="Q43" s="837">
        <f>SUM(P43)</f>
        <v>22502900</v>
      </c>
      <c r="R43" s="1076"/>
      <c r="S43" s="1077"/>
      <c r="T43" s="1077"/>
      <c r="U43" s="1077"/>
      <c r="V43" s="370"/>
      <c r="W43" s="1081"/>
      <c r="X43" s="804">
        <f>SUM(K43+Q43+W43)</f>
        <v>22502900</v>
      </c>
      <c r="Y43" s="352">
        <f>Q44</f>
        <v>2497100</v>
      </c>
      <c r="Z43" s="363">
        <f>SUM(X43:Y43)</f>
        <v>25000000</v>
      </c>
      <c r="AA43" s="440">
        <f>X43-D43</f>
        <v>0</v>
      </c>
      <c r="AB43" s="362">
        <f>Y43-E43</f>
        <v>0</v>
      </c>
      <c r="AC43" s="364">
        <f>SUM(AA43:AB43)</f>
        <v>0</v>
      </c>
    </row>
    <row r="44" spans="1:29" ht="27" customHeight="1" thickBot="1">
      <c r="A44" s="345"/>
      <c r="B44" s="441"/>
      <c r="C44" s="441"/>
      <c r="D44" s="417"/>
      <c r="E44" s="418"/>
      <c r="F44" s="459"/>
      <c r="G44" s="460"/>
      <c r="H44" s="461"/>
      <c r="I44" s="461"/>
      <c r="J44" s="462"/>
      <c r="K44" s="1082"/>
      <c r="L44" s="1074" t="s">
        <v>987</v>
      </c>
      <c r="M44" s="1075"/>
      <c r="N44" s="1075"/>
      <c r="O44" s="1075"/>
      <c r="P44" s="784">
        <v>2497100</v>
      </c>
      <c r="Q44" s="837">
        <f>SUM(P44)</f>
        <v>2497100</v>
      </c>
      <c r="R44" s="368"/>
      <c r="S44" s="368"/>
      <c r="T44" s="368"/>
      <c r="U44" s="368"/>
      <c r="V44" s="368"/>
      <c r="W44" s="1082"/>
      <c r="X44" s="463"/>
      <c r="Y44" s="464"/>
      <c r="Z44" s="421"/>
      <c r="AA44" s="465"/>
      <c r="AB44" s="466"/>
      <c r="AC44" s="467"/>
    </row>
    <row r="45" spans="1:223" s="498" customFormat="1" ht="33.75" customHeight="1" thickBot="1">
      <c r="A45" s="1102" t="s">
        <v>1055</v>
      </c>
      <c r="B45" s="1103"/>
      <c r="C45" s="1104"/>
      <c r="D45" s="789">
        <f>SUM(D39:D44)</f>
        <v>48769091</v>
      </c>
      <c r="E45" s="790">
        <f>SUM(E39:E44)</f>
        <v>3132100</v>
      </c>
      <c r="F45" s="791">
        <f>SUM(F39:F44)</f>
        <v>51901191</v>
      </c>
      <c r="G45" s="792"/>
      <c r="H45" s="1105" t="s">
        <v>95</v>
      </c>
      <c r="I45" s="1106"/>
      <c r="J45" s="1107"/>
      <c r="K45" s="793">
        <f>SUM(K42+K39)</f>
        <v>11369952</v>
      </c>
      <c r="L45" s="511"/>
      <c r="M45" s="1090" t="s">
        <v>96</v>
      </c>
      <c r="N45" s="1090"/>
      <c r="O45" s="1090"/>
      <c r="P45" s="1091"/>
      <c r="Q45" s="793">
        <f>SUM(Q39:Q44)</f>
        <v>25000000</v>
      </c>
      <c r="R45" s="513"/>
      <c r="S45" s="1090" t="s">
        <v>97</v>
      </c>
      <c r="T45" s="1090"/>
      <c r="U45" s="1090"/>
      <c r="V45" s="1091"/>
      <c r="W45" s="794">
        <f>SUM(W39:W44)</f>
        <v>6002539</v>
      </c>
      <c r="X45" s="795">
        <f>SUM(X39:X44)</f>
        <v>39875391</v>
      </c>
      <c r="Y45" s="796">
        <f>SUM(Y39:Y44)</f>
        <v>2497100</v>
      </c>
      <c r="Z45" s="797">
        <f>SUM(X45:Y45)</f>
        <v>42372491</v>
      </c>
      <c r="AA45" s="798">
        <f>X45-D45</f>
        <v>-8893700</v>
      </c>
      <c r="AB45" s="799">
        <f>Y45-E45</f>
        <v>-635000</v>
      </c>
      <c r="AC45" s="509">
        <f>SUM(AA45:AB45)</f>
        <v>-9528700</v>
      </c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  <c r="AN45" s="518"/>
      <c r="AO45" s="518"/>
      <c r="AP45" s="518"/>
      <c r="AQ45" s="518"/>
      <c r="AR45" s="518"/>
      <c r="AS45" s="518"/>
      <c r="AT45" s="518"/>
      <c r="AU45" s="518"/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18"/>
      <c r="BG45" s="518"/>
      <c r="BH45" s="518"/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8"/>
      <c r="BT45" s="518"/>
      <c r="BU45" s="518"/>
      <c r="BV45" s="518"/>
      <c r="BW45" s="518"/>
      <c r="BX45" s="518"/>
      <c r="BY45" s="518"/>
      <c r="BZ45" s="518"/>
      <c r="CA45" s="518"/>
      <c r="CB45" s="518"/>
      <c r="CC45" s="518"/>
      <c r="CD45" s="518"/>
      <c r="CE45" s="518"/>
      <c r="CF45" s="518"/>
      <c r="CG45" s="518"/>
      <c r="CH45" s="518"/>
      <c r="CI45" s="518"/>
      <c r="CJ45" s="518"/>
      <c r="CK45" s="518"/>
      <c r="CL45" s="518"/>
      <c r="CM45" s="518"/>
      <c r="CN45" s="518"/>
      <c r="CO45" s="518"/>
      <c r="CP45" s="518"/>
      <c r="CQ45" s="518"/>
      <c r="CR45" s="518"/>
      <c r="CS45" s="518"/>
      <c r="CT45" s="518"/>
      <c r="CU45" s="518"/>
      <c r="CV45" s="518"/>
      <c r="CW45" s="518"/>
      <c r="CX45" s="518"/>
      <c r="CY45" s="518"/>
      <c r="CZ45" s="518"/>
      <c r="DA45" s="518"/>
      <c r="DB45" s="518"/>
      <c r="DC45" s="518"/>
      <c r="DD45" s="518"/>
      <c r="DE45" s="518"/>
      <c r="DF45" s="518"/>
      <c r="DG45" s="518"/>
      <c r="DH45" s="518"/>
      <c r="DI45" s="518"/>
      <c r="DJ45" s="518"/>
      <c r="DK45" s="518"/>
      <c r="DL45" s="518"/>
      <c r="DM45" s="518"/>
      <c r="DN45" s="518"/>
      <c r="DO45" s="518"/>
      <c r="DP45" s="518"/>
      <c r="DQ45" s="518"/>
      <c r="DR45" s="518"/>
      <c r="DS45" s="518"/>
      <c r="DT45" s="518"/>
      <c r="DU45" s="518"/>
      <c r="DV45" s="518"/>
      <c r="DW45" s="518"/>
      <c r="DX45" s="518"/>
      <c r="DY45" s="518"/>
      <c r="DZ45" s="518"/>
      <c r="EA45" s="518"/>
      <c r="EB45" s="518"/>
      <c r="EC45" s="518"/>
      <c r="ED45" s="518"/>
      <c r="EE45" s="518"/>
      <c r="EF45" s="518"/>
      <c r="EG45" s="518"/>
      <c r="EH45" s="518"/>
      <c r="EI45" s="518"/>
      <c r="EJ45" s="518"/>
      <c r="EK45" s="518"/>
      <c r="EL45" s="518"/>
      <c r="EM45" s="518"/>
      <c r="EN45" s="518"/>
      <c r="EO45" s="518"/>
      <c r="EP45" s="518"/>
      <c r="EQ45" s="518"/>
      <c r="ER45" s="518"/>
      <c r="ES45" s="518"/>
      <c r="ET45" s="518"/>
      <c r="EU45" s="518"/>
      <c r="EV45" s="518"/>
      <c r="EW45" s="518"/>
      <c r="EX45" s="518"/>
      <c r="EY45" s="518"/>
      <c r="EZ45" s="518"/>
      <c r="FA45" s="518"/>
      <c r="FB45" s="518"/>
      <c r="FC45" s="518"/>
      <c r="FD45" s="518"/>
      <c r="FE45" s="518"/>
      <c r="FF45" s="518"/>
      <c r="FG45" s="518"/>
      <c r="FH45" s="518"/>
      <c r="FI45" s="518"/>
      <c r="FJ45" s="518"/>
      <c r="FK45" s="518"/>
      <c r="FL45" s="518"/>
      <c r="FM45" s="518"/>
      <c r="FN45" s="518"/>
      <c r="FO45" s="518"/>
      <c r="FP45" s="518"/>
      <c r="FQ45" s="518"/>
      <c r="FR45" s="518"/>
      <c r="FS45" s="518"/>
      <c r="FT45" s="518"/>
      <c r="FU45" s="518"/>
      <c r="FV45" s="518"/>
      <c r="FW45" s="518"/>
      <c r="FX45" s="518"/>
      <c r="FY45" s="518"/>
      <c r="FZ45" s="518"/>
      <c r="GA45" s="518"/>
      <c r="GB45" s="518"/>
      <c r="GC45" s="518"/>
      <c r="GD45" s="518"/>
      <c r="GE45" s="518"/>
      <c r="GF45" s="518"/>
      <c r="GG45" s="518"/>
      <c r="GH45" s="518"/>
      <c r="GI45" s="518"/>
      <c r="GJ45" s="518"/>
      <c r="GK45" s="518"/>
      <c r="GL45" s="518"/>
      <c r="GM45" s="518"/>
      <c r="GN45" s="518"/>
      <c r="GO45" s="518"/>
      <c r="GP45" s="518"/>
      <c r="GQ45" s="518"/>
      <c r="GR45" s="518"/>
      <c r="GS45" s="518"/>
      <c r="GT45" s="518"/>
      <c r="GU45" s="518"/>
      <c r="GV45" s="518"/>
      <c r="GW45" s="518"/>
      <c r="GX45" s="518"/>
      <c r="GY45" s="518"/>
      <c r="GZ45" s="518"/>
      <c r="HA45" s="518"/>
      <c r="HB45" s="518"/>
      <c r="HC45" s="518"/>
      <c r="HD45" s="518"/>
      <c r="HE45" s="518"/>
      <c r="HF45" s="518"/>
      <c r="HG45" s="518"/>
      <c r="HH45" s="518"/>
      <c r="HI45" s="518"/>
      <c r="HJ45" s="518"/>
      <c r="HK45" s="518"/>
      <c r="HL45" s="518"/>
      <c r="HM45" s="518"/>
      <c r="HN45" s="518"/>
      <c r="HO45" s="518"/>
    </row>
    <row r="46" spans="1:29" ht="17.25" thickBot="1" thickTop="1">
      <c r="A46" s="422"/>
      <c r="B46" s="423"/>
      <c r="C46" s="423"/>
      <c r="D46" s="424"/>
      <c r="E46" s="425"/>
      <c r="F46" s="426"/>
      <c r="G46" s="425"/>
      <c r="H46" s="425"/>
      <c r="I46" s="427"/>
      <c r="J46" s="427"/>
      <c r="K46" s="428"/>
      <c r="L46" s="429"/>
      <c r="M46" s="425"/>
      <c r="N46" s="425"/>
      <c r="O46" s="425"/>
      <c r="P46" s="425"/>
      <c r="Q46" s="428"/>
      <c r="R46" s="425"/>
      <c r="S46" s="425"/>
      <c r="T46" s="425"/>
      <c r="U46" s="425"/>
      <c r="V46" s="425"/>
      <c r="W46" s="430"/>
      <c r="X46" s="431"/>
      <c r="Y46" s="432"/>
      <c r="Z46" s="433"/>
      <c r="AA46" s="422"/>
      <c r="AB46" s="434"/>
      <c r="AC46" s="435"/>
    </row>
    <row r="47" spans="1:29" ht="14.25" thickBot="1" thickTop="1">
      <c r="A47" s="1150" t="s">
        <v>785</v>
      </c>
      <c r="B47" s="1151"/>
      <c r="C47" s="1151"/>
      <c r="D47" s="1124" t="s">
        <v>370</v>
      </c>
      <c r="E47" s="1118"/>
      <c r="F47" s="1119"/>
      <c r="G47" s="1125" t="s">
        <v>523</v>
      </c>
      <c r="H47" s="1154"/>
      <c r="I47" s="1154"/>
      <c r="J47" s="1154"/>
      <c r="K47" s="1155"/>
      <c r="L47" s="1117" t="s">
        <v>524</v>
      </c>
      <c r="M47" s="1145"/>
      <c r="N47" s="1145"/>
      <c r="O47" s="1145"/>
      <c r="P47" s="1145"/>
      <c r="Q47" s="1164"/>
      <c r="R47" s="1117" t="s">
        <v>525</v>
      </c>
      <c r="S47" s="1145"/>
      <c r="T47" s="1145"/>
      <c r="U47" s="1145"/>
      <c r="V47" s="1145"/>
      <c r="W47" s="1146"/>
      <c r="X47" s="1086" t="s">
        <v>526</v>
      </c>
      <c r="Y47" s="1087"/>
      <c r="Z47" s="1087"/>
      <c r="AA47" s="1083" t="s">
        <v>88</v>
      </c>
      <c r="AB47" s="1084"/>
      <c r="AC47" s="1085"/>
    </row>
    <row r="48" spans="1:223" s="715" customFormat="1" ht="32.25" customHeight="1" thickBot="1">
      <c r="A48" s="1152"/>
      <c r="B48" s="1153"/>
      <c r="C48" s="1153"/>
      <c r="D48" s="494" t="s">
        <v>89</v>
      </c>
      <c r="E48" s="822" t="s">
        <v>85</v>
      </c>
      <c r="F48" s="325" t="s">
        <v>90</v>
      </c>
      <c r="G48" s="1156"/>
      <c r="H48" s="1157"/>
      <c r="I48" s="1157"/>
      <c r="J48" s="1157"/>
      <c r="K48" s="1158"/>
      <c r="L48" s="1147"/>
      <c r="M48" s="1148"/>
      <c r="N48" s="1148"/>
      <c r="O48" s="1148"/>
      <c r="P48" s="1148"/>
      <c r="Q48" s="1165"/>
      <c r="R48" s="1147"/>
      <c r="S48" s="1148"/>
      <c r="T48" s="1148"/>
      <c r="U48" s="1148"/>
      <c r="V48" s="1148"/>
      <c r="W48" s="1149"/>
      <c r="X48" s="807" t="s">
        <v>89</v>
      </c>
      <c r="Y48" s="494" t="s">
        <v>85</v>
      </c>
      <c r="Z48" s="808" t="s">
        <v>90</v>
      </c>
      <c r="AA48" s="493" t="s">
        <v>89</v>
      </c>
      <c r="AB48" s="494" t="s">
        <v>85</v>
      </c>
      <c r="AC48" s="325" t="s">
        <v>90</v>
      </c>
      <c r="AD48" s="800"/>
      <c r="AE48" s="800"/>
      <c r="AF48" s="800"/>
      <c r="AG48" s="800"/>
      <c r="AH48" s="800"/>
      <c r="AI48" s="800"/>
      <c r="AJ48" s="800"/>
      <c r="AK48" s="800"/>
      <c r="AL48" s="800"/>
      <c r="AM48" s="800"/>
      <c r="AN48" s="800"/>
      <c r="AO48" s="800"/>
      <c r="AP48" s="800"/>
      <c r="AQ48" s="800"/>
      <c r="AR48" s="800"/>
      <c r="AS48" s="800"/>
      <c r="AT48" s="800"/>
      <c r="AU48" s="800"/>
      <c r="AV48" s="800"/>
      <c r="AW48" s="800"/>
      <c r="AX48" s="800"/>
      <c r="AY48" s="800"/>
      <c r="AZ48" s="800"/>
      <c r="BA48" s="800"/>
      <c r="BB48" s="800"/>
      <c r="BC48" s="800"/>
      <c r="BD48" s="800"/>
      <c r="BE48" s="800"/>
      <c r="BF48" s="800"/>
      <c r="BG48" s="800"/>
      <c r="BH48" s="800"/>
      <c r="BI48" s="800"/>
      <c r="BJ48" s="800"/>
      <c r="BK48" s="800"/>
      <c r="BL48" s="800"/>
      <c r="BM48" s="800"/>
      <c r="BN48" s="800"/>
      <c r="BO48" s="800"/>
      <c r="BP48" s="800"/>
      <c r="BQ48" s="800"/>
      <c r="BR48" s="800"/>
      <c r="BS48" s="800"/>
      <c r="BT48" s="800"/>
      <c r="BU48" s="800"/>
      <c r="BV48" s="800"/>
      <c r="BW48" s="800"/>
      <c r="BX48" s="800"/>
      <c r="BY48" s="800"/>
      <c r="BZ48" s="800"/>
      <c r="CA48" s="800"/>
      <c r="CB48" s="800"/>
      <c r="CC48" s="800"/>
      <c r="CD48" s="800"/>
      <c r="CE48" s="800"/>
      <c r="CF48" s="800"/>
      <c r="CG48" s="800"/>
      <c r="CH48" s="800"/>
      <c r="CI48" s="800"/>
      <c r="CJ48" s="800"/>
      <c r="CK48" s="800"/>
      <c r="CL48" s="800"/>
      <c r="CM48" s="800"/>
      <c r="CN48" s="800"/>
      <c r="CO48" s="800"/>
      <c r="CP48" s="800"/>
      <c r="CQ48" s="800"/>
      <c r="CR48" s="800"/>
      <c r="CS48" s="800"/>
      <c r="CT48" s="800"/>
      <c r="CU48" s="800"/>
      <c r="CV48" s="800"/>
      <c r="CW48" s="800"/>
      <c r="CX48" s="800"/>
      <c r="CY48" s="800"/>
      <c r="CZ48" s="800"/>
      <c r="DA48" s="800"/>
      <c r="DB48" s="800"/>
      <c r="DC48" s="800"/>
      <c r="DD48" s="800"/>
      <c r="DE48" s="800"/>
      <c r="DF48" s="800"/>
      <c r="DG48" s="800"/>
      <c r="DH48" s="800"/>
      <c r="DI48" s="800"/>
      <c r="DJ48" s="800"/>
      <c r="DK48" s="800"/>
      <c r="DL48" s="800"/>
      <c r="DM48" s="800"/>
      <c r="DN48" s="800"/>
      <c r="DO48" s="800"/>
      <c r="DP48" s="800"/>
      <c r="DQ48" s="800"/>
      <c r="DR48" s="800"/>
      <c r="DS48" s="800"/>
      <c r="DT48" s="800"/>
      <c r="DU48" s="800"/>
      <c r="DV48" s="800"/>
      <c r="DW48" s="800"/>
      <c r="DX48" s="800"/>
      <c r="DY48" s="800"/>
      <c r="DZ48" s="800"/>
      <c r="EA48" s="800"/>
      <c r="EB48" s="800"/>
      <c r="EC48" s="800"/>
      <c r="ED48" s="800"/>
      <c r="EE48" s="800"/>
      <c r="EF48" s="800"/>
      <c r="EG48" s="800"/>
      <c r="EH48" s="800"/>
      <c r="EI48" s="800"/>
      <c r="EJ48" s="800"/>
      <c r="EK48" s="800"/>
      <c r="EL48" s="800"/>
      <c r="EM48" s="800"/>
      <c r="EN48" s="800"/>
      <c r="EO48" s="800"/>
      <c r="EP48" s="800"/>
      <c r="EQ48" s="800"/>
      <c r="ER48" s="800"/>
      <c r="ES48" s="800"/>
      <c r="ET48" s="800"/>
      <c r="EU48" s="800"/>
      <c r="EV48" s="800"/>
      <c r="EW48" s="800"/>
      <c r="EX48" s="800"/>
      <c r="EY48" s="800"/>
      <c r="EZ48" s="800"/>
      <c r="FA48" s="800"/>
      <c r="FB48" s="800"/>
      <c r="FC48" s="800"/>
      <c r="FD48" s="800"/>
      <c r="FE48" s="800"/>
      <c r="FF48" s="800"/>
      <c r="FG48" s="800"/>
      <c r="FH48" s="800"/>
      <c r="FI48" s="800"/>
      <c r="FJ48" s="800"/>
      <c r="FK48" s="800"/>
      <c r="FL48" s="800"/>
      <c r="FM48" s="800"/>
      <c r="FN48" s="800"/>
      <c r="FO48" s="800"/>
      <c r="FP48" s="800"/>
      <c r="FQ48" s="800"/>
      <c r="FR48" s="800"/>
      <c r="FS48" s="800"/>
      <c r="FT48" s="800"/>
      <c r="FU48" s="800"/>
      <c r="FV48" s="800"/>
      <c r="FW48" s="800"/>
      <c r="FX48" s="800"/>
      <c r="FY48" s="800"/>
      <c r="FZ48" s="800"/>
      <c r="GA48" s="800"/>
      <c r="GB48" s="800"/>
      <c r="GC48" s="800"/>
      <c r="GD48" s="800"/>
      <c r="GE48" s="800"/>
      <c r="GF48" s="800"/>
      <c r="GG48" s="800"/>
      <c r="GH48" s="800"/>
      <c r="GI48" s="800"/>
      <c r="GJ48" s="800"/>
      <c r="GK48" s="800"/>
      <c r="GL48" s="800"/>
      <c r="GM48" s="800"/>
      <c r="GN48" s="800"/>
      <c r="GO48" s="800"/>
      <c r="GP48" s="800"/>
      <c r="GQ48" s="800"/>
      <c r="GR48" s="800"/>
      <c r="GS48" s="800"/>
      <c r="GT48" s="800"/>
      <c r="GU48" s="800"/>
      <c r="GV48" s="800"/>
      <c r="GW48" s="800"/>
      <c r="GX48" s="800"/>
      <c r="GY48" s="800"/>
      <c r="GZ48" s="800"/>
      <c r="HA48" s="800"/>
      <c r="HB48" s="800"/>
      <c r="HC48" s="800"/>
      <c r="HD48" s="800"/>
      <c r="HE48" s="800"/>
      <c r="HF48" s="800"/>
      <c r="HG48" s="800"/>
      <c r="HH48" s="800"/>
      <c r="HI48" s="800"/>
      <c r="HJ48" s="800"/>
      <c r="HK48" s="800"/>
      <c r="HL48" s="800"/>
      <c r="HM48" s="800"/>
      <c r="HN48" s="800"/>
      <c r="HO48" s="800"/>
    </row>
    <row r="49" spans="1:29" ht="25.5" customHeight="1" thickBot="1">
      <c r="A49" s="414"/>
      <c r="B49" s="368"/>
      <c r="C49" s="368"/>
      <c r="D49" s="396"/>
      <c r="E49" s="368"/>
      <c r="F49" s="369"/>
      <c r="G49" s="1184" t="s">
        <v>487</v>
      </c>
      <c r="H49" s="1093"/>
      <c r="I49" s="1093"/>
      <c r="J49" s="523">
        <v>16720333</v>
      </c>
      <c r="K49" s="1080">
        <f>SUM(J49:J58)</f>
        <v>187786249</v>
      </c>
      <c r="L49" s="1171"/>
      <c r="M49" s="1075"/>
      <c r="N49" s="1075"/>
      <c r="O49" s="1075"/>
      <c r="P49" s="523"/>
      <c r="Q49" s="1133">
        <f>SUM(P49:P58)</f>
        <v>0</v>
      </c>
      <c r="R49" s="1135" t="s">
        <v>532</v>
      </c>
      <c r="S49" s="1136"/>
      <c r="T49" s="1136"/>
      <c r="U49" s="1136"/>
      <c r="V49" s="527">
        <v>1081470</v>
      </c>
      <c r="W49" s="1140">
        <f>SUM(V49:V58)</f>
        <v>1737615</v>
      </c>
      <c r="X49" s="368"/>
      <c r="Y49" s="396"/>
      <c r="Z49" s="437"/>
      <c r="AA49" s="414"/>
      <c r="AB49" s="396"/>
      <c r="AC49" s="344"/>
    </row>
    <row r="50" spans="1:29" ht="25.5" customHeight="1">
      <c r="A50" s="414"/>
      <c r="B50" s="368"/>
      <c r="C50" s="395"/>
      <c r="D50" s="396"/>
      <c r="E50" s="368"/>
      <c r="F50" s="369"/>
      <c r="G50" s="1144" t="s">
        <v>637</v>
      </c>
      <c r="H50" s="1136"/>
      <c r="I50" s="1136"/>
      <c r="J50" s="523">
        <v>90264650</v>
      </c>
      <c r="K50" s="1094"/>
      <c r="L50" s="1172"/>
      <c r="M50" s="1173"/>
      <c r="N50" s="1173"/>
      <c r="O50" s="1173"/>
      <c r="P50" s="370"/>
      <c r="Q50" s="1134"/>
      <c r="R50" s="1109" t="s">
        <v>768</v>
      </c>
      <c r="S50" s="1110"/>
      <c r="T50" s="1110"/>
      <c r="U50" s="1110"/>
      <c r="V50" s="522">
        <v>656145</v>
      </c>
      <c r="W50" s="1141"/>
      <c r="X50" s="331"/>
      <c r="Y50" s="354"/>
      <c r="Z50" s="342"/>
      <c r="AA50" s="353"/>
      <c r="AB50" s="354"/>
      <c r="AC50" s="355"/>
    </row>
    <row r="51" spans="1:29" ht="30" customHeight="1">
      <c r="A51" s="414"/>
      <c r="B51" s="368"/>
      <c r="C51" s="395"/>
      <c r="D51" s="396"/>
      <c r="E51" s="368"/>
      <c r="F51" s="369"/>
      <c r="G51" s="1144" t="s">
        <v>548</v>
      </c>
      <c r="H51" s="1136"/>
      <c r="I51" s="1136"/>
      <c r="J51" s="527">
        <v>6068200</v>
      </c>
      <c r="K51" s="1094"/>
      <c r="L51" s="500"/>
      <c r="M51" s="501"/>
      <c r="N51" s="501"/>
      <c r="O51" s="501"/>
      <c r="P51" s="370"/>
      <c r="Q51" s="1134"/>
      <c r="R51" s="1135"/>
      <c r="S51" s="1136"/>
      <c r="T51" s="1136"/>
      <c r="U51" s="1136"/>
      <c r="V51" s="522"/>
      <c r="W51" s="1141"/>
      <c r="X51" s="331"/>
      <c r="Y51" s="354"/>
      <c r="Z51" s="342"/>
      <c r="AA51" s="353"/>
      <c r="AB51" s="354"/>
      <c r="AC51" s="355"/>
    </row>
    <row r="52" spans="1:29" ht="26.25" customHeight="1">
      <c r="A52" s="1108" t="s">
        <v>500</v>
      </c>
      <c r="B52" s="1174"/>
      <c r="C52" s="1175"/>
      <c r="D52" s="401">
        <f>SUM('6. kiadások megbontása'!D74)</f>
        <v>224843111</v>
      </c>
      <c r="E52" s="349">
        <f>SUM('6. kiadások megbontása'!E74)</f>
        <v>946150</v>
      </c>
      <c r="F52" s="350">
        <f>SUM(D52:E52)</f>
        <v>225789261</v>
      </c>
      <c r="G52" s="1144" t="s">
        <v>770</v>
      </c>
      <c r="H52" s="1136"/>
      <c r="I52" s="1136"/>
      <c r="J52" s="523">
        <v>21339990</v>
      </c>
      <c r="K52" s="1094"/>
      <c r="L52" s="394"/>
      <c r="M52" s="368"/>
      <c r="N52" s="368"/>
      <c r="O52" s="368"/>
      <c r="P52" s="368"/>
      <c r="Q52" s="1134"/>
      <c r="R52" s="1088"/>
      <c r="S52" s="1089"/>
      <c r="T52" s="1089"/>
      <c r="U52" s="1089"/>
      <c r="V52" s="331"/>
      <c r="W52" s="1141"/>
      <c r="X52" s="439">
        <f>SUM(W49+Q49+K49)</f>
        <v>189523864</v>
      </c>
      <c r="Y52" s="362">
        <v>0</v>
      </c>
      <c r="Z52" s="363">
        <f>SUM(X52:Y52)</f>
        <v>189523864</v>
      </c>
      <c r="AA52" s="440">
        <f>X52-D52</f>
        <v>-35319247</v>
      </c>
      <c r="AB52" s="362">
        <f>Y52-E52</f>
        <v>-946150</v>
      </c>
      <c r="AC52" s="364">
        <f>SUM(AA52:AB52)</f>
        <v>-36265397</v>
      </c>
    </row>
    <row r="53" spans="1:29" ht="29.25" customHeight="1">
      <c r="A53" s="345"/>
      <c r="B53" s="441"/>
      <c r="C53" s="659"/>
      <c r="D53" s="401"/>
      <c r="E53" s="349"/>
      <c r="F53" s="350"/>
      <c r="G53" s="1144" t="s">
        <v>772</v>
      </c>
      <c r="H53" s="1136"/>
      <c r="I53" s="1136"/>
      <c r="J53" s="527">
        <v>21890000</v>
      </c>
      <c r="K53" s="1094"/>
      <c r="L53" s="394"/>
      <c r="M53" s="368"/>
      <c r="N53" s="368"/>
      <c r="O53" s="368"/>
      <c r="P53" s="442"/>
      <c r="Q53" s="1134"/>
      <c r="R53" s="1088"/>
      <c r="S53" s="1089"/>
      <c r="T53" s="1089"/>
      <c r="U53" s="1089"/>
      <c r="V53" s="438"/>
      <c r="W53" s="1141"/>
      <c r="X53" s="416"/>
      <c r="Y53" s="352"/>
      <c r="Z53" s="363"/>
      <c r="AA53" s="361"/>
      <c r="AB53" s="362"/>
      <c r="AC53" s="355"/>
    </row>
    <row r="54" spans="1:29" ht="29.25" customHeight="1">
      <c r="A54" s="345"/>
      <c r="B54" s="441"/>
      <c r="C54" s="659"/>
      <c r="D54" s="401"/>
      <c r="E54" s="349"/>
      <c r="F54" s="350"/>
      <c r="G54" s="1144" t="s">
        <v>883</v>
      </c>
      <c r="H54" s="1136"/>
      <c r="I54" s="1136"/>
      <c r="J54" s="527">
        <v>7297579</v>
      </c>
      <c r="K54" s="1094"/>
      <c r="L54" s="394"/>
      <c r="M54" s="368"/>
      <c r="N54" s="368"/>
      <c r="O54" s="368"/>
      <c r="P54" s="442"/>
      <c r="Q54" s="1134"/>
      <c r="R54" s="499"/>
      <c r="S54" s="656"/>
      <c r="T54" s="656"/>
      <c r="U54" s="656"/>
      <c r="V54" s="438"/>
      <c r="W54" s="1141"/>
      <c r="X54" s="416"/>
      <c r="Y54" s="352"/>
      <c r="Z54" s="363"/>
      <c r="AA54" s="361"/>
      <c r="AB54" s="362"/>
      <c r="AC54" s="355"/>
    </row>
    <row r="55" spans="1:29" ht="15.75" customHeight="1">
      <c r="A55" s="345"/>
      <c r="B55" s="441"/>
      <c r="C55" s="659"/>
      <c r="D55" s="401"/>
      <c r="E55" s="349"/>
      <c r="F55" s="350"/>
      <c r="G55" s="1130" t="s">
        <v>1076</v>
      </c>
      <c r="H55" s="1089"/>
      <c r="I55" s="1089"/>
      <c r="J55" s="527">
        <f>43857+329940</f>
        <v>373797</v>
      </c>
      <c r="K55" s="1094"/>
      <c r="L55" s="394"/>
      <c r="M55" s="368"/>
      <c r="N55" s="368"/>
      <c r="O55" s="368"/>
      <c r="P55" s="442"/>
      <c r="Q55" s="1134"/>
      <c r="R55" s="499"/>
      <c r="S55" s="656"/>
      <c r="T55" s="656"/>
      <c r="U55" s="656"/>
      <c r="V55" s="438"/>
      <c r="W55" s="1141"/>
      <c r="X55" s="416"/>
      <c r="Y55" s="352"/>
      <c r="Z55" s="363"/>
      <c r="AA55" s="361"/>
      <c r="AB55" s="362"/>
      <c r="AC55" s="355"/>
    </row>
    <row r="56" spans="1:29" ht="16.5" customHeight="1">
      <c r="A56" s="345"/>
      <c r="B56" s="441"/>
      <c r="C56" s="659"/>
      <c r="D56" s="401"/>
      <c r="E56" s="349"/>
      <c r="F56" s="350"/>
      <c r="G56" s="1144" t="s">
        <v>1077</v>
      </c>
      <c r="H56" s="1136"/>
      <c r="I56" s="1136"/>
      <c r="J56" s="527">
        <v>10844656</v>
      </c>
      <c r="K56" s="1094"/>
      <c r="L56" s="394"/>
      <c r="M56" s="368"/>
      <c r="N56" s="368"/>
      <c r="O56" s="368"/>
      <c r="P56" s="442"/>
      <c r="Q56" s="1134"/>
      <c r="R56" s="499"/>
      <c r="S56" s="656"/>
      <c r="T56" s="656"/>
      <c r="U56" s="656"/>
      <c r="V56" s="438"/>
      <c r="W56" s="1141"/>
      <c r="X56" s="416"/>
      <c r="Y56" s="352"/>
      <c r="Z56" s="363"/>
      <c r="AA56" s="361"/>
      <c r="AB56" s="362"/>
      <c r="AC56" s="355"/>
    </row>
    <row r="57" spans="1:29" ht="14.25" customHeight="1">
      <c r="A57" s="345"/>
      <c r="B57" s="441"/>
      <c r="C57" s="659"/>
      <c r="D57" s="401"/>
      <c r="E57" s="349"/>
      <c r="F57" s="350"/>
      <c r="G57" s="1144" t="s">
        <v>827</v>
      </c>
      <c r="H57" s="1136"/>
      <c r="I57" s="1136"/>
      <c r="J57" s="523">
        <v>11544000</v>
      </c>
      <c r="K57" s="1094"/>
      <c r="L57" s="394"/>
      <c r="M57" s="368"/>
      <c r="N57" s="368"/>
      <c r="O57" s="368"/>
      <c r="P57" s="442"/>
      <c r="Q57" s="1134"/>
      <c r="R57" s="499"/>
      <c r="S57" s="656"/>
      <c r="T57" s="656"/>
      <c r="U57" s="656"/>
      <c r="V57" s="438"/>
      <c r="W57" s="1141"/>
      <c r="X57" s="416"/>
      <c r="Y57" s="352"/>
      <c r="Z57" s="363"/>
      <c r="AA57" s="361"/>
      <c r="AB57" s="362"/>
      <c r="AC57" s="355"/>
    </row>
    <row r="58" spans="1:29" ht="29.25" customHeight="1" thickBot="1">
      <c r="A58" s="345"/>
      <c r="B58" s="441"/>
      <c r="C58" s="659"/>
      <c r="D58" s="401"/>
      <c r="E58" s="349"/>
      <c r="F58" s="350"/>
      <c r="G58" s="1162" t="s">
        <v>980</v>
      </c>
      <c r="H58" s="1163"/>
      <c r="I58" s="1163"/>
      <c r="J58" s="923">
        <v>1443044</v>
      </c>
      <c r="K58" s="1094"/>
      <c r="L58" s="394"/>
      <c r="M58" s="368"/>
      <c r="N58" s="368"/>
      <c r="O58" s="368"/>
      <c r="P58" s="442"/>
      <c r="Q58" s="1134"/>
      <c r="R58" s="499"/>
      <c r="S58" s="656"/>
      <c r="T58" s="656"/>
      <c r="U58" s="656"/>
      <c r="V58" s="438"/>
      <c r="W58" s="1141"/>
      <c r="X58" s="416"/>
      <c r="Y58" s="352"/>
      <c r="Z58" s="363"/>
      <c r="AA58" s="361"/>
      <c r="AB58" s="362"/>
      <c r="AC58" s="355"/>
    </row>
    <row r="59" spans="1:29" ht="23.25" customHeight="1" thickBot="1">
      <c r="A59" s="1159" t="s">
        <v>501</v>
      </c>
      <c r="B59" s="1160"/>
      <c r="C59" s="1161"/>
      <c r="D59" s="918">
        <f>SUM('6. kiadások megbontása'!G74)</f>
        <v>56518399</v>
      </c>
      <c r="E59" s="918">
        <f>SUM('6. kiadások megbontása'!H73)</f>
        <v>0</v>
      </c>
      <c r="F59" s="919">
        <f>SUM(D59:E59)</f>
        <v>56518399</v>
      </c>
      <c r="G59" s="1182"/>
      <c r="H59" s="1183"/>
      <c r="I59" s="1183"/>
      <c r="J59" s="784"/>
      <c r="K59" s="920">
        <f>SUM(J59:J59)</f>
        <v>0</v>
      </c>
      <c r="L59" s="1109" t="s">
        <v>856</v>
      </c>
      <c r="M59" s="1110"/>
      <c r="N59" s="1110"/>
      <c r="O59" s="1110"/>
      <c r="P59" s="448">
        <v>6245115</v>
      </c>
      <c r="Q59" s="838">
        <f>SUM(P59:P59)</f>
        <v>6245115</v>
      </c>
      <c r="R59" s="1109" t="s">
        <v>768</v>
      </c>
      <c r="S59" s="1110"/>
      <c r="T59" s="1110"/>
      <c r="U59" s="1110"/>
      <c r="V59" s="448">
        <f>32890088+10500000</f>
        <v>43390088</v>
      </c>
      <c r="W59" s="921">
        <f>SUM(V59:V59)</f>
        <v>43390088</v>
      </c>
      <c r="X59" s="922">
        <f>SUM(K59+Q59+W59)</f>
        <v>49635203</v>
      </c>
      <c r="Y59" s="453">
        <v>0</v>
      </c>
      <c r="Z59" s="457">
        <f>SUM(X59:Y59)</f>
        <v>49635203</v>
      </c>
      <c r="AA59" s="917">
        <f>X59-D59</f>
        <v>-6883196</v>
      </c>
      <c r="AB59" s="453">
        <f>Y59-E59</f>
        <v>0</v>
      </c>
      <c r="AC59" s="927">
        <f>SUM(AA59:AB59)</f>
        <v>-6883196</v>
      </c>
    </row>
    <row r="60" spans="1:223" s="498" customFormat="1" ht="44.25" customHeight="1" thickBot="1" thickTop="1">
      <c r="A60" s="1176" t="s">
        <v>857</v>
      </c>
      <c r="B60" s="1177"/>
      <c r="C60" s="1178"/>
      <c r="D60" s="924">
        <f>SUM(D50:D59)</f>
        <v>281361510</v>
      </c>
      <c r="E60" s="925">
        <f>SUM(E50:E59)</f>
        <v>946150</v>
      </c>
      <c r="F60" s="926">
        <f>SUM(D60:E60)</f>
        <v>282307660</v>
      </c>
      <c r="G60" s="788"/>
      <c r="H60" s="1105" t="s">
        <v>95</v>
      </c>
      <c r="I60" s="1106"/>
      <c r="J60" s="1107"/>
      <c r="K60" s="512">
        <f>SUM(K49:K59)</f>
        <v>187786249</v>
      </c>
      <c r="L60" s="511"/>
      <c r="M60" s="1090" t="s">
        <v>96</v>
      </c>
      <c r="N60" s="1090"/>
      <c r="O60" s="1090"/>
      <c r="P60" s="1091"/>
      <c r="Q60" s="512">
        <f>SUM(Q49:Q59)</f>
        <v>6245115</v>
      </c>
      <c r="R60" s="513"/>
      <c r="S60" s="1090" t="s">
        <v>97</v>
      </c>
      <c r="T60" s="1090"/>
      <c r="U60" s="1090"/>
      <c r="V60" s="1091"/>
      <c r="W60" s="512">
        <f>SUM(W49:W59)</f>
        <v>45127703</v>
      </c>
      <c r="X60" s="514">
        <f>SUM(X48:X59)</f>
        <v>239159067</v>
      </c>
      <c r="Y60" s="515">
        <f>SUM(Y48:Y59)</f>
        <v>0</v>
      </c>
      <c r="Z60" s="516">
        <f>SUM(X60:Y60)</f>
        <v>239159067</v>
      </c>
      <c r="AA60" s="514">
        <f>X60-D60</f>
        <v>-42202443</v>
      </c>
      <c r="AB60" s="517">
        <f>Y60-E60</f>
        <v>-946150</v>
      </c>
      <c r="AC60" s="516">
        <f>SUM(AA60:AB60)</f>
        <v>-43148593</v>
      </c>
      <c r="AD60" s="518"/>
      <c r="AE60" s="518"/>
      <c r="AF60" s="518"/>
      <c r="AG60" s="518"/>
      <c r="AH60" s="518"/>
      <c r="AI60" s="518"/>
      <c r="AJ60" s="518"/>
      <c r="AK60" s="518"/>
      <c r="AL60" s="518"/>
      <c r="AM60" s="518"/>
      <c r="AN60" s="518"/>
      <c r="AO60" s="518"/>
      <c r="AP60" s="518"/>
      <c r="AQ60" s="518"/>
      <c r="AR60" s="518"/>
      <c r="AS60" s="518"/>
      <c r="AT60" s="518"/>
      <c r="AU60" s="518"/>
      <c r="AV60" s="518"/>
      <c r="AW60" s="518"/>
      <c r="AX60" s="518"/>
      <c r="AY60" s="518"/>
      <c r="AZ60" s="518"/>
      <c r="BA60" s="518"/>
      <c r="BB60" s="518"/>
      <c r="BC60" s="518"/>
      <c r="BD60" s="518"/>
      <c r="BE60" s="518"/>
      <c r="BF60" s="518"/>
      <c r="BG60" s="518"/>
      <c r="BH60" s="518"/>
      <c r="BI60" s="518"/>
      <c r="BJ60" s="518"/>
      <c r="BK60" s="518"/>
      <c r="BL60" s="518"/>
      <c r="BM60" s="518"/>
      <c r="BN60" s="518"/>
      <c r="BO60" s="518"/>
      <c r="BP60" s="518"/>
      <c r="BQ60" s="518"/>
      <c r="BR60" s="518"/>
      <c r="BS60" s="518"/>
      <c r="BT60" s="518"/>
      <c r="BU60" s="518"/>
      <c r="BV60" s="518"/>
      <c r="BW60" s="518"/>
      <c r="BX60" s="518"/>
      <c r="BY60" s="518"/>
      <c r="BZ60" s="518"/>
      <c r="CA60" s="518"/>
      <c r="CB60" s="518"/>
      <c r="CC60" s="518"/>
      <c r="CD60" s="518"/>
      <c r="CE60" s="518"/>
      <c r="CF60" s="518"/>
      <c r="CG60" s="518"/>
      <c r="CH60" s="518"/>
      <c r="CI60" s="518"/>
      <c r="CJ60" s="518"/>
      <c r="CK60" s="518"/>
      <c r="CL60" s="518"/>
      <c r="CM60" s="518"/>
      <c r="CN60" s="518"/>
      <c r="CO60" s="518"/>
      <c r="CP60" s="518"/>
      <c r="CQ60" s="518"/>
      <c r="CR60" s="518"/>
      <c r="CS60" s="518"/>
      <c r="CT60" s="518"/>
      <c r="CU60" s="518"/>
      <c r="CV60" s="518"/>
      <c r="CW60" s="518"/>
      <c r="CX60" s="518"/>
      <c r="CY60" s="518"/>
      <c r="CZ60" s="518"/>
      <c r="DA60" s="518"/>
      <c r="DB60" s="518"/>
      <c r="DC60" s="518"/>
      <c r="DD60" s="518"/>
      <c r="DE60" s="518"/>
      <c r="DF60" s="518"/>
      <c r="DG60" s="518"/>
      <c r="DH60" s="518"/>
      <c r="DI60" s="518"/>
      <c r="DJ60" s="518"/>
      <c r="DK60" s="518"/>
      <c r="DL60" s="518"/>
      <c r="DM60" s="518"/>
      <c r="DN60" s="518"/>
      <c r="DO60" s="518"/>
      <c r="DP60" s="518"/>
      <c r="DQ60" s="518"/>
      <c r="DR60" s="518"/>
      <c r="DS60" s="518"/>
      <c r="DT60" s="518"/>
      <c r="DU60" s="518"/>
      <c r="DV60" s="518"/>
      <c r="DW60" s="518"/>
      <c r="DX60" s="518"/>
      <c r="DY60" s="518"/>
      <c r="DZ60" s="518"/>
      <c r="EA60" s="518"/>
      <c r="EB60" s="518"/>
      <c r="EC60" s="518"/>
      <c r="ED60" s="518"/>
      <c r="EE60" s="518"/>
      <c r="EF60" s="518"/>
      <c r="EG60" s="518"/>
      <c r="EH60" s="518"/>
      <c r="EI60" s="518"/>
      <c r="EJ60" s="518"/>
      <c r="EK60" s="518"/>
      <c r="EL60" s="518"/>
      <c r="EM60" s="518"/>
      <c r="EN60" s="518"/>
      <c r="EO60" s="518"/>
      <c r="EP60" s="518"/>
      <c r="EQ60" s="518"/>
      <c r="ER60" s="518"/>
      <c r="ES60" s="518"/>
      <c r="ET60" s="518"/>
      <c r="EU60" s="518"/>
      <c r="EV60" s="518"/>
      <c r="EW60" s="518"/>
      <c r="EX60" s="518"/>
      <c r="EY60" s="518"/>
      <c r="EZ60" s="518"/>
      <c r="FA60" s="518"/>
      <c r="FB60" s="518"/>
      <c r="FC60" s="518"/>
      <c r="FD60" s="518"/>
      <c r="FE60" s="518"/>
      <c r="FF60" s="518"/>
      <c r="FG60" s="518"/>
      <c r="FH60" s="518"/>
      <c r="FI60" s="518"/>
      <c r="FJ60" s="518"/>
      <c r="FK60" s="518"/>
      <c r="FL60" s="518"/>
      <c r="FM60" s="518"/>
      <c r="FN60" s="518"/>
      <c r="FO60" s="518"/>
      <c r="FP60" s="518"/>
      <c r="FQ60" s="518"/>
      <c r="FR60" s="518"/>
      <c r="FS60" s="518"/>
      <c r="FT60" s="518"/>
      <c r="FU60" s="518"/>
      <c r="FV60" s="518"/>
      <c r="FW60" s="518"/>
      <c r="FX60" s="518"/>
      <c r="FY60" s="518"/>
      <c r="FZ60" s="518"/>
      <c r="GA60" s="518"/>
      <c r="GB60" s="518"/>
      <c r="GC60" s="518"/>
      <c r="GD60" s="518"/>
      <c r="GE60" s="518"/>
      <c r="GF60" s="518"/>
      <c r="GG60" s="518"/>
      <c r="GH60" s="518"/>
      <c r="GI60" s="518"/>
      <c r="GJ60" s="518"/>
      <c r="GK60" s="518"/>
      <c r="GL60" s="518"/>
      <c r="GM60" s="518"/>
      <c r="GN60" s="518"/>
      <c r="GO60" s="518"/>
      <c r="GP60" s="518"/>
      <c r="GQ60" s="518"/>
      <c r="GR60" s="518"/>
      <c r="GS60" s="518"/>
      <c r="GT60" s="518"/>
      <c r="GU60" s="518"/>
      <c r="GV60" s="518"/>
      <c r="GW60" s="518"/>
      <c r="GX60" s="518"/>
      <c r="GY60" s="518"/>
      <c r="GZ60" s="518"/>
      <c r="HA60" s="518"/>
      <c r="HB60" s="518"/>
      <c r="HC60" s="518"/>
      <c r="HD60" s="518"/>
      <c r="HE60" s="518"/>
      <c r="HF60" s="518"/>
      <c r="HG60" s="518"/>
      <c r="HH60" s="518"/>
      <c r="HI60" s="518"/>
      <c r="HJ60" s="518"/>
      <c r="HK60" s="518"/>
      <c r="HL60" s="518"/>
      <c r="HM60" s="518"/>
      <c r="HN60" s="518"/>
      <c r="HO60" s="518"/>
    </row>
    <row r="61" spans="1:29" ht="21" customHeight="1" thickBot="1" thickTop="1">
      <c r="A61" s="1166" t="s">
        <v>373</v>
      </c>
      <c r="B61" s="1167"/>
      <c r="C61" s="1168"/>
      <c r="D61" s="469">
        <f>SUM(D60,D36,D28,D45)</f>
        <v>1332347743</v>
      </c>
      <c r="E61" s="469">
        <f>SUM(E60,E36,E28,E45)</f>
        <v>1239190861</v>
      </c>
      <c r="F61" s="470">
        <f>SUM(D61:E61)</f>
        <v>2571538604</v>
      </c>
      <c r="G61" s="471"/>
      <c r="H61" s="1179" t="s">
        <v>100</v>
      </c>
      <c r="I61" s="1180"/>
      <c r="J61" s="1181"/>
      <c r="K61" s="473">
        <f>SUM(K60,K36,K28,K45)</f>
        <v>497170953</v>
      </c>
      <c r="L61" s="472"/>
      <c r="M61" s="1142" t="s">
        <v>101</v>
      </c>
      <c r="N61" s="1142"/>
      <c r="O61" s="1142"/>
      <c r="P61" s="1143"/>
      <c r="Q61" s="473">
        <f>SUM(Q60,Q36,Q28,Q45)</f>
        <v>216888914</v>
      </c>
      <c r="R61" s="474"/>
      <c r="S61" s="1142" t="s">
        <v>102</v>
      </c>
      <c r="T61" s="1142"/>
      <c r="U61" s="1142"/>
      <c r="V61" s="1143"/>
      <c r="W61" s="802">
        <f>SUM(W60,W36,W28,W45)</f>
        <v>1857478737</v>
      </c>
      <c r="X61" s="803">
        <f>SUM(X60,X36,X28,X45)</f>
        <v>1294025292</v>
      </c>
      <c r="Y61" s="475">
        <f>SUM(Y60,Y36,Y28,Y45)</f>
        <v>1277513312</v>
      </c>
      <c r="Z61" s="476">
        <f>SUM(W61+Q61+K61)</f>
        <v>2571538604</v>
      </c>
      <c r="AA61" s="475">
        <f>SUM(AA60,AA36,AA28,AA45)</f>
        <v>-38322451</v>
      </c>
      <c r="AB61" s="475">
        <f>SUM(AB60,AB36,AB28,AB45)</f>
        <v>38322451</v>
      </c>
      <c r="AC61" s="712">
        <f>SUM(AC60,AC36,AC28,AC45)</f>
        <v>0</v>
      </c>
    </row>
    <row r="62" spans="1:29" ht="19.5" thickTop="1">
      <c r="A62" s="1169"/>
      <c r="B62" s="1170"/>
      <c r="C62" s="1170"/>
      <c r="D62" s="436"/>
      <c r="E62" s="436"/>
      <c r="F62" s="436"/>
      <c r="G62" s="382"/>
      <c r="H62" s="382"/>
      <c r="I62" s="382"/>
      <c r="J62" s="477"/>
      <c r="K62" s="411"/>
      <c r="L62" s="380"/>
      <c r="M62" s="368"/>
      <c r="N62" s="368"/>
      <c r="O62" s="368"/>
      <c r="P62" s="368"/>
      <c r="Q62" s="368"/>
      <c r="R62" s="380"/>
      <c r="S62" s="436"/>
      <c r="T62" s="436"/>
      <c r="U62" s="436"/>
      <c r="V62" s="436"/>
      <c r="W62" s="436"/>
      <c r="X62" s="436"/>
      <c r="Y62" s="436"/>
      <c r="Z62" s="436"/>
      <c r="AA62" s="436"/>
      <c r="AB62" s="436"/>
      <c r="AC62" s="380"/>
    </row>
    <row r="63" spans="1:29" ht="15.75">
      <c r="A63" s="436"/>
      <c r="B63" s="436"/>
      <c r="C63" s="436"/>
      <c r="D63" s="1131" t="s">
        <v>498</v>
      </c>
      <c r="E63" s="1132"/>
      <c r="F63" s="1132"/>
      <c r="G63" s="333"/>
      <c r="H63" s="333"/>
      <c r="I63" s="333"/>
      <c r="J63" s="327"/>
      <c r="K63" s="411"/>
      <c r="L63" s="368"/>
      <c r="M63" s="368"/>
      <c r="N63" s="368"/>
      <c r="O63" s="368"/>
      <c r="P63" s="368"/>
      <c r="Q63" s="368"/>
      <c r="R63" s="368"/>
      <c r="S63" s="436"/>
      <c r="T63" s="436"/>
      <c r="U63" s="436"/>
      <c r="V63" s="436"/>
      <c r="W63" s="1131" t="s">
        <v>103</v>
      </c>
      <c r="X63" s="1132"/>
      <c r="Y63" s="1132"/>
      <c r="Z63" s="478"/>
      <c r="AA63" s="1131" t="s">
        <v>88</v>
      </c>
      <c r="AB63" s="1132"/>
      <c r="AC63" s="1132"/>
    </row>
    <row r="64" spans="1:29" ht="15.75">
      <c r="A64" s="436"/>
      <c r="B64" s="436"/>
      <c r="C64" s="436"/>
      <c r="D64" s="479" t="s">
        <v>89</v>
      </c>
      <c r="E64" s="479" t="s">
        <v>104</v>
      </c>
      <c r="F64" s="479" t="s">
        <v>90</v>
      </c>
      <c r="G64" s="333"/>
      <c r="H64" s="333"/>
      <c r="I64" s="333"/>
      <c r="J64" s="327"/>
      <c r="K64" s="411"/>
      <c r="L64" s="368"/>
      <c r="M64" s="368"/>
      <c r="N64" s="368"/>
      <c r="O64" s="368"/>
      <c r="P64" s="368"/>
      <c r="Q64" s="368"/>
      <c r="R64" s="368"/>
      <c r="S64" s="1139"/>
      <c r="T64" s="1139"/>
      <c r="U64" s="1139"/>
      <c r="V64" s="1139"/>
      <c r="W64" s="479" t="s">
        <v>89</v>
      </c>
      <c r="X64" s="479" t="s">
        <v>104</v>
      </c>
      <c r="Y64" s="479" t="s">
        <v>90</v>
      </c>
      <c r="Z64" s="480"/>
      <c r="AA64" s="479" t="s">
        <v>89</v>
      </c>
      <c r="AB64" s="479" t="s">
        <v>104</v>
      </c>
      <c r="AC64" s="479" t="s">
        <v>90</v>
      </c>
    </row>
    <row r="65" spans="1:29" ht="15.75">
      <c r="A65" s="436"/>
      <c r="B65" s="436"/>
      <c r="C65" s="481" t="s">
        <v>105</v>
      </c>
      <c r="D65" s="436"/>
      <c r="E65" s="436"/>
      <c r="F65" s="436"/>
      <c r="G65" s="333"/>
      <c r="H65" s="333"/>
      <c r="I65" s="333"/>
      <c r="J65" s="327"/>
      <c r="K65" s="411"/>
      <c r="L65" s="368"/>
      <c r="M65" s="368"/>
      <c r="N65" s="368"/>
      <c r="O65" s="368"/>
      <c r="P65" s="368"/>
      <c r="Q65" s="368"/>
      <c r="R65" s="368"/>
      <c r="S65" s="436"/>
      <c r="T65" s="481" t="s">
        <v>105</v>
      </c>
      <c r="U65" s="436"/>
      <c r="V65" s="1131"/>
      <c r="W65" s="1132"/>
      <c r="X65" s="436"/>
      <c r="Y65" s="436"/>
      <c r="Z65" s="436"/>
      <c r="AA65" s="436"/>
      <c r="AB65" s="436"/>
      <c r="AC65" s="368"/>
    </row>
    <row r="66" spans="1:29" ht="15.75">
      <c r="A66" s="436"/>
      <c r="B66" s="436"/>
      <c r="C66" s="436" t="s">
        <v>106</v>
      </c>
      <c r="D66" s="482">
        <f>SUM(D10)</f>
        <v>586400304</v>
      </c>
      <c r="E66" s="482">
        <f>SUM(E10)</f>
        <v>330312654</v>
      </c>
      <c r="F66" s="482">
        <f>SUM(D66:E66)</f>
        <v>916712958</v>
      </c>
      <c r="G66" s="333"/>
      <c r="H66" s="333"/>
      <c r="I66" s="333"/>
      <c r="J66" s="327"/>
      <c r="K66" s="411"/>
      <c r="L66" s="368"/>
      <c r="M66" s="368"/>
      <c r="N66" s="368"/>
      <c r="O66" s="368"/>
      <c r="P66" s="368"/>
      <c r="Q66" s="368"/>
      <c r="R66" s="368"/>
      <c r="S66" s="436"/>
      <c r="T66" s="436" t="s">
        <v>106</v>
      </c>
      <c r="U66" s="436"/>
      <c r="V66" s="436"/>
      <c r="W66" s="482">
        <f>SUM(X14)</f>
        <v>664322107</v>
      </c>
      <c r="X66" s="482">
        <f>Y14</f>
        <v>381930078</v>
      </c>
      <c r="Y66" s="482">
        <f>SUM(W66:X66)</f>
        <v>1046252185</v>
      </c>
      <c r="Z66" s="418"/>
      <c r="AA66" s="482">
        <f aca="true" t="shared" si="0" ref="AA66:AB69">W66-D66</f>
        <v>77921803</v>
      </c>
      <c r="AB66" s="482">
        <f t="shared" si="0"/>
        <v>51617424</v>
      </c>
      <c r="AC66" s="418">
        <f>SUM(AA66:AB66)</f>
        <v>129539227</v>
      </c>
    </row>
    <row r="67" spans="1:29" ht="15.75">
      <c r="A67" s="436"/>
      <c r="B67" s="436"/>
      <c r="C67" s="436" t="s">
        <v>380</v>
      </c>
      <c r="D67" s="482">
        <f>SUM(D33)</f>
        <v>158846372</v>
      </c>
      <c r="E67" s="482">
        <f>SUM(E33)</f>
        <v>1016000</v>
      </c>
      <c r="F67" s="482">
        <f>SUM(D67:E67)</f>
        <v>159862372</v>
      </c>
      <c r="G67" s="333"/>
      <c r="H67" s="333"/>
      <c r="I67" s="333"/>
      <c r="J67" s="483"/>
      <c r="K67" s="411"/>
      <c r="L67" s="368"/>
      <c r="M67" s="368"/>
      <c r="N67" s="368"/>
      <c r="O67" s="368"/>
      <c r="P67" s="368"/>
      <c r="Q67" s="368"/>
      <c r="R67" s="368"/>
      <c r="S67" s="436"/>
      <c r="T67" s="436" t="s">
        <v>380</v>
      </c>
      <c r="U67" s="436"/>
      <c r="V67" s="436"/>
      <c r="W67" s="482">
        <f>SUM(X33)</f>
        <v>148527406</v>
      </c>
      <c r="X67" s="482">
        <f>Y33</f>
        <v>0</v>
      </c>
      <c r="Y67" s="482">
        <f>SUM(W67:X67)</f>
        <v>148527406</v>
      </c>
      <c r="Z67" s="418"/>
      <c r="AA67" s="482">
        <f t="shared" si="0"/>
        <v>-10318966</v>
      </c>
      <c r="AB67" s="482">
        <f t="shared" si="0"/>
        <v>-1016000</v>
      </c>
      <c r="AC67" s="418">
        <f>SUM(AA67:AB67)</f>
        <v>-11334966</v>
      </c>
    </row>
    <row r="68" spans="1:29" ht="15.75">
      <c r="A68" s="436"/>
      <c r="B68" s="436"/>
      <c r="C68" s="436" t="s">
        <v>826</v>
      </c>
      <c r="D68" s="482">
        <f>SUM(D40)</f>
        <v>26266191</v>
      </c>
      <c r="E68" s="482">
        <f>SUM(E40)</f>
        <v>635000</v>
      </c>
      <c r="F68" s="482">
        <f>SUM(D68:E68)</f>
        <v>26901191</v>
      </c>
      <c r="G68" s="333"/>
      <c r="H68" s="333"/>
      <c r="I68" s="333"/>
      <c r="J68" s="483"/>
      <c r="K68" s="411"/>
      <c r="L68" s="368"/>
      <c r="M68" s="368"/>
      <c r="N68" s="368"/>
      <c r="O68" s="368"/>
      <c r="P68" s="368"/>
      <c r="Q68" s="368"/>
      <c r="R68" s="368"/>
      <c r="S68" s="436"/>
      <c r="T68" s="436" t="s">
        <v>854</v>
      </c>
      <c r="U68" s="436"/>
      <c r="V68" s="436"/>
      <c r="W68" s="482">
        <f>SUM(X40)</f>
        <v>17372491</v>
      </c>
      <c r="X68" s="482">
        <f>SUM(Y40)</f>
        <v>0</v>
      </c>
      <c r="Y68" s="482">
        <f>SUM(W68:X68)</f>
        <v>17372491</v>
      </c>
      <c r="Z68" s="418"/>
      <c r="AA68" s="482">
        <f>W68-D68</f>
        <v>-8893700</v>
      </c>
      <c r="AB68" s="482">
        <f>X68-E68</f>
        <v>-635000</v>
      </c>
      <c r="AC68" s="418">
        <f>SUM(AA68:AB68)</f>
        <v>-9528700</v>
      </c>
    </row>
    <row r="69" spans="1:29" ht="12.75">
      <c r="A69" s="436"/>
      <c r="B69" s="436"/>
      <c r="C69" s="484" t="s">
        <v>107</v>
      </c>
      <c r="D69" s="485">
        <f>SUM(D52)</f>
        <v>224843111</v>
      </c>
      <c r="E69" s="485">
        <f>SUM(E52)</f>
        <v>946150</v>
      </c>
      <c r="F69" s="485">
        <f>SUM(D69:E69)</f>
        <v>225789261</v>
      </c>
      <c r="G69" s="436"/>
      <c r="H69" s="436"/>
      <c r="I69" s="436"/>
      <c r="J69" s="436"/>
      <c r="K69" s="368"/>
      <c r="L69" s="368"/>
      <c r="M69" s="368"/>
      <c r="N69" s="368"/>
      <c r="O69" s="368"/>
      <c r="P69" s="368"/>
      <c r="Q69" s="368"/>
      <c r="R69" s="368"/>
      <c r="S69" s="436"/>
      <c r="T69" s="484" t="s">
        <v>107</v>
      </c>
      <c r="U69" s="486"/>
      <c r="V69" s="486"/>
      <c r="W69" s="485">
        <f>SUM(X52)</f>
        <v>189523864</v>
      </c>
      <c r="X69" s="485">
        <f>Y52</f>
        <v>0</v>
      </c>
      <c r="Y69" s="485">
        <f>SUM(W69:X69)</f>
        <v>189523864</v>
      </c>
      <c r="Z69" s="418"/>
      <c r="AA69" s="485">
        <f t="shared" si="0"/>
        <v>-35319247</v>
      </c>
      <c r="AB69" s="485">
        <f t="shared" si="0"/>
        <v>-946150</v>
      </c>
      <c r="AC69" s="485">
        <f>SUM(AA69:AB69)</f>
        <v>-36265397</v>
      </c>
    </row>
    <row r="70" spans="1:29" ht="12.75">
      <c r="A70" s="436"/>
      <c r="B70" s="436"/>
      <c r="C70" s="487" t="s">
        <v>372</v>
      </c>
      <c r="D70" s="482">
        <f>SUM(D66:D69)</f>
        <v>996355978</v>
      </c>
      <c r="E70" s="482">
        <f>SUM(E66:E69)</f>
        <v>332909804</v>
      </c>
      <c r="F70" s="482">
        <f>SUM(F66:F69)</f>
        <v>1329265782</v>
      </c>
      <c r="G70" s="436"/>
      <c r="H70" s="436"/>
      <c r="I70" s="436"/>
      <c r="J70" s="436"/>
      <c r="K70" s="368"/>
      <c r="L70" s="368"/>
      <c r="M70" s="368"/>
      <c r="N70" s="368"/>
      <c r="O70" s="368"/>
      <c r="P70" s="368"/>
      <c r="Q70" s="368"/>
      <c r="R70" s="368"/>
      <c r="S70" s="436"/>
      <c r="T70" s="487" t="s">
        <v>372</v>
      </c>
      <c r="U70" s="436"/>
      <c r="V70" s="487"/>
      <c r="W70" s="482">
        <f>SUM(W66:W69)</f>
        <v>1019745868</v>
      </c>
      <c r="X70" s="482">
        <f>SUM(X66:X69)</f>
        <v>381930078</v>
      </c>
      <c r="Y70" s="482">
        <f>SUM(Y66:Y69)</f>
        <v>1401675946</v>
      </c>
      <c r="Z70" s="418"/>
      <c r="AA70" s="482">
        <f>SUM(AA66:AA69)</f>
        <v>23389890</v>
      </c>
      <c r="AB70" s="482">
        <f>SUM(AB66:AB69)</f>
        <v>49020274</v>
      </c>
      <c r="AC70" s="482">
        <f>SUM(AC66:AC69)</f>
        <v>72410164</v>
      </c>
    </row>
    <row r="71" spans="1:29" ht="12.75">
      <c r="A71" s="436"/>
      <c r="B71" s="436"/>
      <c r="C71" s="487"/>
      <c r="D71" s="482"/>
      <c r="E71" s="482"/>
      <c r="F71" s="482"/>
      <c r="G71" s="436"/>
      <c r="H71" s="436"/>
      <c r="I71" s="436"/>
      <c r="J71" s="436"/>
      <c r="K71" s="436"/>
      <c r="L71" s="368"/>
      <c r="M71" s="368"/>
      <c r="N71" s="368"/>
      <c r="O71" s="368"/>
      <c r="P71" s="368"/>
      <c r="Q71" s="368"/>
      <c r="R71" s="368"/>
      <c r="S71" s="436"/>
      <c r="T71" s="436"/>
      <c r="U71" s="436"/>
      <c r="V71" s="436"/>
      <c r="W71" s="436"/>
      <c r="X71" s="436"/>
      <c r="Y71" s="436"/>
      <c r="Z71" s="436"/>
      <c r="AA71" s="436"/>
      <c r="AB71" s="436"/>
      <c r="AC71" s="368"/>
    </row>
    <row r="72" spans="1:29" ht="12.75">
      <c r="A72" s="436"/>
      <c r="B72" s="436"/>
      <c r="C72" s="481" t="s">
        <v>108</v>
      </c>
      <c r="D72" s="482"/>
      <c r="E72" s="482"/>
      <c r="F72" s="482"/>
      <c r="G72" s="436"/>
      <c r="H72" s="436"/>
      <c r="I72" s="436"/>
      <c r="J72" s="436"/>
      <c r="K72" s="436"/>
      <c r="L72" s="368"/>
      <c r="M72" s="368"/>
      <c r="N72" s="368"/>
      <c r="O72" s="368"/>
      <c r="P72" s="368"/>
      <c r="Q72" s="368"/>
      <c r="R72" s="368"/>
      <c r="S72" s="436"/>
      <c r="T72" s="481" t="s">
        <v>108</v>
      </c>
      <c r="U72" s="488"/>
      <c r="V72" s="481"/>
      <c r="W72" s="489"/>
      <c r="X72" s="489"/>
      <c r="Y72" s="436"/>
      <c r="Z72" s="436"/>
      <c r="AA72" s="436"/>
      <c r="AB72" s="436"/>
      <c r="AC72" s="368"/>
    </row>
    <row r="73" spans="1:29" ht="12.75">
      <c r="A73" s="436"/>
      <c r="B73" s="436"/>
      <c r="C73" s="436" t="s">
        <v>106</v>
      </c>
      <c r="D73" s="482">
        <f>SUM(D23)</f>
        <v>232495074</v>
      </c>
      <c r="E73" s="482">
        <f>SUM(E23)</f>
        <v>903783957</v>
      </c>
      <c r="F73" s="482">
        <f>SUM(D73:E73)</f>
        <v>1136279031</v>
      </c>
      <c r="G73" s="436"/>
      <c r="H73" s="436"/>
      <c r="I73" s="436"/>
      <c r="J73" s="436"/>
      <c r="K73" s="436"/>
      <c r="L73" s="368"/>
      <c r="M73" s="368"/>
      <c r="N73" s="368"/>
      <c r="O73" s="368"/>
      <c r="P73" s="368"/>
      <c r="Q73" s="368"/>
      <c r="R73" s="368"/>
      <c r="S73" s="436"/>
      <c r="T73" s="436" t="s">
        <v>106</v>
      </c>
      <c r="U73" s="436"/>
      <c r="V73" s="436"/>
      <c r="W73" s="482">
        <f>SUM(X23)</f>
        <v>197722211</v>
      </c>
      <c r="X73" s="482">
        <f>Y23</f>
        <v>893086134</v>
      </c>
      <c r="Y73" s="482">
        <f>SUM(W73:X73)</f>
        <v>1090808345</v>
      </c>
      <c r="Z73" s="418"/>
      <c r="AA73" s="482">
        <f aca="true" t="shared" si="1" ref="AA73:AB76">W73-D73</f>
        <v>-34772863</v>
      </c>
      <c r="AB73" s="482">
        <f t="shared" si="1"/>
        <v>-10697823</v>
      </c>
      <c r="AC73" s="418">
        <f>SUM(AA73:AB73)</f>
        <v>-45470686</v>
      </c>
    </row>
    <row r="74" spans="1:29" ht="12.75">
      <c r="A74" s="436"/>
      <c r="B74" s="436"/>
      <c r="C74" s="436" t="s">
        <v>380</v>
      </c>
      <c r="D74" s="482">
        <f>D35</f>
        <v>4419110</v>
      </c>
      <c r="E74" s="482">
        <v>0</v>
      </c>
      <c r="F74" s="482">
        <f>SUM(D74:E74)</f>
        <v>4419110</v>
      </c>
      <c r="G74" s="436"/>
      <c r="H74" s="436"/>
      <c r="I74" s="436"/>
      <c r="J74" s="436"/>
      <c r="K74" s="436"/>
      <c r="L74" s="368"/>
      <c r="M74" s="368"/>
      <c r="N74" s="368"/>
      <c r="O74" s="368"/>
      <c r="P74" s="368"/>
      <c r="Q74" s="368"/>
      <c r="R74" s="368"/>
      <c r="S74" s="436"/>
      <c r="T74" s="436" t="s">
        <v>380</v>
      </c>
      <c r="U74" s="436"/>
      <c r="V74" s="436"/>
      <c r="W74" s="482">
        <f>SUM(X35)</f>
        <v>4419110</v>
      </c>
      <c r="X74" s="482">
        <v>0</v>
      </c>
      <c r="Y74" s="482">
        <f>SUM(W74:X74)</f>
        <v>4419110</v>
      </c>
      <c r="Z74" s="418"/>
      <c r="AA74" s="482">
        <f t="shared" si="1"/>
        <v>0</v>
      </c>
      <c r="AB74" s="482">
        <f t="shared" si="1"/>
        <v>0</v>
      </c>
      <c r="AC74" s="418">
        <f>SUM(AA74:AB74)</f>
        <v>0</v>
      </c>
    </row>
    <row r="75" spans="1:29" ht="12.75">
      <c r="A75" s="436"/>
      <c r="B75" s="436"/>
      <c r="C75" s="436" t="s">
        <v>826</v>
      </c>
      <c r="D75" s="482">
        <f>SUM(D43)</f>
        <v>22502900</v>
      </c>
      <c r="E75" s="482">
        <f>SUM(E43)</f>
        <v>2497100</v>
      </c>
      <c r="F75" s="482">
        <f>SUM(D75:E75)</f>
        <v>25000000</v>
      </c>
      <c r="G75" s="436"/>
      <c r="H75" s="436"/>
      <c r="I75" s="436"/>
      <c r="J75" s="436"/>
      <c r="K75" s="436"/>
      <c r="L75" s="368"/>
      <c r="M75" s="368"/>
      <c r="N75" s="368"/>
      <c r="O75" s="368"/>
      <c r="P75" s="368"/>
      <c r="Q75" s="368"/>
      <c r="R75" s="368"/>
      <c r="S75" s="436"/>
      <c r="T75" s="436" t="s">
        <v>854</v>
      </c>
      <c r="U75" s="436"/>
      <c r="V75" s="436"/>
      <c r="W75" s="482">
        <f>X43</f>
        <v>22502900</v>
      </c>
      <c r="X75" s="482">
        <f>Y43</f>
        <v>2497100</v>
      </c>
      <c r="Y75" s="482">
        <f>SUM(W75:X75)</f>
        <v>25000000</v>
      </c>
      <c r="Z75" s="418"/>
      <c r="AA75" s="482">
        <f>W75-D75</f>
        <v>0</v>
      </c>
      <c r="AB75" s="482">
        <f>X75-E75</f>
        <v>0</v>
      </c>
      <c r="AC75" s="418">
        <f>SUM(AA75:AB75)</f>
        <v>0</v>
      </c>
    </row>
    <row r="76" spans="1:29" ht="12.75">
      <c r="A76" s="436"/>
      <c r="B76" s="436"/>
      <c r="C76" s="484" t="s">
        <v>107</v>
      </c>
      <c r="D76" s="485">
        <f>SUM(D59)</f>
        <v>56518399</v>
      </c>
      <c r="E76" s="485">
        <f>E59</f>
        <v>0</v>
      </c>
      <c r="F76" s="485">
        <f>SUM(D76:E76)</f>
        <v>56518399</v>
      </c>
      <c r="G76" s="436"/>
      <c r="H76" s="436"/>
      <c r="I76" s="436"/>
      <c r="J76" s="436"/>
      <c r="K76" s="436"/>
      <c r="L76" s="368"/>
      <c r="M76" s="368"/>
      <c r="N76" s="368"/>
      <c r="O76" s="368"/>
      <c r="P76" s="368"/>
      <c r="Q76" s="368"/>
      <c r="R76" s="368"/>
      <c r="S76" s="436"/>
      <c r="T76" s="484" t="s">
        <v>107</v>
      </c>
      <c r="U76" s="486"/>
      <c r="V76" s="486"/>
      <c r="W76" s="485">
        <f>SUM(X59)</f>
        <v>49635203</v>
      </c>
      <c r="X76" s="485">
        <v>0</v>
      </c>
      <c r="Y76" s="485">
        <f>SUM(W76:X76)</f>
        <v>49635203</v>
      </c>
      <c r="Z76" s="418"/>
      <c r="AA76" s="485">
        <f t="shared" si="1"/>
        <v>-6883196</v>
      </c>
      <c r="AB76" s="485">
        <f t="shared" si="1"/>
        <v>0</v>
      </c>
      <c r="AC76" s="485">
        <f>SUM(AA76:AB76)</f>
        <v>-6883196</v>
      </c>
    </row>
    <row r="77" spans="1:29" ht="12.75">
      <c r="A77" s="436"/>
      <c r="B77" s="436"/>
      <c r="C77" s="487" t="s">
        <v>372</v>
      </c>
      <c r="D77" s="482">
        <f>SUM(D73:D76)</f>
        <v>315935483</v>
      </c>
      <c r="E77" s="482">
        <f>SUM(E73:E76)</f>
        <v>906281057</v>
      </c>
      <c r="F77" s="482">
        <f>SUM(F73:F76)</f>
        <v>1222216540</v>
      </c>
      <c r="G77" s="436"/>
      <c r="H77" s="436"/>
      <c r="I77" s="436"/>
      <c r="J77" s="436"/>
      <c r="K77" s="436"/>
      <c r="L77" s="368"/>
      <c r="M77" s="368"/>
      <c r="N77" s="368"/>
      <c r="O77" s="368"/>
      <c r="P77" s="368"/>
      <c r="Q77" s="368"/>
      <c r="R77" s="368"/>
      <c r="S77" s="436"/>
      <c r="T77" s="487" t="s">
        <v>372</v>
      </c>
      <c r="U77" s="436"/>
      <c r="V77" s="487"/>
      <c r="W77" s="482">
        <f>SUM(W73:W76)</f>
        <v>274279424</v>
      </c>
      <c r="X77" s="482">
        <f>SUM(X73:X76)</f>
        <v>895583234</v>
      </c>
      <c r="Y77" s="482">
        <f>SUM(Y73:Y76)</f>
        <v>1169862658</v>
      </c>
      <c r="Z77" s="418"/>
      <c r="AA77" s="482">
        <f>SUM(AA73:AA76)</f>
        <v>-41656059</v>
      </c>
      <c r="AB77" s="482">
        <f>SUM(AB73:AB76)</f>
        <v>-10697823</v>
      </c>
      <c r="AC77" s="482">
        <f>SUM(AC73:AC76)</f>
        <v>-52353882</v>
      </c>
    </row>
    <row r="78" spans="1:29" ht="12.75">
      <c r="A78" s="436"/>
      <c r="B78" s="436"/>
      <c r="C78" s="487"/>
      <c r="D78" s="482"/>
      <c r="E78" s="482"/>
      <c r="F78" s="482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6"/>
      <c r="S78" s="436"/>
      <c r="T78" s="436"/>
      <c r="U78" s="436"/>
      <c r="V78" s="436"/>
      <c r="W78" s="436"/>
      <c r="X78" s="436"/>
      <c r="Y78" s="436"/>
      <c r="Z78" s="368"/>
      <c r="AA78" s="482"/>
      <c r="AB78" s="482"/>
      <c r="AC78" s="368"/>
    </row>
    <row r="79" spans="1:29" ht="12.75">
      <c r="A79" s="436"/>
      <c r="B79" s="436"/>
      <c r="C79" s="481" t="s">
        <v>109</v>
      </c>
      <c r="D79" s="482"/>
      <c r="E79" s="482"/>
      <c r="F79" s="482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81" t="s">
        <v>109</v>
      </c>
      <c r="U79" s="436"/>
      <c r="V79" s="481"/>
      <c r="W79" s="436"/>
      <c r="X79" s="436"/>
      <c r="Y79" s="436"/>
      <c r="Z79" s="368"/>
      <c r="AA79" s="482"/>
      <c r="AB79" s="482"/>
      <c r="AC79" s="368"/>
    </row>
    <row r="80" spans="1:29" ht="12.75">
      <c r="A80" s="436"/>
      <c r="B80" s="436"/>
      <c r="C80" s="436" t="s">
        <v>106</v>
      </c>
      <c r="D80" s="482">
        <f>SUM(D19)</f>
        <v>20056282</v>
      </c>
      <c r="E80" s="482">
        <f>SUM(E19)</f>
        <v>0</v>
      </c>
      <c r="F80" s="482">
        <f>SUM(D80:E80)</f>
        <v>20056282</v>
      </c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  <c r="S80" s="436"/>
      <c r="T80" s="436" t="s">
        <v>106</v>
      </c>
      <c r="U80" s="436"/>
      <c r="V80" s="436"/>
      <c r="W80" s="482">
        <f>SUM(X19)</f>
        <v>0</v>
      </c>
      <c r="X80" s="482">
        <v>0</v>
      </c>
      <c r="Y80" s="482">
        <f>SUM(W80:X80)</f>
        <v>0</v>
      </c>
      <c r="Z80" s="418"/>
      <c r="AA80" s="482">
        <f aca="true" t="shared" si="2" ref="AA80:AB83">W80-D80</f>
        <v>-20056282</v>
      </c>
      <c r="AB80" s="482">
        <f t="shared" si="2"/>
        <v>0</v>
      </c>
      <c r="AC80" s="418">
        <f>SUM(AA80:AB80)</f>
        <v>-20056282</v>
      </c>
    </row>
    <row r="81" spans="1:29" ht="12.75">
      <c r="A81" s="436"/>
      <c r="B81" s="436"/>
      <c r="C81" s="436" t="s">
        <v>380</v>
      </c>
      <c r="D81" s="482">
        <v>0</v>
      </c>
      <c r="E81" s="482">
        <v>0</v>
      </c>
      <c r="F81" s="482">
        <f>SUM(D81:E81)</f>
        <v>0</v>
      </c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 t="s">
        <v>380</v>
      </c>
      <c r="U81" s="436"/>
      <c r="V81" s="436"/>
      <c r="W81" s="482">
        <v>0</v>
      </c>
      <c r="X81" s="482">
        <v>0</v>
      </c>
      <c r="Y81" s="482">
        <f>SUM(W81:X81)</f>
        <v>0</v>
      </c>
      <c r="Z81" s="418"/>
      <c r="AA81" s="482">
        <f t="shared" si="2"/>
        <v>0</v>
      </c>
      <c r="AB81" s="482">
        <f t="shared" si="2"/>
        <v>0</v>
      </c>
      <c r="AC81" s="418">
        <f>SUM(AA81:AB81)</f>
        <v>0</v>
      </c>
    </row>
    <row r="82" spans="1:29" ht="12.75">
      <c r="A82" s="436"/>
      <c r="B82" s="436"/>
      <c r="C82" s="436" t="s">
        <v>826</v>
      </c>
      <c r="D82" s="482">
        <v>0</v>
      </c>
      <c r="E82" s="482">
        <v>0</v>
      </c>
      <c r="F82" s="482">
        <f>SUM(D82:E82)</f>
        <v>0</v>
      </c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/>
      <c r="R82" s="436"/>
      <c r="S82" s="436"/>
      <c r="T82" s="436" t="s">
        <v>854</v>
      </c>
      <c r="U82" s="436"/>
      <c r="V82" s="436"/>
      <c r="W82" s="482">
        <v>0</v>
      </c>
      <c r="X82" s="482">
        <v>0</v>
      </c>
      <c r="Y82" s="482">
        <f>SUM(W82:X82)</f>
        <v>0</v>
      </c>
      <c r="Z82" s="418"/>
      <c r="AA82" s="482">
        <f>W82-D82</f>
        <v>0</v>
      </c>
      <c r="AB82" s="482">
        <f>X82-E82</f>
        <v>0</v>
      </c>
      <c r="AC82" s="418">
        <f>SUM(AA82:AB82)</f>
        <v>0</v>
      </c>
    </row>
    <row r="83" spans="1:29" ht="12.75">
      <c r="A83" s="436"/>
      <c r="B83" s="436"/>
      <c r="C83" s="484" t="s">
        <v>107</v>
      </c>
      <c r="D83" s="485">
        <v>0</v>
      </c>
      <c r="E83" s="485">
        <v>0</v>
      </c>
      <c r="F83" s="485">
        <f>SUM(D83:E83)</f>
        <v>0</v>
      </c>
      <c r="G83" s="436"/>
      <c r="H83" s="436"/>
      <c r="I83" s="436"/>
      <c r="J83" s="436"/>
      <c r="K83" s="436"/>
      <c r="L83" s="436"/>
      <c r="M83" s="436"/>
      <c r="N83" s="436"/>
      <c r="O83" s="436"/>
      <c r="P83" s="436"/>
      <c r="Q83" s="436"/>
      <c r="R83" s="436"/>
      <c r="S83" s="436"/>
      <c r="T83" s="484" t="s">
        <v>107</v>
      </c>
      <c r="U83" s="486"/>
      <c r="V83" s="486"/>
      <c r="W83" s="485">
        <v>0</v>
      </c>
      <c r="X83" s="485">
        <v>0</v>
      </c>
      <c r="Y83" s="485">
        <f>SUM(W83:X83)</f>
        <v>0</v>
      </c>
      <c r="Z83" s="418"/>
      <c r="AA83" s="485">
        <f t="shared" si="2"/>
        <v>0</v>
      </c>
      <c r="AB83" s="485">
        <f t="shared" si="2"/>
        <v>0</v>
      </c>
      <c r="AC83" s="485">
        <f>SUM(AA83:AB83)</f>
        <v>0</v>
      </c>
    </row>
    <row r="84" spans="1:29" ht="12.75">
      <c r="A84" s="436"/>
      <c r="B84" s="436"/>
      <c r="C84" s="487" t="s">
        <v>372</v>
      </c>
      <c r="D84" s="482">
        <f>SUM(D80:D83)</f>
        <v>20056282</v>
      </c>
      <c r="E84" s="482">
        <f>SUM(E80:E83)</f>
        <v>0</v>
      </c>
      <c r="F84" s="482">
        <f>SUM(F80:F83)</f>
        <v>20056282</v>
      </c>
      <c r="G84" s="436"/>
      <c r="H84" s="436"/>
      <c r="I84" s="436"/>
      <c r="J84" s="436"/>
      <c r="K84" s="436"/>
      <c r="L84" s="436"/>
      <c r="M84" s="436"/>
      <c r="N84" s="436"/>
      <c r="O84" s="436"/>
      <c r="P84" s="436"/>
      <c r="Q84" s="436"/>
      <c r="R84" s="436"/>
      <c r="S84" s="436"/>
      <c r="T84" s="487" t="s">
        <v>372</v>
      </c>
      <c r="U84" s="436"/>
      <c r="V84" s="487"/>
      <c r="W84" s="482">
        <f>SUM(W80:W83)</f>
        <v>0</v>
      </c>
      <c r="X84" s="482">
        <f>SUM(X80:X83)</f>
        <v>0</v>
      </c>
      <c r="Y84" s="482">
        <f>SUM(Y80:Y83)</f>
        <v>0</v>
      </c>
      <c r="Z84" s="418"/>
      <c r="AA84" s="482">
        <f>SUM(AA80:AA83)</f>
        <v>-20056282</v>
      </c>
      <c r="AB84" s="482">
        <f>SUM(AB80:AB83)</f>
        <v>0</v>
      </c>
      <c r="AC84" s="482">
        <f>SUM(AC80:AC83)</f>
        <v>-20056282</v>
      </c>
    </row>
    <row r="85" spans="1:29" ht="12.75">
      <c r="A85" s="436"/>
      <c r="B85" s="436"/>
      <c r="C85" s="487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436"/>
      <c r="W85" s="436"/>
      <c r="X85" s="436"/>
      <c r="Y85" s="436"/>
      <c r="Z85" s="368"/>
      <c r="AA85" s="482"/>
      <c r="AB85" s="482"/>
      <c r="AC85" s="368"/>
    </row>
    <row r="86" spans="1:29" ht="12.75">
      <c r="A86" s="436"/>
      <c r="B86" s="436"/>
      <c r="C86" s="490" t="s">
        <v>110</v>
      </c>
      <c r="D86" s="491">
        <f>SUM(D84,D77,D70)</f>
        <v>1332347743</v>
      </c>
      <c r="E86" s="491">
        <f>SUM(E84,E77,E70)</f>
        <v>1239190861</v>
      </c>
      <c r="F86" s="491">
        <f>SUM(F84,F77,F70)</f>
        <v>2571538604</v>
      </c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 t="s">
        <v>110</v>
      </c>
      <c r="U86" s="490"/>
      <c r="V86" s="490"/>
      <c r="W86" s="491">
        <f>SUM(W84,W77,W70)</f>
        <v>1294025292</v>
      </c>
      <c r="X86" s="491">
        <f>SUM(X84,X77,X70)</f>
        <v>1277513312</v>
      </c>
      <c r="Y86" s="491">
        <f>SUM(Y84,Y77,Y70)</f>
        <v>2571538604</v>
      </c>
      <c r="Z86" s="349"/>
      <c r="AA86" s="491">
        <f>SUM(AA84,AA77,AA70)</f>
        <v>-38322451</v>
      </c>
      <c r="AB86" s="491">
        <f>SUM(AB84,AB77,AB70)</f>
        <v>38322451</v>
      </c>
      <c r="AC86" s="491">
        <f>SUM(AC84,AC77,AC70)</f>
        <v>0</v>
      </c>
    </row>
    <row r="87" spans="1:29" ht="12.75">
      <c r="A87" s="490"/>
      <c r="B87" s="490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6"/>
      <c r="V87" s="436"/>
      <c r="W87" s="436"/>
      <c r="X87" s="436"/>
      <c r="Y87" s="436"/>
      <c r="Z87" s="436"/>
      <c r="AA87" s="436"/>
      <c r="AB87" s="436"/>
      <c r="AC87" s="368"/>
    </row>
    <row r="88" spans="1:29" ht="15">
      <c r="A88" s="1331">
        <v>12</v>
      </c>
      <c r="B88" s="1332" t="s">
        <v>1111</v>
      </c>
      <c r="C88" s="38"/>
      <c r="F88" s="436"/>
      <c r="G88" s="436"/>
      <c r="H88" s="436"/>
      <c r="I88" s="436"/>
      <c r="J88" s="436"/>
      <c r="K88" s="436"/>
      <c r="L88" s="436"/>
      <c r="M88" s="436"/>
      <c r="N88" s="436"/>
      <c r="O88" s="436"/>
      <c r="P88" s="436"/>
      <c r="Q88" s="436"/>
      <c r="R88" s="436"/>
      <c r="S88" s="436"/>
      <c r="T88" s="436"/>
      <c r="U88" s="436"/>
      <c r="V88" s="436"/>
      <c r="W88" s="436"/>
      <c r="X88" s="436"/>
      <c r="Y88" s="436"/>
      <c r="Z88" s="436"/>
      <c r="AA88" s="436"/>
      <c r="AB88" s="436"/>
      <c r="AC88" s="368"/>
    </row>
    <row r="89" spans="1:3" ht="12.75">
      <c r="A89" s="436"/>
      <c r="B89" s="436"/>
      <c r="C89" s="436"/>
    </row>
  </sheetData>
  <sheetProtection/>
  <mergeCells count="174">
    <mergeCell ref="R14:U14"/>
    <mergeCell ref="L22:O22"/>
    <mergeCell ref="L19:O19"/>
    <mergeCell ref="R16:U16"/>
    <mergeCell ref="R19:U19"/>
    <mergeCell ref="Q18:Q19"/>
    <mergeCell ref="S28:V28"/>
    <mergeCell ref="L23:O23"/>
    <mergeCell ref="L21:O21"/>
    <mergeCell ref="R22:U22"/>
    <mergeCell ref="L34:O34"/>
    <mergeCell ref="L29:Q30"/>
    <mergeCell ref="M28:P28"/>
    <mergeCell ref="Q20:Q23"/>
    <mergeCell ref="L20:O20"/>
    <mergeCell ref="L27:O27"/>
    <mergeCell ref="R31:U32"/>
    <mergeCell ref="V31:V32"/>
    <mergeCell ref="Q31:Q34"/>
    <mergeCell ref="L25:O25"/>
    <mergeCell ref="L24:O24"/>
    <mergeCell ref="Q24:Q27"/>
    <mergeCell ref="R20:U20"/>
    <mergeCell ref="W31:W34"/>
    <mergeCell ref="R35:U35"/>
    <mergeCell ref="L33:O33"/>
    <mergeCell ref="R34:U34"/>
    <mergeCell ref="R33:U33"/>
    <mergeCell ref="P31:P32"/>
    <mergeCell ref="K20:K23"/>
    <mergeCell ref="Q8:Q15"/>
    <mergeCell ref="R15:U15"/>
    <mergeCell ref="L12:O12"/>
    <mergeCell ref="G15:I15"/>
    <mergeCell ref="G14:I14"/>
    <mergeCell ref="L13:O13"/>
    <mergeCell ref="K16:K17"/>
    <mergeCell ref="Q16:Q17"/>
    <mergeCell ref="L16:O16"/>
    <mergeCell ref="K18:K19"/>
    <mergeCell ref="L15:O15"/>
    <mergeCell ref="G18:I18"/>
    <mergeCell ref="L10:O10"/>
    <mergeCell ref="G13:I13"/>
    <mergeCell ref="L14:O14"/>
    <mergeCell ref="G19:I19"/>
    <mergeCell ref="L17:O17"/>
    <mergeCell ref="G8:I8"/>
    <mergeCell ref="G12:I12"/>
    <mergeCell ref="R8:U8"/>
    <mergeCell ref="L8:O8"/>
    <mergeCell ref="G9:I9"/>
    <mergeCell ref="G10:I10"/>
    <mergeCell ref="L9:O9"/>
    <mergeCell ref="G11:I11"/>
    <mergeCell ref="R9:U9"/>
    <mergeCell ref="A6:C7"/>
    <mergeCell ref="L6:Q7"/>
    <mergeCell ref="R6:W7"/>
    <mergeCell ref="D6:F6"/>
    <mergeCell ref="G6:K7"/>
    <mergeCell ref="A3:AC3"/>
    <mergeCell ref="T1:AB1"/>
    <mergeCell ref="X6:Z6"/>
    <mergeCell ref="AA6:AC6"/>
    <mergeCell ref="R17:U17"/>
    <mergeCell ref="R24:U24"/>
    <mergeCell ref="W24:W27"/>
    <mergeCell ref="W16:W17"/>
    <mergeCell ref="W20:W23"/>
    <mergeCell ref="R23:U23"/>
    <mergeCell ref="R21:U21"/>
    <mergeCell ref="A23:C23"/>
    <mergeCell ref="L18:O18"/>
    <mergeCell ref="K8:K15"/>
    <mergeCell ref="AA29:AC29"/>
    <mergeCell ref="R29:W30"/>
    <mergeCell ref="X29:Z29"/>
    <mergeCell ref="W8:W15"/>
    <mergeCell ref="B19:C19"/>
    <mergeCell ref="A28:C28"/>
    <mergeCell ref="H28:J28"/>
    <mergeCell ref="K24:K27"/>
    <mergeCell ref="A36:C36"/>
    <mergeCell ref="H36:J36"/>
    <mergeCell ref="K31:K34"/>
    <mergeCell ref="B33:C33"/>
    <mergeCell ref="G31:I32"/>
    <mergeCell ref="J31:J32"/>
    <mergeCell ref="G34:I34"/>
    <mergeCell ref="A35:C35"/>
    <mergeCell ref="G33:I33"/>
    <mergeCell ref="R59:U59"/>
    <mergeCell ref="H61:J61"/>
    <mergeCell ref="G59:I59"/>
    <mergeCell ref="G49:I49"/>
    <mergeCell ref="A29:C30"/>
    <mergeCell ref="D29:F29"/>
    <mergeCell ref="G29:K30"/>
    <mergeCell ref="M36:P36"/>
    <mergeCell ref="L31:O32"/>
    <mergeCell ref="G55:I55"/>
    <mergeCell ref="A61:C61"/>
    <mergeCell ref="A62:C62"/>
    <mergeCell ref="L49:O49"/>
    <mergeCell ref="L50:O50"/>
    <mergeCell ref="G56:I56"/>
    <mergeCell ref="A52:C52"/>
    <mergeCell ref="A60:C60"/>
    <mergeCell ref="G53:I53"/>
    <mergeCell ref="G52:I52"/>
    <mergeCell ref="A47:C48"/>
    <mergeCell ref="L59:O59"/>
    <mergeCell ref="D47:F47"/>
    <mergeCell ref="G47:K48"/>
    <mergeCell ref="A59:C59"/>
    <mergeCell ref="G58:I58"/>
    <mergeCell ref="L47:Q48"/>
    <mergeCell ref="G50:I50"/>
    <mergeCell ref="G54:I54"/>
    <mergeCell ref="G57:I57"/>
    <mergeCell ref="AA63:AC63"/>
    <mergeCell ref="K49:K58"/>
    <mergeCell ref="W49:W58"/>
    <mergeCell ref="M61:P61"/>
    <mergeCell ref="H60:J60"/>
    <mergeCell ref="D63:F63"/>
    <mergeCell ref="S61:V61"/>
    <mergeCell ref="R53:U53"/>
    <mergeCell ref="M60:P60"/>
    <mergeCell ref="G51:I51"/>
    <mergeCell ref="V65:W65"/>
    <mergeCell ref="Q49:Q58"/>
    <mergeCell ref="R49:U49"/>
    <mergeCell ref="R50:U50"/>
    <mergeCell ref="L42:O43"/>
    <mergeCell ref="S64:V64"/>
    <mergeCell ref="R51:U51"/>
    <mergeCell ref="S60:V60"/>
    <mergeCell ref="W63:Y63"/>
    <mergeCell ref="R52:U52"/>
    <mergeCell ref="A37:C38"/>
    <mergeCell ref="R40:U40"/>
    <mergeCell ref="R37:W38"/>
    <mergeCell ref="L37:Q38"/>
    <mergeCell ref="D37:F37"/>
    <mergeCell ref="G37:K38"/>
    <mergeCell ref="G40:I40"/>
    <mergeCell ref="G39:I39"/>
    <mergeCell ref="L39:O40"/>
    <mergeCell ref="K39:K41"/>
    <mergeCell ref="B40:C40"/>
    <mergeCell ref="K42:K44"/>
    <mergeCell ref="AA47:AC47"/>
    <mergeCell ref="W39:W41"/>
    <mergeCell ref="A45:C45"/>
    <mergeCell ref="H45:J45"/>
    <mergeCell ref="A43:C43"/>
    <mergeCell ref="G42:I42"/>
    <mergeCell ref="R47:W48"/>
    <mergeCell ref="L26:O26"/>
    <mergeCell ref="M45:P45"/>
    <mergeCell ref="S45:V45"/>
    <mergeCell ref="R39:U39"/>
    <mergeCell ref="Q39:Q41"/>
    <mergeCell ref="P39:P40"/>
    <mergeCell ref="R41:U41"/>
    <mergeCell ref="L44:O44"/>
    <mergeCell ref="R43:U43"/>
    <mergeCell ref="S36:V36"/>
    <mergeCell ref="W42:W44"/>
    <mergeCell ref="AA37:AC37"/>
    <mergeCell ref="X47:Z47"/>
    <mergeCell ref="X37:Z3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10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1" sqref="M1"/>
    </sheetView>
  </sheetViews>
  <sheetFormatPr defaultColWidth="9.00390625" defaultRowHeight="12.75"/>
  <cols>
    <col min="1" max="1" width="37.25390625" style="0" customWidth="1"/>
    <col min="14" max="14" width="9.125" style="166" customWidth="1"/>
  </cols>
  <sheetData>
    <row r="1" spans="8:13" ht="18">
      <c r="H1" s="1"/>
      <c r="I1" s="1"/>
      <c r="J1" s="1"/>
      <c r="K1" s="1"/>
      <c r="L1" s="1"/>
      <c r="M1" s="6" t="s">
        <v>1118</v>
      </c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85" customFormat="1" ht="14.25" customHeight="1">
      <c r="A4" s="1237" t="s">
        <v>534</v>
      </c>
      <c r="B4" s="1237"/>
      <c r="C4" s="1237"/>
      <c r="D4" s="1237"/>
      <c r="E4" s="1237"/>
      <c r="F4" s="1237"/>
      <c r="G4" s="1237"/>
      <c r="H4" s="1237"/>
      <c r="I4" s="1237"/>
      <c r="J4" s="1237"/>
      <c r="K4" s="1237"/>
      <c r="L4" s="1237"/>
      <c r="M4" s="1237"/>
      <c r="N4" s="167"/>
    </row>
    <row r="5" spans="1:14" s="85" customFormat="1" ht="14.25" customHeight="1">
      <c r="A5" s="1237" t="s">
        <v>460</v>
      </c>
      <c r="B5" s="1237"/>
      <c r="C5" s="1237"/>
      <c r="D5" s="1237"/>
      <c r="E5" s="1237"/>
      <c r="F5" s="1237"/>
      <c r="G5" s="1237"/>
      <c r="H5" s="1237"/>
      <c r="I5" s="1237"/>
      <c r="J5" s="1237"/>
      <c r="K5" s="1237"/>
      <c r="L5" s="1237"/>
      <c r="M5" s="1237"/>
      <c r="N5" s="167"/>
    </row>
    <row r="6" spans="1:14" s="85" customFormat="1" ht="18" customHeight="1">
      <c r="A6" s="1237"/>
      <c r="B6" s="1237"/>
      <c r="C6" s="1237"/>
      <c r="D6" s="1237"/>
      <c r="E6" s="1237"/>
      <c r="F6" s="1237"/>
      <c r="G6" s="1237"/>
      <c r="H6" s="1237"/>
      <c r="I6" s="1237"/>
      <c r="J6" s="1237"/>
      <c r="K6" s="1237"/>
      <c r="L6" s="1237"/>
      <c r="M6" s="1237"/>
      <c r="N6" s="167"/>
    </row>
    <row r="7" spans="1:14" s="84" customFormat="1" ht="12.75">
      <c r="A7" s="151" t="s">
        <v>369</v>
      </c>
      <c r="B7" s="120" t="s">
        <v>352</v>
      </c>
      <c r="C7" s="120" t="s">
        <v>353</v>
      </c>
      <c r="D7" s="120" t="s">
        <v>354</v>
      </c>
      <c r="E7" s="120" t="s">
        <v>355</v>
      </c>
      <c r="F7" s="120" t="s">
        <v>356</v>
      </c>
      <c r="G7" s="120" t="s">
        <v>357</v>
      </c>
      <c r="H7" s="120" t="s">
        <v>358</v>
      </c>
      <c r="I7" s="120" t="s">
        <v>359</v>
      </c>
      <c r="J7" s="120" t="s">
        <v>360</v>
      </c>
      <c r="K7" s="120" t="s">
        <v>361</v>
      </c>
      <c r="L7" s="120" t="s">
        <v>362</v>
      </c>
      <c r="M7" s="120" t="s">
        <v>363</v>
      </c>
      <c r="N7" s="168"/>
    </row>
    <row r="8" spans="1:14" s="87" customFormat="1" ht="22.5" customHeight="1">
      <c r="A8" s="169" t="s">
        <v>785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4"/>
    </row>
    <row r="9" spans="1:14" s="644" customFormat="1" ht="20.25" customHeight="1">
      <c r="A9" s="641" t="s">
        <v>784</v>
      </c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3"/>
    </row>
    <row r="10" spans="1:14" s="86" customFormat="1" ht="12.75">
      <c r="A10" s="155" t="s">
        <v>640</v>
      </c>
      <c r="B10" s="122">
        <v>15</v>
      </c>
      <c r="C10" s="122">
        <v>15</v>
      </c>
      <c r="D10" s="122">
        <v>15</v>
      </c>
      <c r="E10" s="122">
        <v>15</v>
      </c>
      <c r="F10" s="122">
        <v>15</v>
      </c>
      <c r="G10" s="122">
        <v>15</v>
      </c>
      <c r="H10" s="122">
        <v>15</v>
      </c>
      <c r="I10" s="122">
        <v>15</v>
      </c>
      <c r="J10" s="122">
        <v>16</v>
      </c>
      <c r="K10" s="122">
        <v>16</v>
      </c>
      <c r="L10" s="122">
        <v>16</v>
      </c>
      <c r="M10" s="122">
        <v>16</v>
      </c>
      <c r="N10" s="174"/>
    </row>
    <row r="11" spans="1:14" s="86" customFormat="1" ht="12.75" customHeight="1">
      <c r="A11" s="155" t="s">
        <v>641</v>
      </c>
      <c r="B11" s="122">
        <v>2</v>
      </c>
      <c r="C11" s="122">
        <v>2</v>
      </c>
      <c r="D11" s="122">
        <v>2</v>
      </c>
      <c r="E11" s="122">
        <v>2</v>
      </c>
      <c r="F11" s="122">
        <v>2</v>
      </c>
      <c r="G11" s="122">
        <v>2</v>
      </c>
      <c r="H11" s="122">
        <v>2</v>
      </c>
      <c r="I11" s="122">
        <v>2</v>
      </c>
      <c r="J11" s="122">
        <v>2</v>
      </c>
      <c r="K11" s="122">
        <v>2</v>
      </c>
      <c r="L11" s="122">
        <v>2</v>
      </c>
      <c r="M11" s="122">
        <v>2</v>
      </c>
      <c r="N11" s="174"/>
    </row>
    <row r="12" spans="1:14" s="86" customFormat="1" ht="12.75">
      <c r="A12" s="175" t="s">
        <v>642</v>
      </c>
      <c r="B12" s="122">
        <v>8</v>
      </c>
      <c r="C12" s="122">
        <v>8</v>
      </c>
      <c r="D12" s="122">
        <v>8</v>
      </c>
      <c r="E12" s="122">
        <v>8</v>
      </c>
      <c r="F12" s="122">
        <v>8</v>
      </c>
      <c r="G12" s="122">
        <v>8</v>
      </c>
      <c r="H12" s="122">
        <v>8</v>
      </c>
      <c r="I12" s="122">
        <v>8</v>
      </c>
      <c r="J12" s="122">
        <v>9</v>
      </c>
      <c r="K12" s="122">
        <v>9</v>
      </c>
      <c r="L12" s="122">
        <v>9</v>
      </c>
      <c r="M12" s="122">
        <v>8</v>
      </c>
      <c r="N12" s="174"/>
    </row>
    <row r="13" spans="1:14" s="86" customFormat="1" ht="12.75">
      <c r="A13" s="155" t="s">
        <v>643</v>
      </c>
      <c r="B13" s="122">
        <v>1</v>
      </c>
      <c r="C13" s="122">
        <v>1</v>
      </c>
      <c r="D13" s="122">
        <v>1</v>
      </c>
      <c r="E13" s="122">
        <v>1</v>
      </c>
      <c r="F13" s="122">
        <v>1</v>
      </c>
      <c r="G13" s="122">
        <v>1</v>
      </c>
      <c r="H13" s="122">
        <v>1</v>
      </c>
      <c r="I13" s="122">
        <v>1</v>
      </c>
      <c r="J13" s="122">
        <v>1</v>
      </c>
      <c r="K13" s="122">
        <v>1</v>
      </c>
      <c r="L13" s="122">
        <v>1</v>
      </c>
      <c r="M13" s="122">
        <v>1</v>
      </c>
      <c r="N13" s="174"/>
    </row>
    <row r="14" spans="1:14" s="86" customFormat="1" ht="25.5">
      <c r="A14" s="155" t="s">
        <v>859</v>
      </c>
      <c r="B14" s="122">
        <v>1</v>
      </c>
      <c r="C14" s="122">
        <v>1</v>
      </c>
      <c r="D14" s="122">
        <v>1</v>
      </c>
      <c r="E14" s="122">
        <v>1</v>
      </c>
      <c r="F14" s="122">
        <v>1</v>
      </c>
      <c r="G14" s="122">
        <v>1</v>
      </c>
      <c r="H14" s="122">
        <v>1</v>
      </c>
      <c r="I14" s="122">
        <v>1</v>
      </c>
      <c r="J14" s="122">
        <v>1</v>
      </c>
      <c r="K14" s="122">
        <v>1</v>
      </c>
      <c r="L14" s="122">
        <v>1</v>
      </c>
      <c r="M14" s="122">
        <v>1</v>
      </c>
      <c r="N14" s="174"/>
    </row>
    <row r="15" spans="1:14" s="644" customFormat="1" ht="20.25" customHeight="1">
      <c r="A15" s="641" t="s">
        <v>786</v>
      </c>
      <c r="B15" s="642"/>
      <c r="C15" s="642"/>
      <c r="D15" s="642"/>
      <c r="E15" s="642"/>
      <c r="F15" s="642"/>
      <c r="G15" s="642"/>
      <c r="H15" s="642"/>
      <c r="I15" s="642"/>
      <c r="J15" s="642"/>
      <c r="K15" s="642"/>
      <c r="L15" s="642"/>
      <c r="M15" s="642"/>
      <c r="N15" s="643"/>
    </row>
    <row r="16" spans="1:14" s="86" customFormat="1" ht="12.75">
      <c r="A16" s="155" t="s">
        <v>787</v>
      </c>
      <c r="B16" s="122">
        <v>1</v>
      </c>
      <c r="C16" s="122">
        <v>1</v>
      </c>
      <c r="D16" s="122">
        <v>1</v>
      </c>
      <c r="E16" s="122">
        <v>1</v>
      </c>
      <c r="F16" s="122">
        <v>1</v>
      </c>
      <c r="G16" s="122">
        <v>1</v>
      </c>
      <c r="H16" s="122">
        <v>1</v>
      </c>
      <c r="I16" s="122">
        <v>1</v>
      </c>
      <c r="J16" s="122">
        <v>1</v>
      </c>
      <c r="K16" s="122">
        <v>1</v>
      </c>
      <c r="L16" s="122">
        <v>1</v>
      </c>
      <c r="M16" s="122">
        <v>1</v>
      </c>
      <c r="N16" s="174"/>
    </row>
    <row r="17" spans="1:14" s="86" customFormat="1" ht="12.75">
      <c r="A17" s="155" t="s">
        <v>788</v>
      </c>
      <c r="B17" s="122">
        <v>1</v>
      </c>
      <c r="C17" s="122">
        <v>1</v>
      </c>
      <c r="D17" s="122">
        <v>1</v>
      </c>
      <c r="E17" s="122">
        <v>1</v>
      </c>
      <c r="F17" s="122">
        <v>1</v>
      </c>
      <c r="G17" s="122">
        <v>1</v>
      </c>
      <c r="H17" s="122">
        <v>1</v>
      </c>
      <c r="I17" s="122">
        <v>1</v>
      </c>
      <c r="J17" s="122">
        <v>1</v>
      </c>
      <c r="K17" s="122">
        <v>1</v>
      </c>
      <c r="L17" s="122">
        <v>1</v>
      </c>
      <c r="M17" s="122">
        <v>1</v>
      </c>
      <c r="N17" s="174"/>
    </row>
    <row r="18" spans="1:14" s="86" customFormat="1" ht="12.75">
      <c r="A18" s="155" t="s">
        <v>789</v>
      </c>
      <c r="B18" s="122">
        <v>1</v>
      </c>
      <c r="C18" s="122">
        <v>1</v>
      </c>
      <c r="D18" s="122">
        <v>1</v>
      </c>
      <c r="E18" s="122">
        <v>1</v>
      </c>
      <c r="F18" s="122">
        <v>1</v>
      </c>
      <c r="G18" s="122">
        <v>1</v>
      </c>
      <c r="H18" s="122">
        <v>1</v>
      </c>
      <c r="I18" s="122">
        <v>1</v>
      </c>
      <c r="J18" s="122">
        <v>1</v>
      </c>
      <c r="K18" s="122">
        <v>1</v>
      </c>
      <c r="L18" s="122">
        <v>1</v>
      </c>
      <c r="M18" s="122">
        <v>1</v>
      </c>
      <c r="N18" s="174"/>
    </row>
    <row r="19" spans="1:14" s="644" customFormat="1" ht="20.25" customHeight="1">
      <c r="A19" s="641" t="s">
        <v>646</v>
      </c>
      <c r="B19" s="642"/>
      <c r="C19" s="642"/>
      <c r="D19" s="642"/>
      <c r="E19" s="642"/>
      <c r="F19" s="642"/>
      <c r="G19" s="642"/>
      <c r="H19" s="642"/>
      <c r="I19" s="642"/>
      <c r="J19" s="642"/>
      <c r="K19" s="642"/>
      <c r="L19" s="642"/>
      <c r="M19" s="642"/>
      <c r="N19" s="643"/>
    </row>
    <row r="20" spans="1:14" s="86" customFormat="1" ht="12.75">
      <c r="A20" s="155" t="s">
        <v>790</v>
      </c>
      <c r="B20" s="122">
        <v>1</v>
      </c>
      <c r="C20" s="122">
        <v>1</v>
      </c>
      <c r="D20" s="122">
        <v>1</v>
      </c>
      <c r="E20" s="122">
        <v>1</v>
      </c>
      <c r="F20" s="122">
        <v>1</v>
      </c>
      <c r="G20" s="122">
        <v>1</v>
      </c>
      <c r="H20" s="122">
        <v>1</v>
      </c>
      <c r="I20" s="122">
        <v>1</v>
      </c>
      <c r="J20" s="122">
        <v>1</v>
      </c>
      <c r="K20" s="122">
        <v>1</v>
      </c>
      <c r="L20" s="122">
        <v>1</v>
      </c>
      <c r="M20" s="122">
        <v>1</v>
      </c>
      <c r="N20" s="174"/>
    </row>
    <row r="21" spans="1:14" s="86" customFormat="1" ht="12.75">
      <c r="A21" s="155" t="s">
        <v>791</v>
      </c>
      <c r="B21" s="122">
        <v>1</v>
      </c>
      <c r="C21" s="122">
        <v>1</v>
      </c>
      <c r="D21" s="122">
        <v>1</v>
      </c>
      <c r="E21" s="122">
        <v>1</v>
      </c>
      <c r="F21" s="122">
        <v>1</v>
      </c>
      <c r="G21" s="122">
        <v>1</v>
      </c>
      <c r="H21" s="122">
        <v>1</v>
      </c>
      <c r="I21" s="122">
        <v>1</v>
      </c>
      <c r="J21" s="122">
        <v>1</v>
      </c>
      <c r="K21" s="122">
        <v>1</v>
      </c>
      <c r="L21" s="122">
        <v>1</v>
      </c>
      <c r="M21" s="122">
        <v>1</v>
      </c>
      <c r="N21" s="174"/>
    </row>
    <row r="22" spans="1:14" s="644" customFormat="1" ht="27" customHeight="1">
      <c r="A22" s="641" t="s">
        <v>601</v>
      </c>
      <c r="B22" s="642"/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3"/>
    </row>
    <row r="23" spans="1:14" s="86" customFormat="1" ht="12.75">
      <c r="A23" s="155" t="s">
        <v>644</v>
      </c>
      <c r="B23" s="122">
        <v>1</v>
      </c>
      <c r="C23" s="122">
        <v>1</v>
      </c>
      <c r="D23" s="122">
        <v>1</v>
      </c>
      <c r="E23" s="122">
        <v>1</v>
      </c>
      <c r="F23" s="122">
        <v>1</v>
      </c>
      <c r="G23" s="122">
        <v>1</v>
      </c>
      <c r="H23" s="122">
        <v>1</v>
      </c>
      <c r="I23" s="122">
        <v>1</v>
      </c>
      <c r="J23" s="122">
        <v>1</v>
      </c>
      <c r="K23" s="122">
        <v>1</v>
      </c>
      <c r="L23" s="122">
        <v>1</v>
      </c>
      <c r="M23" s="122">
        <v>1</v>
      </c>
      <c r="N23" s="174"/>
    </row>
    <row r="24" spans="1:14" s="86" customFormat="1" ht="12.75">
      <c r="A24" s="155" t="s">
        <v>792</v>
      </c>
      <c r="B24" s="122">
        <v>3</v>
      </c>
      <c r="C24" s="122">
        <v>3</v>
      </c>
      <c r="D24" s="122">
        <v>3</v>
      </c>
      <c r="E24" s="122">
        <v>3</v>
      </c>
      <c r="F24" s="122">
        <v>3</v>
      </c>
      <c r="G24" s="122">
        <v>3</v>
      </c>
      <c r="H24" s="122">
        <v>3</v>
      </c>
      <c r="I24" s="122">
        <v>3</v>
      </c>
      <c r="J24" s="122">
        <v>3</v>
      </c>
      <c r="K24" s="122">
        <v>3</v>
      </c>
      <c r="L24" s="122">
        <v>3</v>
      </c>
      <c r="M24" s="122">
        <v>3</v>
      </c>
      <c r="N24" s="174"/>
    </row>
    <row r="25" spans="1:14" s="86" customFormat="1" ht="25.5">
      <c r="A25" s="155" t="s">
        <v>793</v>
      </c>
      <c r="B25" s="122">
        <v>0.5</v>
      </c>
      <c r="C25" s="122">
        <v>0.5</v>
      </c>
      <c r="D25" s="122">
        <v>0.5</v>
      </c>
      <c r="E25" s="122">
        <v>0.5</v>
      </c>
      <c r="F25" s="122">
        <v>0.5</v>
      </c>
      <c r="G25" s="122">
        <v>0.5</v>
      </c>
      <c r="H25" s="122">
        <v>0.5</v>
      </c>
      <c r="I25" s="122">
        <v>0.5</v>
      </c>
      <c r="J25" s="122">
        <v>0.5</v>
      </c>
      <c r="K25" s="122">
        <v>0.5</v>
      </c>
      <c r="L25" s="122">
        <v>0.5</v>
      </c>
      <c r="M25" s="122">
        <v>0.5</v>
      </c>
      <c r="N25" s="174"/>
    </row>
    <row r="26" spans="1:14" s="644" customFormat="1" ht="29.25" customHeight="1">
      <c r="A26" s="641" t="s">
        <v>733</v>
      </c>
      <c r="B26" s="642"/>
      <c r="C26" s="642"/>
      <c r="D26" s="642"/>
      <c r="E26" s="642"/>
      <c r="F26" s="642"/>
      <c r="G26" s="642"/>
      <c r="H26" s="642"/>
      <c r="I26" s="642"/>
      <c r="J26" s="642"/>
      <c r="K26" s="642"/>
      <c r="L26" s="642"/>
      <c r="M26" s="642"/>
      <c r="N26" s="643"/>
    </row>
    <row r="27" spans="1:14" s="86" customFormat="1" ht="25.5">
      <c r="A27" s="155" t="s">
        <v>794</v>
      </c>
      <c r="B27" s="122">
        <v>0.5</v>
      </c>
      <c r="C27" s="122">
        <v>0.5</v>
      </c>
      <c r="D27" s="122">
        <v>0.5</v>
      </c>
      <c r="E27" s="122">
        <v>0.5</v>
      </c>
      <c r="F27" s="122">
        <v>0.5</v>
      </c>
      <c r="G27" s="122">
        <v>0.5</v>
      </c>
      <c r="H27" s="122">
        <v>0.5</v>
      </c>
      <c r="I27" s="122">
        <v>0.5</v>
      </c>
      <c r="J27" s="122">
        <v>0.5</v>
      </c>
      <c r="K27" s="122">
        <v>0.5</v>
      </c>
      <c r="L27" s="122">
        <v>0.5</v>
      </c>
      <c r="M27" s="122">
        <v>0.5</v>
      </c>
      <c r="N27" s="174"/>
    </row>
    <row r="28" spans="1:14" s="86" customFormat="1" ht="12.75">
      <c r="A28" s="155" t="s">
        <v>645</v>
      </c>
      <c r="B28" s="122">
        <v>3</v>
      </c>
      <c r="C28" s="122">
        <v>3</v>
      </c>
      <c r="D28" s="122">
        <v>3</v>
      </c>
      <c r="E28" s="122">
        <v>4</v>
      </c>
      <c r="F28" s="122">
        <v>4</v>
      </c>
      <c r="G28" s="122">
        <v>4</v>
      </c>
      <c r="H28" s="122">
        <v>4</v>
      </c>
      <c r="I28" s="122">
        <v>4</v>
      </c>
      <c r="J28" s="122">
        <v>4</v>
      </c>
      <c r="K28" s="122">
        <v>4</v>
      </c>
      <c r="L28" s="122">
        <v>4</v>
      </c>
      <c r="M28" s="122">
        <v>4</v>
      </c>
      <c r="N28" s="174"/>
    </row>
    <row r="29" spans="1:14" s="86" customFormat="1" ht="12.75">
      <c r="A29" s="155" t="s">
        <v>1029</v>
      </c>
      <c r="B29" s="122">
        <v>1</v>
      </c>
      <c r="C29" s="122">
        <v>1</v>
      </c>
      <c r="D29" s="122">
        <v>1</v>
      </c>
      <c r="E29" s="122">
        <v>2</v>
      </c>
      <c r="F29" s="122">
        <v>2</v>
      </c>
      <c r="G29" s="122">
        <v>2</v>
      </c>
      <c r="H29" s="122">
        <v>2</v>
      </c>
      <c r="I29" s="122">
        <v>2</v>
      </c>
      <c r="J29" s="122">
        <v>2</v>
      </c>
      <c r="K29" s="122">
        <v>2</v>
      </c>
      <c r="L29" s="122">
        <v>2</v>
      </c>
      <c r="M29" s="122">
        <v>2</v>
      </c>
      <c r="N29" s="174"/>
    </row>
    <row r="30" spans="1:14" s="86" customFormat="1" ht="25.5">
      <c r="A30" s="155" t="s">
        <v>1040</v>
      </c>
      <c r="B30" s="122">
        <v>2</v>
      </c>
      <c r="C30" s="122">
        <v>2</v>
      </c>
      <c r="D30" s="122">
        <v>2</v>
      </c>
      <c r="E30" s="122">
        <v>2</v>
      </c>
      <c r="F30" s="122">
        <v>2</v>
      </c>
      <c r="G30" s="122">
        <v>2</v>
      </c>
      <c r="H30" s="122">
        <v>2</v>
      </c>
      <c r="I30" s="122">
        <v>2</v>
      </c>
      <c r="J30" s="122">
        <v>2</v>
      </c>
      <c r="K30" s="122">
        <v>2</v>
      </c>
      <c r="L30" s="122">
        <v>2</v>
      </c>
      <c r="M30" s="122">
        <v>2</v>
      </c>
      <c r="N30" s="174"/>
    </row>
    <row r="31" spans="1:14" ht="25.5">
      <c r="A31" s="170" t="s">
        <v>1030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/>
    </row>
    <row r="32" spans="1:14" ht="12.75">
      <c r="A32" s="154" t="s">
        <v>1031</v>
      </c>
      <c r="B32" s="164">
        <v>1</v>
      </c>
      <c r="C32" s="164">
        <v>1</v>
      </c>
      <c r="D32" s="164">
        <v>1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64">
        <v>0</v>
      </c>
      <c r="N32"/>
    </row>
    <row r="33" spans="1:14" ht="12.75">
      <c r="A33" s="154" t="s">
        <v>1032</v>
      </c>
      <c r="B33" s="164">
        <v>0.5</v>
      </c>
      <c r="C33" s="164">
        <v>0.5</v>
      </c>
      <c r="D33" s="164">
        <v>0.5</v>
      </c>
      <c r="E33" s="164">
        <v>0</v>
      </c>
      <c r="F33" s="164"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/>
    </row>
    <row r="34" spans="1:14" ht="38.25">
      <c r="A34" s="170" t="s">
        <v>1019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/>
    </row>
    <row r="35" spans="1:14" ht="12.75">
      <c r="A35" s="154" t="s">
        <v>1033</v>
      </c>
      <c r="B35" s="164">
        <v>1</v>
      </c>
      <c r="C35" s="164">
        <v>1</v>
      </c>
      <c r="D35" s="164">
        <v>1</v>
      </c>
      <c r="E35" s="164">
        <v>1</v>
      </c>
      <c r="F35" s="164">
        <v>1</v>
      </c>
      <c r="G35" s="164">
        <v>1</v>
      </c>
      <c r="H35" s="164">
        <v>1</v>
      </c>
      <c r="I35" s="164">
        <v>1</v>
      </c>
      <c r="J35" s="164">
        <v>1</v>
      </c>
      <c r="K35" s="164">
        <v>1</v>
      </c>
      <c r="L35" s="164">
        <v>1</v>
      </c>
      <c r="M35" s="164">
        <v>1</v>
      </c>
      <c r="N35"/>
    </row>
    <row r="36" spans="1:14" ht="12.75">
      <c r="A36" s="154" t="s">
        <v>1034</v>
      </c>
      <c r="B36" s="164">
        <v>1</v>
      </c>
      <c r="C36" s="164">
        <v>1</v>
      </c>
      <c r="D36" s="164">
        <v>1</v>
      </c>
      <c r="E36" s="164">
        <v>1</v>
      </c>
      <c r="F36" s="164">
        <v>1</v>
      </c>
      <c r="G36" s="164">
        <v>1</v>
      </c>
      <c r="H36" s="164">
        <v>1</v>
      </c>
      <c r="I36" s="164">
        <v>1</v>
      </c>
      <c r="J36" s="164">
        <v>1</v>
      </c>
      <c r="K36" s="164">
        <v>1</v>
      </c>
      <c r="L36" s="164">
        <v>1</v>
      </c>
      <c r="M36" s="164">
        <v>1</v>
      </c>
      <c r="N36"/>
    </row>
    <row r="37" spans="1:14" ht="25.5" customHeight="1">
      <c r="A37" s="155" t="s">
        <v>1035</v>
      </c>
      <c r="B37" s="164">
        <v>0.075</v>
      </c>
      <c r="C37" s="164">
        <v>0.075</v>
      </c>
      <c r="D37" s="164">
        <v>0.075</v>
      </c>
      <c r="E37" s="164">
        <v>0.075</v>
      </c>
      <c r="F37" s="164">
        <v>0.075</v>
      </c>
      <c r="G37" s="164">
        <v>0.075</v>
      </c>
      <c r="H37" s="164">
        <v>0.075</v>
      </c>
      <c r="I37" s="164">
        <v>0.075</v>
      </c>
      <c r="J37" s="164">
        <v>0.075</v>
      </c>
      <c r="K37" s="164">
        <v>0.075</v>
      </c>
      <c r="L37" s="164">
        <v>0.075</v>
      </c>
      <c r="M37" s="164">
        <v>0.075</v>
      </c>
      <c r="N37"/>
    </row>
    <row r="38" spans="1:14" s="86" customFormat="1" ht="12.75">
      <c r="A38" s="155" t="s">
        <v>1036</v>
      </c>
      <c r="B38" s="122">
        <v>0.25</v>
      </c>
      <c r="C38" s="122">
        <v>0.25</v>
      </c>
      <c r="D38" s="122">
        <v>0.25</v>
      </c>
      <c r="E38" s="122">
        <v>0.25</v>
      </c>
      <c r="F38" s="122">
        <v>0.25</v>
      </c>
      <c r="G38" s="122">
        <v>0.25</v>
      </c>
      <c r="H38" s="122">
        <v>0.25</v>
      </c>
      <c r="I38" s="122">
        <v>0.25</v>
      </c>
      <c r="J38" s="122">
        <v>0.25</v>
      </c>
      <c r="K38" s="122">
        <v>0.25</v>
      </c>
      <c r="L38" s="122">
        <v>0.25</v>
      </c>
      <c r="M38" s="122">
        <v>0.25</v>
      </c>
      <c r="N38" s="174"/>
    </row>
    <row r="39" spans="1:14" s="86" customFormat="1" ht="12.75">
      <c r="A39" s="155" t="s">
        <v>1037</v>
      </c>
      <c r="B39" s="122">
        <v>0.5</v>
      </c>
      <c r="C39" s="122">
        <v>0.5</v>
      </c>
      <c r="D39" s="122">
        <v>0.5</v>
      </c>
      <c r="E39" s="122">
        <v>0.5</v>
      </c>
      <c r="F39" s="122">
        <v>0.5</v>
      </c>
      <c r="G39" s="122">
        <v>0.5</v>
      </c>
      <c r="H39" s="122">
        <v>0.5</v>
      </c>
      <c r="I39" s="122">
        <v>0.5</v>
      </c>
      <c r="J39" s="122">
        <v>0.5</v>
      </c>
      <c r="K39" s="122">
        <v>0.5</v>
      </c>
      <c r="L39" s="122">
        <v>0.5</v>
      </c>
      <c r="M39" s="122">
        <v>0.5</v>
      </c>
      <c r="N39" s="174"/>
    </row>
    <row r="40" spans="1:14" s="86" customFormat="1" ht="12.75">
      <c r="A40" s="155" t="s">
        <v>1038</v>
      </c>
      <c r="B40" s="122">
        <v>0.5</v>
      </c>
      <c r="C40" s="122">
        <v>0.5</v>
      </c>
      <c r="D40" s="122">
        <v>0.5</v>
      </c>
      <c r="E40" s="122">
        <v>0.5</v>
      </c>
      <c r="F40" s="122">
        <v>0.5</v>
      </c>
      <c r="G40" s="122">
        <v>0.5</v>
      </c>
      <c r="H40" s="122">
        <v>0.5</v>
      </c>
      <c r="I40" s="122">
        <v>0.5</v>
      </c>
      <c r="J40" s="122">
        <v>0.5</v>
      </c>
      <c r="K40" s="122">
        <v>0.5</v>
      </c>
      <c r="L40" s="122">
        <v>0.5</v>
      </c>
      <c r="M40" s="122">
        <v>0.5</v>
      </c>
      <c r="N40" s="174"/>
    </row>
    <row r="41" spans="1:14" s="148" customFormat="1" ht="38.25">
      <c r="A41" s="153" t="s">
        <v>825</v>
      </c>
      <c r="B41" s="147">
        <f>SUM(B10:B40)</f>
        <v>47.825</v>
      </c>
      <c r="C41" s="147">
        <f aca="true" t="shared" si="0" ref="C41:M41">SUM(C10:C40)</f>
        <v>47.825</v>
      </c>
      <c r="D41" s="147">
        <f t="shared" si="0"/>
        <v>47.825</v>
      </c>
      <c r="E41" s="147">
        <f t="shared" si="0"/>
        <v>48.325</v>
      </c>
      <c r="F41" s="147">
        <f t="shared" si="0"/>
        <v>48.325</v>
      </c>
      <c r="G41" s="147">
        <f t="shared" si="0"/>
        <v>48.325</v>
      </c>
      <c r="H41" s="147">
        <f t="shared" si="0"/>
        <v>48.325</v>
      </c>
      <c r="I41" s="147">
        <f t="shared" si="0"/>
        <v>48.325</v>
      </c>
      <c r="J41" s="147">
        <f t="shared" si="0"/>
        <v>50.325</v>
      </c>
      <c r="K41" s="147">
        <f t="shared" si="0"/>
        <v>50.325</v>
      </c>
      <c r="L41" s="147">
        <f t="shared" si="0"/>
        <v>50.325</v>
      </c>
      <c r="M41" s="147">
        <f t="shared" si="0"/>
        <v>49.325</v>
      </c>
      <c r="N41" s="176"/>
    </row>
    <row r="42" spans="1:14" s="86" customFormat="1" ht="14.25" customHeight="1">
      <c r="A42" s="15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74"/>
    </row>
    <row r="43" spans="1:14" s="87" customFormat="1" ht="22.5" customHeight="1">
      <c r="A43" s="169" t="s">
        <v>380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4"/>
    </row>
    <row r="44" spans="1:14" s="86" customFormat="1" ht="12.75">
      <c r="A44" s="155" t="s">
        <v>434</v>
      </c>
      <c r="B44" s="122">
        <v>21</v>
      </c>
      <c r="C44" s="122">
        <v>21</v>
      </c>
      <c r="D44" s="122">
        <v>23</v>
      </c>
      <c r="E44" s="122">
        <v>23</v>
      </c>
      <c r="F44" s="122">
        <v>23</v>
      </c>
      <c r="G44" s="122">
        <v>23</v>
      </c>
      <c r="H44" s="122">
        <v>23</v>
      </c>
      <c r="I44" s="122">
        <v>23</v>
      </c>
      <c r="J44" s="122">
        <v>23</v>
      </c>
      <c r="K44" s="122">
        <v>23</v>
      </c>
      <c r="L44" s="122">
        <v>23</v>
      </c>
      <c r="M44" s="122">
        <v>23</v>
      </c>
      <c r="N44" s="174"/>
    </row>
    <row r="45" spans="1:14" s="86" customFormat="1" ht="12.75">
      <c r="A45" s="155" t="s">
        <v>795</v>
      </c>
      <c r="B45" s="122">
        <v>2</v>
      </c>
      <c r="C45" s="122">
        <v>2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74"/>
    </row>
    <row r="46" spans="1:14" s="87" customFormat="1" ht="22.5" customHeight="1">
      <c r="A46" s="169" t="s">
        <v>435</v>
      </c>
      <c r="B46" s="147">
        <f>SUM(B44:B45)</f>
        <v>23</v>
      </c>
      <c r="C46" s="147">
        <f aca="true" t="shared" si="1" ref="C46:M46">SUM(C44:C45)</f>
        <v>23</v>
      </c>
      <c r="D46" s="147">
        <f t="shared" si="1"/>
        <v>23</v>
      </c>
      <c r="E46" s="147">
        <f t="shared" si="1"/>
        <v>23</v>
      </c>
      <c r="F46" s="147">
        <f t="shared" si="1"/>
        <v>23</v>
      </c>
      <c r="G46" s="147">
        <f t="shared" si="1"/>
        <v>23</v>
      </c>
      <c r="H46" s="147">
        <f t="shared" si="1"/>
        <v>23</v>
      </c>
      <c r="I46" s="147">
        <f t="shared" si="1"/>
        <v>23</v>
      </c>
      <c r="J46" s="147">
        <f t="shared" si="1"/>
        <v>23</v>
      </c>
      <c r="K46" s="147">
        <f t="shared" si="1"/>
        <v>23</v>
      </c>
      <c r="L46" s="147">
        <f t="shared" si="1"/>
        <v>23</v>
      </c>
      <c r="M46" s="147">
        <f t="shared" si="1"/>
        <v>23</v>
      </c>
      <c r="N46" s="124"/>
    </row>
    <row r="47" spans="1:13" s="124" customFormat="1" ht="14.25" customHeight="1">
      <c r="A47" s="156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</row>
    <row r="48" spans="1:14" s="87" customFormat="1" ht="22.5" customHeight="1">
      <c r="A48" s="169" t="s">
        <v>457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4"/>
    </row>
    <row r="49" spans="1:14" s="173" customFormat="1" ht="15.75" customHeight="1">
      <c r="A49" s="170" t="s">
        <v>796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86" customFormat="1" ht="12.75">
      <c r="A50" s="155" t="s">
        <v>647</v>
      </c>
      <c r="B50" s="122">
        <v>1</v>
      </c>
      <c r="C50" s="122">
        <v>1</v>
      </c>
      <c r="D50" s="122">
        <v>1</v>
      </c>
      <c r="E50" s="122">
        <v>1</v>
      </c>
      <c r="F50" s="122">
        <v>1</v>
      </c>
      <c r="G50" s="122">
        <v>1</v>
      </c>
      <c r="H50" s="122">
        <v>1</v>
      </c>
      <c r="I50" s="122">
        <v>1</v>
      </c>
      <c r="J50" s="122">
        <v>1</v>
      </c>
      <c r="K50" s="122">
        <v>1</v>
      </c>
      <c r="L50" s="122">
        <v>1</v>
      </c>
      <c r="M50" s="122">
        <v>1</v>
      </c>
      <c r="N50" s="174"/>
    </row>
    <row r="51" spans="1:14" s="86" customFormat="1" ht="12.75">
      <c r="A51" s="157" t="s">
        <v>648</v>
      </c>
      <c r="B51" s="122">
        <v>1</v>
      </c>
      <c r="C51" s="122">
        <v>1</v>
      </c>
      <c r="D51" s="122">
        <v>1</v>
      </c>
      <c r="E51" s="122">
        <v>1</v>
      </c>
      <c r="F51" s="122">
        <v>1</v>
      </c>
      <c r="G51" s="122">
        <v>1</v>
      </c>
      <c r="H51" s="122">
        <v>1</v>
      </c>
      <c r="I51" s="122">
        <v>1</v>
      </c>
      <c r="J51" s="122">
        <v>1</v>
      </c>
      <c r="K51" s="122">
        <v>1</v>
      </c>
      <c r="L51" s="122">
        <v>1</v>
      </c>
      <c r="M51" s="122">
        <v>1</v>
      </c>
      <c r="N51" s="174"/>
    </row>
    <row r="52" spans="1:14" s="173" customFormat="1" ht="15" customHeight="1">
      <c r="A52" s="170" t="s">
        <v>800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86" customFormat="1" ht="25.5">
      <c r="A53" s="155" t="s">
        <v>858</v>
      </c>
      <c r="B53" s="122">
        <v>1</v>
      </c>
      <c r="C53" s="122">
        <v>1</v>
      </c>
      <c r="D53" s="122">
        <v>1</v>
      </c>
      <c r="E53" s="122">
        <v>1</v>
      </c>
      <c r="F53" s="122">
        <v>1</v>
      </c>
      <c r="G53" s="122">
        <v>1</v>
      </c>
      <c r="H53" s="122">
        <v>1</v>
      </c>
      <c r="I53" s="122">
        <v>1</v>
      </c>
      <c r="J53" s="122">
        <v>1</v>
      </c>
      <c r="K53" s="122">
        <v>1</v>
      </c>
      <c r="L53" s="122">
        <v>1</v>
      </c>
      <c r="M53" s="122">
        <v>1</v>
      </c>
      <c r="N53" s="174"/>
    </row>
    <row r="54" spans="1:14" s="173" customFormat="1" ht="15" customHeight="1">
      <c r="A54" s="170" t="s">
        <v>797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2"/>
    </row>
    <row r="55" spans="1:14" s="86" customFormat="1" ht="12.75">
      <c r="A55" s="155" t="s">
        <v>798</v>
      </c>
      <c r="B55" s="122">
        <v>1</v>
      </c>
      <c r="C55" s="122">
        <v>1</v>
      </c>
      <c r="D55" s="122">
        <v>1</v>
      </c>
      <c r="E55" s="122">
        <v>1</v>
      </c>
      <c r="F55" s="122">
        <v>1</v>
      </c>
      <c r="G55" s="122">
        <v>1</v>
      </c>
      <c r="H55" s="122">
        <v>1</v>
      </c>
      <c r="I55" s="122">
        <v>1</v>
      </c>
      <c r="J55" s="122">
        <v>1</v>
      </c>
      <c r="K55" s="122">
        <v>1</v>
      </c>
      <c r="L55" s="122">
        <v>1</v>
      </c>
      <c r="M55" s="122">
        <v>1</v>
      </c>
      <c r="N55" s="174"/>
    </row>
    <row r="56" spans="1:14" s="86" customFormat="1" ht="12.75">
      <c r="A56" s="155" t="s">
        <v>799</v>
      </c>
      <c r="B56" s="122">
        <v>1</v>
      </c>
      <c r="C56" s="122">
        <v>1</v>
      </c>
      <c r="D56" s="122">
        <v>1</v>
      </c>
      <c r="E56" s="122">
        <v>1</v>
      </c>
      <c r="F56" s="122">
        <v>1</v>
      </c>
      <c r="G56" s="122">
        <v>1</v>
      </c>
      <c r="H56" s="122">
        <v>1</v>
      </c>
      <c r="I56" s="122">
        <v>1</v>
      </c>
      <c r="J56" s="122">
        <v>1</v>
      </c>
      <c r="K56" s="122">
        <v>1</v>
      </c>
      <c r="L56" s="122">
        <v>1</v>
      </c>
      <c r="M56" s="122">
        <v>1</v>
      </c>
      <c r="N56" s="174"/>
    </row>
    <row r="57" spans="1:14" s="173" customFormat="1" ht="22.5" customHeight="1">
      <c r="A57" s="170" t="s">
        <v>365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2"/>
    </row>
    <row r="58" spans="1:14" s="86" customFormat="1" ht="12.75">
      <c r="A58" s="154" t="s">
        <v>366</v>
      </c>
      <c r="B58" s="122">
        <v>1</v>
      </c>
      <c r="C58" s="122">
        <v>0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74"/>
    </row>
    <row r="59" spans="1:14" s="173" customFormat="1" ht="22.5" customHeight="1">
      <c r="A59" s="170" t="s">
        <v>367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2"/>
    </row>
    <row r="60" spans="1:14" s="86" customFormat="1" ht="12.75">
      <c r="A60" s="154" t="s">
        <v>368</v>
      </c>
      <c r="B60" s="164">
        <v>5</v>
      </c>
      <c r="C60" s="164">
        <v>5</v>
      </c>
      <c r="D60" s="164">
        <v>5</v>
      </c>
      <c r="E60" s="164">
        <v>5</v>
      </c>
      <c r="F60" s="164">
        <v>5</v>
      </c>
      <c r="G60" s="164">
        <v>5</v>
      </c>
      <c r="H60" s="122">
        <v>5</v>
      </c>
      <c r="I60" s="122">
        <v>5</v>
      </c>
      <c r="J60" s="122">
        <v>5</v>
      </c>
      <c r="K60" s="122">
        <v>5</v>
      </c>
      <c r="L60" s="122">
        <v>5</v>
      </c>
      <c r="M60" s="122">
        <v>5</v>
      </c>
      <c r="N60" s="174"/>
    </row>
    <row r="61" spans="1:14" ht="51">
      <c r="A61" s="170" t="s">
        <v>1010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/>
    </row>
    <row r="62" spans="1:14" ht="19.5" customHeight="1">
      <c r="A62" s="155" t="s">
        <v>1041</v>
      </c>
      <c r="B62" s="164">
        <v>0.5</v>
      </c>
      <c r="C62" s="164">
        <v>0.5</v>
      </c>
      <c r="D62" s="164">
        <v>0.5</v>
      </c>
      <c r="E62" s="164">
        <v>0.5</v>
      </c>
      <c r="F62" s="164">
        <v>0.5</v>
      </c>
      <c r="G62" s="164">
        <v>0.5</v>
      </c>
      <c r="H62" s="122">
        <v>0.5</v>
      </c>
      <c r="I62" s="122">
        <v>0.5</v>
      </c>
      <c r="J62" s="122">
        <v>0.5</v>
      </c>
      <c r="K62" s="122">
        <v>0.5</v>
      </c>
      <c r="L62" s="122">
        <v>0.5</v>
      </c>
      <c r="M62" s="122">
        <v>0.5</v>
      </c>
      <c r="N62"/>
    </row>
    <row r="63" spans="1:14" ht="18.75" customHeight="1">
      <c r="A63" s="155" t="s">
        <v>1042</v>
      </c>
      <c r="B63" s="164">
        <v>0.5</v>
      </c>
      <c r="C63" s="164">
        <v>0.5</v>
      </c>
      <c r="D63" s="164">
        <v>0.5</v>
      </c>
      <c r="E63" s="164">
        <v>0.5</v>
      </c>
      <c r="F63" s="164">
        <v>0.5</v>
      </c>
      <c r="G63" s="164">
        <v>0.5</v>
      </c>
      <c r="H63" s="122">
        <v>0.5</v>
      </c>
      <c r="I63" s="122">
        <v>0.5</v>
      </c>
      <c r="J63" s="122">
        <v>0.5</v>
      </c>
      <c r="K63" s="122">
        <v>0.5</v>
      </c>
      <c r="L63" s="122">
        <v>0.5</v>
      </c>
      <c r="M63" s="122">
        <v>0.5</v>
      </c>
      <c r="N63"/>
    </row>
    <row r="64" spans="1:14" ht="12.75">
      <c r="A64" s="155" t="s">
        <v>644</v>
      </c>
      <c r="B64" s="164">
        <v>1</v>
      </c>
      <c r="C64" s="164">
        <v>1</v>
      </c>
      <c r="D64" s="164">
        <v>1</v>
      </c>
      <c r="E64" s="164">
        <v>1</v>
      </c>
      <c r="F64" s="164">
        <v>1</v>
      </c>
      <c r="G64" s="164">
        <v>1</v>
      </c>
      <c r="H64" s="164">
        <v>1</v>
      </c>
      <c r="I64" s="164">
        <v>1</v>
      </c>
      <c r="J64" s="164">
        <v>1</v>
      </c>
      <c r="K64" s="164">
        <v>1</v>
      </c>
      <c r="L64" s="164">
        <v>1</v>
      </c>
      <c r="M64" s="164">
        <v>1</v>
      </c>
      <c r="N64"/>
    </row>
    <row r="65" spans="1:14" ht="12.75">
      <c r="A65" s="155" t="s">
        <v>761</v>
      </c>
      <c r="B65" s="164">
        <v>2</v>
      </c>
      <c r="C65" s="164">
        <v>2</v>
      </c>
      <c r="D65" s="164">
        <v>2</v>
      </c>
      <c r="E65" s="164">
        <v>2</v>
      </c>
      <c r="F65" s="164">
        <v>2</v>
      </c>
      <c r="G65" s="164">
        <v>2</v>
      </c>
      <c r="H65" s="164">
        <v>2</v>
      </c>
      <c r="I65" s="164">
        <v>2</v>
      </c>
      <c r="J65" s="164">
        <v>2</v>
      </c>
      <c r="K65" s="164">
        <v>2</v>
      </c>
      <c r="L65" s="164">
        <v>2</v>
      </c>
      <c r="M65" s="164">
        <v>2</v>
      </c>
      <c r="N65"/>
    </row>
    <row r="66" spans="1:14" ht="12.75">
      <c r="A66" s="155" t="s">
        <v>1043</v>
      </c>
      <c r="B66" s="164">
        <v>1</v>
      </c>
      <c r="C66" s="164">
        <v>1</v>
      </c>
      <c r="D66" s="164">
        <v>1</v>
      </c>
      <c r="E66" s="164">
        <v>1</v>
      </c>
      <c r="F66" s="164">
        <v>1</v>
      </c>
      <c r="G66" s="164">
        <v>1</v>
      </c>
      <c r="H66" s="164">
        <v>1</v>
      </c>
      <c r="I66" s="164">
        <v>1</v>
      </c>
      <c r="J66" s="164">
        <v>1</v>
      </c>
      <c r="K66" s="164">
        <v>1</v>
      </c>
      <c r="L66" s="164">
        <v>1</v>
      </c>
      <c r="M66" s="164">
        <v>1</v>
      </c>
      <c r="N66"/>
    </row>
    <row r="67" spans="1:14" ht="25.5">
      <c r="A67" s="155" t="s">
        <v>1011</v>
      </c>
      <c r="B67" s="164">
        <v>0.5</v>
      </c>
      <c r="C67" s="164">
        <v>0.5</v>
      </c>
      <c r="D67" s="164">
        <v>0.5</v>
      </c>
      <c r="E67" s="164">
        <v>0.5</v>
      </c>
      <c r="F67" s="164">
        <v>0.5</v>
      </c>
      <c r="G67" s="164">
        <v>0.5</v>
      </c>
      <c r="H67" s="164">
        <v>0.5</v>
      </c>
      <c r="I67" s="164">
        <v>0.5</v>
      </c>
      <c r="J67" s="164">
        <v>0.5</v>
      </c>
      <c r="K67" s="164">
        <v>0.5</v>
      </c>
      <c r="L67" s="164">
        <v>0.5</v>
      </c>
      <c r="M67" s="164">
        <v>0.5</v>
      </c>
      <c r="N67"/>
    </row>
    <row r="68" spans="1:14" ht="27" customHeight="1">
      <c r="A68" s="155" t="s">
        <v>1044</v>
      </c>
      <c r="B68" s="164">
        <v>1.5</v>
      </c>
      <c r="C68" s="164">
        <v>1.5</v>
      </c>
      <c r="D68" s="164">
        <v>1.5</v>
      </c>
      <c r="E68" s="164">
        <v>1.5</v>
      </c>
      <c r="F68" s="164">
        <v>1.5</v>
      </c>
      <c r="G68" s="164">
        <v>1.5</v>
      </c>
      <c r="H68" s="164">
        <v>1.5</v>
      </c>
      <c r="I68" s="164">
        <v>1.5</v>
      </c>
      <c r="J68" s="164">
        <v>1.5</v>
      </c>
      <c r="K68" s="164">
        <v>1.5</v>
      </c>
      <c r="L68" s="164">
        <v>1.5</v>
      </c>
      <c r="M68" s="164">
        <v>1.5</v>
      </c>
      <c r="N68"/>
    </row>
    <row r="69" spans="1:14" ht="38.25">
      <c r="A69" s="170" t="s">
        <v>1012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/>
    </row>
    <row r="70" spans="1:14" ht="12.75">
      <c r="A70" s="154" t="s">
        <v>1013</v>
      </c>
      <c r="B70" s="164">
        <v>1</v>
      </c>
      <c r="C70" s="164">
        <v>1</v>
      </c>
      <c r="D70" s="164">
        <v>1</v>
      </c>
      <c r="E70" s="164">
        <v>1</v>
      </c>
      <c r="F70" s="164">
        <v>1</v>
      </c>
      <c r="G70" s="164">
        <v>1</v>
      </c>
      <c r="H70" s="164">
        <v>1</v>
      </c>
      <c r="I70" s="164">
        <v>1</v>
      </c>
      <c r="J70" s="164">
        <v>1</v>
      </c>
      <c r="K70" s="164">
        <v>1</v>
      </c>
      <c r="L70" s="164">
        <v>1</v>
      </c>
      <c r="M70" s="164">
        <v>1</v>
      </c>
      <c r="N70"/>
    </row>
    <row r="71" spans="1:14" ht="12.75">
      <c r="A71" s="154" t="s">
        <v>1014</v>
      </c>
      <c r="B71" s="164">
        <v>1</v>
      </c>
      <c r="C71" s="164">
        <v>1</v>
      </c>
      <c r="D71" s="164">
        <v>1</v>
      </c>
      <c r="E71" s="164">
        <v>1</v>
      </c>
      <c r="F71" s="164">
        <v>1</v>
      </c>
      <c r="G71" s="164">
        <v>1</v>
      </c>
      <c r="H71" s="164">
        <v>1</v>
      </c>
      <c r="I71" s="164">
        <v>1</v>
      </c>
      <c r="J71" s="164">
        <v>1</v>
      </c>
      <c r="K71" s="164">
        <v>1</v>
      </c>
      <c r="L71" s="164">
        <v>1</v>
      </c>
      <c r="M71" s="164">
        <v>1</v>
      </c>
      <c r="N71"/>
    </row>
    <row r="72" spans="1:14" ht="12.75">
      <c r="A72" s="154" t="s">
        <v>1015</v>
      </c>
      <c r="B72" s="164">
        <v>1</v>
      </c>
      <c r="C72" s="164">
        <v>1</v>
      </c>
      <c r="D72" s="164">
        <v>1</v>
      </c>
      <c r="E72" s="164">
        <v>1</v>
      </c>
      <c r="F72" s="164">
        <v>1</v>
      </c>
      <c r="G72" s="164">
        <v>1</v>
      </c>
      <c r="H72" s="164">
        <v>1</v>
      </c>
      <c r="I72" s="164">
        <v>1</v>
      </c>
      <c r="J72" s="164">
        <v>1</v>
      </c>
      <c r="K72" s="164">
        <v>1</v>
      </c>
      <c r="L72" s="164">
        <v>1</v>
      </c>
      <c r="M72" s="164">
        <v>1</v>
      </c>
      <c r="N72"/>
    </row>
    <row r="73" spans="1:14" ht="12.75">
      <c r="A73" s="154" t="s">
        <v>1016</v>
      </c>
      <c r="B73" s="164">
        <v>1</v>
      </c>
      <c r="C73" s="164">
        <v>1</v>
      </c>
      <c r="D73" s="164">
        <v>1</v>
      </c>
      <c r="E73" s="164">
        <v>1</v>
      </c>
      <c r="F73" s="164">
        <v>1</v>
      </c>
      <c r="G73" s="164">
        <v>1</v>
      </c>
      <c r="H73" s="164">
        <v>1</v>
      </c>
      <c r="I73" s="164">
        <v>1</v>
      </c>
      <c r="J73" s="164">
        <v>1</v>
      </c>
      <c r="K73" s="164">
        <v>1</v>
      </c>
      <c r="L73" s="164">
        <v>1</v>
      </c>
      <c r="M73" s="164">
        <v>1</v>
      </c>
      <c r="N73"/>
    </row>
    <row r="74" spans="1:14" ht="12.75">
      <c r="A74" s="154" t="s">
        <v>1045</v>
      </c>
      <c r="B74" s="164">
        <v>0.5</v>
      </c>
      <c r="C74" s="164">
        <v>0.5</v>
      </c>
      <c r="D74" s="164">
        <v>0.5</v>
      </c>
      <c r="E74" s="164">
        <v>0.5</v>
      </c>
      <c r="F74" s="164">
        <v>0.5</v>
      </c>
      <c r="G74" s="164">
        <v>0.5</v>
      </c>
      <c r="H74" s="164">
        <v>0.5</v>
      </c>
      <c r="I74" s="164">
        <v>0.5</v>
      </c>
      <c r="J74" s="164">
        <v>0.5</v>
      </c>
      <c r="K74" s="164">
        <v>0.5</v>
      </c>
      <c r="L74" s="164">
        <v>0.5</v>
      </c>
      <c r="M74" s="164">
        <v>0.5</v>
      </c>
      <c r="N74"/>
    </row>
    <row r="75" spans="1:14" ht="12.75">
      <c r="A75" s="154" t="s">
        <v>1046</v>
      </c>
      <c r="B75" s="164">
        <v>2.5</v>
      </c>
      <c r="C75" s="164">
        <v>2.5</v>
      </c>
      <c r="D75" s="164">
        <v>2.5</v>
      </c>
      <c r="E75" s="164">
        <v>2.5</v>
      </c>
      <c r="F75" s="164">
        <v>2.5</v>
      </c>
      <c r="G75" s="164">
        <v>2.5</v>
      </c>
      <c r="H75" s="164">
        <v>2.5</v>
      </c>
      <c r="I75" s="164">
        <v>2.5</v>
      </c>
      <c r="J75" s="164">
        <v>2.5</v>
      </c>
      <c r="K75" s="164">
        <v>2.5</v>
      </c>
      <c r="L75" s="164">
        <v>2.5</v>
      </c>
      <c r="M75" s="164">
        <v>2.5</v>
      </c>
      <c r="N75"/>
    </row>
    <row r="76" spans="1:14" ht="25.5">
      <c r="A76" s="170" t="s">
        <v>1017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/>
    </row>
    <row r="77" spans="1:13" s="911" customFormat="1" ht="12.75">
      <c r="A77" s="154" t="s">
        <v>1018</v>
      </c>
      <c r="B77" s="164">
        <v>1</v>
      </c>
      <c r="C77" s="164">
        <v>1</v>
      </c>
      <c r="D77" s="164">
        <v>1</v>
      </c>
      <c r="E77" s="164">
        <v>1</v>
      </c>
      <c r="F77" s="164">
        <v>1</v>
      </c>
      <c r="G77" s="164">
        <v>1</v>
      </c>
      <c r="H77" s="164">
        <v>1</v>
      </c>
      <c r="I77" s="164">
        <v>1</v>
      </c>
      <c r="J77" s="164">
        <v>1</v>
      </c>
      <c r="K77" s="164">
        <v>1</v>
      </c>
      <c r="L77" s="164">
        <v>1</v>
      </c>
      <c r="M77" s="164">
        <v>1</v>
      </c>
    </row>
    <row r="78" spans="1:14" ht="38.25">
      <c r="A78" s="170" t="s">
        <v>1019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/>
    </row>
    <row r="79" spans="1:13" s="911" customFormat="1" ht="12.75">
      <c r="A79" s="154" t="s">
        <v>1047</v>
      </c>
      <c r="B79" s="164">
        <v>0.25</v>
      </c>
      <c r="C79" s="164">
        <v>0.25</v>
      </c>
      <c r="D79" s="164">
        <v>0.25</v>
      </c>
      <c r="E79" s="164">
        <v>0.25</v>
      </c>
      <c r="F79" s="164">
        <v>0.25</v>
      </c>
      <c r="G79" s="164">
        <v>0.25</v>
      </c>
      <c r="H79" s="164">
        <v>0.25</v>
      </c>
      <c r="I79" s="164">
        <v>0.25</v>
      </c>
      <c r="J79" s="164">
        <v>0.25</v>
      </c>
      <c r="K79" s="164">
        <v>0.25</v>
      </c>
      <c r="L79" s="164">
        <v>0.25</v>
      </c>
      <c r="M79" s="164">
        <v>0.25</v>
      </c>
    </row>
    <row r="80" spans="1:13" s="911" customFormat="1" ht="12.75">
      <c r="A80" s="154" t="s">
        <v>1048</v>
      </c>
      <c r="B80" s="164">
        <v>0.5</v>
      </c>
      <c r="C80" s="164">
        <v>0.5</v>
      </c>
      <c r="D80" s="164">
        <v>0.5</v>
      </c>
      <c r="E80" s="164">
        <v>0.5</v>
      </c>
      <c r="F80" s="164">
        <v>0.5</v>
      </c>
      <c r="G80" s="164">
        <v>0.5</v>
      </c>
      <c r="H80" s="164">
        <v>0.5</v>
      </c>
      <c r="I80" s="164">
        <v>0.5</v>
      </c>
      <c r="J80" s="164">
        <v>0.5</v>
      </c>
      <c r="K80" s="164">
        <v>0.5</v>
      </c>
      <c r="L80" s="164">
        <v>0.5</v>
      </c>
      <c r="M80" s="164">
        <v>0.5</v>
      </c>
    </row>
    <row r="81" spans="1:14" ht="12.75">
      <c r="A81" s="169" t="s">
        <v>399</v>
      </c>
      <c r="B81" s="147">
        <f>SUM(B50:B80)</f>
        <v>26.75</v>
      </c>
      <c r="C81" s="147">
        <f aca="true" t="shared" si="2" ref="C81:M81">SUM(C50:C80)</f>
        <v>25.75</v>
      </c>
      <c r="D81" s="147">
        <f t="shared" si="2"/>
        <v>25.75</v>
      </c>
      <c r="E81" s="147">
        <f t="shared" si="2"/>
        <v>25.75</v>
      </c>
      <c r="F81" s="147">
        <f t="shared" si="2"/>
        <v>25.75</v>
      </c>
      <c r="G81" s="147">
        <f t="shared" si="2"/>
        <v>25.75</v>
      </c>
      <c r="H81" s="147">
        <f t="shared" si="2"/>
        <v>25.75</v>
      </c>
      <c r="I81" s="147">
        <f t="shared" si="2"/>
        <v>25.75</v>
      </c>
      <c r="J81" s="147">
        <f t="shared" si="2"/>
        <v>25.75</v>
      </c>
      <c r="K81" s="147">
        <f t="shared" si="2"/>
        <v>25.75</v>
      </c>
      <c r="L81" s="147">
        <f t="shared" si="2"/>
        <v>25.75</v>
      </c>
      <c r="M81" s="147">
        <f t="shared" si="2"/>
        <v>25.75</v>
      </c>
      <c r="N81"/>
    </row>
    <row r="82" spans="1:14" s="86" customFormat="1" ht="14.25" customHeight="1">
      <c r="A82" s="15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74"/>
    </row>
    <row r="83" spans="1:14" s="87" customFormat="1" ht="22.5" customHeight="1">
      <c r="A83" s="169" t="s">
        <v>852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4"/>
    </row>
    <row r="84" spans="1:14" s="86" customFormat="1" ht="12.75">
      <c r="A84" s="155" t="s">
        <v>801</v>
      </c>
      <c r="B84" s="122">
        <v>1</v>
      </c>
      <c r="C84" s="122">
        <v>1</v>
      </c>
      <c r="D84" s="122">
        <v>1</v>
      </c>
      <c r="E84" s="122">
        <v>1</v>
      </c>
      <c r="F84" s="122">
        <v>1</v>
      </c>
      <c r="G84" s="122">
        <v>1</v>
      </c>
      <c r="H84" s="122">
        <v>1</v>
      </c>
      <c r="I84" s="122">
        <v>1</v>
      </c>
      <c r="J84" s="122">
        <v>1</v>
      </c>
      <c r="K84" s="122">
        <v>1</v>
      </c>
      <c r="L84" s="122">
        <v>1</v>
      </c>
      <c r="M84" s="122">
        <v>1</v>
      </c>
      <c r="N84" s="174"/>
    </row>
    <row r="85" spans="1:14" s="86" customFormat="1" ht="12.75">
      <c r="A85" s="155" t="s">
        <v>802</v>
      </c>
      <c r="B85" s="122">
        <v>1</v>
      </c>
      <c r="C85" s="122">
        <v>1</v>
      </c>
      <c r="D85" s="122">
        <v>1</v>
      </c>
      <c r="E85" s="122">
        <v>1</v>
      </c>
      <c r="F85" s="122">
        <v>1</v>
      </c>
      <c r="G85" s="122">
        <v>1</v>
      </c>
      <c r="H85" s="122">
        <v>1</v>
      </c>
      <c r="I85" s="122">
        <v>1</v>
      </c>
      <c r="J85" s="122">
        <v>1</v>
      </c>
      <c r="K85" s="122">
        <v>1</v>
      </c>
      <c r="L85" s="122">
        <v>1</v>
      </c>
      <c r="M85" s="122">
        <v>1</v>
      </c>
      <c r="N85" s="174"/>
    </row>
    <row r="86" spans="1:14" s="86" customFormat="1" ht="12.75">
      <c r="A86" s="155" t="s">
        <v>803</v>
      </c>
      <c r="B86" s="122">
        <v>1</v>
      </c>
      <c r="C86" s="122">
        <v>1</v>
      </c>
      <c r="D86" s="122">
        <v>1</v>
      </c>
      <c r="E86" s="122">
        <v>1</v>
      </c>
      <c r="F86" s="122">
        <v>1</v>
      </c>
      <c r="G86" s="122">
        <v>1</v>
      </c>
      <c r="H86" s="122">
        <v>1</v>
      </c>
      <c r="I86" s="122">
        <v>1</v>
      </c>
      <c r="J86" s="122">
        <v>1</v>
      </c>
      <c r="K86" s="122">
        <v>1</v>
      </c>
      <c r="L86" s="122">
        <v>1</v>
      </c>
      <c r="M86" s="122">
        <v>1</v>
      </c>
      <c r="N86" s="174"/>
    </row>
    <row r="87" spans="1:14" s="86" customFormat="1" ht="12.75">
      <c r="A87" s="155" t="s">
        <v>804</v>
      </c>
      <c r="B87" s="122">
        <v>1</v>
      </c>
      <c r="C87" s="122">
        <v>1</v>
      </c>
      <c r="D87" s="122">
        <v>1</v>
      </c>
      <c r="E87" s="122">
        <v>1</v>
      </c>
      <c r="F87" s="122">
        <v>1</v>
      </c>
      <c r="G87" s="122">
        <v>1</v>
      </c>
      <c r="H87" s="122">
        <v>1</v>
      </c>
      <c r="I87" s="122">
        <v>1</v>
      </c>
      <c r="J87" s="122">
        <v>1</v>
      </c>
      <c r="K87" s="122">
        <v>1</v>
      </c>
      <c r="L87" s="122">
        <v>1</v>
      </c>
      <c r="M87" s="122">
        <v>1</v>
      </c>
      <c r="N87" s="174"/>
    </row>
    <row r="88" spans="1:14" ht="25.5">
      <c r="A88" s="170" t="s">
        <v>1020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/>
    </row>
    <row r="89" spans="1:14" ht="12.75">
      <c r="A89" s="154" t="s">
        <v>1013</v>
      </c>
      <c r="B89" s="164">
        <v>0.5</v>
      </c>
      <c r="C89" s="164">
        <v>0.5</v>
      </c>
      <c r="D89" s="164">
        <v>0.5</v>
      </c>
      <c r="E89" s="164">
        <v>0.5</v>
      </c>
      <c r="F89" s="164">
        <v>0.5</v>
      </c>
      <c r="G89" s="164">
        <v>0.5</v>
      </c>
      <c r="H89" s="164">
        <v>0.5</v>
      </c>
      <c r="I89" s="164">
        <v>0.5</v>
      </c>
      <c r="J89" s="164">
        <v>0.5</v>
      </c>
      <c r="K89" s="164">
        <v>0.5</v>
      </c>
      <c r="L89" s="164">
        <v>0.5</v>
      </c>
      <c r="M89" s="164">
        <v>0.5</v>
      </c>
      <c r="N89"/>
    </row>
    <row r="90" spans="1:14" s="87" customFormat="1" ht="30" customHeight="1">
      <c r="A90" s="153" t="s">
        <v>853</v>
      </c>
      <c r="B90" s="147">
        <f>SUM(B84:B89)</f>
        <v>4.5</v>
      </c>
      <c r="C90" s="147">
        <f aca="true" t="shared" si="3" ref="C90:M90">SUM(C84:C89)</f>
        <v>4.5</v>
      </c>
      <c r="D90" s="147">
        <f t="shared" si="3"/>
        <v>4.5</v>
      </c>
      <c r="E90" s="147">
        <f t="shared" si="3"/>
        <v>4.5</v>
      </c>
      <c r="F90" s="147">
        <f t="shared" si="3"/>
        <v>4.5</v>
      </c>
      <c r="G90" s="147">
        <f t="shared" si="3"/>
        <v>4.5</v>
      </c>
      <c r="H90" s="147">
        <f t="shared" si="3"/>
        <v>4.5</v>
      </c>
      <c r="I90" s="147">
        <f t="shared" si="3"/>
        <v>4.5</v>
      </c>
      <c r="J90" s="147">
        <f t="shared" si="3"/>
        <v>4.5</v>
      </c>
      <c r="K90" s="147">
        <f t="shared" si="3"/>
        <v>4.5</v>
      </c>
      <c r="L90" s="147">
        <f t="shared" si="3"/>
        <v>4.5</v>
      </c>
      <c r="M90" s="147">
        <f t="shared" si="3"/>
        <v>4.5</v>
      </c>
      <c r="N90" s="124"/>
    </row>
    <row r="91" spans="1:14" s="87" customFormat="1" ht="30.75" customHeight="1">
      <c r="A91" s="158" t="s">
        <v>436</v>
      </c>
      <c r="B91" s="497">
        <f aca="true" t="shared" si="4" ref="B91:M91">SUM(B90,B81,B46,B41)</f>
        <v>102.075</v>
      </c>
      <c r="C91" s="497">
        <f t="shared" si="4"/>
        <v>101.075</v>
      </c>
      <c r="D91" s="497">
        <f t="shared" si="4"/>
        <v>101.075</v>
      </c>
      <c r="E91" s="497">
        <f t="shared" si="4"/>
        <v>101.575</v>
      </c>
      <c r="F91" s="497">
        <f t="shared" si="4"/>
        <v>101.575</v>
      </c>
      <c r="G91" s="497">
        <f t="shared" si="4"/>
        <v>101.575</v>
      </c>
      <c r="H91" s="497">
        <f t="shared" si="4"/>
        <v>101.575</v>
      </c>
      <c r="I91" s="497">
        <f t="shared" si="4"/>
        <v>101.575</v>
      </c>
      <c r="J91" s="497">
        <f t="shared" si="4"/>
        <v>103.575</v>
      </c>
      <c r="K91" s="497">
        <f t="shared" si="4"/>
        <v>103.575</v>
      </c>
      <c r="L91" s="497">
        <f t="shared" si="4"/>
        <v>103.575</v>
      </c>
      <c r="M91" s="497">
        <f t="shared" si="4"/>
        <v>102.575</v>
      </c>
      <c r="N91" s="124"/>
    </row>
    <row r="92" spans="1:14" s="86" customFormat="1" ht="6" customHeight="1">
      <c r="A92" s="15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74"/>
    </row>
    <row r="93" spans="1:14" s="87" customFormat="1" ht="25.5" customHeight="1">
      <c r="A93" s="169" t="s">
        <v>364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4"/>
    </row>
    <row r="94" spans="1:14" s="644" customFormat="1" ht="42" customHeight="1">
      <c r="A94" s="641" t="s">
        <v>1021</v>
      </c>
      <c r="B94" s="642"/>
      <c r="C94" s="642"/>
      <c r="D94" s="642"/>
      <c r="E94" s="642"/>
      <c r="F94" s="642"/>
      <c r="G94" s="642"/>
      <c r="H94" s="642"/>
      <c r="I94" s="642"/>
      <c r="J94" s="642"/>
      <c r="K94" s="642"/>
      <c r="L94" s="642"/>
      <c r="M94" s="642"/>
      <c r="N94" s="643"/>
    </row>
    <row r="95" spans="1:14" s="86" customFormat="1" ht="27" customHeight="1">
      <c r="A95" s="495" t="s">
        <v>805</v>
      </c>
      <c r="B95" s="496">
        <v>11</v>
      </c>
      <c r="C95" s="496">
        <v>11</v>
      </c>
      <c r="D95" s="496">
        <v>0</v>
      </c>
      <c r="E95" s="496">
        <v>0</v>
      </c>
      <c r="F95" s="496">
        <v>0</v>
      </c>
      <c r="G95" s="496">
        <v>0</v>
      </c>
      <c r="H95" s="496">
        <v>0</v>
      </c>
      <c r="I95" s="496">
        <v>0</v>
      </c>
      <c r="J95" s="496">
        <v>0</v>
      </c>
      <c r="K95" s="496">
        <v>0</v>
      </c>
      <c r="L95" s="496">
        <v>0</v>
      </c>
      <c r="M95" s="496">
        <v>0</v>
      </c>
      <c r="N95" s="174"/>
    </row>
    <row r="96" spans="1:14" s="86" customFormat="1" ht="26.25" customHeight="1">
      <c r="A96" s="495" t="s">
        <v>806</v>
      </c>
      <c r="B96" s="496">
        <v>11</v>
      </c>
      <c r="C96" s="496">
        <v>11</v>
      </c>
      <c r="D96" s="496">
        <v>0</v>
      </c>
      <c r="E96" s="496">
        <v>0</v>
      </c>
      <c r="F96" s="496">
        <v>0</v>
      </c>
      <c r="G96" s="496">
        <v>0</v>
      </c>
      <c r="H96" s="496">
        <v>0</v>
      </c>
      <c r="I96" s="496">
        <v>0</v>
      </c>
      <c r="J96" s="496">
        <v>0</v>
      </c>
      <c r="K96" s="496">
        <v>0</v>
      </c>
      <c r="L96" s="496">
        <v>0</v>
      </c>
      <c r="M96" s="496">
        <v>0</v>
      </c>
      <c r="N96" s="174"/>
    </row>
    <row r="97" spans="1:14" s="86" customFormat="1" ht="26.25" customHeight="1">
      <c r="A97" s="495" t="s">
        <v>807</v>
      </c>
      <c r="B97" s="496">
        <v>11</v>
      </c>
      <c r="C97" s="496">
        <v>11</v>
      </c>
      <c r="D97" s="496">
        <v>0</v>
      </c>
      <c r="E97" s="496">
        <v>0</v>
      </c>
      <c r="F97" s="496">
        <v>0</v>
      </c>
      <c r="G97" s="496">
        <v>0</v>
      </c>
      <c r="H97" s="496">
        <v>0</v>
      </c>
      <c r="I97" s="496">
        <v>0</v>
      </c>
      <c r="J97" s="496">
        <v>0</v>
      </c>
      <c r="K97" s="496">
        <v>0</v>
      </c>
      <c r="L97" s="496">
        <v>0</v>
      </c>
      <c r="M97" s="496">
        <v>0</v>
      </c>
      <c r="N97" s="174"/>
    </row>
    <row r="98" spans="1:14" s="86" customFormat="1" ht="30" customHeight="1">
      <c r="A98" s="495" t="s">
        <v>1022</v>
      </c>
      <c r="B98" s="496">
        <v>5</v>
      </c>
      <c r="C98" s="496">
        <v>5</v>
      </c>
      <c r="D98" s="496">
        <v>0</v>
      </c>
      <c r="E98" s="496">
        <v>0</v>
      </c>
      <c r="F98" s="496">
        <v>0</v>
      </c>
      <c r="G98" s="496">
        <v>0</v>
      </c>
      <c r="H98" s="496">
        <v>0</v>
      </c>
      <c r="I98" s="496">
        <v>0</v>
      </c>
      <c r="J98" s="496">
        <v>0</v>
      </c>
      <c r="K98" s="496">
        <v>0</v>
      </c>
      <c r="L98" s="496">
        <v>0</v>
      </c>
      <c r="M98" s="496">
        <v>0</v>
      </c>
      <c r="N98" s="174"/>
    </row>
    <row r="99" spans="1:14" s="644" customFormat="1" ht="42" customHeight="1">
      <c r="A99" s="641" t="s">
        <v>1023</v>
      </c>
      <c r="B99" s="642"/>
      <c r="C99" s="642"/>
      <c r="D99" s="642"/>
      <c r="E99" s="642"/>
      <c r="F99" s="642"/>
      <c r="G99" s="642"/>
      <c r="H99" s="642"/>
      <c r="I99" s="642"/>
      <c r="J99" s="642"/>
      <c r="K99" s="642"/>
      <c r="L99" s="642"/>
      <c r="M99" s="642"/>
      <c r="N99" s="643"/>
    </row>
    <row r="100" spans="1:14" s="86" customFormat="1" ht="27.75" customHeight="1">
      <c r="A100" s="495" t="s">
        <v>1049</v>
      </c>
      <c r="B100" s="496">
        <v>20</v>
      </c>
      <c r="C100" s="496">
        <v>20</v>
      </c>
      <c r="D100" s="496">
        <v>0</v>
      </c>
      <c r="E100" s="496">
        <v>0</v>
      </c>
      <c r="F100" s="496">
        <v>0</v>
      </c>
      <c r="G100" s="496">
        <v>0</v>
      </c>
      <c r="H100" s="496">
        <v>0</v>
      </c>
      <c r="I100" s="496">
        <v>0</v>
      </c>
      <c r="J100" s="496">
        <v>0</v>
      </c>
      <c r="K100" s="496">
        <v>0</v>
      </c>
      <c r="L100" s="496">
        <v>0</v>
      </c>
      <c r="M100" s="496">
        <v>0</v>
      </c>
      <c r="N100" s="174"/>
    </row>
    <row r="101" spans="1:14" s="86" customFormat="1" ht="24" customHeight="1">
      <c r="A101" s="495" t="s">
        <v>1024</v>
      </c>
      <c r="B101" s="496">
        <v>23</v>
      </c>
      <c r="C101" s="496">
        <v>23</v>
      </c>
      <c r="D101" s="496">
        <v>0</v>
      </c>
      <c r="E101" s="496">
        <v>0</v>
      </c>
      <c r="F101" s="496">
        <v>0</v>
      </c>
      <c r="G101" s="496">
        <v>0</v>
      </c>
      <c r="H101" s="496">
        <v>0</v>
      </c>
      <c r="I101" s="496">
        <v>0</v>
      </c>
      <c r="J101" s="496">
        <v>0</v>
      </c>
      <c r="K101" s="496">
        <v>0</v>
      </c>
      <c r="L101" s="496">
        <v>0</v>
      </c>
      <c r="M101" s="496">
        <v>0</v>
      </c>
      <c r="N101" s="174"/>
    </row>
    <row r="102" spans="1:14" ht="38.25">
      <c r="A102" s="641" t="s">
        <v>1083</v>
      </c>
      <c r="B102" s="642"/>
      <c r="C102" s="642"/>
      <c r="D102" s="642"/>
      <c r="E102" s="642"/>
      <c r="F102" s="642"/>
      <c r="G102" s="642"/>
      <c r="H102" s="642"/>
      <c r="I102" s="642"/>
      <c r="J102" s="642"/>
      <c r="K102" s="642"/>
      <c r="L102" s="642"/>
      <c r="M102" s="642"/>
      <c r="N102"/>
    </row>
    <row r="103" spans="1:14" ht="12.75">
      <c r="A103" s="495" t="s">
        <v>1085</v>
      </c>
      <c r="B103" s="496">
        <v>0</v>
      </c>
      <c r="C103" s="496">
        <v>0</v>
      </c>
      <c r="D103" s="496">
        <v>15</v>
      </c>
      <c r="E103" s="496">
        <v>15</v>
      </c>
      <c r="F103" s="496">
        <v>15</v>
      </c>
      <c r="G103" s="496">
        <v>15</v>
      </c>
      <c r="H103" s="496">
        <v>15</v>
      </c>
      <c r="I103" s="496">
        <v>15</v>
      </c>
      <c r="J103" s="496">
        <v>15</v>
      </c>
      <c r="K103" s="496">
        <v>15</v>
      </c>
      <c r="L103" s="496">
        <v>15</v>
      </c>
      <c r="M103" s="496">
        <v>15</v>
      </c>
      <c r="N103"/>
    </row>
    <row r="104" spans="1:14" ht="38.25">
      <c r="A104" s="641" t="s">
        <v>1082</v>
      </c>
      <c r="B104" s="642"/>
      <c r="C104" s="642"/>
      <c r="D104" s="642"/>
      <c r="E104" s="642"/>
      <c r="F104" s="642"/>
      <c r="G104" s="642"/>
      <c r="H104" s="642"/>
      <c r="I104" s="642"/>
      <c r="J104" s="642"/>
      <c r="K104" s="642"/>
      <c r="L104" s="642"/>
      <c r="M104" s="642"/>
      <c r="N104"/>
    </row>
    <row r="105" spans="1:14" ht="12.75">
      <c r="A105" s="495" t="s">
        <v>1084</v>
      </c>
      <c r="B105" s="496">
        <v>0</v>
      </c>
      <c r="C105" s="496">
        <v>0</v>
      </c>
      <c r="D105" s="496">
        <v>48</v>
      </c>
      <c r="E105" s="496">
        <v>48</v>
      </c>
      <c r="F105" s="496">
        <v>48</v>
      </c>
      <c r="G105" s="496">
        <v>48</v>
      </c>
      <c r="H105" s="496">
        <v>48</v>
      </c>
      <c r="I105" s="496">
        <v>48</v>
      </c>
      <c r="J105" s="496">
        <v>48</v>
      </c>
      <c r="K105" s="496">
        <v>48</v>
      </c>
      <c r="L105" s="496">
        <v>48</v>
      </c>
      <c r="M105" s="496">
        <v>48</v>
      </c>
      <c r="N105"/>
    </row>
    <row r="106" spans="1:14" s="87" customFormat="1" ht="32.25" customHeight="1">
      <c r="A106" s="158" t="s">
        <v>533</v>
      </c>
      <c r="B106" s="497">
        <f>SUM(B94:B105)</f>
        <v>81</v>
      </c>
      <c r="C106" s="497">
        <f aca="true" t="shared" si="5" ref="C106:M106">SUM(C94:C105)</f>
        <v>81</v>
      </c>
      <c r="D106" s="497">
        <f t="shared" si="5"/>
        <v>63</v>
      </c>
      <c r="E106" s="497">
        <f t="shared" si="5"/>
        <v>63</v>
      </c>
      <c r="F106" s="497">
        <f t="shared" si="5"/>
        <v>63</v>
      </c>
      <c r="G106" s="497">
        <f t="shared" si="5"/>
        <v>63</v>
      </c>
      <c r="H106" s="497">
        <f t="shared" si="5"/>
        <v>63</v>
      </c>
      <c r="I106" s="497">
        <f t="shared" si="5"/>
        <v>63</v>
      </c>
      <c r="J106" s="497">
        <f t="shared" si="5"/>
        <v>63</v>
      </c>
      <c r="K106" s="497">
        <f t="shared" si="5"/>
        <v>63</v>
      </c>
      <c r="L106" s="497">
        <f t="shared" si="5"/>
        <v>63</v>
      </c>
      <c r="M106" s="497">
        <f t="shared" si="5"/>
        <v>63</v>
      </c>
      <c r="N106" s="124"/>
    </row>
    <row r="110" spans="1:5" ht="15">
      <c r="A110" s="1331">
        <v>13</v>
      </c>
      <c r="B110" s="1332" t="s">
        <v>1111</v>
      </c>
      <c r="C110" s="38"/>
      <c r="D110" s="187"/>
      <c r="E110" s="187"/>
    </row>
  </sheetData>
  <sheetProtection/>
  <mergeCells count="3">
    <mergeCell ref="A4:M4"/>
    <mergeCell ref="A5:M5"/>
    <mergeCell ref="A6:M6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4" r:id="rId1"/>
  <rowBreaks count="3" manualBreakCount="3">
    <brk id="33" max="12" man="1"/>
    <brk id="60" max="12" man="1"/>
    <brk id="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72"/>
  <sheetViews>
    <sheetView zoomScaleSheetLayoutView="100" zoomScalePageLayoutView="0" workbookViewId="0" topLeftCell="A1">
      <selection activeCell="C1" sqref="C1:D1"/>
    </sheetView>
  </sheetViews>
  <sheetFormatPr defaultColWidth="8.875" defaultRowHeight="12.75"/>
  <cols>
    <col min="1" max="1" width="4.125" style="89" bestFit="1" customWidth="1"/>
    <col min="2" max="2" width="2.375" style="3" customWidth="1"/>
    <col min="3" max="3" width="88.625" style="3" customWidth="1"/>
    <col min="4" max="4" width="17.25390625" style="3" bestFit="1" customWidth="1"/>
    <col min="5" max="16384" width="8.875" style="3" customWidth="1"/>
  </cols>
  <sheetData>
    <row r="1" spans="3:5" ht="18">
      <c r="C1" s="999" t="s">
        <v>1119</v>
      </c>
      <c r="D1" s="1247"/>
      <c r="E1" s="88"/>
    </row>
    <row r="2" spans="3:5" ht="15">
      <c r="C2" s="6"/>
      <c r="D2" s="163"/>
      <c r="E2" s="88"/>
    </row>
    <row r="3" spans="2:4" ht="15.75">
      <c r="B3" s="1248" t="s">
        <v>933</v>
      </c>
      <c r="C3" s="1248"/>
      <c r="D3" s="1248"/>
    </row>
    <row r="4" spans="2:4" ht="15">
      <c r="B4" s="181"/>
      <c r="C4" s="181"/>
      <c r="D4" s="181"/>
    </row>
    <row r="5" ht="15.75" thickBot="1">
      <c r="D5" s="6"/>
    </row>
    <row r="6" spans="1:4" s="4" customFormat="1" ht="14.25">
      <c r="A6" s="1242" t="s">
        <v>448</v>
      </c>
      <c r="B6" s="1249" t="s">
        <v>369</v>
      </c>
      <c r="C6" s="1250"/>
      <c r="D6" s="7" t="s">
        <v>382</v>
      </c>
    </row>
    <row r="7" spans="1:4" s="106" customFormat="1" ht="12">
      <c r="A7" s="1243"/>
      <c r="B7" s="1238" t="s">
        <v>442</v>
      </c>
      <c r="C7" s="1238"/>
      <c r="D7" s="105" t="s">
        <v>443</v>
      </c>
    </row>
    <row r="8" spans="1:4" s="4" customFormat="1" ht="14.25">
      <c r="A8" s="112">
        <v>1</v>
      </c>
      <c r="B8" s="107" t="s">
        <v>375</v>
      </c>
      <c r="C8" s="11"/>
      <c r="D8" s="314"/>
    </row>
    <row r="9" spans="1:4" s="13" customFormat="1" ht="15">
      <c r="A9" s="112">
        <v>2</v>
      </c>
      <c r="B9" s="108" t="s">
        <v>457</v>
      </c>
      <c r="C9" s="12"/>
      <c r="D9" s="315"/>
    </row>
    <row r="10" spans="1:4" ht="27.75" customHeight="1">
      <c r="A10" s="112">
        <v>3</v>
      </c>
      <c r="B10" s="91" t="s">
        <v>383</v>
      </c>
      <c r="C10" s="150" t="s">
        <v>941</v>
      </c>
      <c r="D10" s="713">
        <v>252435231</v>
      </c>
    </row>
    <row r="11" spans="1:4" ht="33" customHeight="1">
      <c r="A11" s="112">
        <v>4</v>
      </c>
      <c r="B11" s="91" t="s">
        <v>383</v>
      </c>
      <c r="C11" s="150" t="s">
        <v>942</v>
      </c>
      <c r="D11" s="713">
        <v>196302400</v>
      </c>
    </row>
    <row r="12" spans="1:4" ht="27.75" customHeight="1">
      <c r="A12" s="112">
        <v>5</v>
      </c>
      <c r="B12" s="91" t="s">
        <v>383</v>
      </c>
      <c r="C12" s="150" t="s">
        <v>943</v>
      </c>
      <c r="D12" s="713">
        <v>429750000</v>
      </c>
    </row>
    <row r="13" spans="1:4" ht="27.75" customHeight="1">
      <c r="A13" s="112">
        <v>6</v>
      </c>
      <c r="B13" s="91" t="s">
        <v>383</v>
      </c>
      <c r="C13" s="150" t="s">
        <v>760</v>
      </c>
      <c r="D13" s="713">
        <v>12223750</v>
      </c>
    </row>
    <row r="14" spans="1:4" ht="27.75" customHeight="1">
      <c r="A14" s="112">
        <v>7</v>
      </c>
      <c r="B14" s="91" t="s">
        <v>383</v>
      </c>
      <c r="C14" s="150" t="s">
        <v>935</v>
      </c>
      <c r="D14" s="713">
        <v>4500000</v>
      </c>
    </row>
    <row r="15" spans="1:4" ht="18.75" customHeight="1">
      <c r="A15" s="112">
        <v>8</v>
      </c>
      <c r="B15" s="91" t="s">
        <v>383</v>
      </c>
      <c r="C15" s="150" t="s">
        <v>944</v>
      </c>
      <c r="D15" s="713">
        <v>106361800</v>
      </c>
    </row>
    <row r="16" spans="1:4" ht="18.75" customHeight="1">
      <c r="A16" s="112">
        <v>9</v>
      </c>
      <c r="B16" s="91" t="s">
        <v>383</v>
      </c>
      <c r="C16" s="150" t="s">
        <v>938</v>
      </c>
      <c r="D16" s="713">
        <v>600000</v>
      </c>
    </row>
    <row r="17" spans="1:4" ht="22.5" customHeight="1">
      <c r="A17" s="112">
        <v>10</v>
      </c>
      <c r="B17" s="91" t="s">
        <v>383</v>
      </c>
      <c r="C17" s="150" t="s">
        <v>937</v>
      </c>
      <c r="D17" s="713">
        <v>289870</v>
      </c>
    </row>
    <row r="18" spans="1:4" ht="22.5" customHeight="1">
      <c r="A18" s="112">
        <v>11</v>
      </c>
      <c r="B18" s="91" t="s">
        <v>383</v>
      </c>
      <c r="C18" s="150" t="s">
        <v>1087</v>
      </c>
      <c r="D18" s="713">
        <v>138684</v>
      </c>
    </row>
    <row r="19" spans="1:4" ht="36" customHeight="1">
      <c r="A19" s="112">
        <v>12</v>
      </c>
      <c r="B19" s="91" t="s">
        <v>383</v>
      </c>
      <c r="C19" s="150" t="s">
        <v>946</v>
      </c>
      <c r="D19" s="713">
        <v>510500</v>
      </c>
    </row>
    <row r="20" spans="1:4" ht="27.75" customHeight="1">
      <c r="A20" s="112">
        <v>13</v>
      </c>
      <c r="B20" s="91" t="s">
        <v>383</v>
      </c>
      <c r="C20" s="150" t="s">
        <v>950</v>
      </c>
      <c r="D20" s="713">
        <v>6223000</v>
      </c>
    </row>
    <row r="21" spans="1:4" ht="20.25" customHeight="1">
      <c r="A21" s="112">
        <v>14</v>
      </c>
      <c r="B21" s="91" t="s">
        <v>383</v>
      </c>
      <c r="C21" s="150" t="s">
        <v>951</v>
      </c>
      <c r="D21" s="713">
        <v>600000</v>
      </c>
    </row>
    <row r="22" spans="1:4" ht="27.75" customHeight="1">
      <c r="A22" s="112">
        <v>15</v>
      </c>
      <c r="B22" s="91" t="s">
        <v>383</v>
      </c>
      <c r="C22" s="150" t="s">
        <v>952</v>
      </c>
      <c r="D22" s="713">
        <v>700000</v>
      </c>
    </row>
    <row r="23" spans="1:4" ht="21" customHeight="1">
      <c r="A23" s="112">
        <v>16</v>
      </c>
      <c r="B23" s="91" t="s">
        <v>383</v>
      </c>
      <c r="C23" s="150" t="s">
        <v>954</v>
      </c>
      <c r="D23" s="713">
        <v>11411381</v>
      </c>
    </row>
    <row r="24" spans="1:4" ht="21" customHeight="1">
      <c r="A24" s="112">
        <v>17</v>
      </c>
      <c r="B24" s="91" t="s">
        <v>383</v>
      </c>
      <c r="C24" s="150" t="s">
        <v>955</v>
      </c>
      <c r="D24" s="713">
        <v>4797591</v>
      </c>
    </row>
    <row r="25" spans="1:4" ht="21" customHeight="1">
      <c r="A25" s="112">
        <v>18</v>
      </c>
      <c r="B25" s="91" t="s">
        <v>383</v>
      </c>
      <c r="C25" s="150" t="s">
        <v>1088</v>
      </c>
      <c r="D25" s="713">
        <v>779383</v>
      </c>
    </row>
    <row r="26" spans="1:4" ht="28.5" customHeight="1">
      <c r="A26" s="112">
        <v>19</v>
      </c>
      <c r="B26" s="91" t="s">
        <v>383</v>
      </c>
      <c r="C26" s="150" t="s">
        <v>945</v>
      </c>
      <c r="D26" s="713">
        <v>6400548</v>
      </c>
    </row>
    <row r="27" spans="1:4" ht="28.5" customHeight="1">
      <c r="A27" s="112">
        <v>20</v>
      </c>
      <c r="B27" s="91" t="s">
        <v>383</v>
      </c>
      <c r="C27" s="150" t="s">
        <v>1053</v>
      </c>
      <c r="D27" s="713">
        <v>1000000</v>
      </c>
    </row>
    <row r="28" spans="1:4" s="37" customFormat="1" ht="15">
      <c r="A28" s="112">
        <v>21</v>
      </c>
      <c r="B28" s="91"/>
      <c r="C28" s="15" t="s">
        <v>399</v>
      </c>
      <c r="D28" s="316">
        <f>SUM(D10:D27)</f>
        <v>1035024138</v>
      </c>
    </row>
    <row r="29" spans="1:4" s="37" customFormat="1" ht="15">
      <c r="A29" s="112">
        <v>22</v>
      </c>
      <c r="B29" s="1239" t="s">
        <v>380</v>
      </c>
      <c r="C29" s="1240"/>
      <c r="D29" s="1241"/>
    </row>
    <row r="30" spans="1:4" ht="18.75" customHeight="1">
      <c r="A30" s="112">
        <v>23</v>
      </c>
      <c r="B30" s="91" t="s">
        <v>383</v>
      </c>
      <c r="C30" s="150" t="s">
        <v>957</v>
      </c>
      <c r="D30" s="713">
        <v>1016000</v>
      </c>
    </row>
    <row r="31" spans="1:4" s="37" customFormat="1" ht="15">
      <c r="A31" s="112">
        <v>24</v>
      </c>
      <c r="B31" s="149"/>
      <c r="C31" s="15" t="s">
        <v>510</v>
      </c>
      <c r="D31" s="316">
        <f>SUM(D30:D30)</f>
        <v>1016000</v>
      </c>
    </row>
    <row r="32" spans="1:4" s="37" customFormat="1" ht="15">
      <c r="A32" s="112">
        <v>25</v>
      </c>
      <c r="B32" s="1239" t="s">
        <v>852</v>
      </c>
      <c r="C32" s="1240"/>
      <c r="D32" s="1241"/>
    </row>
    <row r="33" spans="1:4" ht="18.75" customHeight="1">
      <c r="A33" s="112">
        <v>26</v>
      </c>
      <c r="B33" s="91" t="s">
        <v>383</v>
      </c>
      <c r="C33" s="150" t="s">
        <v>958</v>
      </c>
      <c r="D33" s="713">
        <v>635000</v>
      </c>
    </row>
    <row r="34" spans="1:4" ht="18.75" customHeight="1">
      <c r="A34" s="112">
        <v>27</v>
      </c>
      <c r="B34" s="91" t="s">
        <v>383</v>
      </c>
      <c r="C34" s="150" t="s">
        <v>962</v>
      </c>
      <c r="D34" s="713">
        <v>2497100</v>
      </c>
    </row>
    <row r="35" spans="1:4" s="37" customFormat="1" ht="15">
      <c r="A35" s="112">
        <v>28</v>
      </c>
      <c r="B35" s="149"/>
      <c r="C35" s="15" t="s">
        <v>853</v>
      </c>
      <c r="D35" s="316">
        <f>SUM(D33:D34)</f>
        <v>3132100</v>
      </c>
    </row>
    <row r="36" spans="1:4" s="37" customFormat="1" ht="15">
      <c r="A36" s="112">
        <v>29</v>
      </c>
      <c r="B36" s="1239" t="s">
        <v>785</v>
      </c>
      <c r="C36" s="1240"/>
      <c r="D36" s="1241"/>
    </row>
    <row r="37" spans="1:4" ht="32.25" customHeight="1">
      <c r="A37" s="112">
        <v>30</v>
      </c>
      <c r="B37" s="91" t="s">
        <v>383</v>
      </c>
      <c r="C37" s="150" t="s">
        <v>959</v>
      </c>
      <c r="D37" s="713">
        <v>552450</v>
      </c>
    </row>
    <row r="38" spans="1:4" ht="18.75" customHeight="1">
      <c r="A38" s="112">
        <v>31</v>
      </c>
      <c r="B38" s="91" t="s">
        <v>383</v>
      </c>
      <c r="C38" s="839" t="s">
        <v>960</v>
      </c>
      <c r="D38" s="713">
        <v>152400</v>
      </c>
    </row>
    <row r="39" spans="1:4" ht="30">
      <c r="A39" s="112">
        <v>32</v>
      </c>
      <c r="B39" s="91" t="s">
        <v>383</v>
      </c>
      <c r="C39" s="839" t="s">
        <v>961</v>
      </c>
      <c r="D39" s="713">
        <v>241300</v>
      </c>
    </row>
    <row r="40" spans="1:4" s="37" customFormat="1" ht="15">
      <c r="A40" s="112">
        <v>33</v>
      </c>
      <c r="B40" s="149"/>
      <c r="C40" s="15" t="s">
        <v>1050</v>
      </c>
      <c r="D40" s="316">
        <f>SUM(D37:D39)</f>
        <v>946150</v>
      </c>
    </row>
    <row r="41" spans="1:4" s="4" customFormat="1" ht="15" thickBot="1">
      <c r="A41" s="113">
        <v>34</v>
      </c>
      <c r="B41" s="16" t="s">
        <v>372</v>
      </c>
      <c r="C41" s="16"/>
      <c r="D41" s="317">
        <f>SUM(D40+D35+D31+D28)</f>
        <v>1040118388</v>
      </c>
    </row>
    <row r="42" spans="1:4" ht="15">
      <c r="A42" s="599">
        <v>35</v>
      </c>
      <c r="B42" s="1244" t="s">
        <v>381</v>
      </c>
      <c r="C42" s="1244"/>
      <c r="D42" s="1245"/>
    </row>
    <row r="43" spans="1:4" s="13" customFormat="1" ht="15">
      <c r="A43" s="112">
        <v>36</v>
      </c>
      <c r="B43" s="125" t="s">
        <v>457</v>
      </c>
      <c r="C43" s="14"/>
      <c r="D43" s="8"/>
    </row>
    <row r="44" spans="1:4" ht="18.75" customHeight="1">
      <c r="A44" s="112">
        <v>37</v>
      </c>
      <c r="B44" s="91" t="s">
        <v>383</v>
      </c>
      <c r="C44" s="150" t="s">
        <v>625</v>
      </c>
      <c r="D44" s="713">
        <v>500000</v>
      </c>
    </row>
    <row r="45" spans="1:4" ht="18.75" customHeight="1">
      <c r="A45" s="112">
        <v>38</v>
      </c>
      <c r="B45" s="91" t="s">
        <v>383</v>
      </c>
      <c r="C45" s="150" t="s">
        <v>936</v>
      </c>
      <c r="D45" s="713">
        <v>7850000</v>
      </c>
    </row>
    <row r="46" spans="1:4" s="37" customFormat="1" ht="29.25" customHeight="1">
      <c r="A46" s="112">
        <v>39</v>
      </c>
      <c r="B46" s="91" t="s">
        <v>383</v>
      </c>
      <c r="C46" s="150" t="s">
        <v>940</v>
      </c>
      <c r="D46" s="713">
        <v>47550000</v>
      </c>
    </row>
    <row r="47" spans="1:4" s="37" customFormat="1" ht="29.25" customHeight="1">
      <c r="A47" s="112">
        <v>40</v>
      </c>
      <c r="B47" s="91" t="s">
        <v>383</v>
      </c>
      <c r="C47" s="150" t="s">
        <v>948</v>
      </c>
      <c r="D47" s="713">
        <v>6575332</v>
      </c>
    </row>
    <row r="48" spans="1:4" s="37" customFormat="1" ht="29.25" customHeight="1">
      <c r="A48" s="112">
        <v>41</v>
      </c>
      <c r="B48" s="91" t="s">
        <v>383</v>
      </c>
      <c r="C48" s="150" t="s">
        <v>947</v>
      </c>
      <c r="D48" s="713">
        <v>97606050</v>
      </c>
    </row>
    <row r="49" spans="1:4" s="37" customFormat="1" ht="29.25" customHeight="1">
      <c r="A49" s="112">
        <v>42</v>
      </c>
      <c r="B49" s="91" t="s">
        <v>383</v>
      </c>
      <c r="C49" s="150" t="s">
        <v>956</v>
      </c>
      <c r="D49" s="713">
        <v>522139</v>
      </c>
    </row>
    <row r="50" spans="1:4" ht="25.5" customHeight="1">
      <c r="A50" s="112">
        <v>43</v>
      </c>
      <c r="B50" s="91" t="s">
        <v>383</v>
      </c>
      <c r="C50" s="150" t="s">
        <v>949</v>
      </c>
      <c r="D50" s="713">
        <v>6462419</v>
      </c>
    </row>
    <row r="51" spans="1:4" ht="18.75" customHeight="1">
      <c r="A51" s="112">
        <v>44</v>
      </c>
      <c r="B51" s="91" t="s">
        <v>383</v>
      </c>
      <c r="C51" s="150" t="s">
        <v>953</v>
      </c>
      <c r="D51" s="713">
        <v>19957013</v>
      </c>
    </row>
    <row r="52" spans="1:4" ht="30">
      <c r="A52" s="112">
        <v>45</v>
      </c>
      <c r="B52" s="91" t="s">
        <v>383</v>
      </c>
      <c r="C52" s="150" t="s">
        <v>1086</v>
      </c>
      <c r="D52" s="713">
        <v>1600000</v>
      </c>
    </row>
    <row r="53" spans="1:4" s="13" customFormat="1" ht="15">
      <c r="A53" s="112">
        <v>46</v>
      </c>
      <c r="B53" s="110"/>
      <c r="C53" s="5" t="s">
        <v>399</v>
      </c>
      <c r="D53" s="318">
        <f>SUM(D42:D52)</f>
        <v>188622953</v>
      </c>
    </row>
    <row r="54" spans="1:4" ht="15.75" thickBot="1">
      <c r="A54" s="113">
        <v>47</v>
      </c>
      <c r="B54" s="109" t="s">
        <v>372</v>
      </c>
      <c r="C54" s="16"/>
      <c r="D54" s="319">
        <f>SUM(D53)</f>
        <v>188622953</v>
      </c>
    </row>
    <row r="55" spans="1:4" ht="15">
      <c r="A55" s="112">
        <v>48</v>
      </c>
      <c r="B55" s="1244" t="s">
        <v>113</v>
      </c>
      <c r="C55" s="1244"/>
      <c r="D55" s="1245"/>
    </row>
    <row r="56" spans="1:4" s="13" customFormat="1" ht="15">
      <c r="A56" s="112">
        <v>49</v>
      </c>
      <c r="B56" s="17" t="s">
        <v>457</v>
      </c>
      <c r="C56" s="14"/>
      <c r="D56" s="9"/>
    </row>
    <row r="57" spans="1:4" s="37" customFormat="1" ht="20.25" customHeight="1">
      <c r="A57" s="112">
        <v>50</v>
      </c>
      <c r="B57" s="91" t="s">
        <v>383</v>
      </c>
      <c r="C57" s="150" t="s">
        <v>438</v>
      </c>
      <c r="D57" s="714">
        <v>449520</v>
      </c>
    </row>
    <row r="58" spans="1:4" ht="18.75" customHeight="1">
      <c r="A58" s="112">
        <v>51</v>
      </c>
      <c r="B58" s="91" t="s">
        <v>383</v>
      </c>
      <c r="C58" s="150" t="s">
        <v>939</v>
      </c>
      <c r="D58" s="713">
        <f>5000000+5000000</f>
        <v>10000000</v>
      </c>
    </row>
    <row r="59" spans="1:4" s="4" customFormat="1" ht="15" thickBot="1">
      <c r="A59" s="113">
        <v>52</v>
      </c>
      <c r="B59" s="18" t="s">
        <v>372</v>
      </c>
      <c r="C59" s="16"/>
      <c r="D59" s="320">
        <f>SUM(D57:D58)</f>
        <v>10449520</v>
      </c>
    </row>
    <row r="60" spans="1:4" ht="15" hidden="1">
      <c r="A60" s="599">
        <v>45</v>
      </c>
      <c r="B60" s="1244" t="s">
        <v>439</v>
      </c>
      <c r="C60" s="1244"/>
      <c r="D60" s="1245"/>
    </row>
    <row r="61" spans="1:4" s="13" customFormat="1" ht="15" hidden="1">
      <c r="A61" s="112">
        <v>46</v>
      </c>
      <c r="B61" s="91"/>
      <c r="C61" s="20"/>
      <c r="D61" s="19"/>
    </row>
    <row r="62" spans="1:4" s="4" customFormat="1" ht="15" hidden="1" thickBot="1">
      <c r="A62" s="112">
        <v>47</v>
      </c>
      <c r="B62" s="18" t="s">
        <v>372</v>
      </c>
      <c r="C62" s="16"/>
      <c r="D62" s="10">
        <f>SUM(D61:D61)</f>
        <v>0</v>
      </c>
    </row>
    <row r="63" spans="1:4" ht="15">
      <c r="A63" s="112">
        <v>53</v>
      </c>
      <c r="B63" s="1244" t="s">
        <v>440</v>
      </c>
      <c r="C63" s="1244"/>
      <c r="D63" s="1245"/>
    </row>
    <row r="64" spans="1:4" ht="15">
      <c r="A64" s="112">
        <v>54</v>
      </c>
      <c r="B64" s="17" t="s">
        <v>457</v>
      </c>
      <c r="C64" s="104"/>
      <c r="D64" s="103"/>
    </row>
    <row r="65" spans="1:4" s="4" customFormat="1" ht="15" thickBot="1">
      <c r="A65" s="113">
        <v>55</v>
      </c>
      <c r="B65" s="18" t="s">
        <v>372</v>
      </c>
      <c r="C65" s="16"/>
      <c r="D65" s="320">
        <v>0</v>
      </c>
    </row>
    <row r="66" spans="1:4" ht="21" customHeight="1" thickBot="1">
      <c r="A66" s="113">
        <v>56</v>
      </c>
      <c r="B66" s="111" t="s">
        <v>373</v>
      </c>
      <c r="C66" s="18"/>
      <c r="D66" s="320">
        <f>SUM(D65+D59+D54+D41)</f>
        <v>1239190861</v>
      </c>
    </row>
    <row r="68" ht="21" customHeight="1"/>
    <row r="70" spans="2:4" ht="15">
      <c r="B70" s="1246"/>
      <c r="C70" s="1246"/>
      <c r="D70" s="1246"/>
    </row>
    <row r="71" spans="1:7" ht="15">
      <c r="A71" s="1331">
        <v>14</v>
      </c>
      <c r="B71" s="1332" t="s">
        <v>1111</v>
      </c>
      <c r="C71" s="38"/>
      <c r="D71" s="187"/>
      <c r="E71" s="187"/>
      <c r="F71"/>
      <c r="G71"/>
    </row>
    <row r="72" ht="15">
      <c r="H72" s="90"/>
    </row>
  </sheetData>
  <sheetProtection/>
  <mergeCells count="13">
    <mergeCell ref="B70:D70"/>
    <mergeCell ref="B36:D36"/>
    <mergeCell ref="C1:D1"/>
    <mergeCell ref="B55:D55"/>
    <mergeCell ref="B3:D3"/>
    <mergeCell ref="B6:C6"/>
    <mergeCell ref="B42:D42"/>
    <mergeCell ref="B7:C7"/>
    <mergeCell ref="B29:D29"/>
    <mergeCell ref="B32:D32"/>
    <mergeCell ref="A6:A7"/>
    <mergeCell ref="B60:D60"/>
    <mergeCell ref="B63:D6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2019-05-24T06:56:44Z</cp:lastPrinted>
  <dcterms:created xsi:type="dcterms:W3CDTF">2001-11-30T10:27:10Z</dcterms:created>
  <dcterms:modified xsi:type="dcterms:W3CDTF">2019-05-29T08:38:00Z</dcterms:modified>
  <cp:category/>
  <cp:version/>
  <cp:contentType/>
  <cp:contentStatus/>
</cp:coreProperties>
</file>