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15600" windowHeight="11760" tabRatio="838" firstSheet="18" activeTab="26"/>
  </bookViews>
  <sheets>
    <sheet name="1." sheetId="17" r:id="rId1"/>
    <sheet name="1.a" sheetId="34" r:id="rId2"/>
    <sheet name="1.b" sheetId="35" r:id="rId3"/>
    <sheet name="1.e" sheetId="50" r:id="rId4"/>
    <sheet name="1.c" sheetId="36" r:id="rId5"/>
    <sheet name="1.d" sheetId="37" r:id="rId6"/>
    <sheet name="2" sheetId="12" r:id="rId7"/>
    <sheet name="2.a" sheetId="30" r:id="rId8"/>
    <sheet name="2.b" sheetId="5" state="hidden" r:id="rId9"/>
    <sheet name="2.c" sheetId="4" r:id="rId10"/>
    <sheet name="3. melléklet" sheetId="18" r:id="rId11"/>
    <sheet name="Munka1" sheetId="33" state="hidden" r:id="rId12"/>
    <sheet name="3a önkormányzat részletezése" sheetId="32" state="hidden" r:id="rId13"/>
    <sheet name="3.a int.fin" sheetId="20" r:id="rId14"/>
    <sheet name="3.b önk tám" sheetId="23" r:id="rId15"/>
    <sheet name="3.c. tartalék" sheetId="27" r:id="rId16"/>
    <sheet name="4.beruházás" sheetId="25" r:id="rId17"/>
    <sheet name="4.a melléklet" sheetId="48" r:id="rId18"/>
    <sheet name="5.felújítás" sheetId="26" r:id="rId19"/>
    <sheet name="6. pénz.átad műk2020" sheetId="31" r:id="rId20"/>
    <sheet name="7.a  finanszírozás" sheetId="28" r:id="rId21"/>
    <sheet name="7. adósságot kelet" sheetId="41" r:id="rId22"/>
    <sheet name="2.c álláshelyek" sheetId="38" r:id="rId23"/>
    <sheet name="9. gördülő tervez" sheetId="39" r:id="rId24"/>
    <sheet name="12. többéves" sheetId="40" r:id="rId25"/>
    <sheet name="12.a megfelelés" sheetId="42" r:id="rId26"/>
    <sheet name="8. közvetett" sheetId="43" r:id="rId27"/>
    <sheet name="10. előirányzat" sheetId="44" r:id="rId28"/>
    <sheet name="11. likviditás" sheetId="47" r:id="rId29"/>
  </sheets>
  <externalReferences>
    <externalReference r:id="rId30"/>
    <externalReference r:id="rId31"/>
  </externalReferences>
  <definedNames>
    <definedName name="_xlnm.Print_Titles" localSheetId="0">'1.'!$1:$8</definedName>
    <definedName name="_xlnm.Print_Titles" localSheetId="1">'1.a'!$1:$7</definedName>
    <definedName name="_xlnm.Print_Titles" localSheetId="2">'1.b'!$1:$6</definedName>
    <definedName name="_xlnm.Print_Titles" localSheetId="24">'12. többéves'!$1:$4</definedName>
    <definedName name="_xlnm.Print_Titles" localSheetId="6">'2'!$2:$6</definedName>
    <definedName name="_xlnm.Print_Titles" localSheetId="7">'2.a'!$1:$3</definedName>
    <definedName name="_xlnm.Print_Titles" localSheetId="8">'2.b'!$2:$7</definedName>
    <definedName name="_xlnm.Print_Titles" localSheetId="10">'3. melléklet'!$1:$6</definedName>
    <definedName name="_xlnm.Print_Titles" localSheetId="15">'3.c. tartalék'!$1:$3</definedName>
    <definedName name="_xlnm.Print_Titles" localSheetId="16">'4.beruházás'!$1:$1</definedName>
    <definedName name="_xlnm.Print_Titles" localSheetId="18">'5.felújítás'!$1:$2</definedName>
    <definedName name="_xlnm.Print_Titles" localSheetId="19">'6. pénz.átad műk2020'!$1:$5</definedName>
    <definedName name="_xlnm.Print_Titles" localSheetId="21">'7. adósságot kelet'!$1:$3</definedName>
    <definedName name="_xlnm.Print_Titles" localSheetId="20">'7.a  finanszírozás'!$1:$3</definedName>
    <definedName name="_xlnm.Print_Area" localSheetId="6">'2'!$A$1:$O$71</definedName>
    <definedName name="_xlnm.Print_Area" localSheetId="14">'3.b önk tám'!$A$1:$G$20</definedName>
    <definedName name="_xlnm.Print_Area" localSheetId="19">'6. pénz.átad műk2020'!$A$1:$F$65</definedName>
  </definedNames>
  <calcPr calcId="145621"/>
</workbook>
</file>

<file path=xl/calcChain.xml><?xml version="1.0" encoding="utf-8"?>
<calcChain xmlns="http://schemas.openxmlformats.org/spreadsheetml/2006/main">
  <c r="C10" i="43" l="1"/>
  <c r="E30" i="39" l="1"/>
  <c r="D30" i="39"/>
  <c r="F60" i="31"/>
  <c r="E15" i="18"/>
  <c r="E40" i="12"/>
  <c r="F44" i="31" l="1"/>
  <c r="F16" i="27" l="1"/>
  <c r="Q43" i="40" l="1"/>
  <c r="Q44" i="40" s="1"/>
  <c r="E16" i="44" l="1"/>
  <c r="F32" i="39"/>
  <c r="E31" i="39"/>
  <c r="E32" i="39" s="1"/>
  <c r="D31" i="39"/>
  <c r="D32" i="39" s="1"/>
  <c r="D19" i="39"/>
  <c r="B17" i="39"/>
  <c r="B49" i="41"/>
  <c r="A49" i="41"/>
  <c r="B49" i="28"/>
  <c r="A49" i="28"/>
  <c r="B16" i="39" l="1"/>
  <c r="B15" i="39"/>
  <c r="B14" i="39"/>
  <c r="B13" i="39"/>
  <c r="B12" i="39"/>
  <c r="B11" i="39"/>
  <c r="C90" i="50" l="1"/>
  <c r="C89" i="50"/>
  <c r="C88" i="50"/>
  <c r="C87" i="50"/>
  <c r="C86" i="50"/>
  <c r="C85" i="50"/>
  <c r="C83" i="50"/>
  <c r="C82" i="50"/>
  <c r="C75" i="50"/>
  <c r="C74" i="50"/>
  <c r="C73" i="50"/>
  <c r="C72" i="50" s="1"/>
  <c r="C71" i="50"/>
  <c r="C70" i="50"/>
  <c r="C66" i="50"/>
  <c r="C64" i="50"/>
  <c r="C63" i="50"/>
  <c r="C61" i="50"/>
  <c r="C59" i="50"/>
  <c r="C58" i="50"/>
  <c r="C56" i="50"/>
  <c r="C55" i="50"/>
  <c r="C52" i="50"/>
  <c r="C49" i="50"/>
  <c r="C48" i="50"/>
  <c r="B38" i="50"/>
  <c r="B37" i="50"/>
  <c r="C36" i="50"/>
  <c r="B36" i="50"/>
  <c r="B35" i="50"/>
  <c r="B34" i="50"/>
  <c r="C33" i="50"/>
  <c r="B33" i="50"/>
  <c r="B32" i="50"/>
  <c r="C28" i="50"/>
  <c r="C27" i="50"/>
  <c r="C26" i="50"/>
  <c r="C23" i="50"/>
  <c r="C19" i="50"/>
  <c r="C18" i="50"/>
  <c r="C16" i="50"/>
  <c r="C10" i="50" s="1"/>
  <c r="C8" i="50"/>
  <c r="C96" i="50" s="1"/>
  <c r="C7" i="50"/>
  <c r="C95" i="50" s="1"/>
  <c r="C162" i="50" s="1"/>
  <c r="C17" i="50" l="1"/>
  <c r="C51" i="50"/>
  <c r="C84" i="50"/>
  <c r="C62" i="50"/>
  <c r="C68" i="50"/>
  <c r="C80" i="50"/>
  <c r="C24" i="50"/>
  <c r="C91" i="50"/>
  <c r="C164" i="50" s="1"/>
  <c r="G28" i="48"/>
  <c r="G19" i="48"/>
  <c r="H28" i="48"/>
  <c r="F34" i="48"/>
  <c r="E34" i="48"/>
  <c r="D34" i="48"/>
  <c r="C34" i="48"/>
  <c r="B34" i="48"/>
  <c r="B35" i="48" s="1"/>
  <c r="G32" i="48" l="1"/>
  <c r="G31" i="48"/>
  <c r="H31" i="48" s="1"/>
  <c r="G30" i="48"/>
  <c r="G29" i="48"/>
  <c r="B14" i="48"/>
  <c r="A14" i="48" s="1"/>
  <c r="D7" i="48"/>
  <c r="E7" i="48" s="1"/>
  <c r="E6" i="48"/>
  <c r="H29" i="48" l="1"/>
  <c r="H34" i="48" s="1"/>
  <c r="H37" i="48" s="1"/>
  <c r="G34" i="48"/>
  <c r="G37" i="48" s="1"/>
  <c r="D21" i="38"/>
  <c r="D24" i="38" s="1"/>
  <c r="D9" i="38"/>
  <c r="A22" i="47"/>
  <c r="A21" i="47"/>
  <c r="A20" i="47"/>
  <c r="A19" i="47"/>
  <c r="A18" i="47"/>
  <c r="A17" i="47"/>
  <c r="A16" i="47"/>
  <c r="A15" i="47"/>
  <c r="A14" i="47"/>
  <c r="J13" i="47"/>
  <c r="A13" i="47"/>
  <c r="A12" i="47"/>
  <c r="A11" i="47"/>
  <c r="A10" i="47"/>
  <c r="A9" i="47"/>
  <c r="A8" i="47"/>
  <c r="A7" i="47"/>
  <c r="A6" i="47"/>
  <c r="A5" i="47"/>
  <c r="A4" i="47"/>
  <c r="J13" i="44"/>
  <c r="D4" i="47" l="1"/>
  <c r="E4" i="47" l="1"/>
  <c r="F4" i="47" l="1"/>
  <c r="G4" i="47" l="1"/>
  <c r="H4" i="47" l="1"/>
  <c r="I4" i="47" l="1"/>
  <c r="J4" i="47" l="1"/>
  <c r="K4" i="47" l="1"/>
  <c r="L4" i="47" l="1"/>
  <c r="M4" i="47" l="1"/>
  <c r="N4" i="47" l="1"/>
  <c r="F6" i="27" l="1"/>
  <c r="F59" i="31"/>
  <c r="J33" i="12" l="1"/>
  <c r="J15" i="12"/>
  <c r="J24" i="18"/>
  <c r="J9" i="18"/>
  <c r="J8" i="18"/>
  <c r="J7" i="18"/>
  <c r="A22" i="44" l="1"/>
  <c r="A21" i="44"/>
  <c r="A20" i="44"/>
  <c r="A19" i="44"/>
  <c r="A18" i="44"/>
  <c r="A17" i="44"/>
  <c r="A16" i="44"/>
  <c r="A15" i="44"/>
  <c r="A14" i="44"/>
  <c r="A13" i="44"/>
  <c r="A12" i="44"/>
  <c r="A11" i="44"/>
  <c r="A10" i="44"/>
  <c r="A9" i="44"/>
  <c r="A8" i="44"/>
  <c r="A7" i="44"/>
  <c r="A6" i="44"/>
  <c r="A5" i="44"/>
  <c r="A4" i="44"/>
  <c r="C22" i="43"/>
  <c r="H46" i="40" l="1"/>
  <c r="H47" i="40" s="1"/>
  <c r="B13" i="42" s="1"/>
  <c r="J45" i="40"/>
  <c r="K14" i="42"/>
  <c r="C10" i="42"/>
  <c r="C11" i="42" s="1"/>
  <c r="D8" i="42"/>
  <c r="E8" i="42" s="1"/>
  <c r="F8" i="42" s="1"/>
  <c r="G8" i="42" s="1"/>
  <c r="H8" i="42" s="1"/>
  <c r="I8" i="42" s="1"/>
  <c r="J8" i="42" s="1"/>
  <c r="K8" i="42" s="1"/>
  <c r="D7" i="42"/>
  <c r="E19" i="39" s="1"/>
  <c r="T66" i="40"/>
  <c r="S66" i="40"/>
  <c r="G66" i="40"/>
  <c r="E66" i="40"/>
  <c r="T65" i="40"/>
  <c r="S65" i="40"/>
  <c r="R65" i="40"/>
  <c r="E65" i="40"/>
  <c r="G64" i="40"/>
  <c r="F64" i="40"/>
  <c r="E64" i="40"/>
  <c r="A41" i="40"/>
  <c r="G41" i="40" s="1"/>
  <c r="A40" i="40"/>
  <c r="G44" i="40"/>
  <c r="G67" i="40" s="1"/>
  <c r="E44" i="40"/>
  <c r="G43" i="40"/>
  <c r="G68" i="40" s="1"/>
  <c r="F43" i="40"/>
  <c r="E43" i="40"/>
  <c r="R39" i="40"/>
  <c r="E38" i="40"/>
  <c r="E39" i="40" s="1"/>
  <c r="R36" i="40"/>
  <c r="E35" i="40"/>
  <c r="E36" i="40" s="1"/>
  <c r="I34" i="40"/>
  <c r="R33" i="40"/>
  <c r="E32" i="40"/>
  <c r="E33" i="40" s="1"/>
  <c r="I31" i="40"/>
  <c r="J31" i="40" s="1"/>
  <c r="K31" i="40" s="1"/>
  <c r="L31" i="40" s="1"/>
  <c r="M31" i="40" s="1"/>
  <c r="N31" i="40" s="1"/>
  <c r="R30" i="40"/>
  <c r="E30" i="40"/>
  <c r="F29" i="40"/>
  <c r="G29" i="40" s="1"/>
  <c r="I28" i="40"/>
  <c r="J28" i="40" s="1"/>
  <c r="R27" i="40"/>
  <c r="E26" i="40"/>
  <c r="E27" i="40" s="1"/>
  <c r="K25" i="40"/>
  <c r="L25" i="40" s="1"/>
  <c r="R24" i="40"/>
  <c r="E23" i="40"/>
  <c r="E24" i="40" s="1"/>
  <c r="R22" i="40"/>
  <c r="R21" i="40"/>
  <c r="E20" i="40"/>
  <c r="E21" i="40" s="1"/>
  <c r="R19" i="40"/>
  <c r="R18" i="40"/>
  <c r="S18" i="40" s="1"/>
  <c r="C18" i="40"/>
  <c r="R17" i="40"/>
  <c r="C17" i="40"/>
  <c r="R16" i="40"/>
  <c r="S16" i="40" s="1"/>
  <c r="C16" i="40"/>
  <c r="R15" i="40"/>
  <c r="C15" i="40"/>
  <c r="R14" i="40"/>
  <c r="T14" i="40" s="1"/>
  <c r="C14" i="40"/>
  <c r="R13" i="40"/>
  <c r="C13" i="40"/>
  <c r="R12" i="40"/>
  <c r="T12" i="40" s="1"/>
  <c r="F12" i="40"/>
  <c r="R11" i="40"/>
  <c r="R10" i="40"/>
  <c r="S10" i="40" s="1"/>
  <c r="F10" i="40"/>
  <c r="R9" i="40"/>
  <c r="R8" i="40"/>
  <c r="S8" i="40" s="1"/>
  <c r="F8" i="40"/>
  <c r="R7" i="40"/>
  <c r="R6" i="40"/>
  <c r="S6" i="40" s="1"/>
  <c r="F6" i="40"/>
  <c r="R5" i="40"/>
  <c r="E7" i="42" l="1"/>
  <c r="K45" i="40"/>
  <c r="F7" i="42"/>
  <c r="G7" i="42" s="1"/>
  <c r="H7" i="42" s="1"/>
  <c r="I7" i="42" s="1"/>
  <c r="J7" i="42" s="1"/>
  <c r="K7" i="42" s="1"/>
  <c r="F19" i="39"/>
  <c r="F26" i="40"/>
  <c r="G26" i="40" s="1"/>
  <c r="H26" i="40" s="1"/>
  <c r="I26" i="40" s="1"/>
  <c r="J26" i="40" s="1"/>
  <c r="K26" i="40" s="1"/>
  <c r="L26" i="40" s="1"/>
  <c r="F20" i="40"/>
  <c r="G20" i="40" s="1"/>
  <c r="H20" i="40" s="1"/>
  <c r="I20" i="40" s="1"/>
  <c r="J20" i="40" s="1"/>
  <c r="K20" i="40" s="1"/>
  <c r="L20" i="40" s="1"/>
  <c r="M20" i="40" s="1"/>
  <c r="N20" i="40" s="1"/>
  <c r="O20" i="40" s="1"/>
  <c r="F35" i="40"/>
  <c r="G35" i="40" s="1"/>
  <c r="H35" i="40" s="1"/>
  <c r="I35" i="40" s="1"/>
  <c r="E68" i="40"/>
  <c r="F44" i="40"/>
  <c r="F67" i="40" s="1"/>
  <c r="E67" i="40"/>
  <c r="D10" i="42"/>
  <c r="D11" i="42" s="1"/>
  <c r="I46" i="40"/>
  <c r="R31" i="40"/>
  <c r="R43" i="40"/>
  <c r="E5" i="42"/>
  <c r="M25" i="40"/>
  <c r="H29" i="40"/>
  <c r="I29" i="40" s="1"/>
  <c r="J29" i="40" s="1"/>
  <c r="G65" i="40"/>
  <c r="F23" i="40"/>
  <c r="G23" i="40" s="1"/>
  <c r="F32" i="40"/>
  <c r="G32" i="40" s="1"/>
  <c r="F38" i="40"/>
  <c r="G38" i="40" s="1"/>
  <c r="F41" i="40"/>
  <c r="K28" i="40"/>
  <c r="L28" i="40" s="1"/>
  <c r="M28" i="40" s="1"/>
  <c r="N28" i="40" s="1"/>
  <c r="J34" i="40"/>
  <c r="K34" i="40" s="1"/>
  <c r="L34" i="40" s="1"/>
  <c r="L65" i="41"/>
  <c r="J77" i="41"/>
  <c r="E77" i="41"/>
  <c r="D77" i="41"/>
  <c r="B76" i="41"/>
  <c r="A76" i="41"/>
  <c r="B75" i="41"/>
  <c r="A75" i="41"/>
  <c r="B74" i="41"/>
  <c r="A74" i="41"/>
  <c r="B73" i="41"/>
  <c r="A73" i="41"/>
  <c r="B72" i="41"/>
  <c r="A72" i="41"/>
  <c r="B71" i="41"/>
  <c r="A71" i="41"/>
  <c r="B70" i="41"/>
  <c r="I70" i="41" s="1"/>
  <c r="L70" i="41" s="1"/>
  <c r="M70" i="41" s="1"/>
  <c r="A70" i="41"/>
  <c r="L69" i="41"/>
  <c r="B69" i="41"/>
  <c r="A69" i="41"/>
  <c r="B68" i="41"/>
  <c r="I68" i="41" s="1"/>
  <c r="L68" i="41" s="1"/>
  <c r="M68" i="41" s="1"/>
  <c r="A68" i="41"/>
  <c r="L67" i="41"/>
  <c r="B67" i="41"/>
  <c r="A67" i="41"/>
  <c r="L66" i="41"/>
  <c r="B66" i="41"/>
  <c r="A66" i="41"/>
  <c r="B65" i="41"/>
  <c r="A65" i="41"/>
  <c r="L64" i="41"/>
  <c r="B64" i="41"/>
  <c r="A64" i="41"/>
  <c r="B63" i="41"/>
  <c r="G63" i="41" s="1"/>
  <c r="L63" i="41" s="1"/>
  <c r="M63" i="41" s="1"/>
  <c r="A63" i="41"/>
  <c r="L62" i="41"/>
  <c r="B62" i="41"/>
  <c r="A62" i="41"/>
  <c r="L61" i="41"/>
  <c r="B61" i="41"/>
  <c r="A61" i="41"/>
  <c r="L60" i="41"/>
  <c r="B60" i="41"/>
  <c r="A60" i="41"/>
  <c r="L59" i="41"/>
  <c r="B59" i="41"/>
  <c r="A59" i="41"/>
  <c r="L58" i="41"/>
  <c r="B58" i="41"/>
  <c r="A58" i="41"/>
  <c r="L57" i="41"/>
  <c r="B57" i="41"/>
  <c r="A57" i="41"/>
  <c r="L56" i="41"/>
  <c r="B56" i="41"/>
  <c r="A56" i="41"/>
  <c r="L55" i="41"/>
  <c r="B55" i="41"/>
  <c r="A55" i="41"/>
  <c r="L54" i="41"/>
  <c r="B54" i="41"/>
  <c r="A54" i="41"/>
  <c r="L53" i="41"/>
  <c r="B53" i="41"/>
  <c r="A53" i="41"/>
  <c r="L52" i="41"/>
  <c r="B52" i="41"/>
  <c r="A52" i="41"/>
  <c r="A51" i="41"/>
  <c r="B50" i="41"/>
  <c r="I50" i="41" s="1"/>
  <c r="L50" i="41" s="1"/>
  <c r="M50" i="41" s="1"/>
  <c r="A50" i="41"/>
  <c r="I49" i="41"/>
  <c r="L49" i="41" s="1"/>
  <c r="M49" i="41" s="1"/>
  <c r="A48" i="41"/>
  <c r="A47" i="41"/>
  <c r="A46" i="41"/>
  <c r="A45" i="41"/>
  <c r="A44" i="41"/>
  <c r="A43" i="41"/>
  <c r="A42" i="41"/>
  <c r="A41" i="41"/>
  <c r="B40" i="41"/>
  <c r="I40" i="41" s="1"/>
  <c r="L40" i="41" s="1"/>
  <c r="M40" i="41" s="1"/>
  <c r="A40" i="41"/>
  <c r="B39" i="41"/>
  <c r="I39" i="41" s="1"/>
  <c r="L39" i="41" s="1"/>
  <c r="M39" i="41" s="1"/>
  <c r="A39" i="41"/>
  <c r="L38" i="41"/>
  <c r="B38" i="41"/>
  <c r="A38" i="41"/>
  <c r="B37" i="41"/>
  <c r="I37" i="41" s="1"/>
  <c r="L37" i="41" s="1"/>
  <c r="M37" i="41" s="1"/>
  <c r="A37" i="41"/>
  <c r="B36" i="41"/>
  <c r="I36" i="41" s="1"/>
  <c r="L36" i="41" s="1"/>
  <c r="M36" i="41" s="1"/>
  <c r="A36" i="41"/>
  <c r="B35" i="41"/>
  <c r="I35" i="41" s="1"/>
  <c r="L35" i="41" s="1"/>
  <c r="M35" i="41" s="1"/>
  <c r="A35" i="41"/>
  <c r="B34" i="41"/>
  <c r="I34" i="41" s="1"/>
  <c r="L34" i="41" s="1"/>
  <c r="M34" i="41" s="1"/>
  <c r="A34" i="41"/>
  <c r="B33" i="41"/>
  <c r="I33" i="41" s="1"/>
  <c r="L33" i="41" s="1"/>
  <c r="M33" i="41" s="1"/>
  <c r="A33" i="41"/>
  <c r="B32" i="41"/>
  <c r="I32" i="41" s="1"/>
  <c r="L32" i="41" s="1"/>
  <c r="M32" i="41" s="1"/>
  <c r="A32" i="41"/>
  <c r="B31" i="41"/>
  <c r="I31" i="41" s="1"/>
  <c r="L31" i="41" s="1"/>
  <c r="M31" i="41" s="1"/>
  <c r="A31" i="41"/>
  <c r="B30" i="41"/>
  <c r="I30" i="41" s="1"/>
  <c r="L30" i="41" s="1"/>
  <c r="M30" i="41" s="1"/>
  <c r="A30" i="41"/>
  <c r="B29" i="41"/>
  <c r="I29" i="41" s="1"/>
  <c r="L29" i="41" s="1"/>
  <c r="M29" i="41" s="1"/>
  <c r="A29" i="41"/>
  <c r="B28" i="41"/>
  <c r="I28" i="41" s="1"/>
  <c r="L28" i="41" s="1"/>
  <c r="M28" i="41" s="1"/>
  <c r="A28" i="41"/>
  <c r="L27" i="41"/>
  <c r="B27" i="41"/>
  <c r="A27" i="41"/>
  <c r="B26" i="41"/>
  <c r="I26" i="41" s="1"/>
  <c r="L26" i="41" s="1"/>
  <c r="M26" i="41" s="1"/>
  <c r="A26" i="41"/>
  <c r="B25" i="41"/>
  <c r="I25" i="41" s="1"/>
  <c r="L25" i="41" s="1"/>
  <c r="M25" i="41" s="1"/>
  <c r="A25" i="41"/>
  <c r="B24" i="41"/>
  <c r="I24" i="41" s="1"/>
  <c r="L24" i="41" s="1"/>
  <c r="M24" i="41" s="1"/>
  <c r="A24" i="41"/>
  <c r="B23" i="41"/>
  <c r="I23" i="41" s="1"/>
  <c r="L23" i="41" s="1"/>
  <c r="M23" i="41" s="1"/>
  <c r="A23" i="41"/>
  <c r="B22" i="41"/>
  <c r="I22" i="41" s="1"/>
  <c r="L22" i="41" s="1"/>
  <c r="M22" i="41" s="1"/>
  <c r="A22" i="41"/>
  <c r="L21" i="41"/>
  <c r="B21" i="41"/>
  <c r="A21" i="41"/>
  <c r="A20" i="41"/>
  <c r="L19" i="41"/>
  <c r="B19" i="41"/>
  <c r="A19" i="41"/>
  <c r="B18" i="41"/>
  <c r="G18" i="41" s="1"/>
  <c r="L18" i="41" s="1"/>
  <c r="M18" i="41" s="1"/>
  <c r="A18" i="41"/>
  <c r="L17" i="41"/>
  <c r="B17" i="41"/>
  <c r="A17" i="41"/>
  <c r="L16" i="41"/>
  <c r="B16" i="41"/>
  <c r="A16" i="41"/>
  <c r="B15" i="41"/>
  <c r="G15" i="41" s="1"/>
  <c r="L15" i="41" s="1"/>
  <c r="M15" i="41" s="1"/>
  <c r="A15" i="41"/>
  <c r="L14" i="41"/>
  <c r="B14" i="41"/>
  <c r="A14" i="41"/>
  <c r="G13" i="41"/>
  <c r="L13" i="41" s="1"/>
  <c r="A13" i="41"/>
  <c r="L12" i="41"/>
  <c r="B12" i="41"/>
  <c r="A12" i="41"/>
  <c r="G11" i="41"/>
  <c r="L11" i="41" s="1"/>
  <c r="A11" i="41"/>
  <c r="L10" i="41"/>
  <c r="B10" i="41"/>
  <c r="A10" i="41"/>
  <c r="B9" i="41"/>
  <c r="G9" i="41" s="1"/>
  <c r="L9" i="41" s="1"/>
  <c r="M9" i="41" s="1"/>
  <c r="A9" i="41"/>
  <c r="L8" i="41"/>
  <c r="B8" i="41"/>
  <c r="A8" i="41"/>
  <c r="L7" i="41"/>
  <c r="B7" i="41"/>
  <c r="A7" i="41"/>
  <c r="L6" i="41"/>
  <c r="B6" i="41"/>
  <c r="A6" i="41"/>
  <c r="B5" i="41"/>
  <c r="G5" i="41" s="1"/>
  <c r="A5" i="41"/>
  <c r="B4" i="41"/>
  <c r="H4" i="41" s="1"/>
  <c r="A4" i="41"/>
  <c r="F4" i="39"/>
  <c r="F27" i="39" s="1"/>
  <c r="D5" i="39"/>
  <c r="D28" i="39" s="1"/>
  <c r="E5" i="39"/>
  <c r="E28" i="39" s="1"/>
  <c r="F5" i="39"/>
  <c r="F28" i="39" s="1"/>
  <c r="C15" i="39"/>
  <c r="C12" i="39"/>
  <c r="K69" i="28"/>
  <c r="E9" i="37"/>
  <c r="E7" i="37"/>
  <c r="E4" i="37"/>
  <c r="C4" i="37"/>
  <c r="E2" i="37"/>
  <c r="C20" i="36"/>
  <c r="C5" i="36"/>
  <c r="E5" i="36" s="1"/>
  <c r="E3" i="36"/>
  <c r="C47" i="34"/>
  <c r="C35" i="34"/>
  <c r="C32" i="34"/>
  <c r="C148" i="35"/>
  <c r="C144" i="35"/>
  <c r="C142" i="35"/>
  <c r="C138" i="35"/>
  <c r="C137" i="35"/>
  <c r="C135" i="35"/>
  <c r="C134" i="35"/>
  <c r="C130" i="35"/>
  <c r="C129" i="35"/>
  <c r="C128" i="35"/>
  <c r="C127" i="35"/>
  <c r="C126" i="35"/>
  <c r="C125" i="35"/>
  <c r="C124" i="35"/>
  <c r="C123" i="35"/>
  <c r="C121" i="35"/>
  <c r="C122" i="34" s="1"/>
  <c r="C119" i="35"/>
  <c r="C120" i="34" s="1"/>
  <c r="C117" i="35"/>
  <c r="C111" i="35"/>
  <c r="C110" i="35"/>
  <c r="C109" i="35"/>
  <c r="C105" i="35"/>
  <c r="C104" i="35"/>
  <c r="C103" i="35"/>
  <c r="C102" i="35"/>
  <c r="C88" i="35"/>
  <c r="C87" i="35"/>
  <c r="C86" i="35"/>
  <c r="C85" i="35"/>
  <c r="C84" i="35"/>
  <c r="C83" i="35"/>
  <c r="C81" i="35"/>
  <c r="C80" i="35"/>
  <c r="C73" i="35"/>
  <c r="C72" i="35"/>
  <c r="C71" i="35"/>
  <c r="C69" i="35"/>
  <c r="C68" i="35"/>
  <c r="C64" i="35"/>
  <c r="C62" i="35"/>
  <c r="C61" i="35"/>
  <c r="C59" i="35"/>
  <c r="C57" i="35"/>
  <c r="C56" i="35"/>
  <c r="C54" i="35"/>
  <c r="C53" i="35"/>
  <c r="C50" i="35"/>
  <c r="C47" i="35"/>
  <c r="C46" i="35"/>
  <c r="C48" i="34" s="1"/>
  <c r="B36" i="35"/>
  <c r="B35" i="35"/>
  <c r="C34" i="35"/>
  <c r="B34" i="35"/>
  <c r="B33" i="35"/>
  <c r="B32" i="35"/>
  <c r="C31" i="35"/>
  <c r="B31" i="35"/>
  <c r="B30" i="35"/>
  <c r="C26" i="35"/>
  <c r="C25" i="35"/>
  <c r="C24" i="35"/>
  <c r="C21" i="35"/>
  <c r="C17" i="35"/>
  <c r="C16" i="35"/>
  <c r="C14" i="35"/>
  <c r="C8" i="35" s="1"/>
  <c r="C6" i="35"/>
  <c r="C94" i="35" s="1"/>
  <c r="C5" i="35"/>
  <c r="C93" i="35" s="1"/>
  <c r="C160" i="35" s="1"/>
  <c r="C147" i="34"/>
  <c r="C145" i="34"/>
  <c r="C143" i="34"/>
  <c r="C139" i="34"/>
  <c r="C138" i="34"/>
  <c r="C136" i="34"/>
  <c r="C135" i="34"/>
  <c r="C131" i="34"/>
  <c r="C130" i="34"/>
  <c r="C129" i="34"/>
  <c r="C128" i="34"/>
  <c r="C127" i="34"/>
  <c r="C126" i="34"/>
  <c r="C125" i="34"/>
  <c r="C124" i="34"/>
  <c r="C113" i="34"/>
  <c r="C112" i="34"/>
  <c r="C111" i="34"/>
  <c r="C110" i="34"/>
  <c r="C106" i="34"/>
  <c r="C105" i="34"/>
  <c r="C104" i="34"/>
  <c r="C103" i="34"/>
  <c r="C89" i="34"/>
  <c r="C88" i="34"/>
  <c r="C87" i="34"/>
  <c r="C86" i="34"/>
  <c r="C85" i="34"/>
  <c r="C84" i="34"/>
  <c r="C82" i="34"/>
  <c r="C81" i="34"/>
  <c r="C74" i="34"/>
  <c r="C72" i="34"/>
  <c r="C73" i="34"/>
  <c r="C70" i="34"/>
  <c r="C69" i="34"/>
  <c r="C65" i="34"/>
  <c r="C63" i="34"/>
  <c r="C62" i="34"/>
  <c r="C60" i="34"/>
  <c r="C58" i="34"/>
  <c r="C57" i="34"/>
  <c r="C55" i="34"/>
  <c r="C54" i="34"/>
  <c r="C27" i="34"/>
  <c r="C26" i="34"/>
  <c r="C25" i="34"/>
  <c r="C22" i="34"/>
  <c r="C18" i="34"/>
  <c r="C17" i="34"/>
  <c r="C15" i="34"/>
  <c r="C149" i="34"/>
  <c r="B37" i="34"/>
  <c r="B36" i="34"/>
  <c r="B35" i="34"/>
  <c r="B34" i="34"/>
  <c r="B33" i="34"/>
  <c r="B32" i="34"/>
  <c r="B31" i="34"/>
  <c r="C7" i="34"/>
  <c r="C95" i="34" s="1"/>
  <c r="C6" i="34"/>
  <c r="C94" i="34" s="1"/>
  <c r="C161" i="34" s="1"/>
  <c r="G136" i="30"/>
  <c r="G140" i="30" s="1"/>
  <c r="E10" i="12" s="1"/>
  <c r="L45" i="40" l="1"/>
  <c r="M10" i="41"/>
  <c r="M21" i="41"/>
  <c r="M14" i="41"/>
  <c r="R28" i="40"/>
  <c r="M27" i="41"/>
  <c r="M65" i="41"/>
  <c r="K77" i="41"/>
  <c r="C136" i="35"/>
  <c r="M6" i="41"/>
  <c r="M53" i="41"/>
  <c r="M57" i="41"/>
  <c r="M61" i="41"/>
  <c r="M69" i="41"/>
  <c r="M12" i="41"/>
  <c r="M16" i="41"/>
  <c r="J46" i="40"/>
  <c r="I47" i="40"/>
  <c r="C13" i="42" s="1"/>
  <c r="M8" i="41"/>
  <c r="M55" i="41"/>
  <c r="M59" i="41"/>
  <c r="M67" i="41"/>
  <c r="K29" i="40"/>
  <c r="L29" i="40" s="1"/>
  <c r="M29" i="40" s="1"/>
  <c r="N29" i="40" s="1"/>
  <c r="O29" i="40" s="1"/>
  <c r="C132" i="35"/>
  <c r="C15" i="35"/>
  <c r="C78" i="35"/>
  <c r="C66" i="35"/>
  <c r="C22" i="35"/>
  <c r="C60" i="35"/>
  <c r="C82" i="35"/>
  <c r="D15" i="39"/>
  <c r="E15" i="39" s="1"/>
  <c r="F15" i="39" s="1"/>
  <c r="D12" i="39"/>
  <c r="E12" i="39" s="1"/>
  <c r="F12" i="39" s="1"/>
  <c r="C70" i="35"/>
  <c r="E10" i="42"/>
  <c r="E11" i="42" s="1"/>
  <c r="F5" i="42"/>
  <c r="R34" i="40"/>
  <c r="H38" i="40"/>
  <c r="I38" i="40" s="1"/>
  <c r="J38" i="40" s="1"/>
  <c r="K38" i="40" s="1"/>
  <c r="L38" i="40" s="1"/>
  <c r="M38" i="40" s="1"/>
  <c r="N38" i="40" s="1"/>
  <c r="O38" i="40" s="1"/>
  <c r="R20" i="40"/>
  <c r="M26" i="40"/>
  <c r="H32" i="40"/>
  <c r="I32" i="40" s="1"/>
  <c r="J32" i="40" s="1"/>
  <c r="K32" i="40" s="1"/>
  <c r="L32" i="40" s="1"/>
  <c r="M32" i="40" s="1"/>
  <c r="N32" i="40" s="1"/>
  <c r="O32" i="40" s="1"/>
  <c r="J35" i="40"/>
  <c r="F65" i="40"/>
  <c r="F42" i="40"/>
  <c r="F66" i="40" s="1"/>
  <c r="F68" i="40" s="1"/>
  <c r="H23" i="40"/>
  <c r="I23" i="40" s="1"/>
  <c r="J23" i="40" s="1"/>
  <c r="K23" i="40" s="1"/>
  <c r="L23" i="40" s="1"/>
  <c r="M23" i="40" s="1"/>
  <c r="N23" i="40" s="1"/>
  <c r="O23" i="40" s="1"/>
  <c r="R23" i="40" s="1"/>
  <c r="N25" i="40"/>
  <c r="M7" i="41"/>
  <c r="M19" i="41"/>
  <c r="M54" i="41"/>
  <c r="M58" i="41"/>
  <c r="M62" i="41"/>
  <c r="M66" i="41"/>
  <c r="M17" i="41"/>
  <c r="M52" i="41"/>
  <c r="M56" i="41"/>
  <c r="M60" i="41"/>
  <c r="M64" i="41"/>
  <c r="H77" i="41"/>
  <c r="L4" i="41"/>
  <c r="G77" i="41"/>
  <c r="L5" i="41"/>
  <c r="M5" i="41" s="1"/>
  <c r="C137" i="34"/>
  <c r="C83" i="34"/>
  <c r="C71" i="34"/>
  <c r="D25" i="25"/>
  <c r="B20" i="41" s="1"/>
  <c r="I20" i="41" s="1"/>
  <c r="L20" i="41" s="1"/>
  <c r="M20" i="41" s="1"/>
  <c r="E66" i="12"/>
  <c r="R29" i="40" l="1"/>
  <c r="M45" i="40"/>
  <c r="J47" i="40"/>
  <c r="D13" i="42" s="1"/>
  <c r="K46" i="40"/>
  <c r="C156" i="35"/>
  <c r="C89" i="35"/>
  <c r="F10" i="42"/>
  <c r="F11" i="42" s="1"/>
  <c r="G5" i="42"/>
  <c r="K35" i="40"/>
  <c r="L35" i="40" s="1"/>
  <c r="M35" i="40" s="1"/>
  <c r="N35" i="40" s="1"/>
  <c r="O35" i="40" s="1"/>
  <c r="R38" i="40"/>
  <c r="R32" i="40"/>
  <c r="N26" i="40"/>
  <c r="R25" i="40"/>
  <c r="R44" i="40" s="1"/>
  <c r="M4" i="41"/>
  <c r="F13" i="28"/>
  <c r="F11" i="28"/>
  <c r="B50" i="28"/>
  <c r="A50" i="28"/>
  <c r="D18" i="25"/>
  <c r="B13" i="41" s="1"/>
  <c r="M13" i="41" s="1"/>
  <c r="D16" i="25"/>
  <c r="B11" i="41" s="1"/>
  <c r="M11" i="41" s="1"/>
  <c r="N45" i="40" l="1"/>
  <c r="R35" i="40"/>
  <c r="C162" i="35"/>
  <c r="K47" i="40"/>
  <c r="E13" i="42" s="1"/>
  <c r="L46" i="40"/>
  <c r="G10" i="42"/>
  <c r="G11" i="42" s="1"/>
  <c r="H5" i="42"/>
  <c r="O26" i="40"/>
  <c r="R26" i="40"/>
  <c r="M24" i="18"/>
  <c r="M15" i="18"/>
  <c r="M9" i="18"/>
  <c r="M8" i="18"/>
  <c r="M7" i="18"/>
  <c r="O45" i="40" l="1"/>
  <c r="L47" i="40"/>
  <c r="F13" i="42" s="1"/>
  <c r="M46" i="40"/>
  <c r="H10" i="42"/>
  <c r="H11" i="42" s="1"/>
  <c r="I5" i="42"/>
  <c r="P64" i="40"/>
  <c r="C28" i="4"/>
  <c r="P45" i="40" l="1"/>
  <c r="N46" i="40"/>
  <c r="M47" i="40"/>
  <c r="G13" i="42" s="1"/>
  <c r="I10" i="42"/>
  <c r="I11" i="42" s="1"/>
  <c r="J5" i="42"/>
  <c r="D51" i="25"/>
  <c r="B44" i="41" s="1"/>
  <c r="I44" i="41" s="1"/>
  <c r="L44" i="41" s="1"/>
  <c r="M44" i="41" s="1"/>
  <c r="L8" i="18"/>
  <c r="C98" i="35" s="1"/>
  <c r="K8" i="18"/>
  <c r="I8" i="18"/>
  <c r="H8" i="18"/>
  <c r="F24" i="18"/>
  <c r="F9" i="18"/>
  <c r="F8" i="18"/>
  <c r="F7" i="18"/>
  <c r="BD205" i="33"/>
  <c r="BG205" i="33" s="1"/>
  <c r="BC205" i="33"/>
  <c r="BF205" i="33" s="1"/>
  <c r="BB205" i="33"/>
  <c r="BE205" i="33" s="1"/>
  <c r="BD204" i="33"/>
  <c r="BG204" i="33" s="1"/>
  <c r="BC204" i="33"/>
  <c r="BF204" i="33" s="1"/>
  <c r="BB204" i="33"/>
  <c r="BE204" i="33" s="1"/>
  <c r="BD203" i="33"/>
  <c r="BG203" i="33" s="1"/>
  <c r="BC203" i="33"/>
  <c r="BF203" i="33" s="1"/>
  <c r="BB203" i="33"/>
  <c r="BE203" i="33" s="1"/>
  <c r="BD202" i="33"/>
  <c r="BG202" i="33" s="1"/>
  <c r="BC202" i="33"/>
  <c r="BF202" i="33" s="1"/>
  <c r="BB202" i="33"/>
  <c r="BE202" i="33" s="1"/>
  <c r="BD201" i="33"/>
  <c r="BG201" i="33" s="1"/>
  <c r="BC201" i="33"/>
  <c r="BF201" i="33" s="1"/>
  <c r="BB201" i="33"/>
  <c r="BE201" i="33" s="1"/>
  <c r="BD200" i="33"/>
  <c r="BG200" i="33" s="1"/>
  <c r="BC200" i="33"/>
  <c r="BF200" i="33" s="1"/>
  <c r="BB200" i="33"/>
  <c r="BE200" i="33" s="1"/>
  <c r="BD199" i="33"/>
  <c r="BG199" i="33" s="1"/>
  <c r="BC199" i="33"/>
  <c r="BF199" i="33" s="1"/>
  <c r="BB199" i="33"/>
  <c r="BE199" i="33" s="1"/>
  <c r="BD198" i="33"/>
  <c r="BG198" i="33" s="1"/>
  <c r="BC198" i="33"/>
  <c r="BF198" i="33" s="1"/>
  <c r="BB198" i="33"/>
  <c r="BE198" i="33" s="1"/>
  <c r="AT197" i="33"/>
  <c r="BC197" i="33" s="1"/>
  <c r="AS197" i="33"/>
  <c r="AS206" i="33" s="1"/>
  <c r="AQ197" i="33"/>
  <c r="AQ206" i="33" s="1"/>
  <c r="AP197" i="33"/>
  <c r="AP206" i="33" s="1"/>
  <c r="BD196" i="33"/>
  <c r="BG196" i="33" s="1"/>
  <c r="BC196" i="33"/>
  <c r="BF196" i="33" s="1"/>
  <c r="BB196" i="33"/>
  <c r="BE196" i="33" s="1"/>
  <c r="BD195" i="33"/>
  <c r="BG195" i="33" s="1"/>
  <c r="BC195" i="33"/>
  <c r="BF195" i="33" s="1"/>
  <c r="BB195" i="33"/>
  <c r="BE195" i="33" s="1"/>
  <c r="BD194" i="33"/>
  <c r="BG194" i="33" s="1"/>
  <c r="BC194" i="33"/>
  <c r="BF194" i="33" s="1"/>
  <c r="BB194" i="33"/>
  <c r="BE194" i="33" s="1"/>
  <c r="BD193" i="33"/>
  <c r="BG193" i="33" s="1"/>
  <c r="BC193" i="33"/>
  <c r="BF193" i="33" s="1"/>
  <c r="BB193" i="33"/>
  <c r="BE193" i="33" s="1"/>
  <c r="BG192" i="33"/>
  <c r="BD192" i="33"/>
  <c r="BC192" i="33"/>
  <c r="BF192" i="33" s="1"/>
  <c r="BB192" i="33"/>
  <c r="BE192" i="33" s="1"/>
  <c r="BC191" i="33"/>
  <c r="BF191" i="33" s="1"/>
  <c r="BB191" i="33"/>
  <c r="AU191" i="33"/>
  <c r="AU197" i="33" s="1"/>
  <c r="AR191" i="33"/>
  <c r="AO191" i="33"/>
  <c r="AL191" i="33"/>
  <c r="AI191" i="33"/>
  <c r="BD190" i="33"/>
  <c r="BG190" i="33" s="1"/>
  <c r="BC190" i="33"/>
  <c r="BF190" i="33" s="1"/>
  <c r="BB190" i="33"/>
  <c r="BE190" i="33" s="1"/>
  <c r="BD189" i="33"/>
  <c r="BG189" i="33" s="1"/>
  <c r="BC189" i="33"/>
  <c r="BF189" i="33" s="1"/>
  <c r="BB189" i="33"/>
  <c r="BE189" i="33" s="1"/>
  <c r="BD188" i="33"/>
  <c r="BC188" i="33"/>
  <c r="BB188" i="33"/>
  <c r="AN188" i="33"/>
  <c r="AN197" i="33" s="1"/>
  <c r="AN206" i="33" s="1"/>
  <c r="AM188" i="33"/>
  <c r="AM197" i="33" s="1"/>
  <c r="AM206" i="33" s="1"/>
  <c r="AK188" i="33"/>
  <c r="AK197" i="33" s="1"/>
  <c r="AK206" i="33" s="1"/>
  <c r="AJ188" i="33"/>
  <c r="AJ197" i="33" s="1"/>
  <c r="AJ206" i="33" s="1"/>
  <c r="AH188" i="33"/>
  <c r="AH197" i="33" s="1"/>
  <c r="AG188" i="33"/>
  <c r="AG197" i="33" s="1"/>
  <c r="BD187" i="33"/>
  <c r="BG187" i="33" s="1"/>
  <c r="BC187" i="33"/>
  <c r="BF187" i="33" s="1"/>
  <c r="BB187" i="33"/>
  <c r="BE187" i="33" s="1"/>
  <c r="BD186" i="33"/>
  <c r="BC186" i="33"/>
  <c r="BF186" i="33" s="1"/>
  <c r="BB186" i="33"/>
  <c r="BE186" i="33" s="1"/>
  <c r="AO186" i="33"/>
  <c r="AO188" i="33" s="1"/>
  <c r="AL186" i="33"/>
  <c r="AL188" i="33" s="1"/>
  <c r="AL197" i="33" s="1"/>
  <c r="AL206" i="33" s="1"/>
  <c r="AI186" i="33"/>
  <c r="BD185" i="33"/>
  <c r="BG185" i="33" s="1"/>
  <c r="BC185" i="33"/>
  <c r="BF185" i="33" s="1"/>
  <c r="BB185" i="33"/>
  <c r="BE185" i="33" s="1"/>
  <c r="BD184" i="33"/>
  <c r="BG184" i="33" s="1"/>
  <c r="BC184" i="33"/>
  <c r="BF184" i="33" s="1"/>
  <c r="BB184" i="33"/>
  <c r="BE184" i="33" s="1"/>
  <c r="BD183" i="33"/>
  <c r="BG183" i="33" s="1"/>
  <c r="BC183" i="33"/>
  <c r="BF183" i="33" s="1"/>
  <c r="BB183" i="33"/>
  <c r="BE183" i="33" s="1"/>
  <c r="BD182" i="33"/>
  <c r="BG182" i="33" s="1"/>
  <c r="BC182" i="33"/>
  <c r="BF182" i="33" s="1"/>
  <c r="BB182" i="33"/>
  <c r="BE182" i="33" s="1"/>
  <c r="BD181" i="33"/>
  <c r="BG181" i="33" s="1"/>
  <c r="BC181" i="33"/>
  <c r="BF181" i="33" s="1"/>
  <c r="BB181" i="33"/>
  <c r="BE181" i="33" s="1"/>
  <c r="BD180" i="33"/>
  <c r="BG180" i="33" s="1"/>
  <c r="BC180" i="33"/>
  <c r="BF180" i="33" s="1"/>
  <c r="BB180" i="33"/>
  <c r="BE180" i="33" s="1"/>
  <c r="BD179" i="33"/>
  <c r="BG179" i="33" s="1"/>
  <c r="BC179" i="33"/>
  <c r="BF179" i="33" s="1"/>
  <c r="BB179" i="33"/>
  <c r="BE179" i="33" s="1"/>
  <c r="BD178" i="33"/>
  <c r="BG178" i="33" s="1"/>
  <c r="BC178" i="33"/>
  <c r="BF178" i="33" s="1"/>
  <c r="BB178" i="33"/>
  <c r="BE178" i="33" s="1"/>
  <c r="BD177" i="33"/>
  <c r="BG177" i="33" s="1"/>
  <c r="BC177" i="33"/>
  <c r="BF177" i="33" s="1"/>
  <c r="BB177" i="33"/>
  <c r="BE177" i="33" s="1"/>
  <c r="BD176" i="33"/>
  <c r="BG176" i="33" s="1"/>
  <c r="BC176" i="33"/>
  <c r="BF176" i="33" s="1"/>
  <c r="BB176" i="33"/>
  <c r="BE176" i="33" s="1"/>
  <c r="BD175" i="33"/>
  <c r="BG175" i="33" s="1"/>
  <c r="BC175" i="33"/>
  <c r="BF175" i="33" s="1"/>
  <c r="BB175" i="33"/>
  <c r="BE175" i="33" s="1"/>
  <c r="BD174" i="33"/>
  <c r="BG174" i="33" s="1"/>
  <c r="BC174" i="33"/>
  <c r="BF174" i="33" s="1"/>
  <c r="BB174" i="33"/>
  <c r="BE174" i="33" s="1"/>
  <c r="BE173" i="33"/>
  <c r="BD173" i="33"/>
  <c r="BG173" i="33" s="1"/>
  <c r="BC173" i="33"/>
  <c r="BF173" i="33" s="1"/>
  <c r="BB173" i="33"/>
  <c r="BG171" i="33"/>
  <c r="BD171" i="33"/>
  <c r="BC171" i="33"/>
  <c r="BF171" i="33" s="1"/>
  <c r="BB171" i="33"/>
  <c r="BE171" i="33" s="1"/>
  <c r="BD170" i="33"/>
  <c r="BG170" i="33" s="1"/>
  <c r="BC170" i="33"/>
  <c r="BF170" i="33" s="1"/>
  <c r="BB170" i="33"/>
  <c r="BE170" i="33" s="1"/>
  <c r="BD169" i="33"/>
  <c r="BG169" i="33" s="1"/>
  <c r="BC169" i="33"/>
  <c r="BF169" i="33" s="1"/>
  <c r="BB169" i="33"/>
  <c r="BE169" i="33" s="1"/>
  <c r="BD168" i="33"/>
  <c r="BG168" i="33" s="1"/>
  <c r="BC168" i="33"/>
  <c r="BF168" i="33" s="1"/>
  <c r="BB168" i="33"/>
  <c r="BE168" i="33" s="1"/>
  <c r="BD167" i="33"/>
  <c r="BG167" i="33" s="1"/>
  <c r="BC167" i="33"/>
  <c r="BF167" i="33" s="1"/>
  <c r="BB167" i="33"/>
  <c r="BE167" i="33" s="1"/>
  <c r="BD166" i="33"/>
  <c r="BG166" i="33" s="1"/>
  <c r="BC166" i="33"/>
  <c r="BF166" i="33" s="1"/>
  <c r="BB166" i="33"/>
  <c r="BE166" i="33" s="1"/>
  <c r="BD165" i="33"/>
  <c r="BC165" i="33"/>
  <c r="AS165" i="33"/>
  <c r="BB165" i="33" s="1"/>
  <c r="AR165" i="33"/>
  <c r="AQ165" i="33"/>
  <c r="AP165" i="33"/>
  <c r="AO165" i="33"/>
  <c r="AN165" i="33"/>
  <c r="AM165" i="33"/>
  <c r="AL165" i="33"/>
  <c r="AK165" i="33"/>
  <c r="AJ165" i="33"/>
  <c r="AH165" i="33"/>
  <c r="AG165" i="33"/>
  <c r="BD164" i="33"/>
  <c r="BC164" i="33"/>
  <c r="BF164" i="33" s="1"/>
  <c r="BB164" i="33"/>
  <c r="BE164" i="33" s="1"/>
  <c r="AI164" i="33"/>
  <c r="BD163" i="33"/>
  <c r="BG163" i="33" s="1"/>
  <c r="BC163" i="33"/>
  <c r="BF163" i="33" s="1"/>
  <c r="BB163" i="33"/>
  <c r="BE163" i="33" s="1"/>
  <c r="BD162" i="33"/>
  <c r="BG162" i="33" s="1"/>
  <c r="BC162" i="33"/>
  <c r="BF162" i="33" s="1"/>
  <c r="BB162" i="33"/>
  <c r="BE162" i="33" s="1"/>
  <c r="BD161" i="33"/>
  <c r="BG161" i="33" s="1"/>
  <c r="BC161" i="33"/>
  <c r="BF161" i="33" s="1"/>
  <c r="BB161" i="33"/>
  <c r="BE161" i="33" s="1"/>
  <c r="BD160" i="33"/>
  <c r="BG160" i="33" s="1"/>
  <c r="BC160" i="33"/>
  <c r="BF160" i="33" s="1"/>
  <c r="BB160" i="33"/>
  <c r="BE160" i="33" s="1"/>
  <c r="AS159" i="33"/>
  <c r="BB159" i="33" s="1"/>
  <c r="BE159" i="33" s="1"/>
  <c r="BF158" i="33"/>
  <c r="BD158" i="33"/>
  <c r="BG158" i="33" s="1"/>
  <c r="BC158" i="33"/>
  <c r="BB158" i="33"/>
  <c r="BE158" i="33" s="1"/>
  <c r="BF157" i="33"/>
  <c r="BD157" i="33"/>
  <c r="BG157" i="33" s="1"/>
  <c r="BC157" i="33"/>
  <c r="BB157" i="33"/>
  <c r="BE157" i="33" s="1"/>
  <c r="BB156" i="33"/>
  <c r="BE156" i="33" s="1"/>
  <c r="AT156" i="33"/>
  <c r="BD155" i="33"/>
  <c r="BG155" i="33" s="1"/>
  <c r="BC155" i="33"/>
  <c r="BF155" i="33" s="1"/>
  <c r="BB155" i="33"/>
  <c r="BE155" i="33" s="1"/>
  <c r="BD154" i="33"/>
  <c r="BG154" i="33" s="1"/>
  <c r="BC154" i="33"/>
  <c r="BF154" i="33" s="1"/>
  <c r="BB154" i="33"/>
  <c r="BE154" i="33" s="1"/>
  <c r="AR153" i="33"/>
  <c r="AQ153" i="33"/>
  <c r="AP153" i="33"/>
  <c r="AN153" i="33"/>
  <c r="AM153" i="33"/>
  <c r="AK153" i="33"/>
  <c r="AJ153" i="33"/>
  <c r="AH153" i="33"/>
  <c r="AH172" i="33" s="1"/>
  <c r="AG153" i="33"/>
  <c r="BD152" i="33"/>
  <c r="BC152" i="33"/>
  <c r="BF152" i="33" s="1"/>
  <c r="BB152" i="33"/>
  <c r="BE152" i="33" s="1"/>
  <c r="AO152" i="33"/>
  <c r="AL152" i="33"/>
  <c r="AI152" i="33"/>
  <c r="BD151" i="33"/>
  <c r="BC151" i="33"/>
  <c r="BF151" i="33" s="1"/>
  <c r="BB151" i="33"/>
  <c r="BE151" i="33" s="1"/>
  <c r="AO151" i="33"/>
  <c r="AL151" i="33"/>
  <c r="AI151" i="33"/>
  <c r="BD150" i="33"/>
  <c r="BC150" i="33"/>
  <c r="BF150" i="33" s="1"/>
  <c r="BB150" i="33"/>
  <c r="BE150" i="33" s="1"/>
  <c r="AO150" i="33"/>
  <c r="AL150" i="33"/>
  <c r="AI150" i="33"/>
  <c r="BD149" i="33"/>
  <c r="BC149" i="33"/>
  <c r="BF149" i="33" s="1"/>
  <c r="BB149" i="33"/>
  <c r="BE149" i="33" s="1"/>
  <c r="AO149" i="33"/>
  <c r="AL149" i="33"/>
  <c r="AI149" i="33"/>
  <c r="BC148" i="33"/>
  <c r="BF148" i="33" s="1"/>
  <c r="BB148" i="33"/>
  <c r="BE148" i="33" s="1"/>
  <c r="AU148" i="33"/>
  <c r="BD148" i="33" s="1"/>
  <c r="AO148" i="33"/>
  <c r="AL148" i="33"/>
  <c r="AI148" i="33"/>
  <c r="BD147" i="33"/>
  <c r="BC147" i="33"/>
  <c r="BF147" i="33" s="1"/>
  <c r="BB147" i="33"/>
  <c r="BE147" i="33"/>
  <c r="AO147" i="33"/>
  <c r="AL147" i="33"/>
  <c r="AI147" i="33"/>
  <c r="AS146" i="33"/>
  <c r="AO146" i="33"/>
  <c r="AL146" i="33"/>
  <c r="AI146" i="33"/>
  <c r="BC145" i="33"/>
  <c r="BF145" i="33" s="1"/>
  <c r="BB145" i="33"/>
  <c r="BE145" i="33" s="1"/>
  <c r="AU145" i="33"/>
  <c r="BD145" i="33" s="1"/>
  <c r="AO145" i="33"/>
  <c r="AL145" i="33"/>
  <c r="AI145" i="33"/>
  <c r="BC144" i="33"/>
  <c r="BF144" i="33" s="1"/>
  <c r="BB144" i="33"/>
  <c r="BE144" i="33"/>
  <c r="AU144" i="33"/>
  <c r="BD144" i="33" s="1"/>
  <c r="AO144" i="33"/>
  <c r="AL144" i="33"/>
  <c r="AI144" i="33"/>
  <c r="BC143" i="33"/>
  <c r="BF143" i="33" s="1"/>
  <c r="BB143" i="33"/>
  <c r="BE143" i="33" s="1"/>
  <c r="AU143" i="33"/>
  <c r="BD143" i="33" s="1"/>
  <c r="AO143" i="33"/>
  <c r="AL143" i="33"/>
  <c r="AI143" i="33"/>
  <c r="BC142" i="33"/>
  <c r="BF142" i="33" s="1"/>
  <c r="BB142" i="33"/>
  <c r="BE142" i="33" s="1"/>
  <c r="AU142" i="33"/>
  <c r="BD142" i="33" s="1"/>
  <c r="BG142" i="33" s="1"/>
  <c r="BD141" i="33"/>
  <c r="BG141" i="33" s="1"/>
  <c r="BC141" i="33"/>
  <c r="BF141" i="33" s="1"/>
  <c r="BB141" i="33"/>
  <c r="BD140" i="33"/>
  <c r="BG140" i="33" s="1"/>
  <c r="BC140" i="33"/>
  <c r="BF140" i="33" s="1"/>
  <c r="BB140" i="33"/>
  <c r="BD139" i="33"/>
  <c r="BG139" i="33" s="1"/>
  <c r="BC139" i="33"/>
  <c r="BF139" i="33" s="1"/>
  <c r="BB139" i="33"/>
  <c r="BE139" i="33" s="1"/>
  <c r="BD138" i="33"/>
  <c r="BG138" i="33" s="1"/>
  <c r="BC138" i="33"/>
  <c r="BF138" i="33" s="1"/>
  <c r="BB138" i="33"/>
  <c r="BE138" i="33" s="1"/>
  <c r="BD137" i="33"/>
  <c r="BG137" i="33" s="1"/>
  <c r="BC137" i="33"/>
  <c r="BF137" i="33" s="1"/>
  <c r="BB137" i="33"/>
  <c r="BE137" i="33" s="1"/>
  <c r="BD136" i="33"/>
  <c r="BG136" i="33" s="1"/>
  <c r="BC136" i="33"/>
  <c r="BF136" i="33" s="1"/>
  <c r="BB136" i="33"/>
  <c r="BE136" i="33" s="1"/>
  <c r="BD135" i="33"/>
  <c r="BG135" i="33" s="1"/>
  <c r="BC135" i="33"/>
  <c r="BF135" i="33" s="1"/>
  <c r="BB135" i="33"/>
  <c r="BE135" i="33" s="1"/>
  <c r="BD134" i="33"/>
  <c r="BG134" i="33" s="1"/>
  <c r="BC134" i="33"/>
  <c r="BF134" i="33" s="1"/>
  <c r="BB134" i="33"/>
  <c r="BE134" i="33" s="1"/>
  <c r="BD133" i="33"/>
  <c r="BG133" i="33" s="1"/>
  <c r="BC133" i="33"/>
  <c r="BF133" i="33" s="1"/>
  <c r="BB133" i="33"/>
  <c r="BE133" i="33" s="1"/>
  <c r="BD132" i="33"/>
  <c r="BG132" i="33" s="1"/>
  <c r="BC132" i="33"/>
  <c r="BF132" i="33" s="1"/>
  <c r="BB132" i="33"/>
  <c r="BE132" i="33" s="1"/>
  <c r="BD131" i="33"/>
  <c r="BG131" i="33" s="1"/>
  <c r="BC131" i="33"/>
  <c r="BF131" i="33" s="1"/>
  <c r="BB131" i="33"/>
  <c r="BE131" i="33" s="1"/>
  <c r="BD130" i="33"/>
  <c r="BG130" i="33" s="1"/>
  <c r="BC130" i="33"/>
  <c r="BF130" i="33" s="1"/>
  <c r="BB130" i="33"/>
  <c r="BE130" i="33" s="1"/>
  <c r="BD129" i="33"/>
  <c r="BG129" i="33" s="1"/>
  <c r="BC129" i="33"/>
  <c r="BF129" i="33" s="1"/>
  <c r="BB129" i="33"/>
  <c r="BE129" i="33" s="1"/>
  <c r="BD128" i="33"/>
  <c r="BG128" i="33" s="1"/>
  <c r="BC128" i="33"/>
  <c r="BF128" i="33" s="1"/>
  <c r="BB128" i="33"/>
  <c r="BE128" i="33" s="1"/>
  <c r="BD127" i="33"/>
  <c r="BG127" i="33" s="1"/>
  <c r="BC127" i="33"/>
  <c r="BF127" i="33" s="1"/>
  <c r="BB127" i="33"/>
  <c r="BE127" i="33" s="1"/>
  <c r="BD126" i="33"/>
  <c r="BG126" i="33" s="1"/>
  <c r="BC126" i="33"/>
  <c r="BF126" i="33" s="1"/>
  <c r="BB126" i="33"/>
  <c r="BE126" i="33" s="1"/>
  <c r="BD125" i="33"/>
  <c r="BG125" i="33" s="1"/>
  <c r="BC125" i="33"/>
  <c r="BF125" i="33" s="1"/>
  <c r="BB125" i="33"/>
  <c r="BE125" i="33" s="1"/>
  <c r="BD124" i="33"/>
  <c r="BG124" i="33" s="1"/>
  <c r="BC124" i="33"/>
  <c r="BF124" i="33" s="1"/>
  <c r="BB124" i="33"/>
  <c r="BE124" i="33" s="1"/>
  <c r="BD123" i="33"/>
  <c r="BG123" i="33" s="1"/>
  <c r="BC123" i="33"/>
  <c r="BF123" i="33" s="1"/>
  <c r="BB123" i="33"/>
  <c r="BE123" i="33" s="1"/>
  <c r="BD122" i="33"/>
  <c r="BG122" i="33" s="1"/>
  <c r="BC122" i="33"/>
  <c r="BF122" i="33" s="1"/>
  <c r="BB122" i="33"/>
  <c r="BE122" i="33" s="1"/>
  <c r="BC121" i="33"/>
  <c r="BF121" i="33" s="1"/>
  <c r="AU121" i="33"/>
  <c r="BD121" i="33" s="1"/>
  <c r="AS121" i="33"/>
  <c r="BB121" i="33" s="1"/>
  <c r="AR121" i="33"/>
  <c r="AR172" i="33" s="1"/>
  <c r="AP121" i="33"/>
  <c r="AM121" i="33"/>
  <c r="AJ121" i="33"/>
  <c r="AG121" i="33"/>
  <c r="BD120" i="33"/>
  <c r="BC120" i="33"/>
  <c r="BF120" i="33" s="1"/>
  <c r="BB120" i="33"/>
  <c r="BE120" i="33" s="1"/>
  <c r="AO120" i="33"/>
  <c r="AO121" i="33" s="1"/>
  <c r="AL120" i="33"/>
  <c r="AL121" i="33" s="1"/>
  <c r="AI120" i="33"/>
  <c r="BD119" i="33"/>
  <c r="BG119" i="33" s="1"/>
  <c r="BC119" i="33"/>
  <c r="BF119" i="33" s="1"/>
  <c r="BB119" i="33"/>
  <c r="BE119" i="33" s="1"/>
  <c r="BD118" i="33"/>
  <c r="BG118" i="33" s="1"/>
  <c r="BC118" i="33"/>
  <c r="BF118" i="33" s="1"/>
  <c r="BB118" i="33"/>
  <c r="BE118" i="33" s="1"/>
  <c r="BD117" i="33"/>
  <c r="BG117" i="33" s="1"/>
  <c r="BC117" i="33"/>
  <c r="BF117" i="33" s="1"/>
  <c r="BB117" i="33"/>
  <c r="BE117" i="33" s="1"/>
  <c r="BD116" i="33"/>
  <c r="BG116" i="33" s="1"/>
  <c r="BC116" i="33"/>
  <c r="BF116" i="33" s="1"/>
  <c r="BB116" i="33"/>
  <c r="BE116" i="33" s="1"/>
  <c r="BD115" i="33"/>
  <c r="BG115" i="33" s="1"/>
  <c r="BC115" i="33"/>
  <c r="BF115" i="33" s="1"/>
  <c r="BB115" i="33"/>
  <c r="BE115" i="33" s="1"/>
  <c r="BD114" i="33"/>
  <c r="BG114" i="33" s="1"/>
  <c r="BC114" i="33"/>
  <c r="BF114" i="33" s="1"/>
  <c r="BB114" i="33"/>
  <c r="BE114" i="33" s="1"/>
  <c r="BD113" i="33"/>
  <c r="BG113" i="33" s="1"/>
  <c r="BC113" i="33"/>
  <c r="BF113" i="33" s="1"/>
  <c r="BB113" i="33"/>
  <c r="BE113" i="33" s="1"/>
  <c r="BD112" i="33"/>
  <c r="BG112" i="33" s="1"/>
  <c r="BC112" i="33"/>
  <c r="BF112" i="33" s="1"/>
  <c r="BB112" i="33"/>
  <c r="BE112" i="33" s="1"/>
  <c r="BD111" i="33"/>
  <c r="BG111" i="33" s="1"/>
  <c r="BC111" i="33"/>
  <c r="BF111" i="33" s="1"/>
  <c r="BB111" i="33"/>
  <c r="BE111" i="33" s="1"/>
  <c r="BD110" i="33"/>
  <c r="BG110" i="33" s="1"/>
  <c r="BC110" i="33"/>
  <c r="BF110" i="33" s="1"/>
  <c r="BB110" i="33"/>
  <c r="BE110" i="33" s="1"/>
  <c r="BE109" i="33"/>
  <c r="BD109" i="33"/>
  <c r="BG109" i="33" s="1"/>
  <c r="BC109" i="33"/>
  <c r="BF109" i="33" s="1"/>
  <c r="BB109" i="33"/>
  <c r="BD108" i="33"/>
  <c r="BG108" i="33" s="1"/>
  <c r="BC108" i="33"/>
  <c r="BF108" i="33" s="1"/>
  <c r="BB108" i="33"/>
  <c r="BE108" i="33" s="1"/>
  <c r="BD107" i="33"/>
  <c r="BG107" i="33" s="1"/>
  <c r="BC107" i="33"/>
  <c r="BF107" i="33" s="1"/>
  <c r="BB107" i="33"/>
  <c r="BE107" i="33" s="1"/>
  <c r="BD106" i="33"/>
  <c r="BG106" i="33" s="1"/>
  <c r="BC106" i="33"/>
  <c r="BF106" i="33" s="1"/>
  <c r="BB106" i="33"/>
  <c r="BE106" i="33" s="1"/>
  <c r="BD105" i="33"/>
  <c r="BG105" i="33" s="1"/>
  <c r="BC105" i="33"/>
  <c r="BF105" i="33" s="1"/>
  <c r="BB105" i="33"/>
  <c r="BE105" i="33" s="1"/>
  <c r="BD104" i="33"/>
  <c r="BG104" i="33" s="1"/>
  <c r="BC104" i="33"/>
  <c r="BF104" i="33" s="1"/>
  <c r="BB104" i="33"/>
  <c r="BE104" i="33" s="1"/>
  <c r="BD102" i="33"/>
  <c r="BG102" i="33" s="1"/>
  <c r="BC102" i="33"/>
  <c r="BF102" i="33" s="1"/>
  <c r="BB102" i="33"/>
  <c r="BE102" i="33" s="1"/>
  <c r="BD101" i="33"/>
  <c r="BG101" i="33" s="1"/>
  <c r="BC101" i="33"/>
  <c r="BF101" i="33" s="1"/>
  <c r="BB101" i="33"/>
  <c r="BE101" i="33" s="1"/>
  <c r="BD100" i="33"/>
  <c r="BG100" i="33" s="1"/>
  <c r="BC100" i="33"/>
  <c r="BF100" i="33" s="1"/>
  <c r="BB100" i="33"/>
  <c r="BE100" i="33" s="1"/>
  <c r="BD99" i="33"/>
  <c r="BG99" i="33" s="1"/>
  <c r="BC99" i="33"/>
  <c r="BF99" i="33" s="1"/>
  <c r="BB99" i="33"/>
  <c r="BE99" i="33" s="1"/>
  <c r="BD98" i="33"/>
  <c r="BG98" i="33" s="1"/>
  <c r="BC98" i="33"/>
  <c r="BF98" i="33" s="1"/>
  <c r="BB98" i="33"/>
  <c r="BE98" i="33" s="1"/>
  <c r="BD97" i="33"/>
  <c r="BG97" i="33" s="1"/>
  <c r="BC97" i="33"/>
  <c r="BF97" i="33" s="1"/>
  <c r="BB97" i="33"/>
  <c r="BE97" i="33" s="1"/>
  <c r="BD96" i="33"/>
  <c r="BG96" i="33" s="1"/>
  <c r="BC96" i="33"/>
  <c r="BF96" i="33" s="1"/>
  <c r="BB96" i="33"/>
  <c r="BE96" i="33" s="1"/>
  <c r="BD95" i="33"/>
  <c r="BG95" i="33" s="1"/>
  <c r="BC95" i="33"/>
  <c r="BF95" i="33" s="1"/>
  <c r="BB95" i="33"/>
  <c r="BE95" i="33" s="1"/>
  <c r="BD94" i="33"/>
  <c r="BG94" i="33" s="1"/>
  <c r="BC94" i="33"/>
  <c r="BF94" i="33" s="1"/>
  <c r="BB94" i="33"/>
  <c r="BE94" i="33" s="1"/>
  <c r="BD93" i="33"/>
  <c r="BG93" i="33" s="1"/>
  <c r="BC93" i="33"/>
  <c r="BF93" i="33" s="1"/>
  <c r="BB93" i="33"/>
  <c r="BE93" i="33" s="1"/>
  <c r="BD92" i="33"/>
  <c r="BG92" i="33" s="1"/>
  <c r="BC92" i="33"/>
  <c r="BF92" i="33" s="1"/>
  <c r="BB92" i="33"/>
  <c r="BE92" i="33" s="1"/>
  <c r="BD91" i="33"/>
  <c r="BG91" i="33" s="1"/>
  <c r="BC91" i="33"/>
  <c r="BF91" i="33" s="1"/>
  <c r="BB91" i="33"/>
  <c r="BE91" i="33" s="1"/>
  <c r="BD90" i="33"/>
  <c r="BG90" i="33" s="1"/>
  <c r="BC90" i="33"/>
  <c r="BF90" i="33" s="1"/>
  <c r="BB90" i="33"/>
  <c r="BE90" i="33" s="1"/>
  <c r="BD89" i="33"/>
  <c r="BG89" i="33" s="1"/>
  <c r="BC89" i="33"/>
  <c r="BF89" i="33" s="1"/>
  <c r="BB89" i="33"/>
  <c r="BE89" i="33" s="1"/>
  <c r="BD88" i="33"/>
  <c r="BG88" i="33" s="1"/>
  <c r="BC88" i="33"/>
  <c r="BF88" i="33" s="1"/>
  <c r="BB88" i="33"/>
  <c r="BE88" i="33" s="1"/>
  <c r="AS87" i="33"/>
  <c r="BB87" i="33" s="1"/>
  <c r="G24" i="18" s="1"/>
  <c r="AQ87" i="33"/>
  <c r="AP87" i="33"/>
  <c r="I24" i="18" s="1"/>
  <c r="AM87" i="33"/>
  <c r="AJ87" i="33"/>
  <c r="K24" i="18" s="1"/>
  <c r="AG87" i="33"/>
  <c r="H24" i="18" s="1"/>
  <c r="BD86" i="33"/>
  <c r="BG86" i="33" s="1"/>
  <c r="BC86" i="33"/>
  <c r="BF86" i="33" s="1"/>
  <c r="BB86" i="33"/>
  <c r="BE86" i="33" s="1"/>
  <c r="BF85" i="33"/>
  <c r="BD85" i="33"/>
  <c r="BG85" i="33" s="1"/>
  <c r="BC85" i="33"/>
  <c r="BB85" i="33"/>
  <c r="BE85" i="33" s="1"/>
  <c r="BF84" i="33"/>
  <c r="BD84" i="33"/>
  <c r="BG84" i="33" s="1"/>
  <c r="BC84" i="33"/>
  <c r="BB84" i="33"/>
  <c r="BE84" i="33" s="1"/>
  <c r="BB83" i="33"/>
  <c r="BE83" i="33" s="1"/>
  <c r="AT83" i="33"/>
  <c r="AQ83" i="33"/>
  <c r="AR83" i="33" s="1"/>
  <c r="AR87" i="33" s="1"/>
  <c r="AN83" i="33"/>
  <c r="AO83" i="33" s="1"/>
  <c r="AO87" i="33" s="1"/>
  <c r="AK83" i="33"/>
  <c r="AL83" i="33" s="1"/>
  <c r="AL87" i="33" s="1"/>
  <c r="AH83" i="33"/>
  <c r="AI83" i="33" s="1"/>
  <c r="BD82" i="33"/>
  <c r="BG82" i="33" s="1"/>
  <c r="BC82" i="33"/>
  <c r="BF82" i="33" s="1"/>
  <c r="BB82" i="33"/>
  <c r="BE82" i="33" s="1"/>
  <c r="BD81" i="33"/>
  <c r="BG81" i="33" s="1"/>
  <c r="BC81" i="33"/>
  <c r="BF81" i="33" s="1"/>
  <c r="BB81" i="33"/>
  <c r="BE81" i="33" s="1"/>
  <c r="BD80" i="33"/>
  <c r="BG80" i="33" s="1"/>
  <c r="BC80" i="33"/>
  <c r="BF80" i="33" s="1"/>
  <c r="BB80" i="33"/>
  <c r="BE80" i="33" s="1"/>
  <c r="BD79" i="33"/>
  <c r="BG79" i="33" s="1"/>
  <c r="BC79" i="33"/>
  <c r="BF79" i="33" s="1"/>
  <c r="BB79" i="33"/>
  <c r="BE79" i="33" s="1"/>
  <c r="BD78" i="33"/>
  <c r="BG78" i="33" s="1"/>
  <c r="BC78" i="33"/>
  <c r="BF78" i="33" s="1"/>
  <c r="BB78" i="33"/>
  <c r="BE78" i="33" s="1"/>
  <c r="BD77" i="33"/>
  <c r="BG77" i="33" s="1"/>
  <c r="BC77" i="33"/>
  <c r="BF77" i="33" s="1"/>
  <c r="BB77" i="33"/>
  <c r="BE77" i="33" s="1"/>
  <c r="BD76" i="33"/>
  <c r="BG76" i="33" s="1"/>
  <c r="BC76" i="33"/>
  <c r="BF76" i="33" s="1"/>
  <c r="BB76" i="33"/>
  <c r="BE76" i="33" s="1"/>
  <c r="BD75" i="33"/>
  <c r="BG75" i="33" s="1"/>
  <c r="BC75" i="33"/>
  <c r="BF75" i="33" s="1"/>
  <c r="BB75" i="33"/>
  <c r="BE75" i="33" s="1"/>
  <c r="BD74" i="33"/>
  <c r="BG74" i="33" s="1"/>
  <c r="BC74" i="33"/>
  <c r="BF74" i="33" s="1"/>
  <c r="BB74" i="33"/>
  <c r="BE74" i="33" s="1"/>
  <c r="BD73" i="33"/>
  <c r="BG73" i="33" s="1"/>
  <c r="BC73" i="33"/>
  <c r="BF73" i="33" s="1"/>
  <c r="BB73" i="33"/>
  <c r="BE73" i="33" s="1"/>
  <c r="BE72" i="33"/>
  <c r="BD72" i="33"/>
  <c r="BG72" i="33" s="1"/>
  <c r="BC72" i="33"/>
  <c r="BF72" i="33" s="1"/>
  <c r="BB72" i="33"/>
  <c r="BG71" i="33"/>
  <c r="BD71" i="33"/>
  <c r="BC71" i="33"/>
  <c r="BF71" i="33" s="1"/>
  <c r="BB71" i="33"/>
  <c r="BE71" i="33" s="1"/>
  <c r="BE70" i="33"/>
  <c r="BD70" i="33"/>
  <c r="BG70" i="33" s="1"/>
  <c r="BC70" i="33"/>
  <c r="BF70" i="33" s="1"/>
  <c r="BB70" i="33"/>
  <c r="BG69" i="33"/>
  <c r="BD69" i="33"/>
  <c r="BC69" i="33"/>
  <c r="BF69" i="33" s="1"/>
  <c r="BB69" i="33"/>
  <c r="BE69" i="33" s="1"/>
  <c r="BG68" i="33"/>
  <c r="BD68" i="33"/>
  <c r="BC68" i="33"/>
  <c r="BF68" i="33" s="1"/>
  <c r="BB68" i="33"/>
  <c r="BE68" i="33" s="1"/>
  <c r="BD67" i="33"/>
  <c r="BG67" i="33" s="1"/>
  <c r="BC67" i="33"/>
  <c r="BF67" i="33" s="1"/>
  <c r="BB67" i="33"/>
  <c r="BE67" i="33" s="1"/>
  <c r="BD66" i="33"/>
  <c r="BG66" i="33" s="1"/>
  <c r="BC66" i="33"/>
  <c r="BF66" i="33" s="1"/>
  <c r="BB66" i="33"/>
  <c r="BE66" i="33" s="1"/>
  <c r="BD65" i="33"/>
  <c r="BG65" i="33" s="1"/>
  <c r="BC65" i="33"/>
  <c r="BF65" i="33" s="1"/>
  <c r="BB65" i="33"/>
  <c r="BE65" i="33" s="1"/>
  <c r="BG64" i="33"/>
  <c r="BD64" i="33"/>
  <c r="BC64" i="33"/>
  <c r="BF64" i="33" s="1"/>
  <c r="BB64" i="33"/>
  <c r="BE64" i="33" s="1"/>
  <c r="BD63" i="33"/>
  <c r="BG63" i="33" s="1"/>
  <c r="BC63" i="33"/>
  <c r="BF63" i="33" s="1"/>
  <c r="BB63" i="33"/>
  <c r="BE63" i="33" s="1"/>
  <c r="BD62" i="33"/>
  <c r="BG62" i="33" s="1"/>
  <c r="BC62" i="33"/>
  <c r="BF62" i="33" s="1"/>
  <c r="BB62" i="33"/>
  <c r="BE62" i="33" s="1"/>
  <c r="BD61" i="33"/>
  <c r="BG61" i="33" s="1"/>
  <c r="BC61" i="33"/>
  <c r="BF61" i="33" s="1"/>
  <c r="BB61" i="33"/>
  <c r="BE61" i="33" s="1"/>
  <c r="BD60" i="33"/>
  <c r="BG60" i="33" s="1"/>
  <c r="BC60" i="33"/>
  <c r="BF60" i="33" s="1"/>
  <c r="BB60" i="33"/>
  <c r="BE60" i="33" s="1"/>
  <c r="BD59" i="33"/>
  <c r="BG59" i="33" s="1"/>
  <c r="BC59" i="33"/>
  <c r="BF59" i="33" s="1"/>
  <c r="BB59" i="33"/>
  <c r="BE59" i="33" s="1"/>
  <c r="BD58" i="33"/>
  <c r="BG58" i="33" s="1"/>
  <c r="BC58" i="33"/>
  <c r="BF58" i="33" s="1"/>
  <c r="BB58" i="33"/>
  <c r="BE58" i="33" s="1"/>
  <c r="BD57" i="33"/>
  <c r="BG57" i="33" s="1"/>
  <c r="BC57" i="33"/>
  <c r="BF57" i="33" s="1"/>
  <c r="BB57" i="33"/>
  <c r="BE57" i="33" s="1"/>
  <c r="BE56" i="33"/>
  <c r="BD56" i="33"/>
  <c r="BG56" i="33" s="1"/>
  <c r="BC56" i="33"/>
  <c r="BF56" i="33" s="1"/>
  <c r="BB56" i="33"/>
  <c r="BG55" i="33"/>
  <c r="BD55" i="33"/>
  <c r="BC55" i="33"/>
  <c r="BF55" i="33" s="1"/>
  <c r="BB55" i="33"/>
  <c r="BE55" i="33" s="1"/>
  <c r="BD54" i="33"/>
  <c r="BG54" i="33" s="1"/>
  <c r="BC54" i="33"/>
  <c r="BF54" i="33" s="1"/>
  <c r="BB54" i="33"/>
  <c r="BE54" i="33" s="1"/>
  <c r="AS52" i="33"/>
  <c r="BB52" i="33" s="1"/>
  <c r="AP52" i="33"/>
  <c r="AM52" i="33"/>
  <c r="AJ52" i="33"/>
  <c r="AG52" i="33"/>
  <c r="BB51" i="33"/>
  <c r="BE51" i="33" s="1"/>
  <c r="AT51" i="33"/>
  <c r="AU51" i="33" s="1"/>
  <c r="BD51" i="33" s="1"/>
  <c r="AQ51" i="33"/>
  <c r="AR51" i="33" s="1"/>
  <c r="AN51" i="33"/>
  <c r="AO51" i="33" s="1"/>
  <c r="AK51" i="33"/>
  <c r="AL51" i="33" s="1"/>
  <c r="AH51" i="33"/>
  <c r="AI51" i="33" s="1"/>
  <c r="BC50" i="33"/>
  <c r="BF50" i="33" s="1"/>
  <c r="BB50" i="33"/>
  <c r="BE50" i="33" s="1"/>
  <c r="AU50" i="33"/>
  <c r="BD50" i="33" s="1"/>
  <c r="AR50" i="33"/>
  <c r="AO50" i="33"/>
  <c r="AL50" i="33"/>
  <c r="AI50" i="33"/>
  <c r="BC49" i="33"/>
  <c r="BF49" i="33" s="1"/>
  <c r="BB49" i="33"/>
  <c r="BE49" i="33" s="1"/>
  <c r="AU49" i="33"/>
  <c r="BD49" i="33" s="1"/>
  <c r="AR49" i="33"/>
  <c r="AO49" i="33"/>
  <c r="AL49" i="33"/>
  <c r="AI49" i="33"/>
  <c r="BC48" i="33"/>
  <c r="BF48" i="33" s="1"/>
  <c r="BB48" i="33"/>
  <c r="BE48" i="33" s="1"/>
  <c r="AU48" i="33"/>
  <c r="AR48" i="33"/>
  <c r="AO48" i="33"/>
  <c r="AL48" i="33"/>
  <c r="AI48" i="33"/>
  <c r="BD47" i="33"/>
  <c r="BG47" i="33" s="1"/>
  <c r="BB47" i="33"/>
  <c r="BC46" i="33"/>
  <c r="AS46" i="33"/>
  <c r="BB46" i="33" s="1"/>
  <c r="AP46" i="33"/>
  <c r="AR46" i="33" s="1"/>
  <c r="AN46" i="33"/>
  <c r="AM46" i="33"/>
  <c r="AJ46" i="33"/>
  <c r="AG46" i="33"/>
  <c r="BC45" i="33"/>
  <c r="BB45" i="33"/>
  <c r="BE45" i="33" s="1"/>
  <c r="AU45" i="33"/>
  <c r="BD45" i="33" s="1"/>
  <c r="AR45" i="33"/>
  <c r="AN45" i="33"/>
  <c r="AO45" i="33" s="1"/>
  <c r="AK45" i="33"/>
  <c r="AL45" i="33" s="1"/>
  <c r="AH45" i="33"/>
  <c r="AH46" i="33" s="1"/>
  <c r="BC44" i="33"/>
  <c r="BF44" i="33" s="1"/>
  <c r="BB44" i="33"/>
  <c r="BE44" i="33" s="1"/>
  <c r="AU44" i="33"/>
  <c r="BD44" i="33" s="1"/>
  <c r="AR44" i="33"/>
  <c r="AO44" i="33"/>
  <c r="AL44" i="33"/>
  <c r="AI44" i="33"/>
  <c r="AS43" i="33"/>
  <c r="BB43" i="33" s="1"/>
  <c r="AP43" i="33"/>
  <c r="AM43" i="33"/>
  <c r="AJ43" i="33"/>
  <c r="AG43" i="33"/>
  <c r="BB42" i="33"/>
  <c r="BE42" i="33" s="1"/>
  <c r="AT42" i="33"/>
  <c r="BC42" i="33" s="1"/>
  <c r="AQ42" i="33"/>
  <c r="AR42" i="33" s="1"/>
  <c r="AN42" i="33"/>
  <c r="AO42" i="33" s="1"/>
  <c r="AK42" i="33"/>
  <c r="AL42" i="33" s="1"/>
  <c r="AH42" i="33"/>
  <c r="AI42" i="33" s="1"/>
  <c r="BB41" i="33"/>
  <c r="BE41" i="33" s="1"/>
  <c r="AT41" i="33"/>
  <c r="AR41" i="33"/>
  <c r="AN41" i="33"/>
  <c r="AO41" i="33" s="1"/>
  <c r="AK41" i="33"/>
  <c r="AL41" i="33" s="1"/>
  <c r="AI41" i="33"/>
  <c r="BB40" i="33"/>
  <c r="BE40" i="33" s="1"/>
  <c r="AT40" i="33"/>
  <c r="BC40" i="33" s="1"/>
  <c r="AQ40" i="33"/>
  <c r="AR40" i="33" s="1"/>
  <c r="AN40" i="33"/>
  <c r="AO40" i="33" s="1"/>
  <c r="AK40" i="33"/>
  <c r="AL40" i="33" s="1"/>
  <c r="AH40" i="33"/>
  <c r="AI40" i="33" s="1"/>
  <c r="BE39" i="33"/>
  <c r="BB39" i="33"/>
  <c r="AT39" i="33"/>
  <c r="BC39" i="33" s="1"/>
  <c r="AQ39" i="33"/>
  <c r="AR39" i="33" s="1"/>
  <c r="AN39" i="33"/>
  <c r="AO39" i="33" s="1"/>
  <c r="AK39" i="33"/>
  <c r="AH39" i="33"/>
  <c r="AI39" i="33" s="1"/>
  <c r="BB38" i="33"/>
  <c r="BE38" i="33" s="1"/>
  <c r="AT38" i="33"/>
  <c r="AU38" i="33" s="1"/>
  <c r="BD38" i="33" s="1"/>
  <c r="AQ38" i="33"/>
  <c r="AR38" i="33" s="1"/>
  <c r="AN38" i="33"/>
  <c r="AO38" i="33" s="1"/>
  <c r="AK38" i="33"/>
  <c r="AL38" i="33" s="1"/>
  <c r="AH38" i="33"/>
  <c r="AI38" i="33" s="1"/>
  <c r="BB37" i="33"/>
  <c r="BE37" i="33" s="1"/>
  <c r="AT37" i="33"/>
  <c r="AU37" i="33" s="1"/>
  <c r="BD37" i="33" s="1"/>
  <c r="AR37" i="33"/>
  <c r="AQ37" i="33"/>
  <c r="AN37" i="33"/>
  <c r="AO37" i="33" s="1"/>
  <c r="AK37" i="33"/>
  <c r="AL37" i="33" s="1"/>
  <c r="AH37" i="33"/>
  <c r="BB36" i="33"/>
  <c r="BE36" i="33" s="1"/>
  <c r="AT36" i="33"/>
  <c r="BC36" i="33" s="1"/>
  <c r="AR36" i="33"/>
  <c r="AQ36" i="33"/>
  <c r="AN36" i="33"/>
  <c r="AK36" i="33"/>
  <c r="AL36" i="33" s="1"/>
  <c r="AH36" i="33"/>
  <c r="AS35" i="33"/>
  <c r="BB35" i="33" s="1"/>
  <c r="AP35" i="33"/>
  <c r="AM35" i="33"/>
  <c r="AJ35" i="33"/>
  <c r="AG35" i="33"/>
  <c r="BB34" i="33"/>
  <c r="BE34" i="33" s="1"/>
  <c r="AT34" i="33"/>
  <c r="AR34" i="33"/>
  <c r="AQ34" i="33"/>
  <c r="AN34" i="33"/>
  <c r="AO34" i="33" s="1"/>
  <c r="AK34" i="33"/>
  <c r="AL34" i="33" s="1"/>
  <c r="AH34" i="33"/>
  <c r="AI34" i="33" s="1"/>
  <c r="BB33" i="33"/>
  <c r="BE33" i="33" s="1"/>
  <c r="AT33" i="33"/>
  <c r="AQ33" i="33"/>
  <c r="AR33" i="33" s="1"/>
  <c r="AN33" i="33"/>
  <c r="AK33" i="33"/>
  <c r="AK35" i="33" s="1"/>
  <c r="AH33" i="33"/>
  <c r="AS32" i="33"/>
  <c r="AP32" i="33"/>
  <c r="AM32" i="33"/>
  <c r="AJ32" i="33"/>
  <c r="AG32" i="33"/>
  <c r="BC31" i="33"/>
  <c r="BF31" i="33" s="1"/>
  <c r="BB31" i="33"/>
  <c r="BE31" i="33" s="1"/>
  <c r="AU31" i="33"/>
  <c r="BD31" i="33" s="1"/>
  <c r="AR31" i="33"/>
  <c r="AO31" i="33"/>
  <c r="AL31" i="33"/>
  <c r="AI31" i="33"/>
  <c r="BB30" i="33"/>
  <c r="BE30" i="33" s="1"/>
  <c r="AT30" i="33"/>
  <c r="BC30" i="33" s="1"/>
  <c r="AQ30" i="33"/>
  <c r="AR30" i="33" s="1"/>
  <c r="AN30" i="33"/>
  <c r="AO30" i="33" s="1"/>
  <c r="AK30" i="33"/>
  <c r="AL30" i="33" s="1"/>
  <c r="AH30" i="33"/>
  <c r="AI30" i="33" s="1"/>
  <c r="BB29" i="33"/>
  <c r="BE29" i="33" s="1"/>
  <c r="AT29" i="33"/>
  <c r="BC29" i="33" s="1"/>
  <c r="AQ29" i="33"/>
  <c r="AR29" i="33" s="1"/>
  <c r="AN29" i="33"/>
  <c r="AO29" i="33" s="1"/>
  <c r="AK29" i="33"/>
  <c r="AL29" i="33" s="1"/>
  <c r="AH29" i="33"/>
  <c r="BC28" i="33"/>
  <c r="BF28" i="33" s="1"/>
  <c r="BB28" i="33"/>
  <c r="AU28" i="33"/>
  <c r="BD28" i="33" s="1"/>
  <c r="AR28" i="33"/>
  <c r="AO28" i="33"/>
  <c r="AL28" i="33"/>
  <c r="AI28" i="33"/>
  <c r="BC27" i="33"/>
  <c r="BF27" i="33" s="1"/>
  <c r="BC26" i="33"/>
  <c r="BF26" i="33" s="1"/>
  <c r="AS26" i="33"/>
  <c r="BB26" i="33" s="1"/>
  <c r="AP26" i="33"/>
  <c r="AM26" i="33"/>
  <c r="AJ26" i="33"/>
  <c r="AG26" i="33"/>
  <c r="BC25" i="33"/>
  <c r="BF25" i="33" s="1"/>
  <c r="BB25" i="33"/>
  <c r="BE25" i="33" s="1"/>
  <c r="AU25" i="33"/>
  <c r="BD25" i="33" s="1"/>
  <c r="AR25" i="33"/>
  <c r="AO25" i="33"/>
  <c r="AL25" i="33"/>
  <c r="AI25" i="33"/>
  <c r="BC24" i="33"/>
  <c r="BF24" i="33" s="1"/>
  <c r="BB24" i="33"/>
  <c r="BE24" i="33" s="1"/>
  <c r="AU24" i="33"/>
  <c r="BD24" i="33" s="1"/>
  <c r="AR24" i="33"/>
  <c r="AO24" i="33"/>
  <c r="AL24" i="33"/>
  <c r="AI24" i="33"/>
  <c r="BC23" i="33"/>
  <c r="BF23" i="33" s="1"/>
  <c r="BB23" i="33"/>
  <c r="BE23" i="33" s="1"/>
  <c r="AU23" i="33"/>
  <c r="BD23" i="33" s="1"/>
  <c r="AR23" i="33"/>
  <c r="AO23" i="33"/>
  <c r="AL23" i="33"/>
  <c r="AI23" i="33"/>
  <c r="BC22" i="33"/>
  <c r="BF22" i="33" s="1"/>
  <c r="AS22" i="33"/>
  <c r="BB22" i="33" s="1"/>
  <c r="AP22" i="33"/>
  <c r="AM22" i="33"/>
  <c r="AJ22" i="33"/>
  <c r="AG22" i="33"/>
  <c r="BF21" i="33"/>
  <c r="BC21" i="33"/>
  <c r="BB21" i="33"/>
  <c r="BE21" i="33" s="1"/>
  <c r="AU21" i="33"/>
  <c r="BD21" i="33" s="1"/>
  <c r="AR21" i="33"/>
  <c r="AO21" i="33"/>
  <c r="AL21" i="33"/>
  <c r="AI21" i="33"/>
  <c r="BC20" i="33"/>
  <c r="BF20" i="33" s="1"/>
  <c r="BB20" i="33"/>
  <c r="BE20" i="33" s="1"/>
  <c r="AU20" i="33"/>
  <c r="BD20" i="33" s="1"/>
  <c r="AR20" i="33"/>
  <c r="AO20" i="33"/>
  <c r="AL20" i="33"/>
  <c r="AI20" i="33"/>
  <c r="BC19" i="33"/>
  <c r="BF19" i="33" s="1"/>
  <c r="BB19" i="33"/>
  <c r="BE19" i="33" s="1"/>
  <c r="AU19" i="33"/>
  <c r="BD19" i="33" s="1"/>
  <c r="AR19" i="33"/>
  <c r="AO19" i="33"/>
  <c r="AL19" i="33"/>
  <c r="AI19" i="33"/>
  <c r="BC18" i="33"/>
  <c r="BF18" i="33" s="1"/>
  <c r="BB18" i="33"/>
  <c r="BE18" i="33"/>
  <c r="AU18" i="33"/>
  <c r="BD18" i="33" s="1"/>
  <c r="AR18" i="33"/>
  <c r="AO18" i="33"/>
  <c r="AL18" i="33"/>
  <c r="AI18" i="33"/>
  <c r="BC17" i="33"/>
  <c r="BF17" i="33" s="1"/>
  <c r="BB17" i="33"/>
  <c r="BE17" i="33"/>
  <c r="AU17" i="33"/>
  <c r="AR17" i="33"/>
  <c r="AO17" i="33"/>
  <c r="AL17" i="33"/>
  <c r="AI17" i="33"/>
  <c r="BC16" i="33"/>
  <c r="BF16" i="33" s="1"/>
  <c r="BB16" i="33"/>
  <c r="BE16" i="33" s="1"/>
  <c r="AU16" i="33"/>
  <c r="BD16" i="33" s="1"/>
  <c r="AR16" i="33"/>
  <c r="AO16" i="33"/>
  <c r="AL16" i="33"/>
  <c r="AI16" i="33"/>
  <c r="BC15" i="33"/>
  <c r="BF15" i="33" s="1"/>
  <c r="BB15" i="33"/>
  <c r="BE15" i="33" s="1"/>
  <c r="AU15" i="33"/>
  <c r="BD15" i="33" s="1"/>
  <c r="AR15" i="33"/>
  <c r="AO15" i="33"/>
  <c r="AL15" i="33"/>
  <c r="AI15" i="33"/>
  <c r="BC14" i="33"/>
  <c r="BF14" i="33" s="1"/>
  <c r="BB14" i="33"/>
  <c r="BE14" i="33" s="1"/>
  <c r="AU14" i="33"/>
  <c r="BD14" i="33" s="1"/>
  <c r="AR14" i="33"/>
  <c r="AO14" i="33"/>
  <c r="AL14" i="33"/>
  <c r="AI14" i="33"/>
  <c r="BD13" i="33"/>
  <c r="BC13" i="33"/>
  <c r="BF13" i="33" s="1"/>
  <c r="BB13" i="33"/>
  <c r="BE13" i="33" s="1"/>
  <c r="AU13" i="33"/>
  <c r="AR13" i="33"/>
  <c r="AO13" i="33"/>
  <c r="AL13" i="33"/>
  <c r="AI13" i="33"/>
  <c r="BC12" i="33"/>
  <c r="BF12" i="33" s="1"/>
  <c r="BB12" i="33"/>
  <c r="BE12" i="33" s="1"/>
  <c r="AU12" i="33"/>
  <c r="BD12" i="33" s="1"/>
  <c r="AR12" i="33"/>
  <c r="AO12" i="33"/>
  <c r="AL12" i="33"/>
  <c r="AI12" i="33"/>
  <c r="BC11" i="33"/>
  <c r="BF11" i="33" s="1"/>
  <c r="BB11" i="33"/>
  <c r="BE11" i="33" s="1"/>
  <c r="AU11" i="33"/>
  <c r="BD11" i="33" s="1"/>
  <c r="AR11" i="33"/>
  <c r="AO11" i="33"/>
  <c r="AL11" i="33"/>
  <c r="AI11" i="33"/>
  <c r="BC10" i="33"/>
  <c r="BF10" i="33" s="1"/>
  <c r="BB10" i="33"/>
  <c r="BE10" i="33" s="1"/>
  <c r="AU10" i="33"/>
  <c r="BD10" i="33" s="1"/>
  <c r="AR10" i="33"/>
  <c r="AO10" i="33"/>
  <c r="AL10" i="33"/>
  <c r="AI10" i="33"/>
  <c r="BC9" i="33"/>
  <c r="BF9" i="33" s="1"/>
  <c r="BB9" i="33"/>
  <c r="BE9" i="33" s="1"/>
  <c r="AU9" i="33"/>
  <c r="BD9" i="33" s="1"/>
  <c r="AR9" i="33"/>
  <c r="AO9" i="33"/>
  <c r="AL9" i="33"/>
  <c r="AI9" i="33"/>
  <c r="AU39" i="33" l="1"/>
  <c r="BD39" i="33" s="1"/>
  <c r="AR26" i="33"/>
  <c r="AM27" i="33"/>
  <c r="AT35" i="33"/>
  <c r="BC35" i="33" s="1"/>
  <c r="AO46" i="33"/>
  <c r="AU46" i="33"/>
  <c r="BD46" i="33" s="1"/>
  <c r="AQ172" i="33"/>
  <c r="BG151" i="33"/>
  <c r="AO197" i="33"/>
  <c r="AO206" i="33" s="1"/>
  <c r="Q45" i="40"/>
  <c r="Q67" i="40" s="1"/>
  <c r="AR32" i="33"/>
  <c r="AU30" i="33"/>
  <c r="BD30" i="33" s="1"/>
  <c r="AQ35" i="33"/>
  <c r="AI45" i="33"/>
  <c r="BE52" i="33"/>
  <c r="AR35" i="33"/>
  <c r="AO52" i="33"/>
  <c r="BE22" i="33"/>
  <c r="AO22" i="33"/>
  <c r="AU22" i="33"/>
  <c r="BG19" i="33"/>
  <c r="AR52" i="33"/>
  <c r="BG148" i="33"/>
  <c r="BG164" i="33"/>
  <c r="BG147" i="33"/>
  <c r="BF165" i="33"/>
  <c r="BG25" i="33"/>
  <c r="BC83" i="33"/>
  <c r="BF83" i="33" s="1"/>
  <c r="AU83" i="33"/>
  <c r="AI153" i="33"/>
  <c r="BG144" i="33"/>
  <c r="BG12" i="33"/>
  <c r="BG14" i="33"/>
  <c r="AP27" i="33"/>
  <c r="L7" i="18"/>
  <c r="C97" i="35" s="1"/>
  <c r="C96" i="35" s="1"/>
  <c r="C131" i="35" s="1"/>
  <c r="C157" i="35" s="1"/>
  <c r="BE28" i="33"/>
  <c r="G8" i="18"/>
  <c r="AQ32" i="33"/>
  <c r="AL33" i="33"/>
  <c r="AL35" i="33" s="1"/>
  <c r="AU34" i="33"/>
  <c r="BD34" i="33" s="1"/>
  <c r="BG34" i="33" s="1"/>
  <c r="BC34" i="33"/>
  <c r="BC37" i="33"/>
  <c r="BF37" i="33" s="1"/>
  <c r="AU40" i="33"/>
  <c r="BD40" i="33" s="1"/>
  <c r="AU42" i="33"/>
  <c r="BD42" i="33" s="1"/>
  <c r="BG44" i="33"/>
  <c r="BG51" i="33"/>
  <c r="BG11" i="33"/>
  <c r="AI22" i="33"/>
  <c r="BE26" i="33"/>
  <c r="BE35" i="33"/>
  <c r="BC41" i="33"/>
  <c r="BF41" i="33" s="1"/>
  <c r="AU41" i="33"/>
  <c r="BD41" i="33" s="1"/>
  <c r="BG41" i="33" s="1"/>
  <c r="AP53" i="33"/>
  <c r="I9" i="18" s="1"/>
  <c r="AL22" i="33"/>
  <c r="BG10" i="33"/>
  <c r="BG20" i="33"/>
  <c r="AG27" i="33"/>
  <c r="H7" i="18" s="1"/>
  <c r="AO26" i="33"/>
  <c r="AS27" i="33"/>
  <c r="AO32" i="33"/>
  <c r="AJ53" i="33"/>
  <c r="K9" i="18" s="1"/>
  <c r="AO33" i="33"/>
  <c r="AO35" i="33" s="1"/>
  <c r="AN35" i="33"/>
  <c r="AR43" i="33"/>
  <c r="BG38" i="33"/>
  <c r="AG172" i="33"/>
  <c r="AP172" i="33"/>
  <c r="AP207" i="33" s="1"/>
  <c r="AK172" i="33"/>
  <c r="AI165" i="33"/>
  <c r="BG165" i="33" s="1"/>
  <c r="BG120" i="33"/>
  <c r="AI121" i="33"/>
  <c r="BG121" i="33" s="1"/>
  <c r="AL153" i="33"/>
  <c r="AL172" i="33" s="1"/>
  <c r="AL207" i="33" s="1"/>
  <c r="BG149" i="33"/>
  <c r="BG13" i="33"/>
  <c r="BG23" i="33"/>
  <c r="BG28" i="33"/>
  <c r="AK32" i="33"/>
  <c r="BF30" i="33"/>
  <c r="BG31" i="33"/>
  <c r="AM53" i="33"/>
  <c r="L9" i="18" s="1"/>
  <c r="AQ43" i="33"/>
  <c r="BF40" i="33"/>
  <c r="AU52" i="33"/>
  <c r="BD52" i="33" s="1"/>
  <c r="BG49" i="33"/>
  <c r="AJ172" i="33"/>
  <c r="BG145" i="33"/>
  <c r="BG152" i="33"/>
  <c r="AN172" i="33"/>
  <c r="AN207" i="33" s="1"/>
  <c r="BE165" i="33"/>
  <c r="BG186" i="33"/>
  <c r="BF188" i="33"/>
  <c r="N47" i="40"/>
  <c r="H13" i="42" s="1"/>
  <c r="O46" i="40"/>
  <c r="AI188" i="33"/>
  <c r="BG188" i="33" s="1"/>
  <c r="J10" i="42"/>
  <c r="J11" i="42" s="1"/>
  <c r="K5" i="42"/>
  <c r="BD22" i="33"/>
  <c r="BD17" i="33"/>
  <c r="BG17" i="33" s="1"/>
  <c r="AN32" i="33"/>
  <c r="AL39" i="33"/>
  <c r="AL43" i="33" s="1"/>
  <c r="BF39" i="33"/>
  <c r="BG45" i="33"/>
  <c r="BD48" i="33"/>
  <c r="BD197" i="33"/>
  <c r="AU206" i="33"/>
  <c r="AI52" i="33"/>
  <c r="BG48" i="33"/>
  <c r="AU26" i="33"/>
  <c r="BD26" i="33" s="1"/>
  <c r="AH32" i="33"/>
  <c r="AI29" i="33"/>
  <c r="AH35" i="33"/>
  <c r="BF35" i="33" s="1"/>
  <c r="BC33" i="33"/>
  <c r="BF33" i="33" s="1"/>
  <c r="AU36" i="33"/>
  <c r="AT43" i="33"/>
  <c r="BC43" i="33" s="1"/>
  <c r="BE43" i="33"/>
  <c r="AK46" i="33"/>
  <c r="AL46" i="33" s="1"/>
  <c r="AL52" i="33"/>
  <c r="AR22" i="33"/>
  <c r="AR27" i="33" s="1"/>
  <c r="BG15" i="33"/>
  <c r="BG18" i="33"/>
  <c r="AL26" i="33"/>
  <c r="AL27" i="33" s="1"/>
  <c r="BG24" i="33"/>
  <c r="BB27" i="33"/>
  <c r="G7" i="18" s="1"/>
  <c r="BG30" i="33"/>
  <c r="AI33" i="33"/>
  <c r="AU33" i="33"/>
  <c r="BF34" i="33"/>
  <c r="AN43" i="33"/>
  <c r="AO36" i="33"/>
  <c r="AO43" i="33" s="1"/>
  <c r="AO53" i="33" s="1"/>
  <c r="BG40" i="33"/>
  <c r="BF42" i="33"/>
  <c r="AI46" i="33"/>
  <c r="BG46" i="33" s="1"/>
  <c r="BE46" i="33"/>
  <c r="BB146" i="33"/>
  <c r="BE146" i="33" s="1"/>
  <c r="AS153" i="33"/>
  <c r="BB153" i="33" s="1"/>
  <c r="BE153" i="33" s="1"/>
  <c r="AT146" i="33"/>
  <c r="AU146" i="33"/>
  <c r="BD146" i="33" s="1"/>
  <c r="BG146" i="33" s="1"/>
  <c r="BG9" i="33"/>
  <c r="BG16" i="33"/>
  <c r="BG21" i="33"/>
  <c r="AJ27" i="33"/>
  <c r="AI26" i="33"/>
  <c r="AI27" i="33" s="1"/>
  <c r="AL32" i="33"/>
  <c r="AT32" i="33"/>
  <c r="AU29" i="33"/>
  <c r="BF29" i="33"/>
  <c r="BF36" i="33"/>
  <c r="AI36" i="33"/>
  <c r="AH43" i="33"/>
  <c r="BG39" i="33"/>
  <c r="BG42" i="33"/>
  <c r="AK43" i="33"/>
  <c r="AK47" i="33" s="1"/>
  <c r="AK52" i="33" s="1"/>
  <c r="AK53" i="33" s="1"/>
  <c r="AK103" i="33" s="1"/>
  <c r="BF45" i="33"/>
  <c r="BF46" i="33"/>
  <c r="BG50" i="33"/>
  <c r="BC38" i="33"/>
  <c r="BF38" i="33" s="1"/>
  <c r="BC51" i="33"/>
  <c r="BF51" i="33" s="1"/>
  <c r="BE47" i="33"/>
  <c r="BE87" i="33"/>
  <c r="AG53" i="33"/>
  <c r="AS53" i="33"/>
  <c r="BB53" i="33" s="1"/>
  <c r="G9" i="18" s="1"/>
  <c r="BB32" i="33"/>
  <c r="BE32" i="33" s="1"/>
  <c r="AI37" i="33"/>
  <c r="BG37" i="33" s="1"/>
  <c r="AI87" i="33"/>
  <c r="BE140" i="33"/>
  <c r="AT87" i="33"/>
  <c r="BG150" i="33"/>
  <c r="AQ207" i="33"/>
  <c r="AM172" i="33"/>
  <c r="AM207" i="33" s="1"/>
  <c r="BE141" i="33"/>
  <c r="AO153" i="33"/>
  <c r="AO172" i="33" s="1"/>
  <c r="AO207" i="33" s="1"/>
  <c r="AJ207" i="33"/>
  <c r="BB206" i="33"/>
  <c r="BE121" i="33"/>
  <c r="BG143" i="33"/>
  <c r="BC156" i="33"/>
  <c r="BF156" i="33" s="1"/>
  <c r="AT159" i="33"/>
  <c r="BC159" i="33" s="1"/>
  <c r="BF159" i="33" s="1"/>
  <c r="AU156" i="33"/>
  <c r="BD156" i="33" s="1"/>
  <c r="BG156" i="33" s="1"/>
  <c r="AG206" i="33"/>
  <c r="AK207" i="33"/>
  <c r="BF197" i="33"/>
  <c r="BD191" i="33"/>
  <c r="BG191" i="33" s="1"/>
  <c r="AH206" i="33"/>
  <c r="AT206" i="33"/>
  <c r="BE188" i="33"/>
  <c r="BE191" i="33"/>
  <c r="AR197" i="33"/>
  <c r="AR206" i="33" s="1"/>
  <c r="AR207" i="33" s="1"/>
  <c r="BB197" i="33"/>
  <c r="BE197" i="33" s="1"/>
  <c r="AI197" i="33" l="1"/>
  <c r="AS172" i="33"/>
  <c r="BB172" i="33" s="1"/>
  <c r="BF43" i="33"/>
  <c r="AO27" i="33"/>
  <c r="AR53" i="33"/>
  <c r="BE172" i="33"/>
  <c r="AI172" i="33"/>
  <c r="AO103" i="33"/>
  <c r="AR103" i="33"/>
  <c r="AU27" i="33"/>
  <c r="BD27" i="33" s="1"/>
  <c r="AU87" i="33"/>
  <c r="BD87" i="33" s="1"/>
  <c r="BG87" i="33" s="1"/>
  <c r="BD83" i="33"/>
  <c r="BG83" i="33" s="1"/>
  <c r="BE53" i="33"/>
  <c r="H9" i="18"/>
  <c r="AJ103" i="33"/>
  <c r="K7" i="18"/>
  <c r="AQ47" i="33"/>
  <c r="AQ52" i="33" s="1"/>
  <c r="AQ53" i="33" s="1"/>
  <c r="AM103" i="33"/>
  <c r="AS103" i="33"/>
  <c r="BB103" i="33" s="1"/>
  <c r="AU159" i="33"/>
  <c r="BD159" i="33" s="1"/>
  <c r="BG159" i="33" s="1"/>
  <c r="O47" i="40"/>
  <c r="I13" i="42" s="1"/>
  <c r="P46" i="40"/>
  <c r="AP103" i="33"/>
  <c r="I7" i="18"/>
  <c r="BD29" i="33"/>
  <c r="BG29" i="33" s="1"/>
  <c r="AU32" i="33"/>
  <c r="AI35" i="33"/>
  <c r="AU43" i="33"/>
  <c r="BD43" i="33" s="1"/>
  <c r="BD36" i="33"/>
  <c r="AI32" i="33"/>
  <c r="BG52" i="33"/>
  <c r="BD206" i="33"/>
  <c r="BC206" i="33"/>
  <c r="BF206" i="33" s="1"/>
  <c r="BE206" i="33"/>
  <c r="AG207" i="33"/>
  <c r="AU153" i="33"/>
  <c r="AI43" i="33"/>
  <c r="BG36" i="33"/>
  <c r="BC32" i="33"/>
  <c r="BF32" i="33" s="1"/>
  <c r="AT47" i="33"/>
  <c r="AT153" i="33"/>
  <c r="BC146" i="33"/>
  <c r="BF146" i="33" s="1"/>
  <c r="BE27" i="33"/>
  <c r="AH47" i="33"/>
  <c r="AH207" i="33"/>
  <c r="AS207" i="33"/>
  <c r="BB207" i="33" s="1"/>
  <c r="AL53" i="33"/>
  <c r="AL103" i="33" s="1"/>
  <c r="AG103" i="33"/>
  <c r="BG22" i="33"/>
  <c r="BG197" i="33"/>
  <c r="AI206" i="33"/>
  <c r="BC87" i="33"/>
  <c r="BF87" i="33" s="1"/>
  <c r="BG26" i="33"/>
  <c r="BD33" i="33"/>
  <c r="BG33" i="33" s="1"/>
  <c r="AU35" i="33"/>
  <c r="BD35" i="33" s="1"/>
  <c r="AN47" i="33"/>
  <c r="AN52" i="33" s="1"/>
  <c r="AN53" i="33" s="1"/>
  <c r="AN103" i="33" s="1"/>
  <c r="D47" i="25"/>
  <c r="E24" i="18" s="1"/>
  <c r="B69" i="28"/>
  <c r="L69" i="28" s="1"/>
  <c r="A69" i="28"/>
  <c r="BG27" i="33" l="1"/>
  <c r="BE103" i="33"/>
  <c r="BE207" i="33"/>
  <c r="BG43" i="33"/>
  <c r="P47" i="40"/>
  <c r="J13" i="42" s="1"/>
  <c r="Q46" i="40"/>
  <c r="Q47" i="40" s="1"/>
  <c r="Q68" i="40" s="1"/>
  <c r="AT172" i="33"/>
  <c r="BC153" i="33"/>
  <c r="BF153" i="33" s="1"/>
  <c r="BC47" i="33"/>
  <c r="AT52" i="33"/>
  <c r="BG35" i="33"/>
  <c r="BD153" i="33"/>
  <c r="BG153" i="33" s="1"/>
  <c r="AU172" i="33"/>
  <c r="AI53" i="33"/>
  <c r="AI207" i="33"/>
  <c r="BG206" i="33"/>
  <c r="AH52" i="33"/>
  <c r="BF47" i="33"/>
  <c r="AU53" i="33"/>
  <c r="BD32" i="33"/>
  <c r="BG32" i="33" s="1"/>
  <c r="C26" i="4"/>
  <c r="C18" i="4" s="1"/>
  <c r="K14" i="32"/>
  <c r="K15" i="32"/>
  <c r="K16" i="32"/>
  <c r="K17" i="32"/>
  <c r="K18" i="32"/>
  <c r="K20" i="32"/>
  <c r="K21" i="32"/>
  <c r="K22" i="32"/>
  <c r="K23" i="32"/>
  <c r="K24" i="32"/>
  <c r="K25" i="32"/>
  <c r="K26" i="32"/>
  <c r="K27" i="32"/>
  <c r="K28" i="32"/>
  <c r="K29" i="32"/>
  <c r="K30" i="32"/>
  <c r="K31" i="32"/>
  <c r="K32" i="32"/>
  <c r="K33" i="32"/>
  <c r="K34" i="32"/>
  <c r="K36" i="32"/>
  <c r="K37" i="32"/>
  <c r="D59" i="25"/>
  <c r="C79" i="25"/>
  <c r="B51" i="41" l="1"/>
  <c r="C51" i="41" s="1"/>
  <c r="L51" i="41" s="1"/>
  <c r="M51" i="41" s="1"/>
  <c r="E27" i="18"/>
  <c r="BD172" i="33"/>
  <c r="BG172" i="33" s="1"/>
  <c r="AU207" i="33"/>
  <c r="BD207" i="33" s="1"/>
  <c r="BG207" i="33" s="1"/>
  <c r="BD53" i="33"/>
  <c r="AU103" i="33"/>
  <c r="BD103" i="33" s="1"/>
  <c r="BG53" i="33"/>
  <c r="AI103" i="33"/>
  <c r="BC52" i="33"/>
  <c r="BF52" i="33" s="1"/>
  <c r="AT53" i="33"/>
  <c r="AH53" i="33"/>
  <c r="BC172" i="33"/>
  <c r="BF172" i="33" s="1"/>
  <c r="AT207" i="33"/>
  <c r="BC207" i="33" s="1"/>
  <c r="BF207" i="33" s="1"/>
  <c r="E136" i="17"/>
  <c r="E137" i="17"/>
  <c r="E139" i="17"/>
  <c r="E140" i="17"/>
  <c r="E141" i="17"/>
  <c r="E142" i="17"/>
  <c r="E143" i="17"/>
  <c r="E144" i="17"/>
  <c r="E146" i="17"/>
  <c r="E148" i="17"/>
  <c r="E149" i="17"/>
  <c r="E151" i="17"/>
  <c r="E152" i="17"/>
  <c r="E153" i="17"/>
  <c r="E154" i="17"/>
  <c r="E155" i="17"/>
  <c r="E156" i="17"/>
  <c r="E157" i="17"/>
  <c r="D163" i="17"/>
  <c r="D164" i="17"/>
  <c r="E16" i="17"/>
  <c r="E18" i="17"/>
  <c r="E19" i="17"/>
  <c r="E23" i="17"/>
  <c r="E26" i="17"/>
  <c r="E27" i="17"/>
  <c r="E28" i="17"/>
  <c r="E33" i="17"/>
  <c r="E36" i="17"/>
  <c r="E48" i="17"/>
  <c r="E49" i="17"/>
  <c r="E52" i="17"/>
  <c r="E55" i="17"/>
  <c r="E56" i="17"/>
  <c r="E58" i="17"/>
  <c r="E59" i="17"/>
  <c r="E61" i="17"/>
  <c r="E63" i="17"/>
  <c r="E64" i="17"/>
  <c r="E66" i="17"/>
  <c r="E70" i="17"/>
  <c r="E71" i="17"/>
  <c r="E73" i="17"/>
  <c r="E74" i="17"/>
  <c r="E75" i="17"/>
  <c r="E76" i="17"/>
  <c r="E79" i="17"/>
  <c r="E82" i="17"/>
  <c r="E83" i="17"/>
  <c r="E85" i="17"/>
  <c r="E86" i="17"/>
  <c r="E87" i="17"/>
  <c r="E88" i="17"/>
  <c r="E89" i="17"/>
  <c r="E90" i="17"/>
  <c r="E121" i="17"/>
  <c r="E123" i="17"/>
  <c r="E125" i="17"/>
  <c r="E126" i="17"/>
  <c r="E127" i="17"/>
  <c r="E128" i="17"/>
  <c r="E129" i="17"/>
  <c r="E130" i="17"/>
  <c r="E131" i="17"/>
  <c r="E132" i="17"/>
  <c r="E104" i="17"/>
  <c r="E105" i="17"/>
  <c r="E106" i="17"/>
  <c r="E107" i="17"/>
  <c r="E111" i="17"/>
  <c r="E112" i="17"/>
  <c r="E113" i="17"/>
  <c r="E114" i="17"/>
  <c r="C77" i="41" l="1"/>
  <c r="D165" i="17"/>
  <c r="BG103" i="33"/>
  <c r="AH103" i="33"/>
  <c r="BC53" i="33"/>
  <c r="BF53" i="33" s="1"/>
  <c r="AT103" i="33"/>
  <c r="BC103" i="33" s="1"/>
  <c r="D9" i="23"/>
  <c r="D13" i="23"/>
  <c r="D8" i="23"/>
  <c r="BF103" i="33" l="1"/>
  <c r="D11" i="23"/>
  <c r="D10" i="23"/>
  <c r="D6" i="23"/>
  <c r="F22" i="18"/>
  <c r="K6" i="28" l="1"/>
  <c r="K7" i="28"/>
  <c r="K8" i="28"/>
  <c r="K10" i="28"/>
  <c r="K12" i="28"/>
  <c r="K13" i="28"/>
  <c r="K14" i="28"/>
  <c r="K16" i="28"/>
  <c r="K17" i="28"/>
  <c r="K19" i="28"/>
  <c r="K21" i="28"/>
  <c r="K27" i="28"/>
  <c r="K38" i="28"/>
  <c r="K53" i="28"/>
  <c r="K54" i="28"/>
  <c r="K55" i="28"/>
  <c r="K56" i="28"/>
  <c r="K57" i="28"/>
  <c r="K58" i="28"/>
  <c r="K59" i="28"/>
  <c r="K60" i="28"/>
  <c r="K61" i="28"/>
  <c r="K62" i="28"/>
  <c r="K64" i="28"/>
  <c r="K66" i="28"/>
  <c r="K67" i="28"/>
  <c r="B87" i="28"/>
  <c r="B51" i="28" l="1"/>
  <c r="C51" i="28" s="1"/>
  <c r="K51" i="28" s="1"/>
  <c r="L51" i="28" s="1"/>
  <c r="A51" i="28"/>
  <c r="B70" i="28"/>
  <c r="B68" i="28"/>
  <c r="H68" i="28" s="1"/>
  <c r="K68" i="28" s="1"/>
  <c r="L68" i="28" s="1"/>
  <c r="H50" i="28"/>
  <c r="K50" i="28" s="1"/>
  <c r="L50" i="28" s="1"/>
  <c r="B52" i="28"/>
  <c r="B53" i="28"/>
  <c r="L53" i="28" s="1"/>
  <c r="B54" i="28"/>
  <c r="L54" i="28" s="1"/>
  <c r="B55" i="28"/>
  <c r="L55" i="28" s="1"/>
  <c r="B56" i="28"/>
  <c r="L56" i="28" s="1"/>
  <c r="B57" i="28"/>
  <c r="L57" i="28" s="1"/>
  <c r="B58" i="28"/>
  <c r="L58" i="28" s="1"/>
  <c r="B59" i="28"/>
  <c r="L59" i="28" s="1"/>
  <c r="B60" i="28"/>
  <c r="L60" i="28" s="1"/>
  <c r="B61" i="28"/>
  <c r="L61" i="28" s="1"/>
  <c r="B62" i="28"/>
  <c r="L62" i="28" s="1"/>
  <c r="B63" i="28"/>
  <c r="F63" i="28" s="1"/>
  <c r="K63" i="28" s="1"/>
  <c r="B64" i="28"/>
  <c r="L64" i="28" s="1"/>
  <c r="B65" i="28"/>
  <c r="K65" i="28" s="1"/>
  <c r="L65" i="28" s="1"/>
  <c r="B66" i="28"/>
  <c r="L66" i="28" s="1"/>
  <c r="B67" i="28"/>
  <c r="L67" i="28" s="1"/>
  <c r="A70" i="28"/>
  <c r="A68" i="28"/>
  <c r="A67" i="28"/>
  <c r="A53" i="28"/>
  <c r="A54" i="28"/>
  <c r="A55" i="28"/>
  <c r="A56" i="28"/>
  <c r="A57" i="28"/>
  <c r="A58" i="28"/>
  <c r="A59" i="28"/>
  <c r="A60" i="28"/>
  <c r="A61" i="28"/>
  <c r="A62" i="28"/>
  <c r="A63" i="28"/>
  <c r="A64" i="28"/>
  <c r="A65" i="28"/>
  <c r="A66" i="28"/>
  <c r="A71" i="28"/>
  <c r="A72" i="28"/>
  <c r="A73" i="28"/>
  <c r="A74" i="28"/>
  <c r="A75" i="28"/>
  <c r="A76" i="28"/>
  <c r="A52" i="28"/>
  <c r="B5" i="28"/>
  <c r="F5" i="28" s="1"/>
  <c r="K5" i="28" s="1"/>
  <c r="B6" i="28"/>
  <c r="B7" i="28"/>
  <c r="B8" i="28"/>
  <c r="B9" i="28"/>
  <c r="B10" i="28"/>
  <c r="B11" i="28"/>
  <c r="B12" i="28"/>
  <c r="L12" i="28" s="1"/>
  <c r="B13" i="28"/>
  <c r="B14" i="28"/>
  <c r="B15" i="28"/>
  <c r="F15" i="28" s="1"/>
  <c r="K15" i="28" s="1"/>
  <c r="B16" i="28"/>
  <c r="L16" i="28" s="1"/>
  <c r="B17" i="28"/>
  <c r="B18" i="28"/>
  <c r="F18" i="28" s="1"/>
  <c r="K18" i="28" s="1"/>
  <c r="B19" i="28"/>
  <c r="B20" i="28"/>
  <c r="B21" i="28"/>
  <c r="L21" i="28" s="1"/>
  <c r="B22" i="28"/>
  <c r="H22" i="28" s="1"/>
  <c r="K22" i="28" s="1"/>
  <c r="B23" i="28"/>
  <c r="H23" i="28" s="1"/>
  <c r="K23" i="28" s="1"/>
  <c r="B24" i="28"/>
  <c r="H24" i="28" s="1"/>
  <c r="K24" i="28" s="1"/>
  <c r="B25" i="28"/>
  <c r="H25" i="28" s="1"/>
  <c r="K25" i="28" s="1"/>
  <c r="B26" i="28"/>
  <c r="H26" i="28" s="1"/>
  <c r="K26" i="28" s="1"/>
  <c r="B27" i="28"/>
  <c r="L27" i="28" s="1"/>
  <c r="B28" i="28"/>
  <c r="H28" i="28" s="1"/>
  <c r="K28" i="28" s="1"/>
  <c r="L28" i="28" s="1"/>
  <c r="B29" i="28"/>
  <c r="H29" i="28" s="1"/>
  <c r="K29" i="28" s="1"/>
  <c r="B30" i="28"/>
  <c r="H30" i="28" s="1"/>
  <c r="K30" i="28" s="1"/>
  <c r="B31" i="28"/>
  <c r="H31" i="28" s="1"/>
  <c r="K31" i="28" s="1"/>
  <c r="B32" i="28"/>
  <c r="H32" i="28" s="1"/>
  <c r="K32" i="28" s="1"/>
  <c r="L32" i="28" s="1"/>
  <c r="B33" i="28"/>
  <c r="H33" i="28" s="1"/>
  <c r="K33" i="28" s="1"/>
  <c r="B34" i="28"/>
  <c r="H34" i="28" s="1"/>
  <c r="K34" i="28" s="1"/>
  <c r="B35" i="28"/>
  <c r="H35" i="28" s="1"/>
  <c r="K35" i="28" s="1"/>
  <c r="B36" i="28"/>
  <c r="H36" i="28" s="1"/>
  <c r="K36" i="28" s="1"/>
  <c r="L36" i="28" s="1"/>
  <c r="B37" i="28"/>
  <c r="H37" i="28" s="1"/>
  <c r="K37" i="28" s="1"/>
  <c r="B38" i="28"/>
  <c r="B39" i="28"/>
  <c r="H39" i="28" s="1"/>
  <c r="K39" i="28" s="1"/>
  <c r="B40" i="28"/>
  <c r="H40" i="28" s="1"/>
  <c r="K40" i="28" s="1"/>
  <c r="L40" i="28" s="1"/>
  <c r="B44" i="28"/>
  <c r="B71" i="28"/>
  <c r="B72" i="28"/>
  <c r="B73" i="28"/>
  <c r="B74" i="28"/>
  <c r="B75" i="28"/>
  <c r="B76" i="28"/>
  <c r="B4" i="28"/>
  <c r="A5" i="28"/>
  <c r="A6" i="28"/>
  <c r="A7" i="28"/>
  <c r="A8" i="28"/>
  <c r="A9" i="28"/>
  <c r="A10" i="28"/>
  <c r="A11" i="28"/>
  <c r="A12" i="28"/>
  <c r="A13" i="28"/>
  <c r="A14" i="28"/>
  <c r="A15" i="28"/>
  <c r="A16" i="28"/>
  <c r="A17" i="28"/>
  <c r="A18" i="28"/>
  <c r="A19" i="28"/>
  <c r="A20" i="28"/>
  <c r="A21" i="28"/>
  <c r="A22" i="28"/>
  <c r="A23" i="28"/>
  <c r="A24" i="28"/>
  <c r="A25" i="28"/>
  <c r="A26" i="28"/>
  <c r="A27" i="28"/>
  <c r="A28" i="28"/>
  <c r="A29" i="28"/>
  <c r="A30" i="28"/>
  <c r="A31" i="28"/>
  <c r="A32" i="28"/>
  <c r="A33" i="28"/>
  <c r="A34" i="28"/>
  <c r="A35" i="28"/>
  <c r="A36" i="28"/>
  <c r="A37" i="28"/>
  <c r="A38" i="28"/>
  <c r="A39" i="28"/>
  <c r="A40" i="28"/>
  <c r="A41" i="28"/>
  <c r="A42" i="28"/>
  <c r="A43" i="28"/>
  <c r="A44" i="28"/>
  <c r="A45" i="28"/>
  <c r="A46" i="28"/>
  <c r="A47" i="28"/>
  <c r="A48" i="28"/>
  <c r="A4" i="28"/>
  <c r="I77" i="28"/>
  <c r="E77" i="28"/>
  <c r="D77" i="28"/>
  <c r="C77" i="28"/>
  <c r="L8" i="28"/>
  <c r="C117" i="17"/>
  <c r="G44" i="12"/>
  <c r="C21" i="17"/>
  <c r="D16" i="23"/>
  <c r="J35" i="32"/>
  <c r="K35" i="32" s="1"/>
  <c r="F7" i="27"/>
  <c r="E12" i="36" s="1"/>
  <c r="B89" i="28" l="1"/>
  <c r="E69" i="12" s="1"/>
  <c r="G4" i="28"/>
  <c r="K4" i="28" s="1"/>
  <c r="L4" i="28" s="1"/>
  <c r="B6" i="48"/>
  <c r="F9" i="28"/>
  <c r="K9" i="28" s="1"/>
  <c r="L9" i="28" s="1"/>
  <c r="R40" i="40"/>
  <c r="I40" i="40" s="1"/>
  <c r="C20" i="34"/>
  <c r="E21" i="17"/>
  <c r="E117" i="17"/>
  <c r="C116" i="34"/>
  <c r="H20" i="28"/>
  <c r="K20" i="28" s="1"/>
  <c r="L20" i="28" s="1"/>
  <c r="H44" i="28"/>
  <c r="K44" i="28" s="1"/>
  <c r="L44" i="28" s="1"/>
  <c r="H70" i="28"/>
  <c r="K70" i="28" s="1"/>
  <c r="L70" i="28" s="1"/>
  <c r="H49" i="28"/>
  <c r="K49" i="28" s="1"/>
  <c r="L49" i="28" s="1"/>
  <c r="K52" i="28"/>
  <c r="L52" i="28" s="1"/>
  <c r="L63" i="28"/>
  <c r="L17" i="28"/>
  <c r="L13" i="28"/>
  <c r="L24" i="28"/>
  <c r="L33" i="28"/>
  <c r="L37" i="28"/>
  <c r="L7" i="28"/>
  <c r="L35" i="28"/>
  <c r="L23" i="28"/>
  <c r="L39" i="28"/>
  <c r="L19" i="28"/>
  <c r="L15" i="28"/>
  <c r="L25" i="28"/>
  <c r="L30" i="28"/>
  <c r="L34" i="28"/>
  <c r="L6" i="28"/>
  <c r="L10" i="28"/>
  <c r="L14" i="28"/>
  <c r="L18" i="28"/>
  <c r="L22" i="28"/>
  <c r="L26" i="28"/>
  <c r="L31" i="28"/>
  <c r="L29" i="28"/>
  <c r="L5" i="28"/>
  <c r="F33" i="26"/>
  <c r="E13" i="18"/>
  <c r="D13" i="18" s="1"/>
  <c r="C108" i="17" s="1"/>
  <c r="D35" i="18"/>
  <c r="D34" i="18"/>
  <c r="C147" i="17" s="1"/>
  <c r="E147" i="17" s="1"/>
  <c r="N33" i="18"/>
  <c r="N36" i="18" s="1"/>
  <c r="M33" i="18"/>
  <c r="L33" i="18"/>
  <c r="L36" i="18" s="1"/>
  <c r="K33" i="18"/>
  <c r="K36" i="18" s="1"/>
  <c r="J33" i="18"/>
  <c r="I33" i="18"/>
  <c r="H33" i="18"/>
  <c r="H36" i="18" s="1"/>
  <c r="G33" i="18"/>
  <c r="G36" i="18" s="1"/>
  <c r="F33" i="18"/>
  <c r="F36" i="18" s="1"/>
  <c r="D32" i="18"/>
  <c r="N29" i="18"/>
  <c r="L29" i="18"/>
  <c r="K29" i="18"/>
  <c r="D55" i="25" s="1"/>
  <c r="J29" i="18"/>
  <c r="D49" i="25" s="1"/>
  <c r="I29" i="18"/>
  <c r="D48" i="25" s="1"/>
  <c r="H29" i="18"/>
  <c r="D50" i="25" s="1"/>
  <c r="G29" i="18"/>
  <c r="D53" i="25" s="1"/>
  <c r="F29" i="18"/>
  <c r="D54" i="25" s="1"/>
  <c r="M28" i="18"/>
  <c r="E28" i="18"/>
  <c r="D27" i="18"/>
  <c r="D26" i="18"/>
  <c r="N22" i="18"/>
  <c r="N23" i="18" s="1"/>
  <c r="M22" i="18"/>
  <c r="M23" i="18" s="1"/>
  <c r="L22" i="18"/>
  <c r="L23" i="18" s="1"/>
  <c r="K22" i="18"/>
  <c r="K23" i="18" s="1"/>
  <c r="J22" i="18"/>
  <c r="J23" i="18" s="1"/>
  <c r="I22" i="18"/>
  <c r="I23" i="18" s="1"/>
  <c r="H22" i="18"/>
  <c r="H23" i="18" s="1"/>
  <c r="G22" i="18"/>
  <c r="F23" i="18"/>
  <c r="D19" i="18"/>
  <c r="D18" i="18"/>
  <c r="D17" i="18"/>
  <c r="D16" i="18"/>
  <c r="D14" i="18"/>
  <c r="C109" i="17" s="1"/>
  <c r="C108" i="34" s="1"/>
  <c r="D12" i="18"/>
  <c r="D11" i="18"/>
  <c r="G77" i="28" l="1"/>
  <c r="B47" i="41"/>
  <c r="I47" i="41" s="1"/>
  <c r="L47" i="41" s="1"/>
  <c r="M47" i="41" s="1"/>
  <c r="B47" i="28"/>
  <c r="H47" i="28" s="1"/>
  <c r="K47" i="28" s="1"/>
  <c r="L47" i="28" s="1"/>
  <c r="B43" i="41"/>
  <c r="I43" i="41" s="1"/>
  <c r="L43" i="41" s="1"/>
  <c r="M43" i="41" s="1"/>
  <c r="B43" i="28"/>
  <c r="H43" i="28" s="1"/>
  <c r="K43" i="28" s="1"/>
  <c r="L43" i="28" s="1"/>
  <c r="C146" i="34"/>
  <c r="C144" i="34" s="1"/>
  <c r="F30" i="18"/>
  <c r="B41" i="41"/>
  <c r="I41" i="41" s="1"/>
  <c r="L41" i="41" s="1"/>
  <c r="M41" i="41" s="1"/>
  <c r="B41" i="28"/>
  <c r="H41" i="28" s="1"/>
  <c r="K41" i="28" s="1"/>
  <c r="L41" i="28" s="1"/>
  <c r="E24" i="36"/>
  <c r="E30" i="36" s="1"/>
  <c r="E109" i="17"/>
  <c r="R67" i="40"/>
  <c r="H40" i="40"/>
  <c r="H44" i="40" s="1"/>
  <c r="R64" i="40"/>
  <c r="C6" i="48"/>
  <c r="C8" i="48" s="1"/>
  <c r="B8" i="48"/>
  <c r="B46" i="41"/>
  <c r="I46" i="41" s="1"/>
  <c r="L46" i="41" s="1"/>
  <c r="M46" i="41" s="1"/>
  <c r="B46" i="28"/>
  <c r="H46" i="28" s="1"/>
  <c r="K46" i="28" s="1"/>
  <c r="L46" i="28" s="1"/>
  <c r="B48" i="41"/>
  <c r="I48" i="41" s="1"/>
  <c r="L48" i="41" s="1"/>
  <c r="M48" i="41" s="1"/>
  <c r="B48" i="28"/>
  <c r="H48" i="28" s="1"/>
  <c r="K48" i="28" s="1"/>
  <c r="L48" i="28" s="1"/>
  <c r="B42" i="41"/>
  <c r="B42" i="28"/>
  <c r="H42" i="28" s="1"/>
  <c r="K42" i="28" s="1"/>
  <c r="L42" i="28" s="1"/>
  <c r="E108" i="17"/>
  <c r="C107" i="34"/>
  <c r="J77" i="28"/>
  <c r="E25" i="18"/>
  <c r="D25" i="18" s="1"/>
  <c r="J30" i="18"/>
  <c r="L30" i="18"/>
  <c r="L37" i="18" s="1"/>
  <c r="N30" i="18"/>
  <c r="N37" i="18" s="1"/>
  <c r="J36" i="18"/>
  <c r="D28" i="18"/>
  <c r="C124" i="17" s="1"/>
  <c r="C34" i="39" s="1"/>
  <c r="K30" i="18"/>
  <c r="H30" i="18"/>
  <c r="I30" i="18"/>
  <c r="F37" i="18"/>
  <c r="G23" i="18"/>
  <c r="M29" i="18"/>
  <c r="D52" i="25" s="1"/>
  <c r="B45" i="41" s="1"/>
  <c r="I45" i="41" s="1"/>
  <c r="L45" i="41" s="1"/>
  <c r="M45" i="41" s="1"/>
  <c r="I36" i="18"/>
  <c r="M36" i="18"/>
  <c r="H67" i="40" l="1"/>
  <c r="B15" i="42" s="1"/>
  <c r="C8" i="20"/>
  <c r="F38" i="18"/>
  <c r="H64" i="40"/>
  <c r="N38" i="18"/>
  <c r="C16" i="20"/>
  <c r="C15" i="23" s="1"/>
  <c r="D6" i="48"/>
  <c r="D8" i="48" s="1"/>
  <c r="E8" i="48" s="1"/>
  <c r="H41" i="40"/>
  <c r="J40" i="40"/>
  <c r="I64" i="40"/>
  <c r="I42" i="41"/>
  <c r="B77" i="41"/>
  <c r="E124" i="17"/>
  <c r="E10" i="37"/>
  <c r="C123" i="34"/>
  <c r="B45" i="28"/>
  <c r="D56" i="25"/>
  <c r="D60" i="25" s="1"/>
  <c r="L38" i="18"/>
  <c r="C13" i="20"/>
  <c r="C12" i="23" s="1"/>
  <c r="C122" i="17"/>
  <c r="C33" i="39" s="1"/>
  <c r="F34" i="26"/>
  <c r="C6" i="23"/>
  <c r="J37" i="18"/>
  <c r="K37" i="18"/>
  <c r="G30" i="18"/>
  <c r="I37" i="18"/>
  <c r="M30" i="18"/>
  <c r="H37" i="18"/>
  <c r="B18" i="47" l="1"/>
  <c r="O18" i="47" s="1"/>
  <c r="B18" i="44"/>
  <c r="O18" i="44" s="1"/>
  <c r="H42" i="40"/>
  <c r="H43" i="40" s="1"/>
  <c r="I41" i="40"/>
  <c r="H65" i="40"/>
  <c r="E31" i="18"/>
  <c r="C11" i="20"/>
  <c r="C10" i="23" s="1"/>
  <c r="J38" i="18"/>
  <c r="C9" i="20"/>
  <c r="C8" i="23" s="1"/>
  <c r="H38" i="18"/>
  <c r="K40" i="40"/>
  <c r="J64" i="40"/>
  <c r="C10" i="20"/>
  <c r="C9" i="23" s="1"/>
  <c r="K38" i="18"/>
  <c r="L42" i="41"/>
  <c r="I77" i="41"/>
  <c r="E122" i="17"/>
  <c r="E8" i="37"/>
  <c r="C121" i="34"/>
  <c r="H45" i="28"/>
  <c r="B77" i="28"/>
  <c r="C12" i="20"/>
  <c r="C11" i="23" s="1"/>
  <c r="I38" i="18"/>
  <c r="M37" i="18"/>
  <c r="G37" i="18"/>
  <c r="B12" i="42" l="1"/>
  <c r="H68" i="40"/>
  <c r="B16" i="42" s="1"/>
  <c r="C15" i="20"/>
  <c r="C14" i="23" s="1"/>
  <c r="M38" i="18"/>
  <c r="C14" i="20"/>
  <c r="G38" i="18"/>
  <c r="L40" i="40"/>
  <c r="K64" i="40"/>
  <c r="E33" i="18"/>
  <c r="D31" i="18"/>
  <c r="C135" i="17" s="1"/>
  <c r="I42" i="40"/>
  <c r="I43" i="40" s="1"/>
  <c r="J41" i="40"/>
  <c r="I65" i="40"/>
  <c r="B14" i="42"/>
  <c r="H66" i="40"/>
  <c r="B19" i="44"/>
  <c r="O19" i="44" s="1"/>
  <c r="B19" i="47"/>
  <c r="O19" i="47" s="1"/>
  <c r="M42" i="41"/>
  <c r="M77" i="41" s="1"/>
  <c r="L77" i="41"/>
  <c r="K45" i="28"/>
  <c r="L45" i="28" s="1"/>
  <c r="H77" i="28"/>
  <c r="C13" i="23"/>
  <c r="K41" i="32"/>
  <c r="J39" i="32" s="1"/>
  <c r="J41" i="32"/>
  <c r="K39" i="32"/>
  <c r="J19" i="32"/>
  <c r="I19" i="32"/>
  <c r="I38" i="32" s="1"/>
  <c r="H19" i="32"/>
  <c r="H38" i="32" s="1"/>
  <c r="E7" i="18" s="1"/>
  <c r="D7" i="18" s="1"/>
  <c r="C99" i="17" s="1"/>
  <c r="K13" i="32"/>
  <c r="J10" i="32"/>
  <c r="I10" i="32"/>
  <c r="H10" i="32"/>
  <c r="K9" i="32"/>
  <c r="K8" i="32"/>
  <c r="K7" i="32"/>
  <c r="E41" i="32"/>
  <c r="D39" i="32" s="1"/>
  <c r="D41" i="32"/>
  <c r="F40" i="32"/>
  <c r="E39" i="32"/>
  <c r="F39" i="32" s="1"/>
  <c r="E36" i="32"/>
  <c r="F36" i="32" s="1"/>
  <c r="E35" i="32"/>
  <c r="F35" i="32" s="1"/>
  <c r="E34" i="32"/>
  <c r="F34" i="32" s="1"/>
  <c r="E33" i="32"/>
  <c r="F33" i="32" s="1"/>
  <c r="E32" i="32"/>
  <c r="F32" i="32" s="1"/>
  <c r="D31" i="32"/>
  <c r="C31" i="32"/>
  <c r="B31" i="32"/>
  <c r="E30" i="32"/>
  <c r="F30" i="32" s="1"/>
  <c r="E27" i="32"/>
  <c r="F27" i="32" s="1"/>
  <c r="E26" i="32"/>
  <c r="F26" i="32" s="1"/>
  <c r="E25" i="32"/>
  <c r="F25" i="32" s="1"/>
  <c r="E24" i="32"/>
  <c r="F24" i="32" s="1"/>
  <c r="C23" i="32"/>
  <c r="E23" i="32" s="1"/>
  <c r="F23" i="32" s="1"/>
  <c r="E22" i="32"/>
  <c r="F22" i="32" s="1"/>
  <c r="E21" i="32"/>
  <c r="F21" i="32" s="1"/>
  <c r="E20" i="32"/>
  <c r="F20" i="32" s="1"/>
  <c r="D19" i="32"/>
  <c r="B19" i="32"/>
  <c r="E18" i="32"/>
  <c r="F18" i="32" s="1"/>
  <c r="E17" i="32"/>
  <c r="F17" i="32" s="1"/>
  <c r="E16" i="32"/>
  <c r="F16" i="32" s="1"/>
  <c r="E15" i="32"/>
  <c r="F15" i="32" s="1"/>
  <c r="E14" i="32"/>
  <c r="F14" i="32" s="1"/>
  <c r="D13" i="32"/>
  <c r="E13" i="32" s="1"/>
  <c r="D10" i="32"/>
  <c r="C10" i="32"/>
  <c r="B10" i="32"/>
  <c r="E9" i="32"/>
  <c r="E8" i="32"/>
  <c r="E7" i="32"/>
  <c r="C17" i="20" l="1"/>
  <c r="I44" i="40"/>
  <c r="C12" i="42" s="1"/>
  <c r="M40" i="40"/>
  <c r="L64" i="40"/>
  <c r="E135" i="17"/>
  <c r="E19" i="37"/>
  <c r="E30" i="37" s="1"/>
  <c r="C134" i="34"/>
  <c r="C133" i="34" s="1"/>
  <c r="I68" i="40"/>
  <c r="I66" i="40"/>
  <c r="K19" i="32"/>
  <c r="K38" i="32" s="1"/>
  <c r="K42" i="32" s="1"/>
  <c r="J42" i="40"/>
  <c r="J43" i="40" s="1"/>
  <c r="K41" i="40"/>
  <c r="J65" i="40"/>
  <c r="E36" i="18"/>
  <c r="D33" i="18"/>
  <c r="D36" i="18" s="1"/>
  <c r="E99" i="17"/>
  <c r="E7" i="36"/>
  <c r="C98" i="34"/>
  <c r="I41" i="32"/>
  <c r="E8" i="18"/>
  <c r="D8" i="18" s="1"/>
  <c r="C100" i="17" s="1"/>
  <c r="C19" i="32"/>
  <c r="C38" i="32" s="1"/>
  <c r="C41" i="32" s="1"/>
  <c r="E43" i="32"/>
  <c r="E31" i="32"/>
  <c r="F31" i="32" s="1"/>
  <c r="K43" i="32"/>
  <c r="E10" i="32"/>
  <c r="J38" i="32"/>
  <c r="E9" i="18" s="1"/>
  <c r="D9" i="18" s="1"/>
  <c r="C101" i="17" s="1"/>
  <c r="K10" i="32"/>
  <c r="D38" i="32"/>
  <c r="F13" i="32"/>
  <c r="B38" i="32"/>
  <c r="F41" i="32"/>
  <c r="C16" i="42" l="1"/>
  <c r="J44" i="40"/>
  <c r="J67" i="40" s="1"/>
  <c r="I67" i="40"/>
  <c r="N40" i="40"/>
  <c r="M64" i="40"/>
  <c r="J68" i="40"/>
  <c r="J66" i="40"/>
  <c r="K42" i="40"/>
  <c r="K43" i="40" s="1"/>
  <c r="L41" i="40"/>
  <c r="K65" i="40"/>
  <c r="E101" i="17"/>
  <c r="E9" i="36"/>
  <c r="C100" i="34"/>
  <c r="E100" i="17"/>
  <c r="E8" i="36"/>
  <c r="C99" i="34"/>
  <c r="E19" i="32"/>
  <c r="F19" i="32" s="1"/>
  <c r="E36" i="39" l="1"/>
  <c r="D15" i="42"/>
  <c r="D14" i="42"/>
  <c r="D17" i="42" s="1"/>
  <c r="D16" i="42"/>
  <c r="D36" i="39"/>
  <c r="C15" i="42"/>
  <c r="D12" i="42"/>
  <c r="K44" i="40"/>
  <c r="K67" i="40" s="1"/>
  <c r="C14" i="42"/>
  <c r="C17" i="42" s="1"/>
  <c r="K68" i="40"/>
  <c r="K66" i="40"/>
  <c r="N64" i="40"/>
  <c r="O40" i="40"/>
  <c r="L42" i="40"/>
  <c r="L43" i="40" s="1"/>
  <c r="M41" i="40"/>
  <c r="L65" i="40"/>
  <c r="E38" i="32"/>
  <c r="E42" i="32" s="1"/>
  <c r="F42" i="32" s="1"/>
  <c r="E14" i="42" l="1"/>
  <c r="E17" i="42" s="1"/>
  <c r="E16" i="42"/>
  <c r="E12" i="42"/>
  <c r="L44" i="40"/>
  <c r="L67" i="40" s="1"/>
  <c r="F15" i="42" s="1"/>
  <c r="F36" i="39"/>
  <c r="E15" i="42"/>
  <c r="L68" i="40"/>
  <c r="L66" i="40"/>
  <c r="M42" i="40"/>
  <c r="M43" i="40" s="1"/>
  <c r="M65" i="40"/>
  <c r="N41" i="40"/>
  <c r="O64" i="40"/>
  <c r="U40" i="40"/>
  <c r="F38" i="32"/>
  <c r="F12" i="42" l="1"/>
  <c r="M44" i="40"/>
  <c r="G12" i="42" s="1"/>
  <c r="C43" i="40"/>
  <c r="F14" i="42"/>
  <c r="F17" i="42" s="1"/>
  <c r="F16" i="42"/>
  <c r="N42" i="40"/>
  <c r="N43" i="40" s="1"/>
  <c r="O41" i="40"/>
  <c r="N65" i="40"/>
  <c r="M68" i="40"/>
  <c r="M66" i="40"/>
  <c r="E29" i="18"/>
  <c r="D29" i="18" s="1"/>
  <c r="E42" i="12"/>
  <c r="E36" i="12"/>
  <c r="E63" i="12"/>
  <c r="E17" i="12"/>
  <c r="E20" i="12"/>
  <c r="E21" i="12" s="1"/>
  <c r="E9" i="12"/>
  <c r="E8" i="12"/>
  <c r="E7" i="12"/>
  <c r="L13" i="12"/>
  <c r="L16" i="12" s="1"/>
  <c r="L22" i="12"/>
  <c r="L31" i="12"/>
  <c r="L44" i="12"/>
  <c r="L52" i="12"/>
  <c r="L58" i="12"/>
  <c r="L64" i="12"/>
  <c r="L70" i="12"/>
  <c r="F13" i="12"/>
  <c r="F16" i="12"/>
  <c r="F22" i="12"/>
  <c r="F31" i="12"/>
  <c r="F44" i="12"/>
  <c r="F52" i="12"/>
  <c r="F58" i="12"/>
  <c r="F64" i="12"/>
  <c r="F70" i="12"/>
  <c r="G141" i="30"/>
  <c r="D17" i="23" s="1"/>
  <c r="I140" i="30"/>
  <c r="I139" i="30"/>
  <c r="I138" i="30"/>
  <c r="I137" i="30"/>
  <c r="I136" i="30"/>
  <c r="I135" i="30"/>
  <c r="I134" i="30"/>
  <c r="I133" i="30"/>
  <c r="I132" i="30"/>
  <c r="I131" i="30"/>
  <c r="I130" i="30"/>
  <c r="I129" i="30"/>
  <c r="I128" i="30"/>
  <c r="I127" i="30"/>
  <c r="I126" i="30"/>
  <c r="I125" i="30"/>
  <c r="I124" i="30"/>
  <c r="I123" i="30"/>
  <c r="I122" i="30"/>
  <c r="I121" i="30"/>
  <c r="I120" i="30"/>
  <c r="I119" i="30"/>
  <c r="I118" i="30"/>
  <c r="I117" i="30"/>
  <c r="I116" i="30"/>
  <c r="I115" i="30"/>
  <c r="I114" i="30"/>
  <c r="I113" i="30"/>
  <c r="I112" i="30"/>
  <c r="I111" i="30"/>
  <c r="I110" i="30"/>
  <c r="I109" i="30"/>
  <c r="I108" i="30"/>
  <c r="I107" i="30"/>
  <c r="I106" i="30"/>
  <c r="I105" i="30"/>
  <c r="I104" i="30"/>
  <c r="I103" i="30"/>
  <c r="I102" i="30"/>
  <c r="I101" i="30"/>
  <c r="I100" i="30"/>
  <c r="I99" i="30"/>
  <c r="I98" i="30"/>
  <c r="I97" i="30"/>
  <c r="I96" i="30"/>
  <c r="I95" i="30"/>
  <c r="I94" i="30"/>
  <c r="I93" i="30"/>
  <c r="I92" i="30"/>
  <c r="I91" i="30"/>
  <c r="I90" i="30"/>
  <c r="I89" i="30"/>
  <c r="I88" i="30"/>
  <c r="I87" i="30"/>
  <c r="I86" i="30"/>
  <c r="I85" i="30"/>
  <c r="I84" i="30"/>
  <c r="I83" i="30"/>
  <c r="I82" i="30"/>
  <c r="I81" i="30"/>
  <c r="I80" i="30"/>
  <c r="I79" i="30"/>
  <c r="I78" i="30"/>
  <c r="I77" i="30"/>
  <c r="I76" i="30"/>
  <c r="I75" i="30"/>
  <c r="I74" i="30"/>
  <c r="I73" i="30"/>
  <c r="I72" i="30"/>
  <c r="I71" i="30"/>
  <c r="I70" i="30"/>
  <c r="I69" i="30"/>
  <c r="I68" i="30"/>
  <c r="I67" i="30"/>
  <c r="I66" i="30"/>
  <c r="I65" i="30"/>
  <c r="I64" i="30"/>
  <c r="I63" i="30"/>
  <c r="I62" i="30"/>
  <c r="I61" i="30"/>
  <c r="I60" i="30"/>
  <c r="I59" i="30"/>
  <c r="I58" i="30"/>
  <c r="I57" i="30"/>
  <c r="I56" i="30"/>
  <c r="I55" i="30"/>
  <c r="I54" i="30"/>
  <c r="I53" i="30"/>
  <c r="I52" i="30"/>
  <c r="I51" i="30"/>
  <c r="I50" i="30"/>
  <c r="I49" i="30"/>
  <c r="I48" i="30"/>
  <c r="I47" i="30"/>
  <c r="I46" i="30"/>
  <c r="I45" i="30"/>
  <c r="I44" i="30"/>
  <c r="I43" i="30"/>
  <c r="I42" i="30"/>
  <c r="I41" i="30"/>
  <c r="I40" i="30"/>
  <c r="I39" i="30"/>
  <c r="I38" i="30"/>
  <c r="I37" i="30"/>
  <c r="I36" i="30"/>
  <c r="I35" i="30"/>
  <c r="I34" i="30"/>
  <c r="I33" i="30"/>
  <c r="I32" i="30"/>
  <c r="I31" i="30"/>
  <c r="I29" i="30"/>
  <c r="I28" i="30"/>
  <c r="I27" i="30"/>
  <c r="I26" i="30"/>
  <c r="I25" i="30"/>
  <c r="I24" i="30"/>
  <c r="I23" i="30"/>
  <c r="I22" i="30"/>
  <c r="I21" i="30"/>
  <c r="I20" i="30"/>
  <c r="I19" i="30"/>
  <c r="I18" i="30"/>
  <c r="I17" i="30"/>
  <c r="I16" i="30"/>
  <c r="I15" i="30"/>
  <c r="I14" i="30"/>
  <c r="I13" i="30"/>
  <c r="I12" i="30"/>
  <c r="I11" i="30"/>
  <c r="I10" i="30"/>
  <c r="I9" i="30"/>
  <c r="I8" i="30"/>
  <c r="I7" i="30"/>
  <c r="I6" i="30"/>
  <c r="I5" i="30"/>
  <c r="I4" i="30"/>
  <c r="F11" i="27"/>
  <c r="N44" i="40" l="1"/>
  <c r="N67" i="40" s="1"/>
  <c r="H15" i="42" s="1"/>
  <c r="G16" i="42"/>
  <c r="M67" i="40"/>
  <c r="G15" i="42" s="1"/>
  <c r="C44" i="40"/>
  <c r="F12" i="27"/>
  <c r="E21" i="18" s="1"/>
  <c r="E16" i="37"/>
  <c r="B78" i="41"/>
  <c r="O42" i="40"/>
  <c r="O43" i="40" s="1"/>
  <c r="P41" i="40"/>
  <c r="O65" i="40"/>
  <c r="N68" i="40"/>
  <c r="N66" i="40"/>
  <c r="D24" i="18"/>
  <c r="D61" i="25" s="1"/>
  <c r="B78" i="28"/>
  <c r="I30" i="30"/>
  <c r="L65" i="12"/>
  <c r="L71" i="12" s="1"/>
  <c r="D13" i="20" s="1"/>
  <c r="E12" i="23" s="1"/>
  <c r="F65" i="12"/>
  <c r="G14" i="42" l="1"/>
  <c r="G17" i="42" s="1"/>
  <c r="C118" i="17"/>
  <c r="E118" i="17" s="1"/>
  <c r="O44" i="40"/>
  <c r="O67" i="40" s="1"/>
  <c r="I15" i="42" s="1"/>
  <c r="H14" i="42"/>
  <c r="H17" i="42" s="1"/>
  <c r="H16" i="42"/>
  <c r="H12" i="42"/>
  <c r="O68" i="40"/>
  <c r="O66" i="40"/>
  <c r="P42" i="40"/>
  <c r="P43" i="40" s="1"/>
  <c r="P65" i="40"/>
  <c r="D21" i="18"/>
  <c r="C116" i="17" s="1"/>
  <c r="C115" i="34" s="1"/>
  <c r="C120" i="17"/>
  <c r="C32" i="39" s="1"/>
  <c r="F71" i="12"/>
  <c r="D8" i="20" s="1"/>
  <c r="E6" i="23" s="1"/>
  <c r="I12" i="42" l="1"/>
  <c r="P44" i="40"/>
  <c r="P67" i="40" s="1"/>
  <c r="J15" i="42" s="1"/>
  <c r="I14" i="42"/>
  <c r="I17" i="42" s="1"/>
  <c r="I16" i="42"/>
  <c r="P68" i="40"/>
  <c r="P66" i="40"/>
  <c r="R42" i="40"/>
  <c r="E6" i="37"/>
  <c r="E17" i="37" s="1"/>
  <c r="E31" i="37" s="1"/>
  <c r="C119" i="34"/>
  <c r="C118" i="34" s="1"/>
  <c r="E116" i="17"/>
  <c r="C119" i="17"/>
  <c r="C31" i="39" s="1"/>
  <c r="B16" i="47" s="1"/>
  <c r="O16" i="47" s="1"/>
  <c r="E120" i="17"/>
  <c r="J14" i="42" l="1"/>
  <c r="J17" i="42" s="1"/>
  <c r="J16" i="42"/>
  <c r="J12" i="42"/>
  <c r="R68" i="40"/>
  <c r="R66" i="40"/>
  <c r="B17" i="44"/>
  <c r="O17" i="44" s="1"/>
  <c r="B17" i="47"/>
  <c r="O17" i="47" s="1"/>
  <c r="B16" i="44"/>
  <c r="O16" i="44" s="1"/>
  <c r="E119" i="17"/>
  <c r="F46" i="31"/>
  <c r="F50" i="31" s="1"/>
  <c r="F38" i="31"/>
  <c r="E20" i="18" s="1"/>
  <c r="F24" i="31"/>
  <c r="D20" i="18" l="1"/>
  <c r="C115" i="17" s="1"/>
  <c r="F39" i="31"/>
  <c r="E10" i="18"/>
  <c r="D10" i="18" s="1"/>
  <c r="C102" i="17" s="1"/>
  <c r="E102" i="17" l="1"/>
  <c r="E10" i="36"/>
  <c r="C101" i="34"/>
  <c r="E115" i="17"/>
  <c r="C114" i="34"/>
  <c r="F51" i="31"/>
  <c r="E17" i="26"/>
  <c r="D33" i="26"/>
  <c r="E15" i="26"/>
  <c r="E14" i="26"/>
  <c r="E5" i="26" l="1"/>
  <c r="E6" i="26"/>
  <c r="E7" i="26"/>
  <c r="E8" i="26"/>
  <c r="E9" i="26"/>
  <c r="E10" i="26"/>
  <c r="E11" i="26"/>
  <c r="E12" i="26"/>
  <c r="E13" i="26"/>
  <c r="E16" i="26"/>
  <c r="E18" i="26"/>
  <c r="E20" i="26"/>
  <c r="E21" i="26"/>
  <c r="E4" i="26"/>
  <c r="D59" i="31"/>
  <c r="C38" i="31"/>
  <c r="D38" i="31"/>
  <c r="C24" i="31"/>
  <c r="D24" i="31"/>
  <c r="C59" i="31"/>
  <c r="B59" i="31"/>
  <c r="E58" i="31"/>
  <c r="E57" i="31"/>
  <c r="E56" i="31"/>
  <c r="E55" i="31"/>
  <c r="E54" i="31"/>
  <c r="B50" i="31"/>
  <c r="C46" i="31"/>
  <c r="C50" i="31" s="1"/>
  <c r="E45" i="31"/>
  <c r="E44" i="31"/>
  <c r="E43" i="31"/>
  <c r="E42" i="31"/>
  <c r="E38" i="31"/>
  <c r="B38" i="31"/>
  <c r="E24" i="31"/>
  <c r="B23" i="31"/>
  <c r="B24" i="31" s="1"/>
  <c r="D15" i="18" l="1"/>
  <c r="E22" i="18"/>
  <c r="E39" i="31"/>
  <c r="E59" i="31"/>
  <c r="D39" i="31"/>
  <c r="D51" i="31" s="1"/>
  <c r="D60" i="31" s="1"/>
  <c r="C39" i="31"/>
  <c r="C51" i="31" s="1"/>
  <c r="C60" i="31" s="1"/>
  <c r="B39" i="31"/>
  <c r="B51" i="31" s="1"/>
  <c r="B60" i="31" s="1"/>
  <c r="E46" i="31"/>
  <c r="E50" i="31" s="1"/>
  <c r="C110" i="17" l="1"/>
  <c r="E110" i="17" s="1"/>
  <c r="D22" i="18"/>
  <c r="C103" i="17" s="1"/>
  <c r="E23" i="18"/>
  <c r="E51" i="31"/>
  <c r="E60" i="31" s="1"/>
  <c r="C109" i="34" l="1"/>
  <c r="E11" i="36"/>
  <c r="E19" i="36" s="1"/>
  <c r="E31" i="36" s="1"/>
  <c r="C102" i="34"/>
  <c r="C97" i="34" s="1"/>
  <c r="C132" i="34" s="1"/>
  <c r="E30" i="18"/>
  <c r="E37" i="18" s="1"/>
  <c r="C7" i="23" s="1"/>
  <c r="D23" i="18"/>
  <c r="D30" i="18" s="1"/>
  <c r="D37" i="18" s="1"/>
  <c r="C98" i="17"/>
  <c r="E103" i="17"/>
  <c r="E10" i="27"/>
  <c r="E8" i="27"/>
  <c r="E5" i="27"/>
  <c r="B16" i="27"/>
  <c r="D16" i="27"/>
  <c r="E98" i="17" l="1"/>
  <c r="C30" i="39"/>
  <c r="B15" i="47" s="1"/>
  <c r="E7" i="27"/>
  <c r="D7" i="27"/>
  <c r="D12" i="27" s="1"/>
  <c r="C15" i="47" l="1"/>
  <c r="B15" i="44"/>
  <c r="C35" i="39"/>
  <c r="C16" i="27"/>
  <c r="E11" i="27"/>
  <c r="B11" i="27"/>
  <c r="B7" i="27"/>
  <c r="C7" i="27"/>
  <c r="C16" i="23"/>
  <c r="C18" i="23" s="1"/>
  <c r="F12" i="23"/>
  <c r="F6" i="23"/>
  <c r="B33" i="26"/>
  <c r="E8" i="20"/>
  <c r="G8" i="20" s="1"/>
  <c r="E52" i="12"/>
  <c r="D34" i="12"/>
  <c r="D38" i="12"/>
  <c r="M16" i="12"/>
  <c r="H16" i="12"/>
  <c r="G16" i="12"/>
  <c r="C12" i="4"/>
  <c r="C27" i="4"/>
  <c r="C7" i="4"/>
  <c r="C21" i="5"/>
  <c r="C14" i="5"/>
  <c r="E35" i="12" s="1"/>
  <c r="C17" i="5"/>
  <c r="E37" i="12" s="1"/>
  <c r="D37" i="12" s="1"/>
  <c r="C9" i="5"/>
  <c r="E33" i="12" s="1"/>
  <c r="D33" i="12" s="1"/>
  <c r="C41" i="17" s="1"/>
  <c r="D42" i="12"/>
  <c r="C47" i="17" s="1"/>
  <c r="C150" i="17"/>
  <c r="E150" i="17" s="1"/>
  <c r="C145" i="17"/>
  <c r="E145" i="17" s="1"/>
  <c r="C138" i="17"/>
  <c r="E138" i="17" s="1"/>
  <c r="C134" i="17"/>
  <c r="E134" i="17" s="1"/>
  <c r="C95" i="17"/>
  <c r="C84" i="17"/>
  <c r="E84" i="17" s="1"/>
  <c r="C72" i="17"/>
  <c r="E72" i="17" s="1"/>
  <c r="D8" i="12"/>
  <c r="C12" i="17" s="1"/>
  <c r="D9" i="12"/>
  <c r="C13" i="17" s="1"/>
  <c r="D10" i="12"/>
  <c r="C14" i="17" s="1"/>
  <c r="C13" i="34" s="1"/>
  <c r="D11" i="12"/>
  <c r="C15" i="17" s="1"/>
  <c r="C14" i="34" s="1"/>
  <c r="D12" i="12"/>
  <c r="D14" i="12"/>
  <c r="C20" i="17" s="1"/>
  <c r="D18" i="12"/>
  <c r="D19" i="12"/>
  <c r="D21" i="12"/>
  <c r="C30" i="17" s="1"/>
  <c r="D24" i="12"/>
  <c r="D25" i="12"/>
  <c r="C34" i="17" s="1"/>
  <c r="D26" i="12"/>
  <c r="D27" i="12"/>
  <c r="C35" i="17" s="1"/>
  <c r="D28" i="12"/>
  <c r="C37" i="17" s="1"/>
  <c r="D29" i="12"/>
  <c r="D30" i="12"/>
  <c r="D32" i="12"/>
  <c r="C40" i="17" s="1"/>
  <c r="D45" i="12"/>
  <c r="D46" i="12"/>
  <c r="D47" i="12"/>
  <c r="D48" i="12"/>
  <c r="C54" i="17" s="1"/>
  <c r="D49" i="12"/>
  <c r="D50" i="12"/>
  <c r="D51" i="12"/>
  <c r="D53" i="12"/>
  <c r="D54" i="12"/>
  <c r="D55" i="12"/>
  <c r="D56" i="12"/>
  <c r="D57" i="12"/>
  <c r="D59" i="12"/>
  <c r="D60" i="12"/>
  <c r="D61" i="12"/>
  <c r="D62" i="12"/>
  <c r="D63" i="12"/>
  <c r="C65" i="17" s="1"/>
  <c r="C64" i="34" s="1"/>
  <c r="C61" i="34" s="1"/>
  <c r="D67" i="12"/>
  <c r="C81" i="17" s="1"/>
  <c r="C80" i="17" s="1"/>
  <c r="E80" i="17" s="1"/>
  <c r="D68" i="12"/>
  <c r="D69" i="12"/>
  <c r="C69" i="17" s="1"/>
  <c r="D7" i="12"/>
  <c r="C11" i="17" s="1"/>
  <c r="K70" i="12"/>
  <c r="K64" i="12"/>
  <c r="K58" i="12"/>
  <c r="K52" i="12"/>
  <c r="K44" i="12"/>
  <c r="K31" i="12"/>
  <c r="K22" i="12"/>
  <c r="K13" i="12"/>
  <c r="I70" i="12"/>
  <c r="I64" i="12"/>
  <c r="I58" i="12"/>
  <c r="I52" i="12"/>
  <c r="I44" i="12"/>
  <c r="I31" i="12"/>
  <c r="I22" i="12"/>
  <c r="I13" i="12"/>
  <c r="I16" i="12" s="1"/>
  <c r="D20" i="12"/>
  <c r="C29" i="17" s="1"/>
  <c r="E58" i="12"/>
  <c r="G58" i="12"/>
  <c r="H58" i="12"/>
  <c r="J58" i="12"/>
  <c r="M58" i="12"/>
  <c r="N58" i="12"/>
  <c r="M52" i="12"/>
  <c r="N52" i="12"/>
  <c r="G52" i="12"/>
  <c r="H52" i="12"/>
  <c r="J52" i="12"/>
  <c r="N31" i="12"/>
  <c r="H31" i="12"/>
  <c r="J31" i="12"/>
  <c r="M31" i="12"/>
  <c r="G70" i="12"/>
  <c r="J70" i="12"/>
  <c r="M70" i="12"/>
  <c r="N70" i="12"/>
  <c r="E70" i="12"/>
  <c r="G64" i="12"/>
  <c r="H64" i="12"/>
  <c r="J64" i="12"/>
  <c r="M64" i="12"/>
  <c r="N64" i="12"/>
  <c r="J44" i="12"/>
  <c r="M44" i="12"/>
  <c r="N44" i="12"/>
  <c r="G22" i="12"/>
  <c r="H22" i="12"/>
  <c r="J22" i="12"/>
  <c r="M22" i="12"/>
  <c r="N22" i="12"/>
  <c r="N13" i="12"/>
  <c r="N16" i="12" s="1"/>
  <c r="G13" i="12"/>
  <c r="H13" i="12"/>
  <c r="J13" i="12"/>
  <c r="J16" i="12" s="1"/>
  <c r="D17" i="12"/>
  <c r="C25" i="17" s="1"/>
  <c r="G31" i="12"/>
  <c r="D23" i="12"/>
  <c r="C32" i="17" s="1"/>
  <c r="E64" i="12"/>
  <c r="M13" i="12"/>
  <c r="E13" i="12"/>
  <c r="H70" i="12"/>
  <c r="D66" i="12"/>
  <c r="C78" i="17" s="1"/>
  <c r="D35" i="12"/>
  <c r="C42" i="17" s="1"/>
  <c r="D41" i="12"/>
  <c r="C46" i="17" s="1"/>
  <c r="D43" i="12"/>
  <c r="C50" i="17" s="1"/>
  <c r="D39" i="12"/>
  <c r="C44" i="17" s="1"/>
  <c r="D40" i="12"/>
  <c r="C45" i="17" s="1"/>
  <c r="E13" i="20"/>
  <c r="G13" i="20" s="1"/>
  <c r="C33" i="26"/>
  <c r="C53" i="17" l="1"/>
  <c r="B7" i="42" s="1"/>
  <c r="C38" i="17"/>
  <c r="B8" i="42"/>
  <c r="C43" i="17"/>
  <c r="C39" i="17" s="1"/>
  <c r="B5" i="42"/>
  <c r="C52" i="35"/>
  <c r="C53" i="34" s="1"/>
  <c r="E54" i="17"/>
  <c r="E40" i="17"/>
  <c r="C14" i="39"/>
  <c r="D14" i="39" s="1"/>
  <c r="E14" i="39" s="1"/>
  <c r="F14" i="39" s="1"/>
  <c r="C34" i="34"/>
  <c r="E35" i="17"/>
  <c r="E15" i="12"/>
  <c r="E16" i="12" s="1"/>
  <c r="G65" i="12"/>
  <c r="C31" i="17"/>
  <c r="E31" i="17" s="1"/>
  <c r="C49" i="34"/>
  <c r="E50" i="17"/>
  <c r="C11" i="39"/>
  <c r="D11" i="39" s="1"/>
  <c r="E11" i="39" s="1"/>
  <c r="F11" i="39" s="1"/>
  <c r="C31" i="34"/>
  <c r="E32" i="17"/>
  <c r="C80" i="34"/>
  <c r="C79" i="34" s="1"/>
  <c r="E81" i="17"/>
  <c r="C27" i="36"/>
  <c r="C25" i="36" s="1"/>
  <c r="C30" i="36" s="1"/>
  <c r="C37" i="34"/>
  <c r="E38" i="17"/>
  <c r="C17" i="39"/>
  <c r="C13" i="39"/>
  <c r="D13" i="39" s="1"/>
  <c r="E13" i="39" s="1"/>
  <c r="F13" i="39" s="1"/>
  <c r="C33" i="34"/>
  <c r="E34" i="17"/>
  <c r="C46" i="50"/>
  <c r="C39" i="50" s="1"/>
  <c r="C67" i="50" s="1"/>
  <c r="C45" i="34"/>
  <c r="C44" i="35"/>
  <c r="C37" i="35" s="1"/>
  <c r="C39" i="34" s="1"/>
  <c r="E46" i="17"/>
  <c r="C36" i="34"/>
  <c r="C16" i="39"/>
  <c r="D16" i="39" s="1"/>
  <c r="E16" i="39" s="1"/>
  <c r="F16" i="39" s="1"/>
  <c r="E37" i="17"/>
  <c r="C19" i="34"/>
  <c r="E20" i="17"/>
  <c r="C11" i="34"/>
  <c r="E12" i="17"/>
  <c r="C10" i="34"/>
  <c r="E11" i="17"/>
  <c r="C12" i="34"/>
  <c r="E13" i="17"/>
  <c r="C15" i="44"/>
  <c r="B20" i="44"/>
  <c r="B20" i="47"/>
  <c r="C20" i="47"/>
  <c r="C22" i="47" s="1"/>
  <c r="D15" i="47"/>
  <c r="E25" i="17"/>
  <c r="C24" i="34"/>
  <c r="E30" i="17"/>
  <c r="C29" i="34"/>
  <c r="E41" i="17"/>
  <c r="C40" i="34"/>
  <c r="C43" i="34"/>
  <c r="E44" i="17"/>
  <c r="C10" i="39"/>
  <c r="B7" i="47" s="1"/>
  <c r="O7" i="47" s="1"/>
  <c r="C30" i="34"/>
  <c r="C42" i="34"/>
  <c r="E42" i="17"/>
  <c r="C41" i="34"/>
  <c r="F78" i="28"/>
  <c r="G78" i="41"/>
  <c r="G79" i="41" s="1"/>
  <c r="C19" i="37"/>
  <c r="C18" i="37" s="1"/>
  <c r="C77" i="34"/>
  <c r="E15" i="17"/>
  <c r="E29" i="17"/>
  <c r="C28" i="34"/>
  <c r="E53" i="17"/>
  <c r="C51" i="35"/>
  <c r="C49" i="35" s="1"/>
  <c r="E14" i="17"/>
  <c r="F30" i="39"/>
  <c r="D35" i="39"/>
  <c r="D37" i="39" s="1"/>
  <c r="E45" i="17"/>
  <c r="C44" i="34"/>
  <c r="C25" i="37"/>
  <c r="C24" i="37" s="1"/>
  <c r="C68" i="34"/>
  <c r="C67" i="34" s="1"/>
  <c r="E47" i="17"/>
  <c r="C10" i="17"/>
  <c r="C62" i="17"/>
  <c r="E65" i="17"/>
  <c r="C51" i="17"/>
  <c r="E78" i="17"/>
  <c r="C77" i="17"/>
  <c r="C68" i="17"/>
  <c r="E68" i="17" s="1"/>
  <c r="E69" i="17"/>
  <c r="E44" i="12"/>
  <c r="C24" i="17"/>
  <c r="C133" i="17"/>
  <c r="E133" i="17" s="1"/>
  <c r="C158" i="17"/>
  <c r="C24" i="5"/>
  <c r="E31" i="12"/>
  <c r="H44" i="12"/>
  <c r="H65" i="12" s="1"/>
  <c r="H71" i="12" s="1"/>
  <c r="D9" i="20" s="1"/>
  <c r="E22" i="12"/>
  <c r="E65" i="12" s="1"/>
  <c r="D15" i="12"/>
  <c r="C22" i="17" s="1"/>
  <c r="C21" i="34" s="1"/>
  <c r="C16" i="34" s="1"/>
  <c r="D64" i="12"/>
  <c r="D70" i="12"/>
  <c r="D58" i="12"/>
  <c r="C60" i="17" s="1"/>
  <c r="D36" i="12"/>
  <c r="K16" i="12"/>
  <c r="M65" i="12"/>
  <c r="M71" i="12" s="1"/>
  <c r="D15" i="20" s="1"/>
  <c r="G71" i="12"/>
  <c r="D14" i="20" s="1"/>
  <c r="J65" i="12"/>
  <c r="D52" i="12"/>
  <c r="B12" i="27"/>
  <c r="E33" i="26"/>
  <c r="I65" i="12"/>
  <c r="D13" i="12"/>
  <c r="N65" i="12"/>
  <c r="C11" i="27"/>
  <c r="C12" i="27" s="1"/>
  <c r="E12" i="27"/>
  <c r="E43" i="17" l="1"/>
  <c r="B4" i="42"/>
  <c r="B10" i="42" s="1"/>
  <c r="B11" i="42" s="1"/>
  <c r="B17" i="42" s="1"/>
  <c r="C58" i="35"/>
  <c r="C55" i="35" s="1"/>
  <c r="E60" i="17"/>
  <c r="C57" i="17"/>
  <c r="E14" i="23"/>
  <c r="F14" i="23" s="1"/>
  <c r="E15" i="20"/>
  <c r="E8" i="23"/>
  <c r="F8" i="23" s="1"/>
  <c r="E9" i="20"/>
  <c r="G9" i="20" s="1"/>
  <c r="C46" i="34"/>
  <c r="C65" i="35"/>
  <c r="C161" i="35" s="1"/>
  <c r="C10" i="36"/>
  <c r="C92" i="50"/>
  <c r="C160" i="50" s="1"/>
  <c r="C163" i="50"/>
  <c r="D16" i="12"/>
  <c r="D20" i="47"/>
  <c r="D22" i="47" s="1"/>
  <c r="E15" i="47"/>
  <c r="C20" i="44"/>
  <c r="C22" i="44" s="1"/>
  <c r="D15" i="44"/>
  <c r="C52" i="34"/>
  <c r="C50" i="34" s="1"/>
  <c r="C18" i="39"/>
  <c r="C11" i="36"/>
  <c r="C30" i="37"/>
  <c r="E51" i="17"/>
  <c r="C19" i="39"/>
  <c r="C8" i="37"/>
  <c r="E77" i="17"/>
  <c r="C76" i="34"/>
  <c r="C90" i="34" s="1"/>
  <c r="B7" i="44"/>
  <c r="O7" i="44" s="1"/>
  <c r="D10" i="39"/>
  <c r="E10" i="39" s="1"/>
  <c r="F10" i="39" s="1"/>
  <c r="C38" i="34"/>
  <c r="C23" i="34"/>
  <c r="E24" i="17"/>
  <c r="C6" i="37"/>
  <c r="C9" i="39"/>
  <c r="E62" i="17"/>
  <c r="C9" i="37"/>
  <c r="C21" i="39"/>
  <c r="C36" i="39"/>
  <c r="B21" i="47" s="1"/>
  <c r="C157" i="34"/>
  <c r="C158" i="34" s="1"/>
  <c r="E158" i="17"/>
  <c r="E10" i="17"/>
  <c r="C7" i="39"/>
  <c r="B4" i="47" s="1"/>
  <c r="C7" i="36"/>
  <c r="E35" i="39"/>
  <c r="E37" i="39" s="1"/>
  <c r="F35" i="39"/>
  <c r="F37" i="39" s="1"/>
  <c r="C9" i="34"/>
  <c r="C17" i="17"/>
  <c r="E22" i="17"/>
  <c r="C91" i="17"/>
  <c r="E39" i="17"/>
  <c r="E13" i="23"/>
  <c r="E14" i="20"/>
  <c r="C159" i="17"/>
  <c r="D22" i="12"/>
  <c r="E71" i="12"/>
  <c r="E7" i="23" s="1"/>
  <c r="D31" i="12"/>
  <c r="J71" i="12"/>
  <c r="D11" i="20" s="1"/>
  <c r="D44" i="12"/>
  <c r="K65" i="12"/>
  <c r="K71" i="12" s="1"/>
  <c r="D10" i="20" s="1"/>
  <c r="N71" i="12"/>
  <c r="D16" i="20" s="1"/>
  <c r="I71" i="12"/>
  <c r="D12" i="20" s="1"/>
  <c r="C90" i="35" l="1"/>
  <c r="C158" i="35" s="1"/>
  <c r="D157" i="35"/>
  <c r="C59" i="34"/>
  <c r="C56" i="34" s="1"/>
  <c r="C66" i="34" s="1"/>
  <c r="C162" i="34" s="1"/>
  <c r="E9" i="23"/>
  <c r="F9" i="23" s="1"/>
  <c r="E10" i="20"/>
  <c r="G10" i="20" s="1"/>
  <c r="D17" i="20"/>
  <c r="C12" i="36"/>
  <c r="E57" i="17"/>
  <c r="C20" i="39"/>
  <c r="E11" i="23"/>
  <c r="F11" i="23" s="1"/>
  <c r="E12" i="20"/>
  <c r="G12" i="20" s="1"/>
  <c r="E15" i="23"/>
  <c r="F15" i="23" s="1"/>
  <c r="E16" i="20"/>
  <c r="G16" i="20" s="1"/>
  <c r="B9" i="47"/>
  <c r="O9" i="47" s="1"/>
  <c r="B9" i="44"/>
  <c r="O9" i="44" s="1"/>
  <c r="O4" i="47"/>
  <c r="E21" i="47"/>
  <c r="H21" i="47" s="1"/>
  <c r="K21" i="47" s="1"/>
  <c r="N21" i="47" s="1"/>
  <c r="B6" i="44"/>
  <c r="O6" i="44" s="1"/>
  <c r="B6" i="47"/>
  <c r="O6" i="47" s="1"/>
  <c r="B8" i="44"/>
  <c r="B8" i="47"/>
  <c r="D20" i="44"/>
  <c r="D22" i="44" s="1"/>
  <c r="E15" i="44"/>
  <c r="E20" i="44" s="1"/>
  <c r="F15" i="47"/>
  <c r="E20" i="47"/>
  <c r="B11" i="44"/>
  <c r="O11" i="44" s="1"/>
  <c r="B11" i="47"/>
  <c r="O11" i="47" s="1"/>
  <c r="E10" i="23"/>
  <c r="F10" i="23" s="1"/>
  <c r="E11" i="20"/>
  <c r="G11" i="20" s="1"/>
  <c r="E91" i="17"/>
  <c r="C23" i="39"/>
  <c r="C163" i="34"/>
  <c r="B4" i="44"/>
  <c r="D7" i="39"/>
  <c r="C17" i="37"/>
  <c r="C31" i="37" s="1"/>
  <c r="B21" i="44"/>
  <c r="C37" i="39"/>
  <c r="E17" i="17"/>
  <c r="C8" i="36"/>
  <c r="C8" i="39"/>
  <c r="C67" i="17"/>
  <c r="E67" i="17" s="1"/>
  <c r="G14" i="20"/>
  <c r="C164" i="17"/>
  <c r="E164" i="17" s="1"/>
  <c r="E159" i="17"/>
  <c r="F159" i="17"/>
  <c r="D65" i="12"/>
  <c r="D71" i="12"/>
  <c r="E16" i="23" l="1"/>
  <c r="E18" i="23" s="1"/>
  <c r="C19" i="36"/>
  <c r="E32" i="36" s="1"/>
  <c r="C91" i="34"/>
  <c r="C159" i="34" s="1"/>
  <c r="B10" i="47"/>
  <c r="C10" i="47" s="1"/>
  <c r="D10" i="47" s="1"/>
  <c r="E10" i="47" s="1"/>
  <c r="F10" i="47" s="1"/>
  <c r="G10" i="47" s="1"/>
  <c r="H10" i="47" s="1"/>
  <c r="I10" i="47" s="1"/>
  <c r="J10" i="47" s="1"/>
  <c r="K10" i="47" s="1"/>
  <c r="L10" i="47" s="1"/>
  <c r="M10" i="47" s="1"/>
  <c r="N10" i="47" s="1"/>
  <c r="B10" i="44"/>
  <c r="C10" i="44" s="1"/>
  <c r="D10" i="44" s="1"/>
  <c r="E10" i="44" s="1"/>
  <c r="F10" i="44" s="1"/>
  <c r="G10" i="44" s="1"/>
  <c r="H10" i="44" s="1"/>
  <c r="I10" i="44" s="1"/>
  <c r="J10" i="44" s="1"/>
  <c r="K10" i="44" s="1"/>
  <c r="L10" i="44" s="1"/>
  <c r="M10" i="44" s="1"/>
  <c r="N10" i="44" s="1"/>
  <c r="O10" i="44" s="1"/>
  <c r="E17" i="20"/>
  <c r="F13" i="23"/>
  <c r="F16" i="23" s="1"/>
  <c r="F20" i="47"/>
  <c r="F22" i="47" s="1"/>
  <c r="G15" i="47"/>
  <c r="C8" i="47"/>
  <c r="D8" i="47" s="1"/>
  <c r="E8" i="47" s="1"/>
  <c r="F8" i="47" s="1"/>
  <c r="G8" i="47" s="1"/>
  <c r="H8" i="47" s="1"/>
  <c r="I8" i="47" s="1"/>
  <c r="J8" i="47" s="1"/>
  <c r="K8" i="47" s="1"/>
  <c r="L8" i="47" s="1"/>
  <c r="M8" i="47" s="1"/>
  <c r="N8" i="47" s="1"/>
  <c r="O21" i="47"/>
  <c r="B22" i="44"/>
  <c r="B22" i="47"/>
  <c r="B13" i="44"/>
  <c r="O13" i="44" s="1"/>
  <c r="B13" i="47"/>
  <c r="O13" i="47" s="1"/>
  <c r="C8" i="44"/>
  <c r="C22" i="39"/>
  <c r="C24" i="39" s="1"/>
  <c r="B5" i="47"/>
  <c r="E21" i="44"/>
  <c r="F15" i="44"/>
  <c r="C4" i="44"/>
  <c r="D4" i="44" s="1"/>
  <c r="E22" i="47"/>
  <c r="C31" i="36"/>
  <c r="E7" i="39"/>
  <c r="C33" i="37"/>
  <c r="E33" i="37"/>
  <c r="B5" i="44"/>
  <c r="C5" i="44" s="1"/>
  <c r="D8" i="39"/>
  <c r="E8" i="39" s="1"/>
  <c r="F8" i="39" s="1"/>
  <c r="C163" i="17"/>
  <c r="E163" i="17" s="1"/>
  <c r="E165" i="17" s="1"/>
  <c r="E32" i="37"/>
  <c r="C32" i="37"/>
  <c r="C92" i="17"/>
  <c r="F77" i="28"/>
  <c r="F79" i="28" s="1"/>
  <c r="K11" i="28"/>
  <c r="K77" i="28" s="1"/>
  <c r="C32" i="36" l="1"/>
  <c r="D90" i="35"/>
  <c r="O8" i="47"/>
  <c r="O10" i="47"/>
  <c r="E4" i="44"/>
  <c r="H21" i="44"/>
  <c r="E22" i="44"/>
  <c r="C12" i="44"/>
  <c r="C14" i="44" s="1"/>
  <c r="C23" i="44" s="1"/>
  <c r="D8" i="44"/>
  <c r="C5" i="47"/>
  <c r="B12" i="47"/>
  <c r="B12" i="44"/>
  <c r="G15" i="44"/>
  <c r="F20" i="44"/>
  <c r="F22" i="44" s="1"/>
  <c r="B14" i="44"/>
  <c r="B23" i="44" s="1"/>
  <c r="B14" i="47"/>
  <c r="H15" i="47"/>
  <c r="G20" i="47"/>
  <c r="G22" i="47" s="1"/>
  <c r="D22" i="39"/>
  <c r="D24" i="39" s="1"/>
  <c r="D38" i="39" s="1"/>
  <c r="C165" i="17"/>
  <c r="D5" i="44"/>
  <c r="E5" i="44" s="1"/>
  <c r="F5" i="44" s="1"/>
  <c r="G5" i="44" s="1"/>
  <c r="H5" i="44" s="1"/>
  <c r="I5" i="44" s="1"/>
  <c r="J5" i="44" s="1"/>
  <c r="K5" i="44" s="1"/>
  <c r="L5" i="44" s="1"/>
  <c r="M5" i="44" s="1"/>
  <c r="N5" i="44" s="1"/>
  <c r="F7" i="39"/>
  <c r="F22" i="39" s="1"/>
  <c r="F24" i="39" s="1"/>
  <c r="F38" i="39" s="1"/>
  <c r="E22" i="39"/>
  <c r="E24" i="39" s="1"/>
  <c r="E38" i="39" s="1"/>
  <c r="C33" i="36"/>
  <c r="A34" i="36" s="1"/>
  <c r="E33" i="36"/>
  <c r="F92" i="17"/>
  <c r="E92" i="17"/>
  <c r="L11" i="28"/>
  <c r="L77" i="28" s="1"/>
  <c r="B23" i="47" l="1"/>
  <c r="H15" i="44"/>
  <c r="G20" i="44"/>
  <c r="D5" i="47"/>
  <c r="C12" i="47"/>
  <c r="C14" i="47" s="1"/>
  <c r="C23" i="47" s="1"/>
  <c r="K21" i="44"/>
  <c r="E8" i="44"/>
  <c r="F8" i="44" s="1"/>
  <c r="G8" i="44" s="1"/>
  <c r="H8" i="44" s="1"/>
  <c r="I8" i="44" s="1"/>
  <c r="J8" i="44" s="1"/>
  <c r="K8" i="44" s="1"/>
  <c r="L8" i="44" s="1"/>
  <c r="M8" i="44" s="1"/>
  <c r="N8" i="44" s="1"/>
  <c r="D12" i="44"/>
  <c r="D14" i="44" s="1"/>
  <c r="D23" i="44" s="1"/>
  <c r="I15" i="47"/>
  <c r="H20" i="47"/>
  <c r="H22" i="47" s="1"/>
  <c r="F4" i="44"/>
  <c r="O5" i="44"/>
  <c r="O8" i="44" l="1"/>
  <c r="E12" i="44"/>
  <c r="E14" i="44" s="1"/>
  <c r="E23" i="44" s="1"/>
  <c r="G4" i="44"/>
  <c r="F12" i="44"/>
  <c r="F14" i="44" s="1"/>
  <c r="F23" i="44" s="1"/>
  <c r="N21" i="44"/>
  <c r="G22" i="44"/>
  <c r="I15" i="44"/>
  <c r="H20" i="44"/>
  <c r="H22" i="44" s="1"/>
  <c r="I20" i="47"/>
  <c r="I22" i="47" s="1"/>
  <c r="J15" i="47"/>
  <c r="E5" i="47"/>
  <c r="D12" i="47"/>
  <c r="F5" i="47" l="1"/>
  <c r="E12" i="47"/>
  <c r="E14" i="47" s="1"/>
  <c r="E23" i="47" s="1"/>
  <c r="K15" i="47"/>
  <c r="J20" i="47"/>
  <c r="J22" i="47" s="1"/>
  <c r="J15" i="44"/>
  <c r="I20" i="44"/>
  <c r="I22" i="44" s="1"/>
  <c r="O21" i="44"/>
  <c r="H4" i="44"/>
  <c r="G12" i="44"/>
  <c r="G14" i="44" s="1"/>
  <c r="G23" i="44" s="1"/>
  <c r="D14" i="47"/>
  <c r="I4" i="44" l="1"/>
  <c r="H12" i="44"/>
  <c r="H14" i="44" s="1"/>
  <c r="H23" i="44" s="1"/>
  <c r="K15" i="44"/>
  <c r="J20" i="44"/>
  <c r="J22" i="44" s="1"/>
  <c r="G5" i="47"/>
  <c r="F12" i="47"/>
  <c r="D23" i="47"/>
  <c r="K20" i="47"/>
  <c r="K22" i="47" s="1"/>
  <c r="L15" i="47"/>
  <c r="J4" i="44" l="1"/>
  <c r="I12" i="44"/>
  <c r="I14" i="44" s="1"/>
  <c r="I23" i="44" s="1"/>
  <c r="M15" i="47"/>
  <c r="L20" i="47"/>
  <c r="L22" i="47" s="1"/>
  <c r="L15" i="44"/>
  <c r="K20" i="44"/>
  <c r="K22" i="44" s="1"/>
  <c r="F14" i="47"/>
  <c r="H5" i="47"/>
  <c r="G12" i="47"/>
  <c r="G14" i="47" s="1"/>
  <c r="G23" i="47" s="1"/>
  <c r="I5" i="47" l="1"/>
  <c r="H12" i="47"/>
  <c r="H14" i="47" s="1"/>
  <c r="H23" i="47" s="1"/>
  <c r="M15" i="44"/>
  <c r="L20" i="44"/>
  <c r="K4" i="44"/>
  <c r="J12" i="44"/>
  <c r="J14" i="44" s="1"/>
  <c r="J23" i="44" s="1"/>
  <c r="F23" i="47"/>
  <c r="M20" i="47"/>
  <c r="M22" i="47" s="1"/>
  <c r="N15" i="47"/>
  <c r="N20" i="47" l="1"/>
  <c r="O15" i="47"/>
  <c r="L22" i="44"/>
  <c r="N15" i="44"/>
  <c r="M20" i="44"/>
  <c r="M22" i="44" s="1"/>
  <c r="L4" i="44"/>
  <c r="K12" i="44"/>
  <c r="K14" i="44" s="1"/>
  <c r="K23" i="44" s="1"/>
  <c r="J5" i="47"/>
  <c r="I12" i="47"/>
  <c r="I14" i="47" s="1"/>
  <c r="M4" i="44" l="1"/>
  <c r="L12" i="44"/>
  <c r="L14" i="44" s="1"/>
  <c r="L23" i="44" s="1"/>
  <c r="I23" i="47"/>
  <c r="K5" i="47"/>
  <c r="J12" i="47"/>
  <c r="J14" i="47" s="1"/>
  <c r="J23" i="47" s="1"/>
  <c r="N20" i="44"/>
  <c r="O15" i="44"/>
  <c r="N22" i="47"/>
  <c r="O22" i="47" s="1"/>
  <c r="O20" i="47"/>
  <c r="N22" i="44" l="1"/>
  <c r="O22" i="44" s="1"/>
  <c r="O20" i="44"/>
  <c r="L5" i="47"/>
  <c r="K12" i="47"/>
  <c r="K14" i="47" s="1"/>
  <c r="K23" i="47" s="1"/>
  <c r="N4" i="44"/>
  <c r="M12" i="44"/>
  <c r="M14" i="44" s="1"/>
  <c r="M23" i="44" s="1"/>
  <c r="N12" i="44" l="1"/>
  <c r="O4" i="44"/>
  <c r="M5" i="47"/>
  <c r="L12" i="47"/>
  <c r="L14" i="47" s="1"/>
  <c r="L23" i="47" s="1"/>
  <c r="N14" i="44" l="1"/>
  <c r="O12" i="44"/>
  <c r="N5" i="47"/>
  <c r="M12" i="47"/>
  <c r="M14" i="47" s="1"/>
  <c r="M23" i="47" s="1"/>
  <c r="N12" i="47" l="1"/>
  <c r="O5" i="47"/>
  <c r="O14" i="44"/>
  <c r="N23" i="44"/>
  <c r="O23" i="44" s="1"/>
  <c r="N14" i="47" l="1"/>
  <c r="O12" i="47"/>
  <c r="N23" i="47" l="1"/>
  <c r="O23" i="47" s="1"/>
  <c r="O14" i="47"/>
</calcChain>
</file>

<file path=xl/sharedStrings.xml><?xml version="1.0" encoding="utf-8"?>
<sst xmlns="http://schemas.openxmlformats.org/spreadsheetml/2006/main" count="4002" uniqueCount="1753">
  <si>
    <t>Ráckevei Újság – értékesítés</t>
  </si>
  <si>
    <t xml:space="preserve">Ráckevei Újság – hirdetés </t>
  </si>
  <si>
    <t>Államháztartáson belüli továbbszámlázás</t>
  </si>
  <si>
    <t>Államháztartáson kívüli továbbszámlázás</t>
  </si>
  <si>
    <t>Fővárosi vízművek támogatása</t>
  </si>
  <si>
    <t>2</t>
  </si>
  <si>
    <t>No.</t>
  </si>
  <si>
    <t>Jogcím száma</t>
  </si>
  <si>
    <t>Mennyiségi egység</t>
  </si>
  <si>
    <t>Fajlagos összeg</t>
  </si>
  <si>
    <t>Mutató</t>
  </si>
  <si>
    <t>1</t>
  </si>
  <si>
    <t>I.1.a</t>
  </si>
  <si>
    <t>Önkormányzati hivatal működésének támogatása - elismert hivatali létszám alapján</t>
  </si>
  <si>
    <t>elismert hivatali létszám</t>
  </si>
  <si>
    <t>Önkormányzati hivatal működésének támogatása - beszámítás után</t>
  </si>
  <si>
    <t>forint</t>
  </si>
  <si>
    <t/>
  </si>
  <si>
    <t>3</t>
  </si>
  <si>
    <t>I.1.b</t>
  </si>
  <si>
    <t>Támogatás összesen</t>
  </si>
  <si>
    <t>4</t>
  </si>
  <si>
    <t>I.1.ba</t>
  </si>
  <si>
    <t>A zöldterület-gazdálkodással kapcsolatos feladatok ellátásának támogatása</t>
  </si>
  <si>
    <t>hektár</t>
  </si>
  <si>
    <t>5</t>
  </si>
  <si>
    <t>I.1.bb</t>
  </si>
  <si>
    <t>Közvilágítás fenntartásának támogatása</t>
  </si>
  <si>
    <t>km</t>
  </si>
  <si>
    <t>6</t>
  </si>
  <si>
    <t>I.1.bc</t>
  </si>
  <si>
    <t>Köztemető fenntartással kapcsolatos feladatok támogatása</t>
  </si>
  <si>
    <t>m2</t>
  </si>
  <si>
    <t>7</t>
  </si>
  <si>
    <t>I.1.bd</t>
  </si>
  <si>
    <t>Közutak fenntartásának támogatása</t>
  </si>
  <si>
    <t>8</t>
  </si>
  <si>
    <t>Támogatás összesen - beszámítás után</t>
  </si>
  <si>
    <t>9</t>
  </si>
  <si>
    <t>A zöldterület-gazdálkodással kapcsolatos feladatok ellátásának támogatása - beszámítás után</t>
  </si>
  <si>
    <t>10</t>
  </si>
  <si>
    <t>Közvilágítás fenntartásának támogatása - beszámítás után</t>
  </si>
  <si>
    <t>11</t>
  </si>
  <si>
    <t>Köztemető fenntartással kapcsolatos feladatok támogatása - beszámítás után</t>
  </si>
  <si>
    <t>12</t>
  </si>
  <si>
    <t>Közutak fenntartásának támogatása - beszámítás után</t>
  </si>
  <si>
    <t>13</t>
  </si>
  <si>
    <t>I.1.c</t>
  </si>
  <si>
    <t>Egyéb önkormányzati feladatok támogatása</t>
  </si>
  <si>
    <t>fő</t>
  </si>
  <si>
    <t>14</t>
  </si>
  <si>
    <t>Egyéb önkormányzati feladatok támogatása - beszámítás után</t>
  </si>
  <si>
    <t>15</t>
  </si>
  <si>
    <t>I.1.d</t>
  </si>
  <si>
    <t>Lakott külterülettel kapcsolatos feladatok támogatása</t>
  </si>
  <si>
    <t>külterületi lakos</t>
  </si>
  <si>
    <t>16</t>
  </si>
  <si>
    <t>Lakott külterülettel kapcsolatos feladatok támogatása - beszámítás után</t>
  </si>
  <si>
    <t>17</t>
  </si>
  <si>
    <t>I.1.e</t>
  </si>
  <si>
    <t>Üdülőhelyi feladatok támogatása</t>
  </si>
  <si>
    <t xml:space="preserve">idegenforgalmi adóforint </t>
  </si>
  <si>
    <t>18</t>
  </si>
  <si>
    <t>Üdülőhelyi feladatok támogatása - beszámítás után</t>
  </si>
  <si>
    <t>19</t>
  </si>
  <si>
    <t>Beszámítás</t>
  </si>
  <si>
    <t>20</t>
  </si>
  <si>
    <t>I.1. jogcímekhez kapcsolódó kiegészítés</t>
  </si>
  <si>
    <t>21</t>
  </si>
  <si>
    <t>A települési önkormányzatok működésének támogatása beszámítás és kiegészítés után</t>
  </si>
  <si>
    <t>27</t>
  </si>
  <si>
    <t xml:space="preserve">I. </t>
  </si>
  <si>
    <t>A helyi önkormányzatok működésének általános támogatása összesen</t>
  </si>
  <si>
    <t>28</t>
  </si>
  <si>
    <t>29</t>
  </si>
  <si>
    <t>30</t>
  </si>
  <si>
    <t>35</t>
  </si>
  <si>
    <t>36</t>
  </si>
  <si>
    <t>41</t>
  </si>
  <si>
    <t>43</t>
  </si>
  <si>
    <t>II.2. Óvodaműködtetési támogatás</t>
  </si>
  <si>
    <t>Óvoda napi nyitvatartási ideje eléri a nyolc órát</t>
  </si>
  <si>
    <t>47</t>
  </si>
  <si>
    <t>II.4.a (1)</t>
  </si>
  <si>
    <t>63</t>
  </si>
  <si>
    <t>64</t>
  </si>
  <si>
    <t>65</t>
  </si>
  <si>
    <t>66</t>
  </si>
  <si>
    <t xml:space="preserve">II. </t>
  </si>
  <si>
    <t>67</t>
  </si>
  <si>
    <t>A települési önkormányzatok szociális feladatainak egyéb támogatása</t>
  </si>
  <si>
    <t>III.3. Egyes szociális és gyermekjóléti feladatok támogatása</t>
  </si>
  <si>
    <t>68</t>
  </si>
  <si>
    <t>Család- és gyermekjóléti szolgálat</t>
  </si>
  <si>
    <t>számított létszám</t>
  </si>
  <si>
    <t>69</t>
  </si>
  <si>
    <t>Család- és gyermekjóléti központ</t>
  </si>
  <si>
    <t>70</t>
  </si>
  <si>
    <t>szociális étkeztetés</t>
  </si>
  <si>
    <t>71</t>
  </si>
  <si>
    <t>szociális étkeztetés - társulás által történő feladatellátás</t>
  </si>
  <si>
    <t>72</t>
  </si>
  <si>
    <t>házi segítségnyújtás- szociális segítés</t>
  </si>
  <si>
    <t>73</t>
  </si>
  <si>
    <t>házi segítségnyújtás- személyi gondozás</t>
  </si>
  <si>
    <t>74</t>
  </si>
  <si>
    <t>házi segítségnyújtás- személyi gondozás -  társulás által történő feladatellátás</t>
  </si>
  <si>
    <t>falugondnoki vagy tanyagondnoki szolgáltatás összesen</t>
  </si>
  <si>
    <t>működési hó</t>
  </si>
  <si>
    <t>időskorúak nappali intézményi ellátása</t>
  </si>
  <si>
    <t>időskorúak nappali intézményi ellátása - társulás által történő feladatellátás</t>
  </si>
  <si>
    <t>III.5. Gyermekétkeztetés támogatása</t>
  </si>
  <si>
    <t>A finanszírozás szempontjából elismert dolgozók bértámogatása</t>
  </si>
  <si>
    <t>Gyermekétkeztetés üzemeltetési támogatása</t>
  </si>
  <si>
    <t>A rászoruló gyermekek szünidei étkeztetésének támogatása</t>
  </si>
  <si>
    <t>III.</t>
  </si>
  <si>
    <t>Települési önkormányzatok nyilvános könyvtári és a közművelődési feladatainak támogatása</t>
  </si>
  <si>
    <t>IV.</t>
  </si>
  <si>
    <t>A települési önkormányzatok kulturális feladatainak támogatása</t>
  </si>
  <si>
    <t>Polgármesteri Hivatal</t>
  </si>
  <si>
    <t>Gólyafészek Bölcsőde</t>
  </si>
  <si>
    <t>Ács Károly Művelődési Központ</t>
  </si>
  <si>
    <t>Árpád Múzeum</t>
  </si>
  <si>
    <t>Szakorvosi Rendelőintézet</t>
  </si>
  <si>
    <t>REGESZ</t>
  </si>
  <si>
    <t>Családsegítő Társulás támogatása önkormányzatoktól</t>
  </si>
  <si>
    <t>Polgármesteri illetmény támogatása</t>
  </si>
  <si>
    <t>110</t>
  </si>
  <si>
    <t>111</t>
  </si>
  <si>
    <t>112</t>
  </si>
  <si>
    <t>113</t>
  </si>
  <si>
    <t>A finanszírozás szempontjából elismert szakmai dolgozók bértámogatása: felsőfokú végzettségű kisgyermeknevelők, szaktanácsadók</t>
  </si>
  <si>
    <t>114</t>
  </si>
  <si>
    <t>A finanszírozás szempontjából elismert szakmai dolgozók bértámogatása: bölcsődei dajkák, középfokú végzettségű kisgyermeknevelők, szaktanácsadók</t>
  </si>
  <si>
    <t>Bölcsődei üzemeltetési támogatás</t>
  </si>
  <si>
    <t>Helyi önkormányzatok működésének általános támogatása (B111)</t>
  </si>
  <si>
    <t>Települési önkormányzatok egyes köznevelési feladatainak támogatása (B112)</t>
  </si>
  <si>
    <t>Települési önkormányzatok szociális, gyermekjóléti  és gyermekétkeztetési feladatainak támogatása (B113)</t>
  </si>
  <si>
    <t>Települési önkormányzatok kulturális feladatainak támogatása (B114)</t>
  </si>
  <si>
    <t>Működési célú költségvetési támogatások és kiegészítő támogatások (B115)</t>
  </si>
  <si>
    <t>Elszámolásból származó bevételek (B116)</t>
  </si>
  <si>
    <t>Önkormányzatok működési támogatásai (=01+…+06) (B11)</t>
  </si>
  <si>
    <t>Felhalmozási célú önkormányzati támogatások (B21)</t>
  </si>
  <si>
    <t>Felhalmozási célú garancia- és kezességvállalásból származó megtérülések államháztartáson belülről (B22)</t>
  </si>
  <si>
    <t>ebből: fejezeti kezelésű előirányzatok EU-s programokra és azok hazai társfinanszírozása (B25)</t>
  </si>
  <si>
    <t>ebből: építményadó  (B34)</t>
  </si>
  <si>
    <t>Készletértékesítés ellenértéke (B401)</t>
  </si>
  <si>
    <t>ebből:tárgyi eszközök bérbeadásából származó bevétel (B402)</t>
  </si>
  <si>
    <t>ebből: államháztartáson belül (B403)</t>
  </si>
  <si>
    <t>ebből: egyéb részesedések után kapott osztalék (B404)</t>
  </si>
  <si>
    <t>Ellátási díjak (B405)</t>
  </si>
  <si>
    <t>Kiszámlázott általános forgalmi adó (B406)</t>
  </si>
  <si>
    <t>Általános forgalmi adó visszatérítése (B407)</t>
  </si>
  <si>
    <t>ebből: termőföld-eladás bevételei (B52)</t>
  </si>
  <si>
    <t>Egyéb tárgyi eszközök értékesítése (B53)</t>
  </si>
  <si>
    <t>ebből: privatizációból származó bevétel (B54)</t>
  </si>
  <si>
    <t>Részesedések megszűnéséhez kapcsolódó bevételek (B55)</t>
  </si>
  <si>
    <t>Működési célú visszatérítendő támogatások, kölcsönök visszatérülése kormányoktól és más nemzetközi szervezetektől (B63)</t>
  </si>
  <si>
    <t>Felhalmozási célú visszatérítendő támogatások, kölcsönök visszatérülése az Európai Uniótól (B72)</t>
  </si>
  <si>
    <t>Felhalmozási célú visszatérítendő támogatások, kölcsönök visszatérülése kormányoktól és más nemzetközi szervezetektől (B73)</t>
  </si>
  <si>
    <t>Vízminőség javítás pályázat EU támogatás</t>
  </si>
  <si>
    <t>hitelfelvétel</t>
  </si>
  <si>
    <t>ÁH -n belüli megelőlegezés</t>
  </si>
  <si>
    <t>Szoc rehab pályázat</t>
  </si>
  <si>
    <t>VÁROS ÖSSZESEN</t>
  </si>
  <si>
    <t>Közfoglalkoztatás támogatása</t>
  </si>
  <si>
    <t xml:space="preserve">közterület  használat </t>
  </si>
  <si>
    <t>I.5.</t>
  </si>
  <si>
    <t>Szivárvány Óvoda</t>
  </si>
  <si>
    <t>VIGI</t>
  </si>
  <si>
    <t>Egyéb működési célú támogatások bevételei államháztartáson belülről (B16)</t>
  </si>
  <si>
    <t>Sorszám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</si>
  <si>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</si>
  <si>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</si>
  <si>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</si>
  <si>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</si>
  <si>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</si>
  <si>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</si>
  <si>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</si>
  <si>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</si>
  <si>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</si>
  <si>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</si>
  <si>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</si>
  <si>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</si>
  <si>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</si>
  <si>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</si>
  <si>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</si>
  <si>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</si>
  <si>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</si>
  <si>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</si>
  <si>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</si>
  <si>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</si>
  <si>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</si>
  <si>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</si>
  <si>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</si>
  <si>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</si>
  <si>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</si>
  <si>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</si>
  <si>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</si>
  <si>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</si>
  <si>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</si>
  <si>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</si>
  <si>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</si>
  <si>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</si>
  <si>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</si>
  <si>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</si>
  <si>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</si>
  <si>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</si>
  <si>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</si>
  <si>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</si>
  <si>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</si>
  <si>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</si>
  <si>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</si>
  <si>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</si>
  <si>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</si>
  <si>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</si>
  <si>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</si>
  <si>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</si>
  <si>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</si>
  <si>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</si>
  <si>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</si>
  <si>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</si>
  <si>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</si>
  <si>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</si>
  <si>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</si>
  <si>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</si>
  <si>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</si>
  <si>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</si>
  <si>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</si>
  <si>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</si>
  <si>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</si>
  <si>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</si>
  <si>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</si>
  <si>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Működési célú támogatások államháztartáson belülről (=07+...+9) (B1)</t>
  </si>
  <si>
    <t>Felhalmozási célú visszatérítendő támogatások, kölcsönök visszatérülése államháztartáson belülről (B23)</t>
  </si>
  <si>
    <t>Egyéb felhalmozási célú támogatások bevételei államháztartáson belülről (B25)</t>
  </si>
  <si>
    <t>Felhalmozási célú támogatások államháztartáson belülről (11+…+15) (B2)</t>
  </si>
  <si>
    <t>Vagyoni tipusú adók (B34)</t>
  </si>
  <si>
    <t>Értékesítési és forgalmi adók (B351)</t>
  </si>
  <si>
    <t>Gépjárműadók  (B354)</t>
  </si>
  <si>
    <t>Egyéb áruhasználati és szolgáltatási adók  (B355)</t>
  </si>
  <si>
    <t>Talajterhelési díj</t>
  </si>
  <si>
    <t>Egyéb közhatalmi bevétel (B36)</t>
  </si>
  <si>
    <t>Közvetített szolgáltatások ellenértéke (B403)</t>
  </si>
  <si>
    <t>Tulajdonosi bevételek (B404)</t>
  </si>
  <si>
    <t>Egyéb kapott (járó) kamatok és kamatjellegű bevételek (B4082)</t>
  </si>
  <si>
    <t>Egyéb működési bevételek (B411)</t>
  </si>
  <si>
    <t>Működési bevételek (=26+…+37) (B4)</t>
  </si>
  <si>
    <t>Immateriális javak értékesítése (B51)</t>
  </si>
  <si>
    <t>Ingatlanok értékesítése (B52)</t>
  </si>
  <si>
    <t>Részesedések értékesítése (B54)</t>
  </si>
  <si>
    <t>Felhalmozási bevételek (=+39…+45) (B5)</t>
  </si>
  <si>
    <t>Egyéb felhalmozási célú átvett pénzeszközök (B75)</t>
  </si>
  <si>
    <t>Közhatalmi bevételek (=17+19+21+22+23+24) (B3)</t>
  </si>
  <si>
    <t>62.</t>
  </si>
  <si>
    <t>63.</t>
  </si>
  <si>
    <t>Szolgáltatások ellenértéke (B402)</t>
  </si>
  <si>
    <t>Egyéb működési célú átvett pénzeszközök (B65)</t>
  </si>
  <si>
    <t>64.</t>
  </si>
  <si>
    <t>Működési célú átvett pénzeszközök (=+47...+51) (B6)</t>
  </si>
  <si>
    <t>Felhalmozási célú átvett pénzeszközök (=+53…+57) (B7)</t>
  </si>
  <si>
    <t>Költségvetési bevételek (7+10+25+38+46+52+58) (B1-B7)</t>
  </si>
  <si>
    <t>65.</t>
  </si>
  <si>
    <t>Kincstárjegy beváltása</t>
  </si>
  <si>
    <t>Tűzoltóság támogatása</t>
  </si>
  <si>
    <t>Elszámolásból származó bevételek</t>
  </si>
  <si>
    <t>forintban!</t>
  </si>
  <si>
    <t>Módosított</t>
  </si>
  <si>
    <t>B</t>
  </si>
  <si>
    <t>Bevételi jogcímek</t>
  </si>
  <si>
    <t>Eredeti előirányzat</t>
  </si>
  <si>
    <t>Módosítás</t>
  </si>
  <si>
    <t>Módosított előirányzat</t>
  </si>
  <si>
    <t xml:space="preserve">Önkormányzat </t>
  </si>
  <si>
    <t xml:space="preserve">Skarica Máté Város Könyvtár  </t>
  </si>
  <si>
    <t>Ráckeve Város Mindösszesen</t>
  </si>
  <si>
    <t>ebből: állandó jeleggel végzett helyi iparűzési adó (B351)</t>
  </si>
  <si>
    <t>Működési célú visszatérítendő támogatások, kölcsönök visszatérülése ÁH-on belülről (B14)</t>
  </si>
  <si>
    <t>Működési célú visszatérítendő támogatások, kölcsönök visszatérülése az EU-tól (B62)</t>
  </si>
  <si>
    <t>Működési célú visszatérítendő támogatások, kölcsönök visszatérülése ÁH-on kívülről (B64)</t>
  </si>
  <si>
    <t>Finanszírozási bevételek (59...+63)</t>
  </si>
  <si>
    <t>Felhalmozási célú visszatérítendő támogatások, kölcsönök visszatérülése ÁH-on kívülről (B74)</t>
  </si>
  <si>
    <t>Felhalmozási célú garancia- és kezességvállalásból származó megtérülések ÁH-on kívülről (B71)</t>
  </si>
  <si>
    <t>Működési célú garancia- és kezesség- vállalásból származó megtérülések ÁH-on kívülről (B61)</t>
  </si>
  <si>
    <t>Előző évi maradvány igénybevétele</t>
  </si>
  <si>
    <t>BEVÉTELEK ÖSSZESEN (=58+64)</t>
  </si>
  <si>
    <t>Sor-
szám</t>
  </si>
  <si>
    <t>A</t>
  </si>
  <si>
    <t>C</t>
  </si>
  <si>
    <t>Munkaadókat terhelő járulékok és szociális hozzájárulási adó</t>
  </si>
  <si>
    <t>Ellátottak pénzbeli juttatásai</t>
  </si>
  <si>
    <t>Egyéb működési célú kiadások</t>
  </si>
  <si>
    <t>Tartalékok</t>
  </si>
  <si>
    <t>Pénzeszközök lekötött betétként elhelyezése</t>
  </si>
  <si>
    <t>Váltókiadások</t>
  </si>
  <si>
    <t>Adóssághoz nem kapcsolódó származékos ügyletek bevételei</t>
  </si>
  <si>
    <t>Beruházások</t>
  </si>
  <si>
    <t>Felújítások</t>
  </si>
  <si>
    <t>Egyéb felhalmozási kiadások</t>
  </si>
  <si>
    <t>Pénzügyi lízing kiadásai</t>
  </si>
  <si>
    <t>Ráckeve Város Önkormányzata</t>
  </si>
  <si>
    <t>B E V É T E L E K</t>
  </si>
  <si>
    <t>Bevételi jogcím</t>
  </si>
  <si>
    <t>F=C+D+E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</si>
  <si>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</si>
  <si>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</si>
  <si>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</si>
  <si>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</si>
  <si>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</si>
  <si>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</si>
  <si>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</si>
  <si>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</si>
  <si>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</si>
  <si>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</si>
  <si>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 xml:space="preserve">Működési célú kvi támogatások és kiegészítő támogatások </t>
  </si>
  <si>
    <t>1.6.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</si>
  <si>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</si>
  <si>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</si>
  <si>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</si>
  <si>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</si>
  <si>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</si>
  <si>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</si>
  <si>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</si>
  <si>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</si>
  <si>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</si>
  <si>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</si>
  <si>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</si>
  <si>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</si>
  <si>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</si>
  <si>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</si>
  <si>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</si>
  <si>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</si>
  <si>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</si>
  <si>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</si>
  <si>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</si>
  <si>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</si>
  <si>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</si>
  <si>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</si>
  <si>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</si>
  <si>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</si>
  <si>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</si>
  <si>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(4.1.+…+4.7.)</t>
  </si>
  <si>
    <t>4.1.</t>
  </si>
  <si>
    <t>Vagyoni típusú adók</t>
  </si>
  <si>
    <t>4.2.</t>
  </si>
  <si>
    <t>4.3.</t>
  </si>
  <si>
    <t>Iparűzési adó</t>
  </si>
  <si>
    <t>4.4.</t>
  </si>
  <si>
    <t>Gépjárműadó</t>
  </si>
  <si>
    <t>4.5.</t>
  </si>
  <si>
    <t>4.6.</t>
  </si>
  <si>
    <t>Pótlék, bírság</t>
  </si>
  <si>
    <t>4.7.</t>
  </si>
  <si>
    <t>Egyéb közhatalmi bevételek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</si>
  <si>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</si>
  <si>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</si>
  <si>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</si>
  <si>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</si>
  <si>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</si>
  <si>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</si>
  <si>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</si>
  <si>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</si>
  <si>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</si>
  <si>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</si>
  <si>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</si>
  <si>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</si>
  <si>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</si>
  <si>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</si>
  <si>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</si>
  <si>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</si>
  <si>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 és más nyereségjellegű 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</si>
  <si>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</si>
  <si>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</si>
  <si>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</si>
  <si>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</si>
  <si>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</si>
  <si>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</si>
  <si>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</si>
  <si>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</si>
  <si>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</si>
  <si>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</si>
  <si>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</si>
  <si>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</si>
  <si>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</si>
  <si>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</si>
  <si>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</si>
  <si>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</si>
  <si>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</si>
  <si>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</si>
  <si>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</si>
  <si>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</si>
  <si>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</si>
  <si>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</si>
  <si>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</si>
  <si>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</si>
  <si>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</si>
  <si>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</si>
  <si>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</si>
  <si>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</si>
  <si>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</si>
  <si>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</si>
  <si>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</si>
  <si>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</si>
  <si>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</si>
  <si>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</si>
  <si>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</si>
  <si>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</si>
  <si>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 xml:space="preserve">   9.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</si>
  <si>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</si>
  <si>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</si>
  <si>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</si>
  <si>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</si>
  <si>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</si>
  <si>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</si>
  <si>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</si>
  <si>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</si>
  <si>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</si>
  <si>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</si>
  <si>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</si>
  <si>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</si>
  <si>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</si>
  <si>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</si>
  <si>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Éven belüli lejáratú belföldi értékpapírok kibocsátása</t>
  </si>
  <si>
    <t>11.3.</t>
  </si>
  <si>
    <t>Befektetési célú belföldi értékpapírok beváltása,  értékesítése</t>
  </si>
  <si>
    <t>11.4.</t>
  </si>
  <si>
    <t>Éven túli lejáratú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</si>
  <si>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</si>
  <si>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</si>
  <si>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</si>
  <si>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</si>
  <si>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</si>
  <si>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</si>
  <si>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</si>
  <si>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</si>
  <si>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</si>
  <si>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</si>
  <si>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</si>
  <si>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</si>
  <si>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</si>
  <si>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Lekötött 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</si>
  <si>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</si>
  <si>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</si>
  <si>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</si>
  <si>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</si>
  <si>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</si>
  <si>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</si>
  <si>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</si>
  <si>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</si>
  <si>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</si>
  <si>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</si>
  <si>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</si>
  <si>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</si>
  <si>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 16.</t>
  </si>
  <si>
    <t xml:space="preserve">    17.</t>
  </si>
  <si>
    <t>FINANSZÍROZÁSI BEVÉTELEK ÖSSZESEN: (10. + … +16.)</t>
  </si>
  <si>
    <t xml:space="preserve">    18.</t>
  </si>
  <si>
    <t>KÖLTSÉGVETÉSI ÉS FINANSZÍROZÁSI BEVÉTELEK ÖSSZESEN: (9+17)</t>
  </si>
  <si>
    <t>K I A D Á S O K</t>
  </si>
  <si>
    <t>Kiadási jogcím</t>
  </si>
  <si>
    <t>Eredeti
előirányzat</t>
  </si>
  <si>
    <t>Személyi  juttatások</t>
  </si>
  <si>
    <t>Dologi  kiadások</t>
  </si>
  <si>
    <t>1.5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</si>
  <si>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</si>
  <si>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</si>
  <si>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</si>
  <si>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</si>
  <si>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</si>
  <si>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</si>
  <si>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</si>
  <si>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</si>
  <si>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</si>
  <si>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</si>
  <si>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</si>
  <si>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</si>
  <si>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</si>
  <si>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</si>
  <si>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</si>
  <si>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</si>
  <si>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</si>
  <si>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</si>
  <si>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</si>
  <si>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</si>
  <si>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</si>
  <si>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</si>
  <si>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</si>
  <si>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1.19.</t>
  </si>
  <si>
    <t xml:space="preserve"> - az 1.18-ból: - Általános tartalék</t>
  </si>
  <si>
    <t>1.20.</t>
  </si>
  <si>
    <t xml:space="preserve">   - Céltartalék</t>
  </si>
  <si>
    <t>2.1.-ből EU-s forrásból megvalósuló beruházás</t>
  </si>
  <si>
    <t>2.3.-ból EU-s forrásból megvalósuló felújítás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</si>
  <si>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</si>
  <si>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</si>
  <si>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</si>
  <si>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</si>
  <si>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</si>
  <si>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</si>
  <si>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</si>
  <si>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</si>
  <si>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</si>
  <si>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</si>
  <si>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</si>
  <si>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</si>
  <si>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</si>
  <si>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Hitel-, kölcsöntörlesztés államházt-on kívülre (4.1. + … + 4.3.)</t>
  </si>
  <si>
    <t>Hosszú lejáratú hitelek, kölcsönök törlesztése pénzügyi vállalkozásnak</t>
  </si>
  <si>
    <t>Likviditási célú hitelek, kölcsönök törlesztése pénzügyi vállalkozásnak</t>
  </si>
  <si>
    <t>Rövid lejáratú hitelek, kölcsönök törlesztése pénzügyi vállalkozásnak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</si>
  <si>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</si>
  <si>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</si>
  <si>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</si>
  <si>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</si>
  <si>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</si>
  <si>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</si>
  <si>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</si>
  <si>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Belföldi finanszírozás kiadásai (6.1. + … + 6.4.)</t>
  </si>
  <si>
    <t>Államháztartáson belüli megelőlegezések folyósítása</t>
  </si>
  <si>
    <t>Államháztartáson belüli megelőlegezések visszafizetése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</si>
  <si>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</si>
  <si>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</si>
  <si>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</si>
  <si>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</si>
  <si>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</si>
  <si>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</si>
  <si>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</si>
  <si>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</si>
  <si>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FINANSZÍROZÁSI KIADÁSOK ÖSSZESEN: (4.+…+9.)</t>
  </si>
  <si>
    <t>KIADÁSOK ÖSSZESEN: (3.+10.)</t>
  </si>
  <si>
    <t>KÖLTSÉGVETÉSI, FINANSZÍROZÁSI BEVÉTELEK ÉS KIADÁSOK EGYENLEGE</t>
  </si>
  <si>
    <t>Költségvetési hiány, többlet ( költségvetési bevételek 9. sor - költségvetési kiadások 3. sor) (+/-)</t>
  </si>
  <si>
    <t>Előző módosítás</t>
  </si>
  <si>
    <t>Feladat megnevezése</t>
  </si>
  <si>
    <t>II. Közvetített szolgáltatások bevétele</t>
  </si>
  <si>
    <t>I. Szolgáltatások ellenértéke</t>
  </si>
  <si>
    <t>Bérleti díjak</t>
  </si>
  <si>
    <t>III. Tulajdonosi bevételek</t>
  </si>
  <si>
    <t>IV. Kiszámlázott általános forgalmi adó</t>
  </si>
  <si>
    <t>V. Kamat és kamat jellegű bevételek</t>
  </si>
  <si>
    <t>VI. Egyéb működési bevétek</t>
  </si>
  <si>
    <t>Kötbér, bírság, egyéb kártérítés</t>
  </si>
  <si>
    <t>Költségek visszatérülése, kerekítések</t>
  </si>
  <si>
    <t xml:space="preserve"> Működési célú átvett pénzeszközök</t>
  </si>
  <si>
    <t>I.</t>
  </si>
  <si>
    <t>II.</t>
  </si>
  <si>
    <t>Egyéb működési célú támogatások bevételei államháztartáson belülről</t>
  </si>
  <si>
    <t xml:space="preserve"> Felhalmozási célú átvett pénzeszközök</t>
  </si>
  <si>
    <t xml:space="preserve">Felhalmozási célú támogatások államháztartáson belülről </t>
  </si>
  <si>
    <t>1. melléklet</t>
  </si>
  <si>
    <t>Működési bevétel összesen I+VI.</t>
  </si>
  <si>
    <r>
      <t xml:space="preserve">   Működési költségvetés kiadásai </t>
    </r>
    <r>
      <rPr>
        <sz val="8"/>
        <rFont val="Arial"/>
        <family val="2"/>
        <charset val="238"/>
      </rPr>
      <t>(1.1+…+1.5.+1.18.)</t>
    </r>
  </si>
  <si>
    <r>
      <t xml:space="preserve">   Felhalmozási költségvetés kiadásai </t>
    </r>
    <r>
      <rPr>
        <sz val="8"/>
        <rFont val="Arial"/>
        <family val="2"/>
        <charset val="238"/>
      </rPr>
      <t>(2.1.+2.3.+2.5.)</t>
    </r>
  </si>
  <si>
    <t>Felhalmozási célú támogatások ÁH-on belülről (3.1.+…+3.5.)</t>
  </si>
  <si>
    <t>Működési célú támogatások ÁH-on belülről (2.1.+…+.2.5.)</t>
  </si>
  <si>
    <t>Finanszírozási bevételek, kiadások egyenlege (finanszírozási bevételek 17. sor - finanszírozási kiadások 10. sor) (+/-)</t>
  </si>
  <si>
    <t>Kiadási jogcímek</t>
  </si>
  <si>
    <t>Személyi juttatások összesen (K1)</t>
  </si>
  <si>
    <t>Munkaadókat terhelő járulékok és szociális hozzájárulási adó (K2)</t>
  </si>
  <si>
    <t>Dologi kiadások (K3)</t>
  </si>
  <si>
    <t>Ellátottak pénzbeli juttatásai (K4)</t>
  </si>
  <si>
    <t>Elvonások és befizetések (K502)</t>
  </si>
  <si>
    <t>Működési célú garancia- és kezességvállalásból származó kifizetés  ÁH-on belülre (K503)</t>
  </si>
  <si>
    <t>Működési célú visszatérítendő támogatások, kölcsönök nyújtása  ÁH-on belülre (K504)</t>
  </si>
  <si>
    <t>Működési célú visszatérítendő támogatások, kölcsönök törlesztése ÁH-on belülre (K505)</t>
  </si>
  <si>
    <t>Egyéb működési célú támogatások  ÁH-on belülre (K506)</t>
  </si>
  <si>
    <t>Működési célú garancia- és kezességvállalásból származó kifizetés  ÁH-on kívülre (K507)</t>
  </si>
  <si>
    <t>Működési célú visszatérítendő támogatások, kölcsönök nyújtása  ÁH-on kívülre (K508)</t>
  </si>
  <si>
    <t>Árkiegészítések, ártámogatások (K509)</t>
  </si>
  <si>
    <t>Kamattámogatások (K510)</t>
  </si>
  <si>
    <t>Egyéb működési célú támogatások  ÁH-on kívülre (K512)</t>
  </si>
  <si>
    <t>Tartalékok (K513)</t>
  </si>
  <si>
    <t>Egyéb működési célú kiadások (5+…+15)</t>
  </si>
  <si>
    <t>Működési költségvetés kiadásai (1.+2.+3.+4…+16)</t>
  </si>
  <si>
    <t>Beruházások (K6)</t>
  </si>
  <si>
    <t>Felújítások (K7)</t>
  </si>
  <si>
    <t>Egyéb felhalmozási célú támogatások  ÁH-on belülre (K84)</t>
  </si>
  <si>
    <t>Egyéb felhalmozási célú támogatások  ÁH-on kívülre (K89)</t>
  </si>
  <si>
    <t>Egyéb felhalmozási célú kiadások összesen (K8)</t>
  </si>
  <si>
    <t>Felhalmozási költségvetés kiadásai (18+…+22)</t>
  </si>
  <si>
    <t>Költségvetési kiadások (17+23)</t>
  </si>
  <si>
    <t>Hitel-, kölcsöntörlesztés ÁH-on kívülre (25.+26.)</t>
  </si>
  <si>
    <t>Finanszírozási kiadások (27.+28.+29.)</t>
  </si>
  <si>
    <t>KIADÁSOK ÖSSZESEN (=24+30)</t>
  </si>
  <si>
    <t>Bevételek</t>
  </si>
  <si>
    <t xml:space="preserve">      Intézmények </t>
  </si>
  <si>
    <t>Finanszírozás összesen</t>
  </si>
  <si>
    <t xml:space="preserve">Gólyfészek Bölcsőde </t>
  </si>
  <si>
    <t>Skarica Máté V. Könyvtár</t>
  </si>
  <si>
    <t>Ács Károly Mûv. Közp</t>
  </si>
  <si>
    <t>Árpád múzeum</t>
  </si>
  <si>
    <t>Szakorvosi Rend.Intézet</t>
  </si>
  <si>
    <t>sorszám</t>
  </si>
  <si>
    <t xml:space="preserve">Kiadások </t>
  </si>
  <si>
    <t>Állami támogatás</t>
  </si>
  <si>
    <t>Saját bevétel</t>
  </si>
  <si>
    <t>Fenntartói kiegészítés</t>
  </si>
  <si>
    <t>Eredeti</t>
  </si>
  <si>
    <t>múzeum</t>
  </si>
  <si>
    <t>VÁROS ÖSSZESEN (3+14+15+16)</t>
  </si>
  <si>
    <t>Előirányzat</t>
  </si>
  <si>
    <t xml:space="preserve">Kiadások     </t>
  </si>
  <si>
    <t>Intézmények összesen:</t>
  </si>
  <si>
    <t>RÁCKEVE VÁROS</t>
  </si>
  <si>
    <t>6. melléklet</t>
  </si>
  <si>
    <t xml:space="preserve">       Feladat megnevezése</t>
  </si>
  <si>
    <t>RSD tagdíj</t>
  </si>
  <si>
    <t>Leader tagdíj</t>
  </si>
  <si>
    <t>RÉV üzemeltetés támogatása</t>
  </si>
  <si>
    <t>Katolikus iskola</t>
  </si>
  <si>
    <t>Magyarországi Orvos Muzs. Egy.2019. áprilisi rend.</t>
  </si>
  <si>
    <t>Szakellátás támogatása</t>
  </si>
  <si>
    <t>Zongora verseny és Monarchia egyesület</t>
  </si>
  <si>
    <t>Református Diakónia Támogatása</t>
  </si>
  <si>
    <t>Mentőállomás</t>
  </si>
  <si>
    <t>Szmárton étkezés 2018 évi.</t>
  </si>
  <si>
    <t>Önkormányzat regesz felé</t>
  </si>
  <si>
    <t>Ebsegély Alapítványi támogatás</t>
  </si>
  <si>
    <t>RÁVÜSZ Kft 2019 évi</t>
  </si>
  <si>
    <t>1.1 Kötelezettségek összesen</t>
  </si>
  <si>
    <t>1.2 Egyéb feladatok</t>
  </si>
  <si>
    <t xml:space="preserve">Ady Endre Gimnázium szalagavató </t>
  </si>
  <si>
    <t>Árpád bál támogatás</t>
  </si>
  <si>
    <t>Katolikus Egyház templom látogatás</t>
  </si>
  <si>
    <t>Szerb Egyház  templom látogatás</t>
  </si>
  <si>
    <t>Polgármester átruházott jogkörű támogatása</t>
  </si>
  <si>
    <t>Borkovits Emlékverseny megrendezése</t>
  </si>
  <si>
    <t>Kis Duna Maraton támogatása</t>
  </si>
  <si>
    <t>Kéve Néptánc Együttes -Thaiföld vendégszereplés</t>
  </si>
  <si>
    <t>Civil támogatás</t>
  </si>
  <si>
    <t>négyes ikrek támogatása</t>
  </si>
  <si>
    <t>1.2  Egyéb feladat ÖSSZESEN</t>
  </si>
  <si>
    <t>1. TÁM. PÉNZESZKÖZ ÁTAD ÖSSZ.</t>
  </si>
  <si>
    <t>2. SZOCIÁLPOLITIKAI JUTTATÁSOK</t>
  </si>
  <si>
    <r>
      <t>2.1</t>
    </r>
    <r>
      <rPr>
        <sz val="10"/>
        <color indexed="8"/>
        <rFont val="Arial CE"/>
        <family val="2"/>
      </rPr>
      <t xml:space="preserve"> </t>
    </r>
    <r>
      <rPr>
        <b/>
        <sz val="10"/>
        <color indexed="8"/>
        <rFont val="Arial CE"/>
        <charset val="238"/>
      </rPr>
      <t>Pénzbeli szociális ellátások</t>
    </r>
  </si>
  <si>
    <t>Bursa Hungarica ösztöndíj tám.</t>
  </si>
  <si>
    <t>Középiskolai támogatás</t>
  </si>
  <si>
    <t>Települési támogatás</t>
  </si>
  <si>
    <t>Pénzbeni ellátás</t>
  </si>
  <si>
    <t xml:space="preserve">                   Pénzbeli támogatások</t>
  </si>
  <si>
    <t>2.2. Természetben nyújtott szoc.ellátás</t>
  </si>
  <si>
    <t xml:space="preserve">        Köztemetés</t>
  </si>
  <si>
    <t xml:space="preserve">                Természetben nyújtott támogatások </t>
  </si>
  <si>
    <t>2.Szociális ellátások  összesen</t>
  </si>
  <si>
    <t>I. ÖNKORMÁNYZAT ÖSSZESEN</t>
  </si>
  <si>
    <t>II. INTÉZMÉNYEK</t>
  </si>
  <si>
    <t>óvoda társulás támogatása</t>
  </si>
  <si>
    <t>Tűzoltóság</t>
  </si>
  <si>
    <t>Szakorvosi Regesz felé</t>
  </si>
  <si>
    <t>Regesz járulék miatt kölcsön</t>
  </si>
  <si>
    <t>5. melléklet</t>
  </si>
  <si>
    <t xml:space="preserve">       M e g n e v e z é s </t>
  </si>
  <si>
    <t>HÉV WC konténer</t>
  </si>
  <si>
    <t>Szürke épület felújítása</t>
  </si>
  <si>
    <t>4. melléklet</t>
  </si>
  <si>
    <t>FELÚJÍTÁSI FELADATOK</t>
  </si>
  <si>
    <t>Gólyafészek Bölcsőde kerítés</t>
  </si>
  <si>
    <t>Gólyafészek Bölcsőde világítás korszerűsítés</t>
  </si>
  <si>
    <t>Tourinform bádog csere</t>
  </si>
  <si>
    <t>Régi Városháza vakolat hullás jav.</t>
  </si>
  <si>
    <t>Bíróság kerítés bontás</t>
  </si>
  <si>
    <t>ÁKMK öltözők felújítása színpad mögött</t>
  </si>
  <si>
    <t>Skarica Máté V.K. padlás lépcső</t>
  </si>
  <si>
    <t>Ifjúság u. óvoda (Bölcsőde)</t>
  </si>
  <si>
    <t>Ifjúság u. óvoda kerítés</t>
  </si>
  <si>
    <t>Ifjúság u. óvoda ablakcsere</t>
  </si>
  <si>
    <t>Vörösmarty óvoda balesetveszélyes kerítés</t>
  </si>
  <si>
    <t>Vörösmarty óvoda csatorna jav.</t>
  </si>
  <si>
    <t>További útfelújítások</t>
  </si>
  <si>
    <t>FELÚJÍTÁS MINDÖSSZESEN</t>
  </si>
  <si>
    <t xml:space="preserve"> MEGNEVEZÉS</t>
  </si>
  <si>
    <t>MŰKÖDÉSI CÉLÚ TARTALÉK ÖSSZESEN</t>
  </si>
  <si>
    <t>bérleti díj terhére DAKÖV kft által végzett</t>
  </si>
  <si>
    <t>pályázatelőkészítő alap</t>
  </si>
  <si>
    <t>FELHALMOZÁSI CÉLÚ TARTALÉK ÖSSZESEN</t>
  </si>
  <si>
    <t>CÉLTARTALÉK ÖSSZESEN</t>
  </si>
  <si>
    <t xml:space="preserve">     1.5-ből:  - Előző évi elszámolásból származó befizetések</t>
  </si>
  <si>
    <t>2.5.-ből    - Garancia- és kezességvállalásból kifizetés ÁH-n belülre</t>
  </si>
  <si>
    <t>Előző módosítások</t>
  </si>
  <si>
    <t xml:space="preserve">Általános Tartalék </t>
  </si>
  <si>
    <t>Céltartalék</t>
  </si>
  <si>
    <t>ÁLTALÁNOS TARTALÉK ÖSSZESEN</t>
  </si>
  <si>
    <t>Piac projekt</t>
  </si>
  <si>
    <t xml:space="preserve">RÁCKEVE VÁROS TARTALÉKOK ELŐIRÁNYZATA     </t>
  </si>
  <si>
    <t>Kerékpárút pályázat</t>
  </si>
  <si>
    <t>Piac beruházás</t>
  </si>
  <si>
    <t>Előző Módosítások</t>
  </si>
  <si>
    <t>járdák felújítása több helyen</t>
  </si>
  <si>
    <t>Iskola úti ovi felújítás</t>
  </si>
  <si>
    <t>Módosított 2019 év</t>
  </si>
  <si>
    <t>Egyéb működési célú támogatások ÁH-n belülre</t>
  </si>
  <si>
    <t>Szmárton étkezés miatt 2020</t>
  </si>
  <si>
    <t>Iskola rendőre (2020)</t>
  </si>
  <si>
    <t>Háziorvos támogatás 20000/hó</t>
  </si>
  <si>
    <t>javasolt</t>
  </si>
  <si>
    <t xml:space="preserve">Jogcím megnevezése  </t>
  </si>
  <si>
    <t>2020 évi összeg</t>
  </si>
  <si>
    <t>2019 évi összeg</t>
  </si>
  <si>
    <t>különbség</t>
  </si>
  <si>
    <t>I.1.a - I.1.f</t>
  </si>
  <si>
    <t>I.1.b - I.1.f</t>
  </si>
  <si>
    <t>I.1.ba - I.1.f</t>
  </si>
  <si>
    <t>I.1.bb - I.1.f</t>
  </si>
  <si>
    <t>I.1.bc - I.1.f</t>
  </si>
  <si>
    <t>I.1.bd - I.1.f</t>
  </si>
  <si>
    <t>I.1.c - I.1.f</t>
  </si>
  <si>
    <t>I.1.d - I.1.f</t>
  </si>
  <si>
    <t>I.1.e - I.1.f</t>
  </si>
  <si>
    <t>I.1.f beszámítás</t>
  </si>
  <si>
    <t>I.1.f kiegészítés</t>
  </si>
  <si>
    <t>I.1. - I.1.f</t>
  </si>
  <si>
    <t>22</t>
  </si>
  <si>
    <t>I.1.f Info</t>
  </si>
  <si>
    <t>Nem teljesült beszámítás/szolidaritási hozzájárulás alapja</t>
  </si>
  <si>
    <t>23</t>
  </si>
  <si>
    <t>V. SZH</t>
  </si>
  <si>
    <t>Szolidaritási hozzájárulás</t>
  </si>
  <si>
    <t>24</t>
  </si>
  <si>
    <t>I.2.</t>
  </si>
  <si>
    <t>Nem közművel összegyűjtött háztartási szennyvíz ártalmatlanítása</t>
  </si>
  <si>
    <t>m3</t>
  </si>
  <si>
    <t>25</t>
  </si>
  <si>
    <t>I.3.</t>
  </si>
  <si>
    <t>Határátkelőhelyek fenntartásának támogatása</t>
  </si>
  <si>
    <t>ki- és belépési adatok</t>
  </si>
  <si>
    <t>26</t>
  </si>
  <si>
    <t>II.1. Pedagógusok, és az e pedagógusok nevelő munkáját közvetlenül segítők bértámogatása</t>
  </si>
  <si>
    <t>II.1. (1)</t>
  </si>
  <si>
    <t>Pedagógusok elismert létszáma</t>
  </si>
  <si>
    <t>II.1. (2)</t>
  </si>
  <si>
    <t>pedagógus szakképzettséggel nem rendelkező, pedagógusok nevelő munkáját közvetlenül segítők száma a Köznev. tv. 2. melléklete szerint</t>
  </si>
  <si>
    <t>II.1. (3)</t>
  </si>
  <si>
    <t>pedagógus szakképzettséggel rendelkező, pedagógusok nevelő munkáját közvetlenül segítők száma a Köznev. tv. 2. melléklete szerint</t>
  </si>
  <si>
    <t>Óvoda napi nyitvatartási ideje nem éri el a nyolc órát, de eléri a hat órát</t>
  </si>
  <si>
    <t>31</t>
  </si>
  <si>
    <t>II.1. (11)</t>
  </si>
  <si>
    <t>32</t>
  </si>
  <si>
    <t>II.1. (12)</t>
  </si>
  <si>
    <t>33</t>
  </si>
  <si>
    <t>II.1. (13)</t>
  </si>
  <si>
    <t>34</t>
  </si>
  <si>
    <t>II.2. (1)</t>
  </si>
  <si>
    <t>II.2. (11)</t>
  </si>
  <si>
    <t xml:space="preserve">II.3. Társulás által fenntartott óvodákba bejáró gyermekek utaztatásának támogatása </t>
  </si>
  <si>
    <t>II.3.</t>
  </si>
  <si>
    <t xml:space="preserve">Társulás által fenntartott óvodákba bejáró gyermekek utaztatásának támogatása </t>
  </si>
  <si>
    <t>II.4. Kiegészítő támogatás a pedagógusok és a pedagógus szakképzettséggel rendelkező segítők minősítéből adódó többletkiadásokhoz</t>
  </si>
  <si>
    <t>37</t>
  </si>
  <si>
    <t>Alapfokozatú végzettségű pedagógus II. kategóriába sorolt pedagógusok kiegészítő támogatása, akik a minősítést 2019. január 1-jei átsorolással szerezték meg</t>
  </si>
  <si>
    <t>38</t>
  </si>
  <si>
    <t>II.4.b (1)</t>
  </si>
  <si>
    <t>Alapfokozatú végzettségű pedagógus II. kategóriába sorolt pedagógusok kiegészítő támogatása, akik a minősítést 2020. január 1-jei átsorolással szerezték meg</t>
  </si>
  <si>
    <t>39</t>
  </si>
  <si>
    <t>II.4.a (2)</t>
  </si>
  <si>
    <t>Alapfokozatú végzettségű mesterpedagógus kategóriába sorolt pedagógusok kiegészítő támogatása, akik a minősítést 2019. január 1-jei átsorolással szerezték meg</t>
  </si>
  <si>
    <t>40</t>
  </si>
  <si>
    <t>II.4.b (2)</t>
  </si>
  <si>
    <t>Alapfokozatú végzettségű mesterpedagógus kategóriába sorolt pedagógusok kiegészítő támogatása, akik a minősítést 2020. január 1-jei átsorolással szerezték meg</t>
  </si>
  <si>
    <t>II.4.a (3)</t>
  </si>
  <si>
    <t>Mesterfokozatú végzettségű pedagógus II. kategóriába sorolt pedagógusok kiegészítő támogatása, akik a minősítést 2019. január 1-jei átsorolással szerezték meg</t>
  </si>
  <si>
    <t>42</t>
  </si>
  <si>
    <t>II.4.b (3)</t>
  </si>
  <si>
    <t>Mesterfokozatú végzettségű pedagógus II. kategóriába sorolt pedagógusok kiegészítő támogatása, akik a minősítést 2020. január 1-jei átsorolással szerezték meg</t>
  </si>
  <si>
    <t>II.4.a (4)</t>
  </si>
  <si>
    <t>Mesterfokozatú végzettségű mesterpedagógus kategóriába sorolt pedagógusok kiegészítő támogatása, akik a minősítést 2019. január 1-jei átsorolással szerezték meg</t>
  </si>
  <si>
    <t>44</t>
  </si>
  <si>
    <t>II.4.b (4)</t>
  </si>
  <si>
    <t>Mesterfokozatú végzettségű mesterpedagógus kategóriába sorolt pedagógusok kiegészítő támogatása, akik a minősítést 2020. január 1-jei átsorolással szerezték meg</t>
  </si>
  <si>
    <t>45</t>
  </si>
  <si>
    <t>II.4.a (5)</t>
  </si>
  <si>
    <t>46</t>
  </si>
  <si>
    <t>II.4.b (5)</t>
  </si>
  <si>
    <t>II.4.a (6)</t>
  </si>
  <si>
    <t>48</t>
  </si>
  <si>
    <t>II.4.b (6)</t>
  </si>
  <si>
    <t>49</t>
  </si>
  <si>
    <t>II.4.a (7)</t>
  </si>
  <si>
    <t>50</t>
  </si>
  <si>
    <t>II.4.b (7)</t>
  </si>
  <si>
    <t>51</t>
  </si>
  <si>
    <t>II.4.a (8)</t>
  </si>
  <si>
    <t>52</t>
  </si>
  <si>
    <t>II.4.b (8)</t>
  </si>
  <si>
    <t>II.5. Nemzetiségi pótlék</t>
  </si>
  <si>
    <t>53</t>
  </si>
  <si>
    <t>II.5. (1)</t>
  </si>
  <si>
    <t>54</t>
  </si>
  <si>
    <t>II.5. (2)</t>
  </si>
  <si>
    <t>55</t>
  </si>
  <si>
    <t>A települési önkormányzatok egyes köznevelési feladatainak támogatása</t>
  </si>
  <si>
    <t>56</t>
  </si>
  <si>
    <t>III.1.</t>
  </si>
  <si>
    <t>57</t>
  </si>
  <si>
    <t>III.2.a</t>
  </si>
  <si>
    <t>58</t>
  </si>
  <si>
    <t>III.2.b</t>
  </si>
  <si>
    <t>59</t>
  </si>
  <si>
    <t>III.2.c (1)</t>
  </si>
  <si>
    <t>60</t>
  </si>
  <si>
    <t>III.2.c (2)</t>
  </si>
  <si>
    <t>61</t>
  </si>
  <si>
    <t>III.2.da</t>
  </si>
  <si>
    <t>62</t>
  </si>
  <si>
    <t>III.2.db (1)</t>
  </si>
  <si>
    <t>III.2.db (2)</t>
  </si>
  <si>
    <t>III.2.e</t>
  </si>
  <si>
    <t>III.2.f Időskorúak nappali intézményi ellátása</t>
  </si>
  <si>
    <t>III.2.f (1)</t>
  </si>
  <si>
    <t>III.2.f (2)</t>
  </si>
  <si>
    <t>III.2.f (3)</t>
  </si>
  <si>
    <t>foglalkoztatási támogatásban részesülő időskorúak nappali intézményben ellátottak száma</t>
  </si>
  <si>
    <t>III.2.f (4)</t>
  </si>
  <si>
    <t>foglalkoztatási támogatásban részesülő időskorúak nappali intézményben ellátottak száma - társulás által történő feladatellátás</t>
  </si>
  <si>
    <t>III.2.g Fogyatékos és demens személyek nappali intézményi ellátása</t>
  </si>
  <si>
    <t>III.2.g (1)</t>
  </si>
  <si>
    <t>fogyatékos személyek nappali intézményi ellátása</t>
  </si>
  <si>
    <t>III.2.g (2)</t>
  </si>
  <si>
    <t>fogyatékos személyek nappali intézményi ellátása - társulás által történő feladatellátás</t>
  </si>
  <si>
    <t>III.2.g (3)</t>
  </si>
  <si>
    <t>foglalkoztatási támogatásban részesülő fogyatékos nappali intézményben ellátottak száma</t>
  </si>
  <si>
    <t>III.2.g (4)</t>
  </si>
  <si>
    <t>foglalkoztatási támogatásban részesülő fogyatékos nappali intézményben ellátottak száma - társulás által történő feladatellátás</t>
  </si>
  <si>
    <t>III.2.g (5)</t>
  </si>
  <si>
    <t>demens személyek nappali intézményi ellátása</t>
  </si>
  <si>
    <t>III.2.g (6)</t>
  </si>
  <si>
    <t>demens személyek nappali intézményi ellátása - társulás által történő feladatellátás</t>
  </si>
  <si>
    <t>75</t>
  </si>
  <si>
    <t>III.2.g (7)</t>
  </si>
  <si>
    <t>foglalkoztatási támogatásban részesülő, nappali intézményben ellátott demens személyek száma</t>
  </si>
  <si>
    <t>76</t>
  </si>
  <si>
    <t>III.2.g (8)</t>
  </si>
  <si>
    <t>foglalkoztatási támogatásban részesülő, nappali intézményben ellátott demens személyek száma - társulás által történő feladatellátás</t>
  </si>
  <si>
    <t>III.2.h Pszichiátriai és szenvedélybetegek nappali intézményi ellátása</t>
  </si>
  <si>
    <t>77</t>
  </si>
  <si>
    <t>III.2.h (1)</t>
  </si>
  <si>
    <t>pszichiátriai betegek nappali intézményi ellátása</t>
  </si>
  <si>
    <t>78</t>
  </si>
  <si>
    <t>III.2.h (2)</t>
  </si>
  <si>
    <t>pszichiátriai betegek nappali intézményi ellátása - társulás által történő feladatellátás</t>
  </si>
  <si>
    <t>79</t>
  </si>
  <si>
    <t>III.2.h (3)</t>
  </si>
  <si>
    <t>foglalkoztatási támogatásban részesülő, nappali intézményben ellátott pszichiátriai betegek száma</t>
  </si>
  <si>
    <t>80</t>
  </si>
  <si>
    <t>III.2.h (4)</t>
  </si>
  <si>
    <t>foglalkoztatási támogatásban részesülő, nappali intézményben ellátott pszichiátriai betegek száma - társulás által történő feladatellátás</t>
  </si>
  <si>
    <t>81</t>
  </si>
  <si>
    <t>III.2.h (5)</t>
  </si>
  <si>
    <t>szenvedélybetegek nappali intézményi ellátása</t>
  </si>
  <si>
    <t>82</t>
  </si>
  <si>
    <t>III.2.h (6)</t>
  </si>
  <si>
    <t>szenvedélybetegek nappali intézményi ellátása - társulás által történő feladatellátás</t>
  </si>
  <si>
    <t>83</t>
  </si>
  <si>
    <t>III.2.h (7)</t>
  </si>
  <si>
    <t>foglalkoztatási támogatásban részesülő, nappali intézményben ellátott szenvedélybetegek száma</t>
  </si>
  <si>
    <t>84</t>
  </si>
  <si>
    <t>III.2.h (8)</t>
  </si>
  <si>
    <t>foglalkoztatási támogatásban részesülő, nappali intézményben ellátott szenvedélybetegek száma - társulás által történő feladatellátás</t>
  </si>
  <si>
    <t>III.2.i Hajléktalanok nappali intézményi ellátása</t>
  </si>
  <si>
    <t>85</t>
  </si>
  <si>
    <t>III.2.i (1)</t>
  </si>
  <si>
    <t>hajléktalanok nappali intézményi ellátása</t>
  </si>
  <si>
    <t>86</t>
  </si>
  <si>
    <t>III.2.i (2)</t>
  </si>
  <si>
    <t>hajléktalanok nappali intézményi ellátása - társulás által történő feladatellátás</t>
  </si>
  <si>
    <t>III.2.j Családi bölcsőde</t>
  </si>
  <si>
    <t>87</t>
  </si>
  <si>
    <t>III.2.j (1)</t>
  </si>
  <si>
    <t>családi bölcsőde</t>
  </si>
  <si>
    <t>88</t>
  </si>
  <si>
    <t>III.2.j (2)</t>
  </si>
  <si>
    <t>családi bölcsőde - társulás által történő feladatellátás</t>
  </si>
  <si>
    <t>89</t>
  </si>
  <si>
    <t>III.2.j (3)</t>
  </si>
  <si>
    <t xml:space="preserve">Gyvt. 145. § (2c) bekezdés b) pontja alapján befogadást nyert napközbeni gyermekfelügyelet </t>
  </si>
  <si>
    <t>III.2.k Hajléktalanok átmeneti intézményei</t>
  </si>
  <si>
    <t>90</t>
  </si>
  <si>
    <t>III.2.k (1)</t>
  </si>
  <si>
    <t>hajléktalanok átmeneti szállása, éjjeli menedékhely összesen</t>
  </si>
  <si>
    <t>férőhely</t>
  </si>
  <si>
    <t>91</t>
  </si>
  <si>
    <t>III.2.k (6)</t>
  </si>
  <si>
    <t>hajléktalanok átmeneti szállása, éjjeli menedékhely összesen - társulás által történő feladatellátás</t>
  </si>
  <si>
    <t>92</t>
  </si>
  <si>
    <t>III.2.k (11)</t>
  </si>
  <si>
    <t xml:space="preserve">kizárólag lakhatási szolgáltatás </t>
  </si>
  <si>
    <t>III.2.l Támogató szolgáltatás</t>
  </si>
  <si>
    <t>93</t>
  </si>
  <si>
    <t>III.2.l (1)</t>
  </si>
  <si>
    <t>támogató szolgáltatás - alaptámogatás</t>
  </si>
  <si>
    <t>94</t>
  </si>
  <si>
    <t>III.2.l (2)</t>
  </si>
  <si>
    <t>támogató szolgáltatás - teljesítménytámogatás</t>
  </si>
  <si>
    <t>feladategység</t>
  </si>
  <si>
    <t>III.2.m Közösségi alapellátások</t>
  </si>
  <si>
    <t>95</t>
  </si>
  <si>
    <t>III.2.ma (1)</t>
  </si>
  <si>
    <t>pszichiátriai betegek részére nyújtott közösségi alapellátás - alaptámogatás</t>
  </si>
  <si>
    <t>96</t>
  </si>
  <si>
    <t>III.2.ma (2)</t>
  </si>
  <si>
    <t>pszichiátriai betegek részére nyújtott közösségi alapellátás - teljesítménytámogatás</t>
  </si>
  <si>
    <t>97</t>
  </si>
  <si>
    <t>III.2.mb (1)</t>
  </si>
  <si>
    <t>szenvedélybetegek részére nyújtott közösségi alapellátás - alaptámogatás</t>
  </si>
  <si>
    <t>98</t>
  </si>
  <si>
    <t>III.2.mb (2)</t>
  </si>
  <si>
    <t>szenvedélybetegek részére nyújtott közösségi alapellátás - teljesítménytámogatás</t>
  </si>
  <si>
    <t>III.2.n Óvodai és iskolai szociális segítő tevékenység támogatása</t>
  </si>
  <si>
    <t>99</t>
  </si>
  <si>
    <t>III.2.n</t>
  </si>
  <si>
    <t>Óvodai és iskolai szociális segítő tevékenység támogatása</t>
  </si>
  <si>
    <t>III.3 Bölcsőde, mini bölcsőde támogatása</t>
  </si>
  <si>
    <t>100</t>
  </si>
  <si>
    <t xml:space="preserve"> III.3.a (1)</t>
  </si>
  <si>
    <t>101</t>
  </si>
  <si>
    <t xml:space="preserve"> III.3.a (2)</t>
  </si>
  <si>
    <t>102</t>
  </si>
  <si>
    <t xml:space="preserve"> III.3.b</t>
  </si>
  <si>
    <t>III. 4. A települési önkormányzatok által biztosított egyes szociális szakosított ellátások, valamint a gyermekek átmeneti gondozásával kapcsolatos feladatok támogatása</t>
  </si>
  <si>
    <t>103</t>
  </si>
  <si>
    <t>III.4.a</t>
  </si>
  <si>
    <t>A finanszírozás szempontjából elismert szakmai dolgozók bértámogatása</t>
  </si>
  <si>
    <t>104</t>
  </si>
  <si>
    <t>III.4.b</t>
  </si>
  <si>
    <t>Intézmény-üzemeltetési támogatás</t>
  </si>
  <si>
    <t>105</t>
  </si>
  <si>
    <t>III.5.aa)</t>
  </si>
  <si>
    <t>106</t>
  </si>
  <si>
    <t>III.5.ab)</t>
  </si>
  <si>
    <t>107</t>
  </si>
  <si>
    <t>III.5.b)</t>
  </si>
  <si>
    <t>108</t>
  </si>
  <si>
    <t>A települési önkormányzatok szociális, gyermekjóléti és gyermekétkeztetési feladatainak támogatása</t>
  </si>
  <si>
    <t>IV. A TELEPÜLÉSI ÖNKORMÁNYZATOK KULTURÁLIS FELADATAINAK TÁMOGATÁSA</t>
  </si>
  <si>
    <t>109</t>
  </si>
  <si>
    <t>IV.a</t>
  </si>
  <si>
    <t xml:space="preserve">Megyeszékhely megyei jogú városok és Szentendre Város Önkormányzata közművelődési feladatainak támogatása </t>
  </si>
  <si>
    <t>IV.b</t>
  </si>
  <si>
    <t>IV.c</t>
  </si>
  <si>
    <t xml:space="preserve">Budapest Főváros Önkormányzata múzeumi, könyvtári és közművelődési feladatainak támogatása </t>
  </si>
  <si>
    <t>IV.d</t>
  </si>
  <si>
    <t>Fővárosi kerületi önkormányzatok közművelődési feladatainak támogatása</t>
  </si>
  <si>
    <t>IV.e</t>
  </si>
  <si>
    <t xml:space="preserve">Megyei hatókörű városi könyvtár kistelepülési könyvtári célú kiegészítő támogatása </t>
  </si>
  <si>
    <t>összesen</t>
  </si>
  <si>
    <t>Belterületi utak utófinanszírozott része</t>
  </si>
  <si>
    <t>Daköv Kft bérleti díja</t>
  </si>
  <si>
    <t xml:space="preserve">            M e g n e v e z é s </t>
  </si>
  <si>
    <t>megjegyzés</t>
  </si>
  <si>
    <t>Áthúzódó feladatok</t>
  </si>
  <si>
    <t>Vizminőség javító pályázat</t>
  </si>
  <si>
    <t>pontosítani sükséges</t>
  </si>
  <si>
    <t>Szoc rehab pályázat Ktg</t>
  </si>
  <si>
    <t>Vízitúra épület csónaktároló/ sporteszközök</t>
  </si>
  <si>
    <t>Eszközbeszerzés új határozatnak megfelelően</t>
  </si>
  <si>
    <t>sporteszközök aljzata és kerítés</t>
  </si>
  <si>
    <t>közvilágítás áthúzódó kiadása</t>
  </si>
  <si>
    <t>maradvány terhére</t>
  </si>
  <si>
    <t>Bíróság  új épületének létrehozása</t>
  </si>
  <si>
    <t>P+R parkoló hév állomás</t>
  </si>
  <si>
    <t>hitel terhére</t>
  </si>
  <si>
    <t>P+R parkoló tervezési díja</t>
  </si>
  <si>
    <t>Kerékpárút létesítésére pályázati önerő</t>
  </si>
  <si>
    <t>pályázati előleg és önerő maradvány terhére</t>
  </si>
  <si>
    <t>lezárult, elszámolásbó lesz még visszatérülés</t>
  </si>
  <si>
    <t>pályázati előleg és önerő maradnány terhére</t>
  </si>
  <si>
    <t>Szent Vendel utcai telkek engedélyezési terve</t>
  </si>
  <si>
    <t xml:space="preserve"> közművesítés 20 millió Ft + elektromos és gáz + útalap, döntés szükséges</t>
  </si>
  <si>
    <t>Kompok Révek támogatés</t>
  </si>
  <si>
    <t>Ráckevei csónakos piac pályázat előkésztése II. részlet</t>
  </si>
  <si>
    <t>Külterületi utak pályázat</t>
  </si>
  <si>
    <t>támogatás utófinanszírozása még várható</t>
  </si>
  <si>
    <t>járda kialakítás több helyen</t>
  </si>
  <si>
    <t>emelt összeg, maradvány terhére, Kossuth utca</t>
  </si>
  <si>
    <t>Vályogos út kialakítás</t>
  </si>
  <si>
    <t>lezárult</t>
  </si>
  <si>
    <t>Új feladatok</t>
  </si>
  <si>
    <t>Csapadékvíz elvezetés kiadásai</t>
  </si>
  <si>
    <t>átfogó csapadékvízelvezetési terv szükséges</t>
  </si>
  <si>
    <t>Közbiztonsági eszközök beszerzése</t>
  </si>
  <si>
    <t>Stégek felújítása</t>
  </si>
  <si>
    <t>Közvilágítás fejlesztése</t>
  </si>
  <si>
    <t>Somlyó sziget közvilágítás hálózat kiépítése</t>
  </si>
  <si>
    <t>döntés szükséges</t>
  </si>
  <si>
    <t>1 Ft támogatás terhére  végzendő feladatok</t>
  </si>
  <si>
    <t>Szivattyúk beszerzése új rákötések miatt</t>
  </si>
  <si>
    <t>Rákötés miatti gerincvezeték csere</t>
  </si>
  <si>
    <t>Szivárvány óvoda beruházás</t>
  </si>
  <si>
    <t>ÁKMK beruházás</t>
  </si>
  <si>
    <t>Bölcsőde beruházás</t>
  </si>
  <si>
    <t>Múzeum beruházás</t>
  </si>
  <si>
    <t>szakorvosi beruházás</t>
  </si>
  <si>
    <t>Konyha-vigi</t>
  </si>
  <si>
    <t>PH</t>
  </si>
  <si>
    <t>könyvtár</t>
  </si>
  <si>
    <t>1. BERUHÁZÁSOK MINDÖSSZESEN</t>
  </si>
  <si>
    <t>3/b melléklet</t>
  </si>
  <si>
    <t>Alcím/szakfeladat</t>
  </si>
  <si>
    <t>megnevezése</t>
  </si>
  <si>
    <t>Össze-</t>
  </si>
  <si>
    <t>INTÉZMÉNYI FELADATOK</t>
  </si>
  <si>
    <t>kiadás össz.</t>
  </si>
  <si>
    <t>gyámhivatal</t>
  </si>
  <si>
    <t>építésügyi hivatal</t>
  </si>
  <si>
    <t>okmányiroda</t>
  </si>
  <si>
    <t>Területi,körzeti igazgat.</t>
  </si>
  <si>
    <t>Lapkiadás ( Ráckevei Újság)</t>
  </si>
  <si>
    <t>Révközlekedés</t>
  </si>
  <si>
    <t xml:space="preserve">Közfoglalkoztatás </t>
  </si>
  <si>
    <t>Közutak üzemeltetése, fenntartása</t>
  </si>
  <si>
    <t>Polgári védelmi tevékenység (rendőrség</t>
  </si>
  <si>
    <t>Polgárőrség</t>
  </si>
  <si>
    <t>Város és Községgazdálkodás</t>
  </si>
  <si>
    <t>Közkutak vízdíja</t>
  </si>
  <si>
    <t>Ingatlanok</t>
  </si>
  <si>
    <t xml:space="preserve"> Szúnyog-,kullancs,rágcs.írt.</t>
  </si>
  <si>
    <t>Egyéb városgazdálkod.fa.</t>
  </si>
  <si>
    <t>Egyéb városgazdálkodás önkéntes</t>
  </si>
  <si>
    <t>Térmester és közterület feladatok</t>
  </si>
  <si>
    <t xml:space="preserve">    Szent István tér 5. </t>
  </si>
  <si>
    <t>kis duna Vízi fesztivál</t>
  </si>
  <si>
    <t>asp</t>
  </si>
  <si>
    <t>szoc rehab</t>
  </si>
  <si>
    <t>Közvilágítás</t>
  </si>
  <si>
    <t>Önk.intézményekkal kapcs.kiad.</t>
  </si>
  <si>
    <t>Orvosi ügyelet</t>
  </si>
  <si>
    <t>Települési hulladékok kezelése</t>
  </si>
  <si>
    <t>Egyéb szórakoztató, reklám</t>
  </si>
  <si>
    <t>kamatkiadások, feladatra nem tervezhető</t>
  </si>
  <si>
    <t>reprezentáció</t>
  </si>
  <si>
    <t>idegen bevétel , letéti számla</t>
  </si>
  <si>
    <t>Önkorm. feladatok ÖSSZESEN</t>
  </si>
  <si>
    <t>Ráckeve, 2008.február 12</t>
  </si>
  <si>
    <t>különbség előző évihez</t>
  </si>
  <si>
    <t>ebből önkéntes feladat</t>
  </si>
  <si>
    <t xml:space="preserve">           2019. évi </t>
  </si>
  <si>
    <t>Önkormányzati feladatok működési kiadásainak részletezése</t>
  </si>
  <si>
    <t xml:space="preserve">Személyi juttatások </t>
  </si>
  <si>
    <t>Munkaadókat terhelő járulékok</t>
  </si>
  <si>
    <t>Dologi kiadások</t>
  </si>
  <si>
    <t xml:space="preserve">      2020 . évi </t>
  </si>
  <si>
    <t>ellenőrzés</t>
  </si>
  <si>
    <t>Önkormányzat összesen</t>
  </si>
  <si>
    <t>Ifjúság úti óvoda</t>
  </si>
  <si>
    <t>Új épületrészben tetőtér beépítése (irodarész, öltöző, szertár, Wc-mosdó)</t>
  </si>
  <si>
    <t>Konyha bővítése (konténer konyha)</t>
  </si>
  <si>
    <t>Új udvarrész kialakítása</t>
  </si>
  <si>
    <t>Villamos energia hálózatfejlesztése</t>
  </si>
  <si>
    <t>Épület szigetelése, külső színezés</t>
  </si>
  <si>
    <t>Vörösmarty Óvoda</t>
  </si>
  <si>
    <t>új kazán a régi iskola melleti épületnek</t>
  </si>
  <si>
    <t>Hátsó homokozó fölé árnyékoló építése</t>
  </si>
  <si>
    <t>Épület hátsó részének szigetelése + színezése</t>
  </si>
  <si>
    <t>Tetőtér beépítése</t>
  </si>
  <si>
    <t>Iskola utca</t>
  </si>
  <si>
    <t>Dömsödi Úti Óvoda</t>
  </si>
  <si>
    <t xml:space="preserve">3. </t>
  </si>
  <si>
    <t>összes hiány</t>
  </si>
  <si>
    <t>Finanszírozási célú pénzügyi műveletek cél szerinti tagolásban</t>
  </si>
  <si>
    <t>Megnevezés</t>
  </si>
  <si>
    <t>összeg Ft</t>
  </si>
  <si>
    <t>előző évi felvét lehívása</t>
  </si>
  <si>
    <t xml:space="preserve">új hitel </t>
  </si>
  <si>
    <t>már meglévő lehívása</t>
  </si>
  <si>
    <t>pénzmaradvány</t>
  </si>
  <si>
    <t>támogatás</t>
  </si>
  <si>
    <t>saját bevétel terhére</t>
  </si>
  <si>
    <t>egyéb lórév</t>
  </si>
  <si>
    <t>Tárgyi eszköz</t>
  </si>
  <si>
    <t>kontrol sor</t>
  </si>
  <si>
    <t>Kék ház ablakcsere</t>
  </si>
  <si>
    <t>útfelújítások</t>
  </si>
  <si>
    <t>előző évi elmaradt hitellehívás</t>
  </si>
  <si>
    <t>további útfelújítás</t>
  </si>
  <si>
    <t>összes lehívás</t>
  </si>
  <si>
    <t>eltérés</t>
  </si>
  <si>
    <t>eltérések</t>
  </si>
  <si>
    <t xml:space="preserve">  2020. évi államháztartáson belüli támogatás bevételek és átvett pénzeszköz bevételek</t>
  </si>
  <si>
    <t xml:space="preserve">Önkormányzat  2020 évi működési és finanszírozási bevételek </t>
  </si>
  <si>
    <t>2020. évi  költségvetésének pénzügyi mérlege</t>
  </si>
  <si>
    <t>További igény</t>
  </si>
  <si>
    <t>Ft</t>
  </si>
  <si>
    <t>További turisztikai fejlesztések</t>
  </si>
  <si>
    <t>165millió Ft becsült kivitelezés 30%-a</t>
  </si>
  <si>
    <t>Rávüsz Kft támogatása</t>
  </si>
  <si>
    <t>Költségvetés tervezés</t>
  </si>
  <si>
    <t>ŰrlapSsz.</t>
  </si>
  <si>
    <t>Rovat megnevezése</t>
  </si>
  <si>
    <t>Rovat
száma</t>
  </si>
  <si>
    <t>bölcsi</t>
  </si>
  <si>
    <t>óvoda</t>
  </si>
  <si>
    <t>konyha</t>
  </si>
  <si>
    <t>VIGI nem konyha</t>
  </si>
  <si>
    <t>hivatal</t>
  </si>
  <si>
    <t>VIGI INTÉZMÉNY keretgazdálkodó összesen</t>
  </si>
  <si>
    <t>ktgv-i tábla adata</t>
  </si>
  <si>
    <t>ÁFA (tájékozta-tó adat)</t>
  </si>
  <si>
    <t>Bruttó (keret-gazdálk.adata</t>
  </si>
  <si>
    <t>K Ö L T S É G V E T É S I    K I A D Á S O K</t>
  </si>
  <si>
    <t>01</t>
  </si>
  <si>
    <t>Törvény szerinti illetmények, munkabérek</t>
  </si>
  <si>
    <t>K1101</t>
  </si>
  <si>
    <t>02</t>
  </si>
  <si>
    <t>Normatív jutalmak</t>
  </si>
  <si>
    <t>K1102</t>
  </si>
  <si>
    <t>03</t>
  </si>
  <si>
    <t>Céljuttatás, projektprémium</t>
  </si>
  <si>
    <t>K1103</t>
  </si>
  <si>
    <t>04</t>
  </si>
  <si>
    <t>Készenléti, ügyeleti, helyettesítési díj, túlóra, túlszolgálat</t>
  </si>
  <si>
    <t>K1104</t>
  </si>
  <si>
    <t>05</t>
  </si>
  <si>
    <t>Végkielégítés</t>
  </si>
  <si>
    <t>K1105</t>
  </si>
  <si>
    <t>06</t>
  </si>
  <si>
    <t>Jubileumi jutalom</t>
  </si>
  <si>
    <t>K1106</t>
  </si>
  <si>
    <t>07</t>
  </si>
  <si>
    <t>Béren kívüli juttatások</t>
  </si>
  <si>
    <t>K1107</t>
  </si>
  <si>
    <t>08</t>
  </si>
  <si>
    <t>Ruházati költségtérítés</t>
  </si>
  <si>
    <t>K1108</t>
  </si>
  <si>
    <t>09</t>
  </si>
  <si>
    <t>Közlekedési költségtérítés</t>
  </si>
  <si>
    <t>K1109</t>
  </si>
  <si>
    <t>Egyéb költségtérítések</t>
  </si>
  <si>
    <t>K1110</t>
  </si>
  <si>
    <t>Lakhatási támogatások</t>
  </si>
  <si>
    <t>K1111</t>
  </si>
  <si>
    <t>Szociális támogatások</t>
  </si>
  <si>
    <t>K1112</t>
  </si>
  <si>
    <t>Foglalkoztatottak egyéb személyi juttatásai</t>
  </si>
  <si>
    <t>K1113</t>
  </si>
  <si>
    <t>Foglalkoztatottak személyi juttatásai (=01+…+13)</t>
  </si>
  <si>
    <t>K11</t>
  </si>
  <si>
    <t>Választott tisztségviselők juttatásai</t>
  </si>
  <si>
    <t>K121</t>
  </si>
  <si>
    <t>Munkavégzésre irányuló egyéb jogviszonyban nem saját foglalkoztatottnak fizetett juttatások</t>
  </si>
  <si>
    <t>K122</t>
  </si>
  <si>
    <t>Egyéb külső személyi juttatások</t>
  </si>
  <si>
    <t>K123</t>
  </si>
  <si>
    <t>Külső személyi juttatások (=15+16+17)</t>
  </si>
  <si>
    <t>K12</t>
  </si>
  <si>
    <t>Személyi juttatások (=14+18)</t>
  </si>
  <si>
    <t>K1</t>
  </si>
  <si>
    <t xml:space="preserve">Munkaadókat terh.járulékok és szoc.hozzájár.adó                                                                            </t>
  </si>
  <si>
    <t>K2</t>
  </si>
  <si>
    <t>Szakmai anyagok beszerzése</t>
  </si>
  <si>
    <t>K311</t>
  </si>
  <si>
    <t>Üzemeltetési anyagok beszerzése</t>
  </si>
  <si>
    <t>K312</t>
  </si>
  <si>
    <t>Árubeszerzés</t>
  </si>
  <si>
    <t>K313</t>
  </si>
  <si>
    <t>Készletbeszerzés (=21+22+23)</t>
  </si>
  <si>
    <t>K31</t>
  </si>
  <si>
    <t>Informatikai szolgáltatások igénybevétele</t>
  </si>
  <si>
    <t>K321</t>
  </si>
  <si>
    <t>Egyéb kommunikációs szolgáltatások</t>
  </si>
  <si>
    <t>K322</t>
  </si>
  <si>
    <t>Kommunikációs szolgáltatások (=25+26)</t>
  </si>
  <si>
    <t>K32</t>
  </si>
  <si>
    <t>Közüzemi díjak</t>
  </si>
  <si>
    <t>K331</t>
  </si>
  <si>
    <t>Vásárolt élelmezés</t>
  </si>
  <si>
    <t>K332</t>
  </si>
  <si>
    <t>Bérleti és lízing díjak</t>
  </si>
  <si>
    <t>K333</t>
  </si>
  <si>
    <t>Karbantartási, kisjavítási szolgáltatások</t>
  </si>
  <si>
    <t>K334</t>
  </si>
  <si>
    <t>Közvetített szolgáltatások</t>
  </si>
  <si>
    <t>K335</t>
  </si>
  <si>
    <t xml:space="preserve">Szakmai tevékenységet segítő szolgáltatások </t>
  </si>
  <si>
    <t>K336</t>
  </si>
  <si>
    <t>Egyéb szolgáltatások</t>
  </si>
  <si>
    <t>K337</t>
  </si>
  <si>
    <t>Szolgáltatási kiadások (=28+…+34)</t>
  </si>
  <si>
    <t>K33</t>
  </si>
  <si>
    <t>Kiküldetések kiadásai</t>
  </si>
  <si>
    <t>K341</t>
  </si>
  <si>
    <t>Reklám- és propagandakiadások</t>
  </si>
  <si>
    <t>K342</t>
  </si>
  <si>
    <t>Kiküldetések, reklám- és propagandakiadások (=36+37)</t>
  </si>
  <si>
    <t>K34</t>
  </si>
  <si>
    <t>Működési célú előzetesen felszámított ÁFA</t>
  </si>
  <si>
    <t>K351</t>
  </si>
  <si>
    <t xml:space="preserve">Fizetendő általános forgalmi adó </t>
  </si>
  <si>
    <t>K352</t>
  </si>
  <si>
    <t xml:space="preserve">Kamatkiadások </t>
  </si>
  <si>
    <t>K353</t>
  </si>
  <si>
    <t>Egyéb pénzügyi műveletek kiadásai</t>
  </si>
  <si>
    <t>K354</t>
  </si>
  <si>
    <t>Egyéb dologi kiadások</t>
  </si>
  <si>
    <t>K355</t>
  </si>
  <si>
    <t>Különféle befizetések és egyéb dologi kiadások (=39+…+43)</t>
  </si>
  <si>
    <t>K35</t>
  </si>
  <si>
    <t>Dologi kiadások (=24+27+35+38+44)</t>
  </si>
  <si>
    <t>K3</t>
  </si>
  <si>
    <t>Társadalombiztosítási ellátások</t>
  </si>
  <si>
    <t>K41</t>
  </si>
  <si>
    <t>Családi támogatások</t>
  </si>
  <si>
    <t>K42</t>
  </si>
  <si>
    <t>Pénzbeli kárpótlások, kártérítések</t>
  </si>
  <si>
    <t>K43</t>
  </si>
  <si>
    <t>Betegséggel kapcsolatos (nem tb.) ellátások</t>
  </si>
  <si>
    <t>K44</t>
  </si>
  <si>
    <t>Foglalkoztatással, munkanélküliséggel kapcs.ellátások</t>
  </si>
  <si>
    <t>K45</t>
  </si>
  <si>
    <t>Lakhatással kapcsolatos ellátások</t>
  </si>
  <si>
    <t>K46</t>
  </si>
  <si>
    <t>Intézményi ellátottak pénzbeli juttatásai</t>
  </si>
  <si>
    <t>K47</t>
  </si>
  <si>
    <t>Egyéb nem intézményi ellátások</t>
  </si>
  <si>
    <t>K48</t>
  </si>
  <si>
    <t>Ellátottak pénzbeli juttatásai (=46+...+53)</t>
  </si>
  <si>
    <t>K4</t>
  </si>
  <si>
    <t>Nemzetközi kötelezettségek</t>
  </si>
  <si>
    <t>K501</t>
  </si>
  <si>
    <t>A helyi önkorm.-ok előző évi elszám.-ból szárm.kiadások</t>
  </si>
  <si>
    <t>K5021</t>
  </si>
  <si>
    <t>A helyi önkorm.-ok törvényi előíráson alapuló befizetései</t>
  </si>
  <si>
    <t>K5022</t>
  </si>
  <si>
    <t>Egyéb elvonások, befizetések</t>
  </si>
  <si>
    <t>K5023</t>
  </si>
  <si>
    <t>Elvonások és befizetések (=56+57+58)</t>
  </si>
  <si>
    <t>K502</t>
  </si>
  <si>
    <t xml:space="preserve">Műk.c.garanc- és kezességváll.-ból szárm.kifiz.áh.-n belü </t>
  </si>
  <si>
    <t>K503</t>
  </si>
  <si>
    <t xml:space="preserve">Műk.c.visszatérítendő támog., kölcs.nyújtása áh.-n belü. </t>
  </si>
  <si>
    <t>K504</t>
  </si>
  <si>
    <t xml:space="preserve">Műk.c.visszatérítendő támog., kölcs.törl.áh-n belülre </t>
  </si>
  <si>
    <t>K505</t>
  </si>
  <si>
    <t>Egyéb műk.célú támogatások államháztartáson belülre</t>
  </si>
  <si>
    <t>K506</t>
  </si>
  <si>
    <t>Működési célú garancia- és kezességvállalásból származó kifizetés államháztartáson kívülre</t>
  </si>
  <si>
    <t>K507</t>
  </si>
  <si>
    <t>Működési célú visszatérítendő támogatások, kölcsönök nyújtása államháztartáson kívülre</t>
  </si>
  <si>
    <t>K508</t>
  </si>
  <si>
    <t>Árkiegészítések, ártámogatások</t>
  </si>
  <si>
    <t>K509</t>
  </si>
  <si>
    <t>Kamattámogatások</t>
  </si>
  <si>
    <t>K510</t>
  </si>
  <si>
    <t>Működési célú támogatások az Európai Uniónak</t>
  </si>
  <si>
    <t>K511</t>
  </si>
  <si>
    <t>Egyéb műk.célú támogatások államháztartáson kívülre</t>
  </si>
  <si>
    <t>K512</t>
  </si>
  <si>
    <t>K513</t>
  </si>
  <si>
    <t>Egyéb működési célú kiadások (=55+59+…+70)</t>
  </si>
  <si>
    <t>K5</t>
  </si>
  <si>
    <t>Immateriális javak beszerzése, létesítése</t>
  </si>
  <si>
    <t>K61</t>
  </si>
  <si>
    <t>Ingatlanok beszerzése, létesítése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</si>
  <si>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</si>
  <si>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</si>
  <si>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</si>
  <si>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</si>
  <si>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</si>
  <si>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</si>
  <si>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</si>
  <si>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</si>
  <si>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</si>
  <si>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ÁFA</t>
  </si>
  <si>
    <t>K67</t>
  </si>
  <si>
    <t>Beruházások (=72+…+78)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</si>
  <si>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</si>
  <si>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</si>
  <si>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</si>
  <si>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</si>
  <si>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</si>
  <si>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</si>
  <si>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</si>
  <si>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ÁFA</t>
  </si>
  <si>
    <t>K74</t>
  </si>
  <si>
    <t>Felújítások (=80+...+83)</t>
  </si>
  <si>
    <t>K7</t>
  </si>
  <si>
    <t>Felhalmozási célú garancia- és kezességvállalásból származó kifizetés államháztartáson belülre</t>
  </si>
  <si>
    <t>K81</t>
  </si>
  <si>
    <t>Felhalmozási célú visszatérítendő támogatások, kölcsönök nyújtása államháztartáson belülre</t>
  </si>
  <si>
    <t>K82</t>
  </si>
  <si>
    <t>Felhalmozási célú visszatérítendő támogatások, kölcsönök törlesztése államháztartáson belülre</t>
  </si>
  <si>
    <t>K83</t>
  </si>
  <si>
    <t>Egyéb felhalmozási célú támogatások államháztartáson belülre</t>
  </si>
  <si>
    <t>K84</t>
  </si>
  <si>
    <t>Felhalmozási célú garancia- és kezességvállalásból származó kifizetés államháztartáson kívülre</t>
  </si>
  <si>
    <t>K85</t>
  </si>
  <si>
    <t>Felhalm.c.visszatérít.támog., kölcs.nyújtása áh.-on kív.-re</t>
  </si>
  <si>
    <t>K86</t>
  </si>
  <si>
    <t>Lakástámogatás</t>
  </si>
  <si>
    <t>K87</t>
  </si>
  <si>
    <t>Felhalmozási célú támogatások az Európai Uniónak</t>
  </si>
  <si>
    <t>K88</t>
  </si>
  <si>
    <t xml:space="preserve">Egyéb felhalmozási célú támogatások áh.-on kívülre </t>
  </si>
  <si>
    <t>K89</t>
  </si>
  <si>
    <t>Egyéb felhalmozási célú kiadások (=85+…+93)</t>
  </si>
  <si>
    <t>K8</t>
  </si>
  <si>
    <t>Költségvetési kiadások (=19+20+45+54+71+79+84+94)</t>
  </si>
  <si>
    <t>K1-K8</t>
  </si>
  <si>
    <t>ELLENŐRZŐ SZÁM:</t>
  </si>
  <si>
    <t xml:space="preserve">K Ö L T S É G V E T É S I    B E V É T E L E K  </t>
  </si>
  <si>
    <t>keretgazdálkodó összesen</t>
  </si>
  <si>
    <t>Helyi önkormányzatok működésének általános támog</t>
  </si>
  <si>
    <t>B111</t>
  </si>
  <si>
    <t>Települési önkormányzatok egyes köznevelési feladatainak támogatása</t>
  </si>
  <si>
    <t>B112</t>
  </si>
  <si>
    <t>Települési önkormányzatok szociális gyermekjóléti és gyermekétkeztetési feladatainak támogatása</t>
  </si>
  <si>
    <t>B113</t>
  </si>
  <si>
    <t>Települési önkormányzatok kulturális feladatainak támogatása</t>
  </si>
  <si>
    <t>B114</t>
  </si>
  <si>
    <t>Működési célú költségvetési támogatások és kiegészítő támogatások</t>
  </si>
  <si>
    <t>B115</t>
  </si>
  <si>
    <t>B116</t>
  </si>
  <si>
    <t>Önkormányzatok működési támogatásai (=01+…+06)</t>
  </si>
  <si>
    <t>B11</t>
  </si>
  <si>
    <t>B12</t>
  </si>
  <si>
    <t>Működési célú garancia- és kezességvállalásból származó megtérülések államháztartáson belülről</t>
  </si>
  <si>
    <t>B13</t>
  </si>
  <si>
    <t>Működési célú visszatérítendő támogatások, kölcsönök visszatérülése államháztartáson belülről</t>
  </si>
  <si>
    <t>B14</t>
  </si>
  <si>
    <t>Működési célú visszatérítendő támogatások, kölcsönök igénybevétele államháztartáson belülről</t>
  </si>
  <si>
    <t>B15</t>
  </si>
  <si>
    <t>B16</t>
  </si>
  <si>
    <t>Műk.célú támog.államházt.belülről (=07+…+12)</t>
  </si>
  <si>
    <t>B1</t>
  </si>
  <si>
    <t>B21</t>
  </si>
  <si>
    <t>Felhalmozási célú garancia- és kezességvállalásból származó megtérülések államháztartáson belülről</t>
  </si>
  <si>
    <t>B22</t>
  </si>
  <si>
    <t>Felhalmozási célú visszatérítendő támogatások, kölcsönök visszatérülése államháztartáson belülről</t>
  </si>
  <si>
    <t>B23</t>
  </si>
  <si>
    <t>Felhalmozási célú visszatérítendő támogatások, kölcsönök igénybevétele államháztartáson belülről</t>
  </si>
  <si>
    <t>B24</t>
  </si>
  <si>
    <t>Egyéb felhalmozási célú támogatások bevételei államháztartáson belülről</t>
  </si>
  <si>
    <t>B25</t>
  </si>
  <si>
    <t>Felhalm.célú támog.államházt.belülről (=14+…+18)</t>
  </si>
  <si>
    <t>B2</t>
  </si>
  <si>
    <t>Magánszemélyek jövedelemadói</t>
  </si>
  <si>
    <t>B311</t>
  </si>
  <si>
    <t xml:space="preserve">Társaságok jövedelemadói </t>
  </si>
  <si>
    <t>B312</t>
  </si>
  <si>
    <t>Jövedelemadók (=20+21)</t>
  </si>
  <si>
    <t>B31</t>
  </si>
  <si>
    <t>Szociális hozzájárulási adó és járulékok</t>
  </si>
  <si>
    <t>B32</t>
  </si>
  <si>
    <t>Bérhez és foglalkoztatáshoz kapcsolódó adók</t>
  </si>
  <si>
    <t>B33</t>
  </si>
  <si>
    <t xml:space="preserve">Vagyoni tipusú adók </t>
  </si>
  <si>
    <t>B34</t>
  </si>
  <si>
    <t xml:space="preserve">Értékesítési és forgalmi adók </t>
  </si>
  <si>
    <t>B351</t>
  </si>
  <si>
    <t xml:space="preserve">Fogyasztási adók </t>
  </si>
  <si>
    <t>B352</t>
  </si>
  <si>
    <t xml:space="preserve">Pénzügyi monopóliumok nyereségét terhelő adók </t>
  </si>
  <si>
    <t>B353</t>
  </si>
  <si>
    <t>Gépjárműadók</t>
  </si>
  <si>
    <t>B354</t>
  </si>
  <si>
    <t xml:space="preserve">Egyéb áruhasználati és szolgáltatási adók </t>
  </si>
  <si>
    <t>B355</t>
  </si>
  <si>
    <t xml:space="preserve">Termékek és szolgáltatások adói (=26+…+30) </t>
  </si>
  <si>
    <t>B35</t>
  </si>
  <si>
    <t xml:space="preserve">Egyéb közhatalmi bevételek </t>
  </si>
  <si>
    <t>B36</t>
  </si>
  <si>
    <t>Közhatalmi bevételek (=22+...+25+31+32)</t>
  </si>
  <si>
    <t>B3</t>
  </si>
  <si>
    <t>B401</t>
  </si>
  <si>
    <t>B402</t>
  </si>
  <si>
    <t>Közvetített szolgáltatások ellenértéke</t>
  </si>
  <si>
    <t>B403</t>
  </si>
  <si>
    <t>B404</t>
  </si>
  <si>
    <t>B405</t>
  </si>
  <si>
    <t>Kiszámlázott általános forgalmi adó</t>
  </si>
  <si>
    <t>B406</t>
  </si>
  <si>
    <t>B407</t>
  </si>
  <si>
    <t>Kamatbevételek</t>
  </si>
  <si>
    <t>B408</t>
  </si>
  <si>
    <t>B409</t>
  </si>
  <si>
    <t>B410</t>
  </si>
  <si>
    <t>B411</t>
  </si>
  <si>
    <t>Működési bevételek (=34+…+44)</t>
  </si>
  <si>
    <t>B4</t>
  </si>
  <si>
    <t>B51</t>
  </si>
  <si>
    <t>B52</t>
  </si>
  <si>
    <t>B53</t>
  </si>
  <si>
    <t>B54</t>
  </si>
  <si>
    <t>B55</t>
  </si>
  <si>
    <t>Felhalmozási bevételek (=46+…+50)</t>
  </si>
  <si>
    <t>B5</t>
  </si>
  <si>
    <t>Működési célú garancia- és kezességvállalásból származó megtérülések államháztartáson kívülről</t>
  </si>
  <si>
    <t>B61</t>
  </si>
  <si>
    <t>Működési célú visszatérítendő támogatások, kölcsönök visszatérülése az Európai Uniótól</t>
  </si>
  <si>
    <t>B62</t>
  </si>
  <si>
    <t>Műk.célú visszatérítendő támog., kölcsönök vissza-térülése kormányoktól és más nemzetközi szervezetektől</t>
  </si>
  <si>
    <t>B63</t>
  </si>
  <si>
    <t>Működési célú visszatérítendő támogatások, kölcsönök visszatérülése államháztartáson kívülről</t>
  </si>
  <si>
    <t>B64</t>
  </si>
  <si>
    <t>Egyéb működési célú átvett pénzeszközök</t>
  </si>
  <si>
    <t>B65</t>
  </si>
  <si>
    <t>Működési célú átvett pénzeszközök (=52+…+56)</t>
  </si>
  <si>
    <t>B6</t>
  </si>
  <si>
    <t>Felhalmozási célú garancia- és kezességvállalásból származó megtérülések államháztartáson kívülről</t>
  </si>
  <si>
    <t>B71</t>
  </si>
  <si>
    <t>Felhalmozási célú visszatérítendő támogatások, kölcsönök visszatérülése az Európai Uniótól</t>
  </si>
  <si>
    <t>B72</t>
  </si>
  <si>
    <t>Felhalm.célú visszatérítendő támog., kölcsönök vissza-térülése kormányoktól és más nemzetközi szervezetektől</t>
  </si>
  <si>
    <t>B73</t>
  </si>
  <si>
    <t>Felhalmozási célú visszatérítendő támogatások, kölcsönök visszatérülése államháztartáson kívülről</t>
  </si>
  <si>
    <t>B74</t>
  </si>
  <si>
    <t>Egyéb felhalmozási célú átvett pénzeszközök</t>
  </si>
  <si>
    <t>B75</t>
  </si>
  <si>
    <t>Felhalmozási célú átvett pénzeszközök (=58+…+62)</t>
  </si>
  <si>
    <t>B7</t>
  </si>
  <si>
    <t>Költségvetési bevételek (=13+19+33+45+51+57+63)</t>
  </si>
  <si>
    <t>B1-B7</t>
  </si>
  <si>
    <t xml:space="preserve">F I N A N S Z Í R O Z Á S I  B E V É T E L E K </t>
  </si>
  <si>
    <t>Hosszú lejáratú hitelek, kölcsönök felvétele pénzügyi vállalkozástól</t>
  </si>
  <si>
    <t>B8111</t>
  </si>
  <si>
    <t>Likviditási célú hitelek, kölcsönök felvétele pénzügyi vállalkozástól</t>
  </si>
  <si>
    <t>B8112</t>
  </si>
  <si>
    <t>Rövid lejáratú hitelek, kölcsönök felvétele pénzügyi vállalkozástól</t>
  </si>
  <si>
    <t>B8113</t>
  </si>
  <si>
    <t>Hitel-, kölcsönfelvétel pénzügyi vállalkozástól (=01+02+03)</t>
  </si>
  <si>
    <t>B811</t>
  </si>
  <si>
    <t>Forgatási célú belföldi értékpapírok beváltása, értékesítése</t>
  </si>
  <si>
    <t>B8121</t>
  </si>
  <si>
    <t>B8122</t>
  </si>
  <si>
    <t>Befektetési célú belföldi értékpapírok beváltása, értékesítése</t>
  </si>
  <si>
    <t>B8123</t>
  </si>
  <si>
    <t>B8124</t>
  </si>
  <si>
    <t>Belföldi értékpapírok bevételei (=05+..+08)</t>
  </si>
  <si>
    <t>B812</t>
  </si>
  <si>
    <t>B8131</t>
  </si>
  <si>
    <t>B8132</t>
  </si>
  <si>
    <t>Maradvány igénybevétele (=10+11)</t>
  </si>
  <si>
    <t>B813</t>
  </si>
  <si>
    <t>B814</t>
  </si>
  <si>
    <t>B815</t>
  </si>
  <si>
    <t>Központi, irányító szervi támogatás</t>
  </si>
  <si>
    <t>B816</t>
  </si>
  <si>
    <t>Lekötött bankbetétek megszüntetése</t>
  </si>
  <si>
    <t>B817</t>
  </si>
  <si>
    <t>Központi költségvetés sajátos finanszírozási bevételei</t>
  </si>
  <si>
    <t>B818</t>
  </si>
  <si>
    <t>Hosszú lejáratú tulajdonosi kölcsönök bevételei</t>
  </si>
  <si>
    <t>B8191</t>
  </si>
  <si>
    <t>Rövid lejáratú tulajdonosi kölcsönök bevételei</t>
  </si>
  <si>
    <t>B8192</t>
  </si>
  <si>
    <t>Tulajdonosi kölcsönök bevételei (=18+19)</t>
  </si>
  <si>
    <t>B819</t>
  </si>
  <si>
    <t>Belföldi finanszírozás bevételei (=04+09+12+…+17+20)</t>
  </si>
  <si>
    <t>B81</t>
  </si>
  <si>
    <t>Forgatási célú külföldi értékpapírok beváltása, értékesítése</t>
  </si>
  <si>
    <t>B821</t>
  </si>
  <si>
    <t>Befektetési célú külföldi értékpapírok beváltása, értékesítése</t>
  </si>
  <si>
    <t>B822</t>
  </si>
  <si>
    <t>B823</t>
  </si>
  <si>
    <t>Hitelek, kölcsönök felvétele külföldi kormányoktól és nemzetközi szervezetektől</t>
  </si>
  <si>
    <t>B824</t>
  </si>
  <si>
    <t>Hitelek, kölcsönök felvétele külföldi pénzintézetektől</t>
  </si>
  <si>
    <t>B825</t>
  </si>
  <si>
    <t>Külföldi finanszírozás bevételei (=22+…+26)</t>
  </si>
  <si>
    <t>B82</t>
  </si>
  <si>
    <t>B83</t>
  </si>
  <si>
    <t>B84</t>
  </si>
  <si>
    <t>FINANSZÍROZÁSI BEVÉTELEK (=21+27+28+29)</t>
  </si>
  <si>
    <t>B8</t>
  </si>
  <si>
    <t>Költségvetési és finanszírozási bevételek mindösszesen</t>
  </si>
  <si>
    <t xml:space="preserve">Ráckeve, </t>
  </si>
  <si>
    <t>év</t>
  </si>
  <si>
    <t xml:space="preserve">hó </t>
  </si>
  <si>
    <t>nap</t>
  </si>
  <si>
    <t>Készítette/összeállította:</t>
  </si>
  <si>
    <t>Jóváhagyta/előterjesztette:</t>
  </si>
  <si>
    <t>Bodor Lászlóné</t>
  </si>
  <si>
    <t>Bertalan Annamária</t>
  </si>
  <si>
    <t>gazdasági vezető</t>
  </si>
  <si>
    <t>intézményvezető</t>
  </si>
  <si>
    <t>maradvány és bicikli tároló + riasztó</t>
  </si>
  <si>
    <t>csak előleg fele</t>
  </si>
  <si>
    <t>meg nem valósult közbeszerzések is</t>
  </si>
  <si>
    <t>regesz</t>
  </si>
  <si>
    <t>Szakorvosi</t>
  </si>
  <si>
    <t>Nettó</t>
  </si>
  <si>
    <t>intézmény felújítások</t>
  </si>
  <si>
    <t>Külterületi utak</t>
  </si>
  <si>
    <t>KÖTELEZŐ FELADATOK MÉRLEGE</t>
  </si>
  <si>
    <t>1. sz. táblázat</t>
  </si>
  <si>
    <t>Önkormányzatok szociális és gyermekjóléti, étkeztetési feladatainak támogatása</t>
  </si>
  <si>
    <t>Működési célú támogatások államháztartáson belülről (2.1.+…+.2.5.)</t>
  </si>
  <si>
    <t xml:space="preserve">Egyéb működési célú támogatások bevételei államháztartáson belülről </t>
  </si>
  <si>
    <t>Felhalmozási célú támogatások államháztartáson belülről (3.1.+…+3.5.)</t>
  </si>
  <si>
    <t xml:space="preserve">   3.5.-ből EU-s támogatás</t>
  </si>
  <si>
    <t xml:space="preserve">   Rövid lejáratú  hitelek, kölcsönök felvétele pénzügyi vállalkozástól</t>
  </si>
  <si>
    <t>2. sz. táblázat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</si>
  <si>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</si>
  <si>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 xml:space="preserve"> - az 1.5-ből: - Előző évi elszámolásból származó befizetések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</si>
  <si>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</si>
  <si>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Egyéb felhalmozási célú kiadások</t>
  </si>
  <si>
    <t>2.5.-ből        - Garancia- és kezességvállalásból kifizetés ÁH-n belülre</t>
  </si>
  <si>
    <t>Hitel-, kölcsöntörlesztés államháztartáson kívülre (4.1. + … + 4.3.)</t>
  </si>
  <si>
    <t>Hitelek, kölcsönök törlesztése külföldi kormányoknak nemz. szervezeteknek</t>
  </si>
  <si>
    <t>3. sz. táblázat</t>
  </si>
  <si>
    <t>Finanszírozási bevételek, kiadások egyenlege (finanszírozási bevételek 17. sor - finanszírozási kiadások 10. sor)
 (+/-)</t>
  </si>
  <si>
    <t>Önként vállalt feladatok mérlege</t>
  </si>
  <si>
    <t>I. Működési célú bevételek és kiadások mérlege
(Önkormányzati szinten)</t>
  </si>
  <si>
    <t>Kiadások</t>
  </si>
  <si>
    <t>D</t>
  </si>
  <si>
    <t>Önkormányzatok működési támogatásai</t>
  </si>
  <si>
    <t>Személyi juttatások</t>
  </si>
  <si>
    <t>Működési célú támogatások államháztartáson belülről</t>
  </si>
  <si>
    <t>2.-ból EU-s támogatás</t>
  </si>
  <si>
    <t xml:space="preserve">Dologi kiadások </t>
  </si>
  <si>
    <t>Közhatalmi bevételek</t>
  </si>
  <si>
    <t>Működési bevételek</t>
  </si>
  <si>
    <t>Működési célú átvett pénzeszközök</t>
  </si>
  <si>
    <t>6.-ból EU-s támogatás (közvetlen)</t>
  </si>
  <si>
    <t>Költségvetési bevételek összesen (1.+2.+4.+5.+6.+8.+…+12.)</t>
  </si>
  <si>
    <t>Költségvetési kiadások összesen (1.+...+12.)</t>
  </si>
  <si>
    <t>Hiány belső finanszírozásának bevételei (15.+…+18. )</t>
  </si>
  <si>
    <t>Értékpapír vásárlása, visszavásárlása</t>
  </si>
  <si>
    <t xml:space="preserve">   Költségvetési maradvány igénybevétele </t>
  </si>
  <si>
    <t>Likviditási célú hitelek törlesztése</t>
  </si>
  <si>
    <t xml:space="preserve">   Vállalkozási maradvány igénybevétele </t>
  </si>
  <si>
    <t>Rövid lejáratú hitelek törlesztése</t>
  </si>
  <si>
    <t xml:space="preserve">   Betét visszavonásából származó bevétel </t>
  </si>
  <si>
    <t>Hosszú lejáratú hitelek törlesztése</t>
  </si>
  <si>
    <t>Értékpapír értékesítése</t>
  </si>
  <si>
    <t>Kölcsön törlesztése</t>
  </si>
  <si>
    <t xml:space="preserve">Hiány külső finanszírozásának bevételei (20.+…+21.) </t>
  </si>
  <si>
    <t>Forgatási célú belföldi, külföldi értékpapírok vásárlása</t>
  </si>
  <si>
    <t xml:space="preserve">   Likviditási célú hitelek, kölcsönök felvétele</t>
  </si>
  <si>
    <t>Egyéb</t>
  </si>
  <si>
    <t>Működési célú finanszírozási bevételek összesen (14.+19.+22.+23.)</t>
  </si>
  <si>
    <t>Működési célú finanszírozási kiadások összesen (14.+...+23.)</t>
  </si>
  <si>
    <t>BEVÉTEL ÖSSZESEN (13.+24.)</t>
  </si>
  <si>
    <t>KIADÁSOK ÖSSZESEN (13.+24.)</t>
  </si>
  <si>
    <t>Költségvetési hiány:</t>
  </si>
  <si>
    <t>Költségvetési többlet:</t>
  </si>
  <si>
    <t>Bruttó  hiány:</t>
  </si>
  <si>
    <t>Bruttó  többlet:</t>
  </si>
  <si>
    <t>II. Felhalmozási célú bevételek és kiadások mérlege
(Önkormányzati szinten)</t>
  </si>
  <si>
    <t>Felhalmozási célú támogatások államháztartáson belülről</t>
  </si>
  <si>
    <t>1.-ből EU-s támogatás</t>
  </si>
  <si>
    <t>1.-ből EU-s forrásból megvalósuló beruházás</t>
  </si>
  <si>
    <t>Felhalmozási bevételek</t>
  </si>
  <si>
    <t>Felhalmozási célú átvett pénzeszközök átvétele</t>
  </si>
  <si>
    <t>3.-ból EU-s forrásból megvalósuló felújítás</t>
  </si>
  <si>
    <t>4.-ből EU-s támogatás (közvetlen)</t>
  </si>
  <si>
    <t>Egyéb felhalmozási célú bevételek</t>
  </si>
  <si>
    <t>Költségvetési bevételek összesen: (1.+3.+4.+6.+…+11.)</t>
  </si>
  <si>
    <t>Költségvetési kiadások összesen: (1.+3.+5.+...+11.)</t>
  </si>
  <si>
    <t>Hiány belső finanszírozás bevételei ( 14+…+18)</t>
  </si>
  <si>
    <t>Költségvetési maradvány igénybevétele</t>
  </si>
  <si>
    <t>Hitelek törlesztése</t>
  </si>
  <si>
    <t xml:space="preserve">Vállalkozási maradvány igénybevétele </t>
  </si>
  <si>
    <t xml:space="preserve">Betét visszavonásából származó bevétel </t>
  </si>
  <si>
    <t>Egyéb belső finanszírozási bevételek</t>
  </si>
  <si>
    <t>Befektetési célú belföldi, külföldi értékpapírok vásárlása</t>
  </si>
  <si>
    <t>Hiány külső finanszírozásának bevételei (20+…+24 )</t>
  </si>
  <si>
    <t>Betét elhelyezése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</si>
  <si>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</si>
  <si>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</si>
  <si>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</si>
  <si>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</si>
  <si>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</si>
  <si>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Felhalmozási célú finanszírozási bevételek összesen (13.+19.)</t>
  </si>
  <si>
    <t>Felhalmozási célú finanszírozási kiadások összesen
(13.+...+24.)</t>
  </si>
  <si>
    <t>BEVÉTEL ÖSSZESEN (12+25)</t>
  </si>
  <si>
    <t>KIADÁSOK ÖSSZESEN (12+25)</t>
  </si>
  <si>
    <t>BEVÉTELEI, KIADÁSAI</t>
  </si>
  <si>
    <t>E</t>
  </si>
  <si>
    <t>Önkormányzat működési támogatásai</t>
  </si>
  <si>
    <t>Közhatalmi bevételek (4.1.+4.2.+4.3.+4.4.)</t>
  </si>
  <si>
    <t xml:space="preserve">Működési bevételek </t>
  </si>
  <si>
    <t xml:space="preserve">Működési célú átvett pénzeszközök </t>
  </si>
  <si>
    <t xml:space="preserve">Felhalmozási célú átvett pénzeszközök </t>
  </si>
  <si>
    <t xml:space="preserve">FINANSZÍROZÁSI BEVÉTELEK ÖSSZESEN: </t>
  </si>
  <si>
    <t>KÖLTSÉGVETÉSI ÉS FINANSZÍROZÁSI BEVÉTELEK ÖSSZESEN: (9+10)</t>
  </si>
  <si>
    <t>Sor-szám</t>
  </si>
  <si>
    <t xml:space="preserve">   Működési költségvetés kiadásai </t>
  </si>
  <si>
    <t xml:space="preserve">   Felhalmozási költségvetés kiadásai (2.1.+2.2.+2.3.)</t>
  </si>
  <si>
    <t>FINANSZÍROZÁSI KIADÁSOK ÖSSZESEN:</t>
  </si>
  <si>
    <t>KIADÁSOK ÖSSZESEN: (3.+4.)</t>
  </si>
  <si>
    <t>Önkormányzat adósságot keletkeztető ügyletei</t>
  </si>
  <si>
    <t>adósságot keletkeztető ügylet</t>
  </si>
  <si>
    <t>ebből engedély köteles</t>
  </si>
  <si>
    <t>Önkormányzati kötelezettségvállalások</t>
  </si>
  <si>
    <t>2012. december 31 állapot</t>
  </si>
  <si>
    <t>tőke</t>
  </si>
  <si>
    <t>ÁKMK átalakítás terv kamat</t>
  </si>
  <si>
    <t>járda felújítások kamat</t>
  </si>
  <si>
    <t>Táncsics utca kamat</t>
  </si>
  <si>
    <t>ÁFÁI felújítás kamat</t>
  </si>
  <si>
    <t>Közoktatási cílú hitel kamat</t>
  </si>
  <si>
    <t>közvilágítás fejlesztése 2017 tőke</t>
  </si>
  <si>
    <t>kamat</t>
  </si>
  <si>
    <t>szulai tó revitalizációja tőke</t>
  </si>
  <si>
    <t>szükség kompkikötő tőke</t>
  </si>
  <si>
    <t>buszmegállók létesítése tőke</t>
  </si>
  <si>
    <t>ÚJ hitelek Tőke</t>
  </si>
  <si>
    <t>halmozott tőke</t>
  </si>
  <si>
    <t>összesen tőke</t>
  </si>
  <si>
    <t>osztalék, koncessziós díj és hozam</t>
  </si>
  <si>
    <t>ennek 50 %-a, azaz a lehetséges határ</t>
  </si>
  <si>
    <t>megfelelés</t>
  </si>
  <si>
    <t>8. melléklet</t>
  </si>
  <si>
    <t>Kedvezmények összege</t>
  </si>
  <si>
    <t>Ellátottak térítési díjának méltányosságból történő elengedése</t>
  </si>
  <si>
    <t>Ellátottak kártérítésének méltányosságból történő elengedése</t>
  </si>
  <si>
    <t>Lakosság részére lakásépítéshez nyújtott kölcsön elengedése</t>
  </si>
  <si>
    <t>Lakosság részére lakásfelújításhoz nyújtott kölcsön elengedése</t>
  </si>
  <si>
    <t>Helyi adóból biztosított kedvezmény, mentesség összesen</t>
  </si>
  <si>
    <t xml:space="preserve">-ebből:            Építményadó </t>
  </si>
  <si>
    <t xml:space="preserve">Telekadó </t>
  </si>
  <si>
    <t xml:space="preserve">Magánszemélyek kommunális adója </t>
  </si>
  <si>
    <t xml:space="preserve">Idegenforgalmi adó tartózkodás után </t>
  </si>
  <si>
    <t xml:space="preserve">Idegenforgalmi adó épület után </t>
  </si>
  <si>
    <t xml:space="preserve">Iparűzési adó állandó jelleggel végzett iparűzési tevékenység után </t>
  </si>
  <si>
    <t>Gépjárműadóból biztosított kedvezmény, mentesség</t>
  </si>
  <si>
    <t>Helyiségek hasznosítása utáni kedvezmény, mentesség</t>
  </si>
  <si>
    <t>Eszközök hasznosítása utáni kedvezmény, mentesség</t>
  </si>
  <si>
    <t>Egyéb kedvezmény</t>
  </si>
  <si>
    <t>Egyéb kölcsön elengedése</t>
  </si>
  <si>
    <t>Összesen:</t>
  </si>
  <si>
    <t>Önkormányzat által adott közvetett támogatások
(kedvezmények)</t>
  </si>
  <si>
    <t>Előirányzat felhasználási ütemterv</t>
  </si>
  <si>
    <t>02.</t>
  </si>
  <si>
    <t>Szabó Gertrúd</t>
  </si>
  <si>
    <t>Önkormányzatok 2019 évi visszajáró</t>
  </si>
  <si>
    <t>Családsegítő társulás támogatása</t>
  </si>
  <si>
    <t>2020. évi költségvetés</t>
  </si>
  <si>
    <t>3. melléklet</t>
  </si>
  <si>
    <t>Likviditási ütemterv</t>
  </si>
  <si>
    <t xml:space="preserve">          Intézmény megnevezése</t>
  </si>
  <si>
    <t>(fő)</t>
  </si>
  <si>
    <t>Önkormányzat</t>
  </si>
  <si>
    <t>ebből: polgármester</t>
  </si>
  <si>
    <t>Szivárvány óvoda</t>
  </si>
  <si>
    <t>Városi Intézményi Gazdasági Iroda</t>
  </si>
  <si>
    <t>ebből vigi</t>
  </si>
  <si>
    <t>ebből ÁFÁI működtetés</t>
  </si>
  <si>
    <t>ebből konyha</t>
  </si>
  <si>
    <t>ebből ADY gimnázium működtetés</t>
  </si>
  <si>
    <t>Bölcsőde</t>
  </si>
  <si>
    <t>Skarica Máté Városi Könyvtár</t>
  </si>
  <si>
    <t>Ács Károly Művelődési Központ**</t>
  </si>
  <si>
    <t>ebből tourinform iroda</t>
  </si>
  <si>
    <t>VIGI intézmények összesen</t>
  </si>
  <si>
    <t>3/e melléklet</t>
  </si>
  <si>
    <t>javított</t>
  </si>
  <si>
    <t>elszámolható költség</t>
  </si>
  <si>
    <t>Eu Támogatás</t>
  </si>
  <si>
    <t>Kormány Támogatás</t>
  </si>
  <si>
    <t>terület előkészítés, építés</t>
  </si>
  <si>
    <t>PR</t>
  </si>
  <si>
    <t xml:space="preserve">         önerő</t>
  </si>
  <si>
    <t>önkormányzat által bonyolított</t>
  </si>
  <si>
    <t>Kontakt alapítvány által bonyolított</t>
  </si>
  <si>
    <t>Pest megyei Nonprofit Kft</t>
  </si>
  <si>
    <t>tervezés, előkészítés</t>
  </si>
  <si>
    <t>lakások építése, vásárlása, felújítása</t>
  </si>
  <si>
    <t>közösségi ház kialakítása</t>
  </si>
  <si>
    <t>terfigyelő rendszer kialakítása</t>
  </si>
  <si>
    <t>iskola udvar rendezés, játszótér</t>
  </si>
  <si>
    <t>homokbánya tisztítása</t>
  </si>
  <si>
    <t>járdaépítés</t>
  </si>
  <si>
    <t>eszközbeszerzés</t>
  </si>
  <si>
    <t>területelőkészítés</t>
  </si>
  <si>
    <t>építés</t>
  </si>
  <si>
    <t>szakmai megvílósítás ktg</t>
  </si>
  <si>
    <t>közreműködő munkatársak ktg</t>
  </si>
  <si>
    <t>projektmenedzsment</t>
  </si>
  <si>
    <t>képzések, utiköltségek</t>
  </si>
  <si>
    <t>tartalék</t>
  </si>
  <si>
    <t>elszámolható ktg</t>
  </si>
  <si>
    <t>2020 év</t>
  </si>
  <si>
    <t>10. melléklet</t>
  </si>
  <si>
    <t>11. melléklet</t>
  </si>
  <si>
    <t>Államigazgatási feladatok mérlege</t>
  </si>
  <si>
    <t>2. melléklet</t>
  </si>
  <si>
    <t>Állami támogatások részletezése</t>
  </si>
  <si>
    <t>RÁCKEVE VÁROS Intézményfinanszírozás alakulása 2020</t>
  </si>
  <si>
    <t>2019 Módosított</t>
  </si>
  <si>
    <t>Ráckevei Polgármesteri Hivatal</t>
  </si>
  <si>
    <t xml:space="preserve">Gólyafészek Bölcsőde </t>
  </si>
  <si>
    <t>Árád Múzeum</t>
  </si>
  <si>
    <t>4/a. melléklet az Európai Uniós fejlesztésekről</t>
  </si>
  <si>
    <t>12. sz. melléklet</t>
  </si>
  <si>
    <t>ebből</t>
  </si>
  <si>
    <t xml:space="preserve">ÁKMK kültéri Rácsos rész bővítése </t>
  </si>
  <si>
    <t>ÁKMK Raktárrész rendbetétele</t>
  </si>
  <si>
    <t xml:space="preserve"> Árpád Múzeum szennyvízakna felújítása, balesetmentesítése</t>
  </si>
  <si>
    <t>Ifjúság úti óvoda laminált padló cseréje</t>
  </si>
  <si>
    <t>Ifjúság úti óvoda Új épületrészhez wc, öltöző biztosítása</t>
  </si>
  <si>
    <t>Vörösmarty úti óvoda két darab kazán csere</t>
  </si>
  <si>
    <t>Vörösmarty úti óvoda Tető csatornájának felülvizsgálata</t>
  </si>
  <si>
    <t>Polgármesteri Hivatal helyiség leválasztás</t>
  </si>
  <si>
    <t>Családsegítő Központ helyiség leválasztás előírás miatt</t>
  </si>
  <si>
    <t>önerő támogatás Halászati Múzeum</t>
  </si>
  <si>
    <t>előző évekből fakadó fizetési kötelezettség kamat</t>
  </si>
  <si>
    <t>előző évekből fakadó fizetési kötelezettség tőke</t>
  </si>
  <si>
    <t>új hitel felvétele tőke</t>
  </si>
  <si>
    <t>előző évekből származó kötelezettség</t>
  </si>
  <si>
    <t>Tárgyévi kötelezettség</t>
  </si>
  <si>
    <t>ebből tőke</t>
  </si>
  <si>
    <t>összes kötelezettség</t>
  </si>
  <si>
    <t>ebből kamat</t>
  </si>
  <si>
    <t>Helyi adók</t>
  </si>
  <si>
    <t>Garancia- és kezességvállalásból származó megtérülések</t>
  </si>
  <si>
    <t>Díjak, pótlékok, bírságok, települési adók</t>
  </si>
  <si>
    <t>Immateriális javak, ingatlanok és egyéb tárgyi eszközök értékesítés</t>
  </si>
  <si>
    <t>Bölcsőde udvari játékok telepítése</t>
  </si>
  <si>
    <t>Dömsödi út felújítás</t>
  </si>
  <si>
    <t>1.b melléklet</t>
  </si>
  <si>
    <t>1.c melléklet</t>
  </si>
  <si>
    <t>1.d melléklet</t>
  </si>
  <si>
    <t>1.e melléklet</t>
  </si>
  <si>
    <t>Ráckeve Város Önkormányzatának  2020 évi bevételei</t>
  </si>
  <si>
    <t>2.a melléklet</t>
  </si>
  <si>
    <t>2.b melléklet</t>
  </si>
  <si>
    <t>Ráckeve Város Önkormányzatának  2020 évi kiadásai</t>
  </si>
  <si>
    <t>3.a melléklet</t>
  </si>
  <si>
    <t>RÁCKEVE VÁROS fenntartói kiegészítés alakulása 2020</t>
  </si>
  <si>
    <t>3.b melléklet</t>
  </si>
  <si>
    <t>Ft összeg</t>
  </si>
  <si>
    <t>3.c melléklet</t>
  </si>
  <si>
    <t xml:space="preserve">   A BERUHÁZÁSI KIADÁSOK ÉS FELHALMOZÁSI CÉLÚ PÉNZESZKÖZÁTADÁSOK</t>
  </si>
  <si>
    <t>BERUHÁZÁSOK</t>
  </si>
  <si>
    <t>sportpark fel nem használt része</t>
  </si>
  <si>
    <t>Tornaterem felújítás</t>
  </si>
  <si>
    <t xml:space="preserve">Újszülött gyermekek táblája </t>
  </si>
  <si>
    <t>Ivóvízminőség javítás pályázat</t>
  </si>
  <si>
    <t>Vízitúra eszközök beszerzése</t>
  </si>
  <si>
    <t>maradvány</t>
  </si>
  <si>
    <t>Szoc. Rehab.  pályázat</t>
  </si>
  <si>
    <t>teljes időszak</t>
  </si>
  <si>
    <t>Maradvány terhére</t>
  </si>
  <si>
    <t>Támogatás</t>
  </si>
  <si>
    <t>költségek</t>
  </si>
  <si>
    <t>Útfelújítás</t>
  </si>
  <si>
    <t xml:space="preserve"> 2020 év</t>
  </si>
  <si>
    <t>Zarándokút egyesület</t>
  </si>
  <si>
    <t>Sport célú támogatások (mely tartalmazza a Borkovits emlékverseny és a Kis duna maraton kiadásait is)</t>
  </si>
  <si>
    <t>INTÉZMÉNYEK ÖSSZESEN</t>
  </si>
  <si>
    <t xml:space="preserve">                   A mûködési célú pénzeszköz átadások, támogatások</t>
  </si>
  <si>
    <t>7.a melléklet</t>
  </si>
  <si>
    <t>7. melléklet</t>
  </si>
  <si>
    <t>Engedélyezett létszám keretek</t>
  </si>
  <si>
    <t>2020. ÉVI KÖLTSÉGVETÉSI ÉVET KÖVETŐ 3 ÉV TERVEZETT                                             9. melléklet</t>
  </si>
  <si>
    <t>Kötelezettségvállalások felső értéke</t>
  </si>
  <si>
    <t xml:space="preserve">12. a melléklet </t>
  </si>
  <si>
    <t>Ránki illemhely átalakítás kamat</t>
  </si>
  <si>
    <t>gyalogátkelőhelyek létesítése kamat</t>
  </si>
  <si>
    <t>kishajó kikötő tőke</t>
  </si>
  <si>
    <t>útfelújítás tőke</t>
  </si>
  <si>
    <t>2.c. melléklet</t>
  </si>
  <si>
    <t>1.a melléklet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</si>
</sst>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164" formatCode="_-* #,##0.00\ _F_t_-;\-* #,##0.00\ _F_t_-;_-* &quot;-&quot;??\ _F_t_-;_-@_-"/>
    <numFmt numFmtId="165" formatCode="#,##0.0"/>
    <numFmt numFmtId="166" formatCode="#,###"/>
    <numFmt numFmtId="167" formatCode="#,##0_ ;[Red]\-#,##0\ "/>
    <numFmt numFmtId="168" formatCode="[$-40E]General"/>
    <numFmt numFmtId="169" formatCode="#,##0.00\ [$Ft-40E];[Red]\-#,##0.00\ [$Ft-40E]"/>
    <numFmt numFmtId="170" formatCode="#,##0.00&quot; &quot;[$Ft-40E];[Red]&quot;-&quot;#,##0.00&quot; &quot;[$Ft-40E]"/>
    <numFmt numFmtId="171" formatCode="00"/>
    <numFmt numFmtId="172" formatCode="\ ##########"/>
    <numFmt numFmtId="173" formatCode="0__"/>
    <numFmt numFmtId="174" formatCode="#,##0\ [$Ft-40E];[Red]\-#,##0\ [$Ft-40E]"/>
    <numFmt numFmtId="175" formatCode="#,##0.000000"/>
  </numFmts>
  <fonts count="198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8"/>
      <name val="Arial"/>
      <family val="2"/>
      <charset val="238"/>
    </font>
    <font>
      <b/>
      <sz val="11"/>
      <name val="Arial"/>
      <family val="2"/>
      <charset val="238"/>
    </font>
    <font>
      <sz val="12"/>
      <name val="Arial"/>
      <family val="2"/>
      <charset val="238"/>
    </font>
    <font>
      <sz val="11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lbany"/>
      <family val="2"/>
    </font>
    <font>
      <b/>
      <sz val="10"/>
      <name val="MS Sans Serif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sz val="10"/>
      <name val="Cambria"/>
      <family val="1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i/>
      <sz val="10"/>
      <name val="Arial"/>
      <family val="2"/>
      <charset val="238"/>
    </font>
    <font>
      <i/>
      <sz val="11"/>
      <name val="Arial"/>
      <family val="2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sz val="9"/>
      <name val="Arial CE"/>
      <family val="2"/>
      <charset val="238"/>
    </font>
    <font>
      <sz val="12"/>
      <name val="Times New Roman CE"/>
      <charset val="238"/>
    </font>
    <font>
      <b/>
      <sz val="10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0"/>
      <name val="Arial CE"/>
      <charset val="238"/>
    </font>
    <font>
      <b/>
      <sz val="10"/>
      <color indexed="8"/>
      <name val="Times New Roman"/>
      <family val="1"/>
      <charset val="238"/>
    </font>
    <font>
      <sz val="10"/>
      <color indexed="8"/>
      <name val="Cambria"/>
      <family val="1"/>
      <charset val="238"/>
    </font>
    <font>
      <b/>
      <sz val="10"/>
      <color indexed="8"/>
      <name val="Cambria"/>
      <family val="1"/>
      <charset val="238"/>
    </font>
    <font>
      <b/>
      <i/>
      <sz val="10"/>
      <color indexed="8"/>
      <name val="Arial"/>
      <family val="2"/>
      <charset val="238"/>
    </font>
    <font>
      <b/>
      <i/>
      <sz val="10"/>
      <color indexed="8"/>
      <name val="Cambria"/>
      <family val="1"/>
      <charset val="238"/>
    </font>
    <font>
      <b/>
      <sz val="10"/>
      <color indexed="8"/>
      <name val="Albany"/>
      <charset val="238"/>
    </font>
    <font>
      <sz val="10"/>
      <color indexed="8"/>
      <name val="Albany"/>
      <family val="2"/>
    </font>
    <font>
      <sz val="10"/>
      <color indexed="8"/>
      <name val="Albany"/>
      <charset val="238"/>
    </font>
    <font>
      <b/>
      <sz val="12"/>
      <color indexed="8"/>
      <name val="Times New Roman"/>
      <family val="1"/>
      <charset val="238"/>
    </font>
    <font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1"/>
      <color indexed="8"/>
      <name val="Arial"/>
      <family val="2"/>
      <charset val="238"/>
    </font>
    <font>
      <b/>
      <i/>
      <u/>
      <sz val="11"/>
      <color indexed="8"/>
      <name val="Arial"/>
      <family val="2"/>
      <charset val="238"/>
    </font>
    <font>
      <b/>
      <i/>
      <sz val="16"/>
      <color indexed="8"/>
      <name val="Arial"/>
      <family val="2"/>
      <charset val="238"/>
    </font>
    <font>
      <b/>
      <i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9"/>
      <name val="Times New Roman CE"/>
      <charset val="238"/>
    </font>
    <font>
      <b/>
      <sz val="9"/>
      <name val="Times New Roman CE"/>
      <family val="1"/>
      <charset val="238"/>
    </font>
    <font>
      <sz val="9"/>
      <name val="Times New Roman CE"/>
      <family val="1"/>
      <charset val="238"/>
    </font>
    <font>
      <sz val="10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0"/>
      <color indexed="10"/>
      <name val="Arial"/>
      <family val="2"/>
      <charset val="238"/>
    </font>
    <font>
      <b/>
      <sz val="11"/>
      <color indexed="8"/>
      <name val="Arial CE"/>
      <family val="2"/>
    </font>
    <font>
      <b/>
      <i/>
      <sz val="11"/>
      <color indexed="8"/>
      <name val="Arial CE"/>
      <charset val="238"/>
    </font>
    <font>
      <b/>
      <sz val="11"/>
      <color indexed="8"/>
      <name val="Arial CE"/>
    </font>
    <font>
      <sz val="10"/>
      <color indexed="8"/>
      <name val="Arial CE"/>
    </font>
    <font>
      <b/>
      <i/>
      <sz val="11"/>
      <name val="Arial"/>
      <family val="2"/>
      <charset val="238"/>
    </font>
    <font>
      <b/>
      <sz val="10"/>
      <color indexed="8"/>
      <name val="Arial CE"/>
      <family val="2"/>
    </font>
    <font>
      <sz val="10"/>
      <color indexed="8"/>
      <name val="Arial CE"/>
      <family val="2"/>
    </font>
    <font>
      <b/>
      <sz val="10"/>
      <name val="Arial CE"/>
      <family val="2"/>
    </font>
    <font>
      <b/>
      <sz val="10"/>
      <color indexed="8"/>
      <name val="Arial CE"/>
      <charset val="238"/>
    </font>
    <font>
      <i/>
      <sz val="10"/>
      <name val="Arial CE"/>
      <charset val="238"/>
    </font>
    <font>
      <i/>
      <sz val="10"/>
      <color indexed="8"/>
      <name val="Arial CE"/>
      <charset val="238"/>
    </font>
    <font>
      <sz val="10"/>
      <name val="Arial CE"/>
      <charset val="238"/>
    </font>
    <font>
      <sz val="10"/>
      <name val="Arial CE"/>
      <family val="2"/>
    </font>
    <font>
      <sz val="10"/>
      <color indexed="8"/>
      <name val="Arial CE"/>
      <charset val="238"/>
    </font>
    <font>
      <b/>
      <sz val="11"/>
      <color indexed="8"/>
      <name val="Arial CE"/>
      <charset val="238"/>
    </font>
    <font>
      <b/>
      <u/>
      <sz val="10"/>
      <name val="Arial"/>
      <family val="2"/>
      <charset val="238"/>
    </font>
    <font>
      <sz val="12"/>
      <name val="Cambria"/>
      <family val="1"/>
      <charset val="238"/>
    </font>
    <font>
      <b/>
      <sz val="9"/>
      <name val="Arial CE"/>
      <family val="2"/>
    </font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color rgb="FF000000"/>
      <name val="Arial"/>
      <family val="2"/>
      <charset val="238"/>
    </font>
    <font>
      <b/>
      <i/>
      <sz val="16"/>
      <color rgb="FF000000"/>
      <name val="Arial"/>
      <family val="2"/>
      <charset val="238"/>
    </font>
    <font>
      <b/>
      <i/>
      <u/>
      <sz val="11"/>
      <color rgb="FF000000"/>
      <name val="Arial"/>
      <family val="2"/>
      <charset val="238"/>
    </font>
    <font>
      <b/>
      <sz val="10"/>
      <color rgb="FF000000"/>
      <name val="Times New Roman CE"/>
      <family val="1"/>
      <charset val="238"/>
    </font>
    <font>
      <sz val="10"/>
      <color rgb="FFFF0000"/>
      <name val="Cambria"/>
      <family val="1"/>
      <charset val="238"/>
    </font>
    <font>
      <sz val="10"/>
      <color rgb="FFFF0000"/>
      <name val="Arial"/>
      <family val="2"/>
      <charset val="238"/>
    </font>
    <font>
      <b/>
      <sz val="8"/>
      <color rgb="FF000000"/>
      <name val="Times New Roman"/>
      <family val="1"/>
      <charset val="238"/>
    </font>
    <font>
      <sz val="10"/>
      <color rgb="FF000000"/>
      <name val="Cambria"/>
      <family val="1"/>
      <charset val="238"/>
    </font>
    <font>
      <sz val="12"/>
      <color rgb="FFFF0000"/>
      <name val="Arial"/>
      <family val="2"/>
      <charset val="238"/>
    </font>
    <font>
      <sz val="10"/>
      <color theme="1"/>
      <name val="Arial CE"/>
      <family val="2"/>
    </font>
    <font>
      <b/>
      <sz val="10"/>
      <color theme="1"/>
      <name val="Arial CE"/>
      <family val="2"/>
    </font>
    <font>
      <sz val="10"/>
      <color theme="1"/>
      <name val="Arial"/>
      <family val="2"/>
      <charset val="238"/>
    </font>
    <font>
      <sz val="10"/>
      <color rgb="FF000000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sz val="11"/>
      <color theme="1" tint="0.14999847407452621"/>
      <name val="Times New Roman"/>
      <family val="1"/>
      <charset val="238"/>
    </font>
    <font>
      <b/>
      <sz val="10"/>
      <color indexed="8"/>
      <name val="Arial CE"/>
      <family val="2"/>
      <charset val="238"/>
    </font>
    <font>
      <b/>
      <sz val="10"/>
      <color indexed="8"/>
      <name val="Albany"/>
      <family val="2"/>
      <charset val="238"/>
    </font>
    <font>
      <sz val="10"/>
      <color rgb="FFFF0000"/>
      <name val="Arial CE"/>
      <charset val="238"/>
    </font>
    <font>
      <sz val="10"/>
      <name val="Arial"/>
      <family val="2"/>
      <charset val="238"/>
    </font>
    <font>
      <sz val="8"/>
      <color indexed="8"/>
      <name val="Arial"/>
      <family val="2"/>
      <charset val="238"/>
    </font>
    <font>
      <b/>
      <sz val="12"/>
      <name val="Albany"/>
      <family val="2"/>
    </font>
    <font>
      <b/>
      <sz val="11"/>
      <name val="Albany"/>
      <family val="2"/>
    </font>
    <font>
      <b/>
      <sz val="12"/>
      <name val="Albany"/>
      <charset val="238"/>
    </font>
    <font>
      <b/>
      <sz val="10"/>
      <name val="Albany"/>
      <charset val="238"/>
    </font>
    <font>
      <sz val="11"/>
      <name val="Albany"/>
      <family val="2"/>
    </font>
    <font>
      <sz val="10"/>
      <name val="Albany"/>
      <family val="2"/>
    </font>
    <font>
      <b/>
      <sz val="10"/>
      <name val="Cambria"/>
      <family val="1"/>
      <charset val="238"/>
    </font>
    <font>
      <sz val="11"/>
      <color theme="1"/>
      <name val="Calibri"/>
      <family val="2"/>
      <scheme val="minor"/>
    </font>
    <font>
      <sz val="8"/>
      <name val="Times New Roman"/>
      <family val="1"/>
      <charset val="238"/>
    </font>
    <font>
      <sz val="10"/>
      <name val="Arial"/>
      <family val="2"/>
      <charset val="238"/>
    </font>
    <font>
      <b/>
      <sz val="10"/>
      <color indexed="48"/>
      <name val="Arial"/>
      <family val="2"/>
      <charset val="238"/>
    </font>
    <font>
      <sz val="10"/>
      <color indexed="62"/>
      <name val="Arial"/>
      <family val="2"/>
      <charset val="238"/>
    </font>
    <font>
      <sz val="10"/>
      <color indexed="48"/>
      <name val="Arial"/>
      <family val="2"/>
      <charset val="238"/>
    </font>
    <font>
      <sz val="10"/>
      <color theme="8" tint="-0.499984740745262"/>
      <name val="Arial"/>
      <family val="2"/>
      <charset val="238"/>
    </font>
    <font>
      <b/>
      <i/>
      <sz val="11"/>
      <name val="Arial CE"/>
      <charset val="238"/>
    </font>
    <font>
      <sz val="11"/>
      <name val="Calibri"/>
      <family val="2"/>
      <charset val="238"/>
      <scheme val="minor"/>
    </font>
    <font>
      <sz val="12"/>
      <name val="Times New Roman"/>
      <family val="1"/>
      <charset val="238"/>
    </font>
    <font>
      <i/>
      <sz val="10"/>
      <name val="Cambria"/>
      <family val="1"/>
      <charset val="238"/>
    </font>
    <font>
      <i/>
      <sz val="8"/>
      <name val="Arial"/>
      <family val="2"/>
      <charset val="238"/>
    </font>
    <font>
      <b/>
      <sz val="11"/>
      <color rgb="FFFF0000"/>
      <name val="Albany"/>
      <family val="2"/>
    </font>
    <font>
      <b/>
      <sz val="10"/>
      <color indexed="10"/>
      <name val="Arial"/>
      <family val="2"/>
      <charset val="238"/>
    </font>
    <font>
      <b/>
      <i/>
      <sz val="11"/>
      <name val="Times New Roman"/>
      <family val="1"/>
      <charset val="238"/>
    </font>
    <font>
      <b/>
      <i/>
      <sz val="8"/>
      <name val="Arial"/>
      <family val="2"/>
      <charset val="238"/>
    </font>
    <font>
      <i/>
      <sz val="10"/>
      <color rgb="FFFF0000"/>
      <name val="Arial"/>
      <family val="2"/>
      <charset val="238"/>
    </font>
    <font>
      <sz val="8"/>
      <name val="Arial CE"/>
      <charset val="238"/>
    </font>
    <font>
      <b/>
      <sz val="8"/>
      <color indexed="8"/>
      <name val="Arial"/>
      <family val="2"/>
      <charset val="238"/>
    </font>
    <font>
      <b/>
      <i/>
      <sz val="8"/>
      <color indexed="8"/>
      <name val="Arial"/>
      <family val="2"/>
      <charset val="238"/>
    </font>
    <font>
      <b/>
      <u/>
      <sz val="8"/>
      <color indexed="8"/>
      <name val="Arial"/>
      <family val="2"/>
      <charset val="238"/>
    </font>
    <font>
      <b/>
      <i/>
      <u/>
      <sz val="8"/>
      <color indexed="8"/>
      <name val="Arial"/>
      <family val="2"/>
      <charset val="238"/>
    </font>
    <font>
      <b/>
      <sz val="8"/>
      <name val="Arial CE"/>
      <charset val="238"/>
    </font>
    <font>
      <sz val="10"/>
      <name val="MS Sans Serif"/>
      <family val="2"/>
      <charset val="238"/>
    </font>
    <font>
      <i/>
      <sz val="11"/>
      <name val="Times New Roman CE"/>
      <charset val="238"/>
    </font>
    <font>
      <b/>
      <sz val="12"/>
      <name val="Times New Roman CE"/>
      <charset val="238"/>
    </font>
    <font>
      <b/>
      <sz val="10"/>
      <name val="Times New Roman CE"/>
      <charset val="238"/>
    </font>
    <font>
      <b/>
      <sz val="12"/>
      <name val="Times New Roman CE"/>
      <family val="1"/>
      <charset val="238"/>
    </font>
    <font>
      <b/>
      <i/>
      <sz val="9"/>
      <name val="Times New Roman CE"/>
      <charset val="238"/>
    </font>
    <font>
      <b/>
      <i/>
      <sz val="9"/>
      <name val="Times New Roman CE"/>
      <family val="1"/>
      <charset val="238"/>
    </font>
    <font>
      <sz val="8"/>
      <name val="Times New Roman CE"/>
      <family val="1"/>
      <charset val="238"/>
    </font>
    <font>
      <b/>
      <sz val="8"/>
      <name val="Times New Roman CE"/>
      <family val="1"/>
      <charset val="238"/>
    </font>
    <font>
      <sz val="10"/>
      <name val="Times New Roman CE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12"/>
      <color indexed="10"/>
      <name val="Times New Roman CE"/>
      <charset val="238"/>
    </font>
    <font>
      <sz val="8"/>
      <color rgb="FFFF0000"/>
      <name val="Times New Roman CE"/>
      <charset val="238"/>
    </font>
    <font>
      <i/>
      <sz val="8"/>
      <name val="Times New Roman CE"/>
      <charset val="238"/>
    </font>
    <font>
      <b/>
      <sz val="12"/>
      <color rgb="FFFF0000"/>
      <name val="Times New Roman CE"/>
      <charset val="238"/>
    </font>
    <font>
      <b/>
      <i/>
      <sz val="11"/>
      <name val="Times New Roman CE"/>
      <charset val="238"/>
    </font>
    <font>
      <b/>
      <sz val="11"/>
      <name val="Times New Roman CE"/>
      <charset val="238"/>
    </font>
    <font>
      <b/>
      <i/>
      <sz val="10"/>
      <name val="Times New Roman CE"/>
      <family val="1"/>
      <charset val="238"/>
    </font>
    <font>
      <sz val="12"/>
      <color rgb="FFFF0000"/>
      <name val="Times New Roman CE"/>
      <charset val="238"/>
    </font>
    <font>
      <b/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i/>
      <sz val="10"/>
      <name val="Times New Roman"/>
      <family val="1"/>
      <charset val="238"/>
    </font>
    <font>
      <i/>
      <sz val="11"/>
      <name val="Times New Roman CE"/>
      <family val="1"/>
      <charset val="238"/>
    </font>
    <font>
      <i/>
      <sz val="12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0"/>
      <name val="Times New Roman"/>
      <family val="1"/>
      <charset val="238"/>
    </font>
    <font>
      <i/>
      <sz val="10"/>
      <color theme="0"/>
      <name val="Times New Roman"/>
      <family val="1"/>
      <charset val="238"/>
    </font>
    <font>
      <sz val="9"/>
      <color theme="0"/>
      <name val="Times New Roman"/>
      <family val="1"/>
      <charset val="238"/>
    </font>
    <font>
      <i/>
      <sz val="10"/>
      <name val="Times New Roman"/>
      <family val="1"/>
      <charset val="238"/>
    </font>
    <font>
      <i/>
      <sz val="12"/>
      <name val="Cambria"/>
      <family val="1"/>
      <charset val="238"/>
    </font>
    <font>
      <i/>
      <sz val="12"/>
      <color rgb="FF000000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sz val="8"/>
      <color theme="0"/>
      <name val="Arial"/>
      <family val="2"/>
      <charset val="238"/>
    </font>
    <font>
      <b/>
      <sz val="8"/>
      <color theme="0"/>
      <name val="Arial"/>
      <family val="2"/>
      <charset val="238"/>
    </font>
    <font>
      <sz val="8"/>
      <color theme="0"/>
      <name val="Times New Roman CE"/>
      <charset val="238"/>
    </font>
    <font>
      <b/>
      <sz val="14"/>
      <name val="Times New Roman"/>
      <family val="1"/>
      <charset val="238"/>
    </font>
    <font>
      <b/>
      <sz val="10"/>
      <name val="Albany"/>
      <family val="2"/>
    </font>
    <font>
      <sz val="10"/>
      <color theme="0"/>
      <name val="Arial"/>
      <family val="2"/>
      <charset val="238"/>
    </font>
    <font>
      <b/>
      <sz val="11"/>
      <name val="Arial CE"/>
      <family val="2"/>
      <charset val="238"/>
    </font>
    <font>
      <sz val="11"/>
      <color indexed="8"/>
      <name val="Arial CE"/>
      <family val="2"/>
    </font>
    <font>
      <sz val="11"/>
      <name val="Arial CE"/>
      <family val="2"/>
    </font>
    <font>
      <b/>
      <sz val="11"/>
      <name val="Arial CE"/>
      <family val="2"/>
    </font>
    <font>
      <sz val="11"/>
      <name val="Arial CE"/>
      <charset val="238"/>
    </font>
    <font>
      <sz val="11"/>
      <color theme="1"/>
      <name val="Arial CE"/>
      <charset val="238"/>
    </font>
    <font>
      <b/>
      <sz val="11"/>
      <name val="Arial CE"/>
      <charset val="238"/>
    </font>
    <font>
      <b/>
      <sz val="12"/>
      <name val="Cambria"/>
      <family val="1"/>
      <charset val="238"/>
    </font>
  </fonts>
  <fills count="59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55"/>
        <bgColor indexed="23"/>
      </patternFill>
    </fill>
    <fill>
      <patternFill patternType="solid">
        <fgColor indexed="26"/>
        <bgColor indexed="9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25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indexed="43"/>
        <bgColor indexed="10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9"/>
      </patternFill>
    </fill>
    <fill>
      <patternFill patternType="solid">
        <fgColor theme="6" tint="0.79998168889431442"/>
        <bgColor indexed="9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10"/>
      </patternFill>
    </fill>
    <fill>
      <patternFill patternType="solid">
        <fgColor theme="9" tint="0.79998168889431442"/>
        <bgColor indexed="10"/>
      </patternFill>
    </fill>
    <fill>
      <patternFill patternType="solid">
        <fgColor indexed="4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43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rgb="FF66FF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0"/>
        <bgColor indexed="60"/>
      </patternFill>
    </fill>
    <fill>
      <patternFill patternType="solid">
        <fgColor theme="8" tint="0.59999389629810485"/>
        <bgColor indexed="64"/>
      </patternFill>
    </fill>
  </fills>
  <borders count="8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41">
    <xf numFmtId="0" fontId="0" fillId="0" borderId="0"/>
    <xf numFmtId="0" fontId="46" fillId="2" borderId="0" applyNumberFormat="0" applyBorder="0" applyAlignment="0" applyProtection="0"/>
    <xf numFmtId="0" fontId="46" fillId="3" borderId="0" applyNumberFormat="0" applyBorder="0" applyAlignment="0" applyProtection="0"/>
    <xf numFmtId="0" fontId="46" fillId="4" borderId="0" applyNumberFormat="0" applyBorder="0" applyAlignment="0" applyProtection="0"/>
    <xf numFmtId="0" fontId="46" fillId="5" borderId="0" applyNumberFormat="0" applyBorder="0" applyAlignment="0" applyProtection="0"/>
    <xf numFmtId="0" fontId="46" fillId="6" borderId="0" applyNumberFormat="0" applyBorder="0" applyAlignment="0" applyProtection="0"/>
    <xf numFmtId="0" fontId="46" fillId="7" borderId="0" applyNumberFormat="0" applyBorder="0" applyAlignment="0" applyProtection="0"/>
    <xf numFmtId="0" fontId="46" fillId="8" borderId="0" applyNumberFormat="0" applyBorder="0" applyAlignment="0" applyProtection="0"/>
    <xf numFmtId="0" fontId="46" fillId="9" borderId="0" applyNumberFormat="0" applyBorder="0" applyAlignment="0" applyProtection="0"/>
    <xf numFmtId="0" fontId="46" fillId="10" borderId="0" applyNumberFormat="0" applyBorder="0" applyAlignment="0" applyProtection="0"/>
    <xf numFmtId="0" fontId="46" fillId="5" borderId="0" applyNumberFormat="0" applyBorder="0" applyAlignment="0" applyProtection="0"/>
    <xf numFmtId="0" fontId="46" fillId="8" borderId="0" applyNumberFormat="0" applyBorder="0" applyAlignment="0" applyProtection="0"/>
    <xf numFmtId="0" fontId="46" fillId="11" borderId="0" applyNumberFormat="0" applyBorder="0" applyAlignment="0" applyProtection="0"/>
    <xf numFmtId="0" fontId="47" fillId="12" borderId="0" applyNumberFormat="0" applyBorder="0" applyAlignment="0" applyProtection="0"/>
    <xf numFmtId="0" fontId="47" fillId="9" borderId="0" applyNumberFormat="0" applyBorder="0" applyAlignment="0" applyProtection="0"/>
    <xf numFmtId="0" fontId="47" fillId="10" borderId="0" applyNumberFormat="0" applyBorder="0" applyAlignment="0" applyProtection="0"/>
    <xf numFmtId="0" fontId="47" fillId="13" borderId="0" applyNumberFormat="0" applyBorder="0" applyAlignment="0" applyProtection="0"/>
    <xf numFmtId="0" fontId="47" fillId="14" borderId="0" applyNumberFormat="0" applyBorder="0" applyAlignment="0" applyProtection="0"/>
    <xf numFmtId="0" fontId="47" fillId="15" borderId="0" applyNumberFormat="0" applyBorder="0" applyAlignment="0" applyProtection="0"/>
    <xf numFmtId="0" fontId="48" fillId="7" borderId="1" applyNumberFormat="0" applyAlignment="0" applyProtection="0"/>
    <xf numFmtId="0" fontId="49" fillId="0" borderId="0" applyNumberFormat="0" applyFill="0" applyBorder="0" applyAlignment="0" applyProtection="0"/>
    <xf numFmtId="0" fontId="50" fillId="0" borderId="2" applyNumberFormat="0" applyFill="0" applyAlignment="0" applyProtection="0"/>
    <xf numFmtId="0" fontId="51" fillId="0" borderId="3" applyNumberFormat="0" applyFill="0" applyAlignment="0" applyProtection="0"/>
    <xf numFmtId="0" fontId="52" fillId="0" borderId="4" applyNumberFormat="0" applyFill="0" applyAlignment="0" applyProtection="0"/>
    <xf numFmtId="0" fontId="52" fillId="0" borderId="0" applyNumberFormat="0" applyFill="0" applyBorder="0" applyAlignment="0" applyProtection="0"/>
    <xf numFmtId="0" fontId="53" fillId="16" borderId="5" applyNumberFormat="0" applyAlignment="0" applyProtection="0"/>
    <xf numFmtId="168" fontId="98" fillId="0" borderId="0"/>
    <xf numFmtId="0" fontId="46" fillId="0" borderId="0" applyBorder="0" applyProtection="0"/>
    <xf numFmtId="168" fontId="98" fillId="0" borderId="0" applyBorder="0" applyProtection="0"/>
    <xf numFmtId="0" fontId="63" fillId="0" borderId="0" applyBorder="0" applyProtection="0"/>
    <xf numFmtId="168" fontId="99" fillId="0" borderId="0" applyFont="0" applyBorder="0" applyProtection="0"/>
    <xf numFmtId="164" fontId="71" fillId="0" borderId="0" applyFont="0" applyFill="0" applyBorder="0" applyAlignment="0" applyProtection="0"/>
    <xf numFmtId="0" fontId="54" fillId="0" borderId="0" applyNumberFormat="0" applyFill="0" applyBorder="0" applyAlignment="0" applyProtection="0"/>
    <xf numFmtId="0" fontId="65" fillId="0" borderId="0" applyNumberFormat="0" applyBorder="0" applyProtection="0">
      <alignment horizontal="center"/>
    </xf>
    <xf numFmtId="0" fontId="65" fillId="0" borderId="0" applyBorder="0" applyProtection="0">
      <alignment horizontal="center"/>
    </xf>
    <xf numFmtId="168" fontId="100" fillId="0" borderId="0" applyBorder="0" applyProtection="0">
      <alignment horizontal="center"/>
    </xf>
    <xf numFmtId="0" fontId="100" fillId="0" borderId="0" applyNumberFormat="0" applyBorder="0" applyProtection="0">
      <alignment horizontal="center"/>
    </xf>
    <xf numFmtId="0" fontId="65" fillId="0" borderId="0" applyNumberFormat="0" applyBorder="0" applyProtection="0">
      <alignment horizontal="center" textRotation="90"/>
    </xf>
    <xf numFmtId="0" fontId="65" fillId="0" borderId="0" applyBorder="0" applyProtection="0">
      <alignment horizontal="center" textRotation="90"/>
    </xf>
    <xf numFmtId="168" fontId="100" fillId="0" borderId="0" applyBorder="0" applyProtection="0">
      <alignment horizontal="center" textRotation="90"/>
    </xf>
    <xf numFmtId="0" fontId="100" fillId="0" borderId="0" applyNumberFormat="0" applyBorder="0" applyProtection="0">
      <alignment horizontal="center" textRotation="90"/>
    </xf>
    <xf numFmtId="0" fontId="72" fillId="0" borderId="0" applyNumberFormat="0" applyFill="0" applyBorder="0" applyAlignment="0" applyProtection="0">
      <alignment vertical="top"/>
      <protection locked="0"/>
    </xf>
    <xf numFmtId="0" fontId="55" fillId="0" borderId="6" applyNumberFormat="0" applyFill="0" applyAlignment="0" applyProtection="0"/>
    <xf numFmtId="0" fontId="63" fillId="17" borderId="7" applyNumberFormat="0" applyAlignment="0" applyProtection="0"/>
    <xf numFmtId="0" fontId="47" fillId="18" borderId="0" applyNumberFormat="0" applyBorder="0" applyAlignment="0" applyProtection="0"/>
    <xf numFmtId="0" fontId="47" fillId="19" borderId="0" applyNumberFormat="0" applyBorder="0" applyAlignment="0" applyProtection="0"/>
    <xf numFmtId="0" fontId="47" fillId="20" borderId="0" applyNumberFormat="0" applyBorder="0" applyAlignment="0" applyProtection="0"/>
    <xf numFmtId="0" fontId="47" fillId="13" borderId="0" applyNumberFormat="0" applyBorder="0" applyAlignment="0" applyProtection="0"/>
    <xf numFmtId="0" fontId="47" fillId="14" borderId="0" applyNumberFormat="0" applyBorder="0" applyAlignment="0" applyProtection="0"/>
    <xf numFmtId="0" fontId="47" fillId="21" borderId="0" applyNumberFormat="0" applyBorder="0" applyAlignment="0" applyProtection="0"/>
    <xf numFmtId="0" fontId="56" fillId="4" borderId="0" applyNumberFormat="0" applyBorder="0" applyAlignment="0" applyProtection="0"/>
    <xf numFmtId="0" fontId="57" fillId="22" borderId="8" applyNumberFormat="0" applyAlignment="0" applyProtection="0"/>
    <xf numFmtId="0" fontId="58" fillId="0" borderId="0" applyNumberFormat="0" applyFill="0" applyBorder="0" applyAlignment="0" applyProtection="0"/>
    <xf numFmtId="169" fontId="101" fillId="0" borderId="0"/>
    <xf numFmtId="0" fontId="73" fillId="0" borderId="0" applyNumberFormat="0" applyFill="0" applyBorder="0" applyAlignment="0" applyProtection="0">
      <alignment vertical="top"/>
      <protection locked="0"/>
    </xf>
    <xf numFmtId="0" fontId="17" fillId="0" borderId="0"/>
    <xf numFmtId="0" fontId="97" fillId="0" borderId="0"/>
    <xf numFmtId="0" fontId="17" fillId="0" borderId="0"/>
    <xf numFmtId="0" fontId="63" fillId="0" borderId="0"/>
    <xf numFmtId="0" fontId="97" fillId="0" borderId="0"/>
    <xf numFmtId="0" fontId="18" fillId="0" borderId="0"/>
    <xf numFmtId="0" fontId="99" fillId="0" borderId="0"/>
    <xf numFmtId="0" fontId="17" fillId="0" borderId="0"/>
    <xf numFmtId="0" fontId="71" fillId="0" borderId="0"/>
    <xf numFmtId="0" fontId="17" fillId="0" borderId="0"/>
    <xf numFmtId="0" fontId="27" fillId="0" borderId="0"/>
    <xf numFmtId="0" fontId="29" fillId="0" borderId="0"/>
    <xf numFmtId="0" fontId="59" fillId="0" borderId="9" applyNumberFormat="0" applyFill="0" applyAlignment="0" applyProtection="0"/>
    <xf numFmtId="0" fontId="64" fillId="0" borderId="0" applyNumberFormat="0" applyBorder="0" applyProtection="0"/>
    <xf numFmtId="0" fontId="64" fillId="0" borderId="0" applyBorder="0" applyProtection="0"/>
    <xf numFmtId="168" fontId="101" fillId="0" borderId="0" applyBorder="0" applyProtection="0"/>
    <xf numFmtId="0" fontId="101" fillId="0" borderId="0" applyNumberFormat="0" applyBorder="0" applyProtection="0"/>
    <xf numFmtId="169" fontId="64" fillId="0" borderId="0" applyBorder="0" applyProtection="0"/>
    <xf numFmtId="169" fontId="64" fillId="0" borderId="0" applyBorder="0" applyProtection="0"/>
    <xf numFmtId="170" fontId="101" fillId="0" borderId="0" applyBorder="0" applyProtection="0"/>
    <xf numFmtId="170" fontId="101" fillId="0" borderId="0" applyBorder="0" applyProtection="0"/>
    <xf numFmtId="0" fontId="60" fillId="3" borderId="0" applyNumberFormat="0" applyBorder="0" applyAlignment="0" applyProtection="0"/>
    <xf numFmtId="0" fontId="61" fillId="23" borderId="0" applyNumberFormat="0" applyBorder="0" applyAlignment="0" applyProtection="0"/>
    <xf numFmtId="0" fontId="62" fillId="22" borderId="1" applyNumberFormat="0" applyAlignment="0" applyProtection="0"/>
    <xf numFmtId="9" fontId="71" fillId="0" borderId="0" applyFont="0" applyFill="0" applyBorder="0" applyAlignment="0" applyProtection="0"/>
    <xf numFmtId="164" fontId="17" fillId="0" borderId="0" applyFont="0" applyFill="0" applyBorder="0" applyAlignment="0" applyProtection="0"/>
    <xf numFmtId="0" fontId="6" fillId="0" borderId="0"/>
    <xf numFmtId="0" fontId="6" fillId="0" borderId="0"/>
    <xf numFmtId="0" fontId="5" fillId="0" borderId="0"/>
    <xf numFmtId="0" fontId="90" fillId="0" borderId="0"/>
    <xf numFmtId="164" fontId="117" fillId="0" borderId="0" applyFont="0" applyFill="0" applyBorder="0" applyAlignment="0" applyProtection="0"/>
    <xf numFmtId="0" fontId="5" fillId="0" borderId="0"/>
    <xf numFmtId="0" fontId="7" fillId="0" borderId="0"/>
    <xf numFmtId="0" fontId="126" fillId="0" borderId="0"/>
    <xf numFmtId="0" fontId="5" fillId="0" borderId="0"/>
    <xf numFmtId="0" fontId="5" fillId="0" borderId="0"/>
    <xf numFmtId="164" fontId="7" fillId="0" borderId="0" applyFont="0" applyFill="0" applyBorder="0" applyAlignment="0" applyProtection="0"/>
    <xf numFmtId="0" fontId="4" fillId="0" borderId="0"/>
    <xf numFmtId="0" fontId="7" fillId="0" borderId="0"/>
    <xf numFmtId="0" fontId="4" fillId="0" borderId="0"/>
    <xf numFmtId="0" fontId="7" fillId="0" borderId="0"/>
    <xf numFmtId="0" fontId="7" fillId="0" borderId="0"/>
    <xf numFmtId="0" fontId="7" fillId="0" borderId="0"/>
    <xf numFmtId="164" fontId="7" fillId="0" borderId="0" applyFont="0" applyFill="0" applyBorder="0" applyAlignment="0" applyProtection="0"/>
    <xf numFmtId="0" fontId="4" fillId="0" borderId="0"/>
    <xf numFmtId="0" fontId="4" fillId="0" borderId="0"/>
    <xf numFmtId="0" fontId="27" fillId="0" borderId="0"/>
    <xf numFmtId="164" fontId="126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27" fillId="17" borderId="7" applyNumberFormat="0" applyAlignment="0" applyProtection="0"/>
    <xf numFmtId="0" fontId="63" fillId="17" borderId="7" applyNumberFormat="0" applyAlignment="0" applyProtection="0"/>
    <xf numFmtId="0" fontId="47" fillId="57" borderId="0" applyNumberFormat="0" applyBorder="0" applyAlignment="0" applyProtection="0"/>
    <xf numFmtId="0" fontId="47" fillId="19" borderId="0" applyNumberFormat="0" applyBorder="0" applyAlignment="0" applyProtection="0"/>
    <xf numFmtId="0" fontId="149" fillId="0" borderId="0"/>
    <xf numFmtId="0" fontId="7" fillId="0" borderId="0"/>
    <xf numFmtId="0" fontId="14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90" fillId="0" borderId="0"/>
    <xf numFmtId="0" fontId="90" fillId="0" borderId="0"/>
    <xf numFmtId="0" fontId="3" fillId="0" borderId="0"/>
    <xf numFmtId="0" fontId="3" fillId="0" borderId="0"/>
    <xf numFmtId="0" fontId="7" fillId="0" borderId="0"/>
    <xf numFmtId="0" fontId="149" fillId="0" borderId="0"/>
    <xf numFmtId="0" fontId="7" fillId="0" borderId="0"/>
    <xf numFmtId="0" fontId="3" fillId="0" borderId="0"/>
    <xf numFmtId="0" fontId="63" fillId="0" borderId="0"/>
    <xf numFmtId="0" fontId="2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0" fontId="126" fillId="0" borderId="0"/>
    <xf numFmtId="0" fontId="3" fillId="0" borderId="0"/>
    <xf numFmtId="0" fontId="71" fillId="0" borderId="0"/>
    <xf numFmtId="0" fontId="3" fillId="0" borderId="0"/>
    <xf numFmtId="0" fontId="7" fillId="0" borderId="0"/>
    <xf numFmtId="0" fontId="1" fillId="0" borderId="0"/>
    <xf numFmtId="0" fontId="1" fillId="0" borderId="0"/>
    <xf numFmtId="0" fontId="1" fillId="0" borderId="0"/>
  </cellStyleXfs>
  <cellXfs count="1424">
    <xf numFmtId="0" fontId="0" fillId="0" borderId="0" xfId="0"/>
    <xf numFmtId="0" fontId="14" fillId="0" borderId="0" xfId="0" applyFont="1"/>
    <xf numFmtId="0" fontId="17" fillId="0" borderId="0" xfId="0" applyFont="1"/>
    <xf numFmtId="0" fontId="8" fillId="0" borderId="0" xfId="0" applyFont="1"/>
    <xf numFmtId="3" fontId="8" fillId="0" borderId="10" xfId="0" applyNumberFormat="1" applyFont="1" applyBorder="1"/>
    <xf numFmtId="3" fontId="8" fillId="0" borderId="20" xfId="0" applyNumberFormat="1" applyFont="1" applyBorder="1"/>
    <xf numFmtId="3" fontId="8" fillId="26" borderId="20" xfId="0" applyNumberFormat="1" applyFont="1" applyFill="1" applyBorder="1"/>
    <xf numFmtId="3" fontId="8" fillId="0" borderId="21" xfId="0" applyNumberFormat="1" applyFont="1" applyBorder="1"/>
    <xf numFmtId="0" fontId="2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6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34" fillId="0" borderId="0" xfId="0" applyFont="1" applyAlignment="1">
      <alignment horizontal="center" vertical="center"/>
    </xf>
    <xf numFmtId="0" fontId="33" fillId="0" borderId="26" xfId="55" applyFont="1" applyBorder="1" applyAlignment="1">
      <alignment horizontal="center" vertical="center" wrapText="1"/>
    </xf>
    <xf numFmtId="0" fontId="30" fillId="0" borderId="26" xfId="0" applyFont="1" applyBorder="1" applyAlignment="1">
      <alignment horizontal="center" vertical="center" wrapText="1"/>
    </xf>
    <xf numFmtId="0" fontId="102" fillId="0" borderId="26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left" vertical="center" wrapText="1"/>
    </xf>
    <xf numFmtId="0" fontId="14" fillId="0" borderId="10" xfId="0" applyFont="1" applyBorder="1" applyAlignment="1">
      <alignment horizontal="left" vertical="center" wrapText="1"/>
    </xf>
    <xf numFmtId="3" fontId="35" fillId="0" borderId="10" xfId="0" applyNumberFormat="1" applyFont="1" applyBorder="1" applyAlignment="1">
      <alignment horizontal="right" vertical="center" wrapText="1"/>
    </xf>
    <xf numFmtId="0" fontId="37" fillId="0" borderId="10" xfId="0" applyFont="1" applyBorder="1" applyAlignment="1">
      <alignment horizontal="left" vertical="center" wrapText="1"/>
    </xf>
    <xf numFmtId="0" fontId="17" fillId="0" borderId="0" xfId="0" applyFont="1" applyBorder="1" applyAlignment="1">
      <alignment vertical="center"/>
    </xf>
    <xf numFmtId="3" fontId="23" fillId="0" borderId="10" xfId="0" applyNumberFormat="1" applyFont="1" applyBorder="1" applyAlignment="1">
      <alignment vertical="center" wrapText="1"/>
    </xf>
    <xf numFmtId="3" fontId="20" fillId="0" borderId="10" xfId="0" applyNumberFormat="1" applyFont="1" applyBorder="1" applyAlignment="1">
      <alignment horizontal="right" vertical="center" wrapText="1"/>
    </xf>
    <xf numFmtId="3" fontId="36" fillId="0" borderId="10" xfId="0" applyNumberFormat="1" applyFont="1" applyBorder="1" applyAlignment="1">
      <alignment horizontal="right" vertical="center" wrapText="1"/>
    </xf>
    <xf numFmtId="3" fontId="103" fillId="0" borderId="10" xfId="0" applyNumberFormat="1" applyFont="1" applyBorder="1" applyAlignment="1">
      <alignment horizontal="right" vertical="center" wrapText="1"/>
    </xf>
    <xf numFmtId="3" fontId="38" fillId="0" borderId="10" xfId="0" applyNumberFormat="1" applyFont="1" applyBorder="1" applyAlignment="1">
      <alignment horizontal="right" vertical="center" wrapText="1"/>
    </xf>
    <xf numFmtId="0" fontId="39" fillId="0" borderId="0" xfId="0" applyFont="1"/>
    <xf numFmtId="0" fontId="17" fillId="26" borderId="0" xfId="0" applyFont="1" applyFill="1"/>
    <xf numFmtId="0" fontId="40" fillId="0" borderId="27" xfId="0" applyFont="1" applyBorder="1"/>
    <xf numFmtId="0" fontId="41" fillId="0" borderId="27" xfId="0" applyFont="1" applyBorder="1"/>
    <xf numFmtId="0" fontId="40" fillId="26" borderId="27" xfId="0" applyFont="1" applyFill="1" applyBorder="1"/>
    <xf numFmtId="0" fontId="30" fillId="0" borderId="28" xfId="0" applyFont="1" applyBorder="1" applyAlignment="1">
      <alignment horizontal="center" vertical="center" wrapText="1"/>
    </xf>
    <xf numFmtId="0" fontId="17" fillId="0" borderId="18" xfId="0" applyFont="1" applyBorder="1"/>
    <xf numFmtId="0" fontId="14" fillId="0" borderId="0" xfId="0" applyFont="1" applyAlignment="1">
      <alignment vertical="center"/>
    </xf>
    <xf numFmtId="0" fontId="104" fillId="0" borderId="10" xfId="0" applyFont="1" applyBorder="1" applyAlignment="1">
      <alignment horizontal="left" vertical="center" wrapText="1"/>
    </xf>
    <xf numFmtId="3" fontId="17" fillId="0" borderId="20" xfId="0" applyNumberFormat="1" applyFont="1" applyBorder="1"/>
    <xf numFmtId="0" fontId="41" fillId="0" borderId="33" xfId="0" applyFont="1" applyBorder="1"/>
    <xf numFmtId="3" fontId="17" fillId="0" borderId="34" xfId="0" applyNumberFormat="1" applyFont="1" applyBorder="1"/>
    <xf numFmtId="0" fontId="15" fillId="0" borderId="26" xfId="0" applyFont="1" applyBorder="1" applyAlignment="1">
      <alignment vertical="center"/>
    </xf>
    <xf numFmtId="3" fontId="8" fillId="0" borderId="26" xfId="0" applyNumberFormat="1" applyFont="1" applyBorder="1" applyAlignment="1">
      <alignment vertical="center"/>
    </xf>
    <xf numFmtId="0" fontId="15" fillId="0" borderId="26" xfId="0" applyFont="1" applyBorder="1" applyAlignment="1">
      <alignment vertical="center" wrapText="1"/>
    </xf>
    <xf numFmtId="0" fontId="17" fillId="0" borderId="37" xfId="0" applyFont="1" applyBorder="1"/>
    <xf numFmtId="0" fontId="17" fillId="26" borderId="18" xfId="0" applyFont="1" applyFill="1" applyBorder="1"/>
    <xf numFmtId="0" fontId="17" fillId="26" borderId="29" xfId="0" applyFont="1" applyFill="1" applyBorder="1"/>
    <xf numFmtId="3" fontId="43" fillId="0" borderId="0" xfId="55" applyNumberFormat="1" applyFont="1" applyAlignment="1">
      <alignment vertical="center"/>
    </xf>
    <xf numFmtId="3" fontId="17" fillId="0" borderId="0" xfId="0" applyNumberFormat="1" applyFont="1" applyAlignment="1">
      <alignment vertical="center"/>
    </xf>
    <xf numFmtId="0" fontId="23" fillId="0" borderId="0" xfId="0" applyFont="1"/>
    <xf numFmtId="0" fontId="104" fillId="0" borderId="0" xfId="0" applyFont="1"/>
    <xf numFmtId="0" fontId="17" fillId="0" borderId="0" xfId="0" applyFont="1" applyBorder="1"/>
    <xf numFmtId="0" fontId="14" fillId="0" borderId="0" xfId="0" applyFont="1" applyBorder="1"/>
    <xf numFmtId="0" fontId="14" fillId="0" borderId="0" xfId="0" applyFont="1" applyBorder="1" applyAlignment="1">
      <alignment vertical="center"/>
    </xf>
    <xf numFmtId="3" fontId="106" fillId="0" borderId="0" xfId="61" applyNumberFormat="1" applyFont="1" applyBorder="1"/>
    <xf numFmtId="0" fontId="8" fillId="0" borderId="0" xfId="0" applyFont="1" applyBorder="1"/>
    <xf numFmtId="3" fontId="17" fillId="0" borderId="0" xfId="0" applyNumberFormat="1" applyFont="1" applyBorder="1"/>
    <xf numFmtId="0" fontId="12" fillId="0" borderId="0" xfId="66" applyFont="1" applyFill="1" applyProtection="1">
      <protection locked="0"/>
    </xf>
    <xf numFmtId="0" fontId="12" fillId="0" borderId="0" xfId="66" applyFont="1" applyFill="1" applyProtection="1"/>
    <xf numFmtId="0" fontId="10" fillId="0" borderId="0" xfId="66" applyFont="1" applyFill="1" applyProtection="1"/>
    <xf numFmtId="0" fontId="24" fillId="0" borderId="0" xfId="0" applyFont="1" applyFill="1" applyBorder="1" applyAlignment="1" applyProtection="1">
      <alignment horizontal="right" vertical="center"/>
      <protection locked="0"/>
    </xf>
    <xf numFmtId="0" fontId="21" fillId="0" borderId="42" xfId="66" applyFont="1" applyFill="1" applyBorder="1" applyAlignment="1" applyProtection="1">
      <alignment horizontal="center" vertical="center" wrapText="1"/>
    </xf>
    <xf numFmtId="0" fontId="67" fillId="0" borderId="11" xfId="66" applyFont="1" applyFill="1" applyBorder="1" applyAlignment="1" applyProtection="1">
      <alignment horizontal="center" vertical="center" wrapText="1"/>
    </xf>
    <xf numFmtId="0" fontId="67" fillId="0" borderId="44" xfId="66" applyFont="1" applyFill="1" applyBorder="1" applyAlignment="1" applyProtection="1">
      <alignment horizontal="center" vertical="center" wrapText="1"/>
    </xf>
    <xf numFmtId="0" fontId="67" fillId="0" borderId="16" xfId="66" applyFont="1" applyFill="1" applyBorder="1" applyAlignment="1" applyProtection="1">
      <alignment horizontal="left" vertical="center" wrapText="1" indent="1"/>
    </xf>
    <xf numFmtId="0" fontId="67" fillId="0" borderId="46" xfId="66" applyFont="1" applyFill="1" applyBorder="1" applyAlignment="1" applyProtection="1">
      <alignment horizontal="left" vertical="center" wrapText="1" indent="1"/>
    </xf>
    <xf numFmtId="166" fontId="67" fillId="0" borderId="46" xfId="66" applyNumberFormat="1" applyFont="1" applyFill="1" applyBorder="1" applyAlignment="1" applyProtection="1">
      <alignment horizontal="right" vertical="center" wrapText="1" indent="1"/>
    </xf>
    <xf numFmtId="0" fontId="17" fillId="0" borderId="0" xfId="66" applyFont="1" applyFill="1" applyProtection="1"/>
    <xf numFmtId="49" fontId="10" fillId="0" borderId="37" xfId="66" applyNumberFormat="1" applyFont="1" applyFill="1" applyBorder="1" applyAlignment="1" applyProtection="1">
      <alignment horizontal="left" vertical="center" wrapText="1" indent="1"/>
    </xf>
    <xf numFmtId="0" fontId="10" fillId="0" borderId="35" xfId="0" applyFont="1" applyBorder="1" applyAlignment="1" applyProtection="1">
      <alignment horizontal="left" wrapText="1" indent="1"/>
    </xf>
    <xf numFmtId="166" fontId="10" fillId="0" borderId="35" xfId="66" applyNumberFormat="1" applyFont="1" applyFill="1" applyBorder="1" applyAlignment="1" applyProtection="1">
      <alignment horizontal="right" vertical="center" wrapText="1" indent="1"/>
      <protection locked="0"/>
    </xf>
    <xf numFmtId="49" fontId="10" fillId="0" borderId="14" xfId="66" applyNumberFormat="1" applyFont="1" applyFill="1" applyBorder="1" applyAlignment="1" applyProtection="1">
      <alignment horizontal="left" vertical="center" wrapText="1" indent="1"/>
    </xf>
    <xf numFmtId="0" fontId="10" fillId="0" borderId="10" xfId="0" applyFont="1" applyBorder="1" applyAlignment="1" applyProtection="1">
      <alignment horizontal="left" wrapText="1" indent="1"/>
    </xf>
    <xf numFmtId="166" fontId="10" fillId="0" borderId="10" xfId="66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10" xfId="0" applyFont="1" applyBorder="1" applyAlignment="1" applyProtection="1">
      <alignment horizontal="left" vertical="center" wrapText="1" indent="1"/>
    </xf>
    <xf numFmtId="49" fontId="10" fillId="0" borderId="29" xfId="66" applyNumberFormat="1" applyFont="1" applyFill="1" applyBorder="1" applyAlignment="1" applyProtection="1">
      <alignment horizontal="left" vertical="center" wrapText="1" indent="1"/>
    </xf>
    <xf numFmtId="0" fontId="10" fillId="0" borderId="32" xfId="0" applyFont="1" applyBorder="1" applyAlignment="1" applyProtection="1">
      <alignment horizontal="left" vertical="center" wrapText="1" indent="1"/>
    </xf>
    <xf numFmtId="0" fontId="67" fillId="0" borderId="46" xfId="0" applyFont="1" applyBorder="1" applyAlignment="1" applyProtection="1">
      <alignment horizontal="left" vertical="center" wrapText="1" indent="1"/>
    </xf>
    <xf numFmtId="166" fontId="10" fillId="0" borderId="32" xfId="66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32" xfId="0" applyFont="1" applyBorder="1" applyAlignment="1" applyProtection="1">
      <alignment horizontal="left" wrapText="1" indent="1"/>
    </xf>
    <xf numFmtId="0" fontId="10" fillId="0" borderId="32" xfId="0" applyFont="1" applyBorder="1" applyAlignment="1" applyProtection="1">
      <alignment horizontal="left" indent="1"/>
    </xf>
    <xf numFmtId="166" fontId="10" fillId="0" borderId="42" xfId="66" applyNumberFormat="1" applyFont="1" applyFill="1" applyBorder="1" applyAlignment="1" applyProtection="1">
      <alignment horizontal="right" vertical="center" wrapText="1" indent="1"/>
      <protection locked="0"/>
    </xf>
    <xf numFmtId="0" fontId="67" fillId="28" borderId="16" xfId="66" applyFont="1" applyFill="1" applyBorder="1" applyAlignment="1" applyProtection="1">
      <alignment horizontal="left" vertical="center" wrapText="1"/>
    </xf>
    <xf numFmtId="0" fontId="67" fillId="28" borderId="46" xfId="66" applyFont="1" applyFill="1" applyBorder="1" applyAlignment="1" applyProtection="1">
      <alignment horizontal="left" vertical="center" wrapText="1" indent="1"/>
    </xf>
    <xf numFmtId="166" fontId="67" fillId="28" borderId="46" xfId="66" applyNumberFormat="1" applyFont="1" applyFill="1" applyBorder="1" applyAlignment="1" applyProtection="1">
      <alignment horizontal="right" vertical="center" wrapText="1" indent="1"/>
    </xf>
    <xf numFmtId="0" fontId="67" fillId="0" borderId="16" xfId="0" applyFont="1" applyBorder="1" applyAlignment="1" applyProtection="1">
      <alignment vertical="center" wrapText="1"/>
    </xf>
    <xf numFmtId="0" fontId="10" fillId="0" borderId="32" xfId="0" applyFont="1" applyBorder="1" applyAlignment="1" applyProtection="1">
      <alignment vertical="center" wrapText="1"/>
    </xf>
    <xf numFmtId="0" fontId="10" fillId="0" borderId="35" xfId="0" applyFont="1" applyBorder="1" applyAlignment="1">
      <alignment horizontal="left" wrapText="1" indent="1"/>
    </xf>
    <xf numFmtId="0" fontId="10" fillId="0" borderId="49" xfId="0" applyFont="1" applyBorder="1" applyAlignment="1">
      <alignment horizontal="left" vertical="center" wrapText="1" indent="1"/>
    </xf>
    <xf numFmtId="0" fontId="10" fillId="0" borderId="37" xfId="0" applyFont="1" applyBorder="1" applyAlignment="1" applyProtection="1">
      <alignment wrapText="1"/>
    </xf>
    <xf numFmtId="0" fontId="10" fillId="0" borderId="14" xfId="0" applyFont="1" applyBorder="1" applyAlignment="1" applyProtection="1">
      <alignment wrapText="1"/>
    </xf>
    <xf numFmtId="0" fontId="10" fillId="0" borderId="29" xfId="0" applyFont="1" applyBorder="1" applyAlignment="1" applyProtection="1">
      <alignment wrapText="1"/>
    </xf>
    <xf numFmtId="166" fontId="67" fillId="0" borderId="46" xfId="66" applyNumberFormat="1" applyFont="1" applyFill="1" applyBorder="1" applyAlignment="1" applyProtection="1">
      <alignment horizontal="right" vertical="center" wrapText="1" indent="1"/>
      <protection locked="0"/>
    </xf>
    <xf numFmtId="0" fontId="67" fillId="29" borderId="16" xfId="0" applyFont="1" applyFill="1" applyBorder="1" applyAlignment="1" applyProtection="1">
      <alignment vertical="center" wrapText="1"/>
    </xf>
    <xf numFmtId="0" fontId="67" fillId="29" borderId="46" xfId="0" applyFont="1" applyFill="1" applyBorder="1" applyAlignment="1" applyProtection="1">
      <alignment wrapText="1"/>
    </xf>
    <xf numFmtId="166" fontId="67" fillId="29" borderId="46" xfId="66" applyNumberFormat="1" applyFont="1" applyFill="1" applyBorder="1" applyAlignment="1" applyProtection="1">
      <alignment horizontal="right" vertical="center" wrapText="1" indent="1"/>
    </xf>
    <xf numFmtId="0" fontId="67" fillId="0" borderId="50" xfId="0" applyFont="1" applyBorder="1" applyAlignment="1" applyProtection="1">
      <alignment vertical="center" wrapText="1"/>
    </xf>
    <xf numFmtId="0" fontId="67" fillId="0" borderId="51" xfId="0" applyFont="1" applyBorder="1" applyAlignment="1" applyProtection="1">
      <alignment wrapText="1"/>
    </xf>
    <xf numFmtId="0" fontId="24" fillId="0" borderId="39" xfId="0" applyFont="1" applyFill="1" applyBorder="1" applyAlignment="1" applyProtection="1">
      <alignment horizontal="right"/>
    </xf>
    <xf numFmtId="0" fontId="12" fillId="0" borderId="0" xfId="66" applyFont="1" applyFill="1" applyAlignment="1" applyProtection="1"/>
    <xf numFmtId="0" fontId="10" fillId="0" borderId="0" xfId="66" applyFont="1" applyFill="1" applyAlignment="1" applyProtection="1"/>
    <xf numFmtId="0" fontId="21" fillId="0" borderId="52" xfId="66" applyFont="1" applyFill="1" applyBorder="1" applyAlignment="1" applyProtection="1">
      <alignment horizontal="center" vertical="center" wrapText="1"/>
    </xf>
    <xf numFmtId="0" fontId="67" fillId="0" borderId="16" xfId="66" applyFont="1" applyFill="1" applyBorder="1" applyAlignment="1" applyProtection="1">
      <alignment horizontal="center" vertical="center" wrapText="1"/>
    </xf>
    <xf numFmtId="0" fontId="67" fillId="0" borderId="46" xfId="66" applyFont="1" applyFill="1" applyBorder="1" applyAlignment="1" applyProtection="1">
      <alignment horizontal="center" vertical="center" wrapText="1"/>
    </xf>
    <xf numFmtId="0" fontId="67" fillId="0" borderId="11" xfId="66" applyFont="1" applyFill="1" applyBorder="1" applyAlignment="1" applyProtection="1">
      <alignment horizontal="left" vertical="center" wrapText="1" indent="1"/>
    </xf>
    <xf numFmtId="0" fontId="67" fillId="0" borderId="44" xfId="66" applyFont="1" applyFill="1" applyBorder="1" applyAlignment="1" applyProtection="1">
      <alignment vertical="center" wrapText="1"/>
    </xf>
    <xf numFmtId="166" fontId="67" fillId="0" borderId="44" xfId="66" applyNumberFormat="1" applyFont="1" applyFill="1" applyBorder="1" applyAlignment="1" applyProtection="1">
      <alignment horizontal="right" vertical="center" wrapText="1" indent="1"/>
    </xf>
    <xf numFmtId="49" fontId="10" fillId="0" borderId="12" xfId="66" applyNumberFormat="1" applyFont="1" applyFill="1" applyBorder="1" applyAlignment="1" applyProtection="1">
      <alignment horizontal="left" vertical="center" wrapText="1" indent="1"/>
    </xf>
    <xf numFmtId="0" fontId="10" fillId="0" borderId="38" xfId="66" applyFont="1" applyFill="1" applyBorder="1" applyAlignment="1" applyProtection="1">
      <alignment horizontal="left" vertical="center" wrapText="1" indent="1"/>
    </xf>
    <xf numFmtId="166" fontId="10" fillId="0" borderId="38" xfId="66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10" xfId="66" applyFont="1" applyFill="1" applyBorder="1" applyAlignment="1" applyProtection="1">
      <alignment horizontal="left" vertical="center" wrapText="1" indent="1"/>
    </xf>
    <xf numFmtId="0" fontId="10" fillId="0" borderId="41" xfId="66" applyFont="1" applyFill="1" applyBorder="1" applyAlignment="1" applyProtection="1">
      <alignment horizontal="left" vertical="center" wrapText="1" indent="1"/>
    </xf>
    <xf numFmtId="0" fontId="10" fillId="0" borderId="0" xfId="66" applyFont="1" applyFill="1" applyBorder="1" applyAlignment="1" applyProtection="1">
      <alignment horizontal="left" vertical="center" wrapText="1" indent="1"/>
    </xf>
    <xf numFmtId="49" fontId="10" fillId="0" borderId="18" xfId="66" applyNumberFormat="1" applyFont="1" applyFill="1" applyBorder="1" applyAlignment="1" applyProtection="1">
      <alignment horizontal="left" vertical="center" wrapText="1" indent="1"/>
    </xf>
    <xf numFmtId="166" fontId="10" fillId="0" borderId="32" xfId="66" applyNumberFormat="1" applyFont="1" applyFill="1" applyBorder="1" applyAlignment="1" applyProtection="1">
      <alignment horizontal="center" vertical="center" wrapText="1"/>
      <protection locked="0"/>
    </xf>
    <xf numFmtId="49" fontId="10" fillId="0" borderId="53" xfId="66" applyNumberFormat="1" applyFont="1" applyFill="1" applyBorder="1" applyAlignment="1" applyProtection="1">
      <alignment horizontal="left" vertical="center" wrapText="1" indent="1"/>
    </xf>
    <xf numFmtId="0" fontId="10" fillId="0" borderId="42" xfId="66" applyFont="1" applyFill="1" applyBorder="1" applyAlignment="1" applyProtection="1">
      <alignment horizontal="left" vertical="center" wrapText="1" indent="7"/>
    </xf>
    <xf numFmtId="0" fontId="67" fillId="0" borderId="50" xfId="66" applyFont="1" applyFill="1" applyBorder="1" applyAlignment="1" applyProtection="1">
      <alignment horizontal="left" vertical="center" wrapText="1" indent="1"/>
    </xf>
    <xf numFmtId="0" fontId="67" fillId="0" borderId="51" xfId="66" applyFont="1" applyFill="1" applyBorder="1" applyAlignment="1" applyProtection="1">
      <alignment vertical="center" wrapText="1"/>
    </xf>
    <xf numFmtId="166" fontId="67" fillId="0" borderId="51" xfId="66" applyNumberFormat="1" applyFont="1" applyFill="1" applyBorder="1" applyAlignment="1" applyProtection="1">
      <alignment horizontal="right" vertical="center" wrapText="1" indent="1"/>
    </xf>
    <xf numFmtId="0" fontId="10" fillId="0" borderId="32" xfId="66" applyFont="1" applyFill="1" applyBorder="1" applyAlignment="1" applyProtection="1">
      <alignment horizontal="left" vertical="center" wrapText="1" indent="1"/>
    </xf>
    <xf numFmtId="0" fontId="67" fillId="29" borderId="16" xfId="66" applyFont="1" applyFill="1" applyBorder="1" applyAlignment="1" applyProtection="1">
      <alignment horizontal="left" vertical="center" wrapText="1" indent="1"/>
    </xf>
    <xf numFmtId="0" fontId="67" fillId="29" borderId="46" xfId="66" applyFont="1" applyFill="1" applyBorder="1" applyAlignment="1" applyProtection="1">
      <alignment horizontal="left" vertical="center" wrapText="1" indent="1"/>
    </xf>
    <xf numFmtId="0" fontId="10" fillId="0" borderId="35" xfId="66" applyFont="1" applyFill="1" applyBorder="1" applyAlignment="1" applyProtection="1">
      <alignment horizontal="left" vertical="center" wrapText="1" indent="1"/>
    </xf>
    <xf numFmtId="0" fontId="10" fillId="0" borderId="42" xfId="66" applyFont="1" applyFill="1" applyBorder="1" applyAlignment="1" applyProtection="1">
      <alignment horizontal="left" vertical="center" wrapText="1" indent="1"/>
    </xf>
    <xf numFmtId="0" fontId="10" fillId="0" borderId="49" xfId="66" applyFont="1" applyFill="1" applyBorder="1" applyAlignment="1" applyProtection="1">
      <alignment horizontal="left" vertical="center" wrapText="1" indent="1"/>
    </xf>
    <xf numFmtId="166" fontId="67" fillId="0" borderId="46" xfId="0" applyNumberFormat="1" applyFont="1" applyBorder="1" applyAlignment="1" applyProtection="1">
      <alignment horizontal="right" vertical="center" wrapText="1" indent="1"/>
    </xf>
    <xf numFmtId="166" fontId="67" fillId="0" borderId="46" xfId="0" applyNumberFormat="1" applyFont="1" applyBorder="1" applyAlignment="1" applyProtection="1">
      <alignment horizontal="right" vertical="center" wrapText="1" indent="1"/>
      <protection locked="0"/>
    </xf>
    <xf numFmtId="166" fontId="10" fillId="0" borderId="0" xfId="66" applyNumberFormat="1" applyFont="1" applyFill="1" applyProtection="1"/>
    <xf numFmtId="0" fontId="67" fillId="0" borderId="50" xfId="0" applyFont="1" applyBorder="1" applyAlignment="1" applyProtection="1">
      <alignment horizontal="left" vertical="center" wrapText="1" indent="1"/>
    </xf>
    <xf numFmtId="0" fontId="21" fillId="0" borderId="51" xfId="0" applyFont="1" applyBorder="1" applyAlignment="1" applyProtection="1">
      <alignment horizontal="left" vertical="center" wrapText="1" indent="1"/>
    </xf>
    <xf numFmtId="0" fontId="24" fillId="0" borderId="39" xfId="0" applyFont="1" applyFill="1" applyBorder="1" applyAlignment="1" applyProtection="1">
      <alignment horizontal="right" vertical="center"/>
    </xf>
    <xf numFmtId="0" fontId="67" fillId="0" borderId="46" xfId="66" applyFont="1" applyFill="1" applyBorder="1" applyAlignment="1" applyProtection="1">
      <alignment vertical="center" wrapText="1"/>
    </xf>
    <xf numFmtId="166" fontId="67" fillId="0" borderId="55" xfId="66" applyNumberFormat="1" applyFont="1" applyFill="1" applyBorder="1" applyAlignment="1" applyProtection="1">
      <alignment horizontal="right" vertical="center" wrapText="1" indent="1"/>
    </xf>
    <xf numFmtId="0" fontId="12" fillId="0" borderId="0" xfId="66" applyFont="1" applyFill="1" applyAlignment="1" applyProtection="1">
      <alignment horizontal="right" vertical="center" indent="1"/>
    </xf>
    <xf numFmtId="0" fontId="22" fillId="0" borderId="0" xfId="55" applyFont="1"/>
    <xf numFmtId="0" fontId="17" fillId="0" borderId="0" xfId="55"/>
    <xf numFmtId="0" fontId="74" fillId="0" borderId="0" xfId="64" applyFont="1" applyAlignment="1">
      <alignment horizontal="center"/>
    </xf>
    <xf numFmtId="0" fontId="74" fillId="0" borderId="0" xfId="64" applyFont="1"/>
    <xf numFmtId="0" fontId="75" fillId="0" borderId="0" xfId="64" applyFont="1"/>
    <xf numFmtId="0" fontId="74" fillId="0" borderId="0" xfId="64" applyFont="1" applyAlignment="1">
      <alignment vertical="center"/>
    </xf>
    <xf numFmtId="0" fontId="76" fillId="0" borderId="10" xfId="64" applyFont="1" applyBorder="1" applyAlignment="1">
      <alignment horizontal="center" vertical="center" wrapText="1"/>
    </xf>
    <xf numFmtId="0" fontId="76" fillId="0" borderId="10" xfId="64" applyFont="1" applyBorder="1" applyAlignment="1">
      <alignment horizontal="center" vertical="center"/>
    </xf>
    <xf numFmtId="0" fontId="74" fillId="0" borderId="14" xfId="64" applyFont="1" applyBorder="1" applyAlignment="1">
      <alignment horizontal="center"/>
    </xf>
    <xf numFmtId="0" fontId="74" fillId="0" borderId="41" xfId="64" applyFont="1" applyBorder="1"/>
    <xf numFmtId="3" fontId="74" fillId="0" borderId="10" xfId="64" applyNumberFormat="1" applyFont="1" applyBorder="1"/>
    <xf numFmtId="167" fontId="74" fillId="0" borderId="10" xfId="64" applyNumberFormat="1" applyFont="1" applyBorder="1"/>
    <xf numFmtId="167" fontId="74" fillId="0" borderId="0" xfId="64" applyNumberFormat="1" applyFont="1"/>
    <xf numFmtId="0" fontId="75" fillId="30" borderId="41" xfId="64" applyFont="1" applyFill="1" applyBorder="1"/>
    <xf numFmtId="3" fontId="77" fillId="0" borderId="10" xfId="64" applyNumberFormat="1" applyFont="1" applyBorder="1"/>
    <xf numFmtId="3" fontId="74" fillId="26" borderId="10" xfId="64" applyNumberFormat="1" applyFont="1" applyFill="1" applyBorder="1"/>
    <xf numFmtId="3" fontId="75" fillId="0" borderId="10" xfId="64" applyNumberFormat="1" applyFont="1" applyBorder="1" applyAlignment="1">
      <alignment vertical="center"/>
    </xf>
    <xf numFmtId="0" fontId="74" fillId="0" borderId="53" xfId="64" applyFont="1" applyBorder="1" applyAlignment="1">
      <alignment horizontal="center"/>
    </xf>
    <xf numFmtId="0" fontId="74" fillId="0" borderId="10" xfId="64" applyFont="1" applyBorder="1"/>
    <xf numFmtId="0" fontId="74" fillId="0" borderId="20" xfId="64" applyFont="1" applyBorder="1"/>
    <xf numFmtId="3" fontId="74" fillId="0" borderId="0" xfId="64" applyNumberFormat="1" applyFont="1"/>
    <xf numFmtId="3" fontId="75" fillId="0" borderId="0" xfId="64" applyNumberFormat="1" applyFont="1"/>
    <xf numFmtId="0" fontId="45" fillId="0" borderId="0" xfId="55" applyFont="1"/>
    <xf numFmtId="0" fontId="44" fillId="0" borderId="0" xfId="55" applyFont="1"/>
    <xf numFmtId="167" fontId="45" fillId="0" borderId="20" xfId="55" applyNumberFormat="1" applyFont="1" applyBorder="1"/>
    <xf numFmtId="167" fontId="43" fillId="0" borderId="0" xfId="55" applyNumberFormat="1" applyFont="1"/>
    <xf numFmtId="0" fontId="43" fillId="0" borderId="0" xfId="55" applyFont="1"/>
    <xf numFmtId="3" fontId="77" fillId="31" borderId="10" xfId="55" applyNumberFormat="1" applyFont="1" applyFill="1" applyBorder="1"/>
    <xf numFmtId="167" fontId="45" fillId="32" borderId="20" xfId="55" applyNumberFormat="1" applyFont="1" applyFill="1" applyBorder="1"/>
    <xf numFmtId="3" fontId="45" fillId="0" borderId="0" xfId="55" applyNumberFormat="1" applyFont="1"/>
    <xf numFmtId="3" fontId="44" fillId="0" borderId="0" xfId="55" applyNumberFormat="1" applyFont="1"/>
    <xf numFmtId="0" fontId="45" fillId="0" borderId="41" xfId="55" applyFont="1" applyBorder="1"/>
    <xf numFmtId="0" fontId="44" fillId="31" borderId="41" xfId="55" applyFont="1" applyFill="1" applyBorder="1"/>
    <xf numFmtId="3" fontId="75" fillId="33" borderId="10" xfId="64" applyNumberFormat="1" applyFont="1" applyFill="1" applyBorder="1" applyAlignment="1">
      <alignment vertical="center"/>
    </xf>
    <xf numFmtId="0" fontId="44" fillId="0" borderId="41" xfId="55" applyFont="1" applyFill="1" applyBorder="1"/>
    <xf numFmtId="0" fontId="87" fillId="0" borderId="0" xfId="0" applyFont="1" applyBorder="1" applyAlignment="1">
      <alignment horizontal="right" vertical="center"/>
    </xf>
    <xf numFmtId="3" fontId="92" fillId="0" borderId="0" xfId="0" applyNumberFormat="1" applyFont="1" applyBorder="1"/>
    <xf numFmtId="0" fontId="87" fillId="0" borderId="0" xfId="0" applyFont="1" applyBorder="1" applyAlignment="1">
      <alignment vertical="center"/>
    </xf>
    <xf numFmtId="3" fontId="84" fillId="0" borderId="0" xfId="0" applyNumberFormat="1" applyFont="1" applyBorder="1"/>
    <xf numFmtId="0" fontId="94" fillId="0" borderId="0" xfId="55" applyFont="1"/>
    <xf numFmtId="2" fontId="11" fillId="0" borderId="0" xfId="55" applyNumberFormat="1" applyFont="1" applyAlignment="1">
      <alignment horizontal="center" wrapText="1"/>
    </xf>
    <xf numFmtId="2" fontId="11" fillId="0" borderId="0" xfId="55" applyNumberFormat="1" applyFont="1" applyAlignment="1">
      <alignment horizontal="right" wrapText="1"/>
    </xf>
    <xf numFmtId="2" fontId="11" fillId="0" borderId="0" xfId="55" applyNumberFormat="1" applyFont="1" applyAlignment="1">
      <alignment wrapText="1"/>
    </xf>
    <xf numFmtId="0" fontId="11" fillId="0" borderId="0" xfId="55" applyFont="1"/>
    <xf numFmtId="3" fontId="20" fillId="26" borderId="10" xfId="55" applyNumberFormat="1" applyFont="1" applyFill="1" applyBorder="1" applyAlignment="1">
      <alignment vertical="center"/>
    </xf>
    <xf numFmtId="0" fontId="17" fillId="26" borderId="0" xfId="55" applyFill="1" applyAlignment="1">
      <alignment vertical="center"/>
    </xf>
    <xf numFmtId="3" fontId="95" fillId="0" borderId="10" xfId="55" applyNumberFormat="1" applyFont="1" applyFill="1" applyBorder="1" applyAlignment="1">
      <alignment horizontal="right" vertical="center" wrapText="1"/>
    </xf>
    <xf numFmtId="0" fontId="17" fillId="0" borderId="0" xfId="55" applyAlignment="1">
      <alignment vertical="center"/>
    </xf>
    <xf numFmtId="2" fontId="17" fillId="0" borderId="0" xfId="55" applyNumberFormat="1" applyAlignment="1">
      <alignment wrapText="1"/>
    </xf>
    <xf numFmtId="3" fontId="20" fillId="0" borderId="0" xfId="55" applyNumberFormat="1" applyFont="1" applyFill="1" applyBorder="1" applyAlignment="1">
      <alignment horizontal="right" vertical="top" wrapText="1"/>
    </xf>
    <xf numFmtId="3" fontId="17" fillId="0" borderId="0" xfId="55" applyNumberFormat="1"/>
    <xf numFmtId="3" fontId="95" fillId="26" borderId="0" xfId="55" applyNumberFormat="1" applyFont="1" applyFill="1" applyBorder="1"/>
    <xf numFmtId="0" fontId="8" fillId="0" borderId="0" xfId="55" applyFont="1" applyAlignment="1">
      <alignment horizontal="right" vertical="center"/>
    </xf>
    <xf numFmtId="3" fontId="112" fillId="0" borderId="0" xfId="64" applyNumberFormat="1" applyFont="1"/>
    <xf numFmtId="3" fontId="113" fillId="0" borderId="0" xfId="64" applyNumberFormat="1" applyFont="1"/>
    <xf numFmtId="0" fontId="44" fillId="33" borderId="41" xfId="64" applyFont="1" applyFill="1" applyBorder="1" applyAlignment="1">
      <alignment vertical="center"/>
    </xf>
    <xf numFmtId="3" fontId="74" fillId="33" borderId="10" xfId="64" applyNumberFormat="1" applyFont="1" applyFill="1" applyBorder="1"/>
    <xf numFmtId="0" fontId="8" fillId="0" borderId="0" xfId="55" applyFont="1" applyAlignment="1">
      <alignment horizontal="right"/>
    </xf>
    <xf numFmtId="4" fontId="9" fillId="0" borderId="0" xfId="55" applyNumberFormat="1" applyFont="1" applyAlignment="1">
      <alignment horizontal="center" wrapText="1"/>
    </xf>
    <xf numFmtId="4" fontId="17" fillId="0" borderId="0" xfId="55" applyNumberFormat="1" applyAlignment="1">
      <alignment wrapText="1"/>
    </xf>
    <xf numFmtId="0" fontId="8" fillId="0" borderId="0" xfId="55" applyFont="1"/>
    <xf numFmtId="0" fontId="8" fillId="0" borderId="10" xfId="55" applyFont="1" applyBorder="1" applyAlignment="1">
      <alignment horizontal="center" wrapText="1"/>
    </xf>
    <xf numFmtId="0" fontId="8" fillId="0" borderId="10" xfId="55" applyFont="1" applyBorder="1" applyAlignment="1">
      <alignment horizontal="center" vertical="center"/>
    </xf>
    <xf numFmtId="4" fontId="17" fillId="0" borderId="10" xfId="55" applyNumberFormat="1" applyFont="1" applyBorder="1" applyAlignment="1">
      <alignment wrapText="1"/>
    </xf>
    <xf numFmtId="0" fontId="17" fillId="26" borderId="0" xfId="55" applyFill="1"/>
    <xf numFmtId="3" fontId="17" fillId="26" borderId="10" xfId="55" applyNumberFormat="1" applyFont="1" applyFill="1" applyBorder="1"/>
    <xf numFmtId="0" fontId="17" fillId="0" borderId="0" xfId="55" applyFont="1"/>
    <xf numFmtId="3" fontId="17" fillId="0" borderId="0" xfId="55" applyNumberFormat="1" applyFont="1"/>
    <xf numFmtId="0" fontId="78" fillId="0" borderId="0" xfId="55" applyFont="1"/>
    <xf numFmtId="3" fontId="17" fillId="0" borderId="10" xfId="55" applyNumberFormat="1" applyFont="1" applyBorder="1"/>
    <xf numFmtId="0" fontId="10" fillId="0" borderId="10" xfId="66" applyFont="1" applyFill="1" applyBorder="1" applyAlignment="1" applyProtection="1">
      <alignment horizontal="left" vertical="center" wrapText="1"/>
    </xf>
    <xf numFmtId="0" fontId="10" fillId="0" borderId="32" xfId="66" applyFont="1" applyFill="1" applyBorder="1" applyAlignment="1" applyProtection="1">
      <alignment horizontal="left" vertical="center" wrapText="1" indent="4"/>
    </xf>
    <xf numFmtId="0" fontId="10" fillId="0" borderId="10" xfId="66" applyFont="1" applyFill="1" applyBorder="1" applyAlignment="1" applyProtection="1">
      <alignment horizontal="left" indent="4"/>
    </xf>
    <xf numFmtId="0" fontId="10" fillId="0" borderId="10" xfId="66" applyFont="1" applyFill="1" applyBorder="1" applyAlignment="1" applyProtection="1">
      <alignment horizontal="left" vertical="center" wrapText="1" indent="4"/>
    </xf>
    <xf numFmtId="0" fontId="10" fillId="0" borderId="35" xfId="66" applyFont="1" applyFill="1" applyBorder="1" applyAlignment="1" applyProtection="1">
      <alignment horizontal="left" vertical="center" wrapText="1" indent="4"/>
    </xf>
    <xf numFmtId="166" fontId="67" fillId="0" borderId="17" xfId="0" applyNumberFormat="1" applyFont="1" applyBorder="1" applyAlignment="1" applyProtection="1">
      <alignment horizontal="right" vertical="center" wrapText="1" indent="1"/>
    </xf>
    <xf numFmtId="166" fontId="67" fillId="0" borderId="17" xfId="0" applyNumberFormat="1" applyFont="1" applyBorder="1" applyAlignment="1" applyProtection="1">
      <alignment horizontal="right" vertical="center" wrapText="1" indent="1"/>
      <protection locked="0"/>
    </xf>
    <xf numFmtId="0" fontId="8" fillId="0" borderId="0" xfId="55" applyFont="1" applyAlignment="1">
      <alignment vertical="center"/>
    </xf>
    <xf numFmtId="4" fontId="8" fillId="0" borderId="10" xfId="55" applyNumberFormat="1" applyFont="1" applyBorder="1" applyAlignment="1">
      <alignment horizontal="center" vertical="center" wrapText="1"/>
    </xf>
    <xf numFmtId="4" fontId="11" fillId="33" borderId="0" xfId="55" applyNumberFormat="1" applyFont="1" applyFill="1" applyAlignment="1">
      <alignment horizontal="left" vertical="center" wrapText="1"/>
    </xf>
    <xf numFmtId="0" fontId="71" fillId="0" borderId="0" xfId="63" applyAlignment="1">
      <alignment vertical="center"/>
    </xf>
    <xf numFmtId="4" fontId="8" fillId="33" borderId="10" xfId="55" applyNumberFormat="1" applyFont="1" applyFill="1" applyBorder="1" applyAlignment="1">
      <alignment vertical="center" wrapText="1"/>
    </xf>
    <xf numFmtId="3" fontId="8" fillId="33" borderId="10" xfId="55" applyNumberFormat="1" applyFont="1" applyFill="1" applyBorder="1" applyAlignment="1">
      <alignment vertical="center"/>
    </xf>
    <xf numFmtId="3" fontId="8" fillId="33" borderId="20" xfId="55" applyNumberFormat="1" applyFont="1" applyFill="1" applyBorder="1" applyAlignment="1">
      <alignment vertical="center"/>
    </xf>
    <xf numFmtId="0" fontId="8" fillId="0" borderId="10" xfId="55" applyFont="1" applyBorder="1" applyAlignment="1">
      <alignment horizontal="center" vertical="center" wrapText="1"/>
    </xf>
    <xf numFmtId="3" fontId="8" fillId="0" borderId="10" xfId="55" applyNumberFormat="1" applyFont="1" applyFill="1" applyBorder="1" applyAlignment="1">
      <alignment vertical="center"/>
    </xf>
    <xf numFmtId="4" fontId="21" fillId="0" borderId="10" xfId="55" applyNumberFormat="1" applyFont="1" applyFill="1" applyBorder="1" applyAlignment="1">
      <alignment vertical="center" wrapText="1"/>
    </xf>
    <xf numFmtId="3" fontId="8" fillId="33" borderId="10" xfId="55" applyNumberFormat="1" applyFont="1" applyFill="1" applyBorder="1"/>
    <xf numFmtId="4" fontId="8" fillId="33" borderId="10" xfId="55" applyNumberFormat="1" applyFont="1" applyFill="1" applyBorder="1" applyAlignment="1">
      <alignment horizontal="left" vertical="center" wrapText="1"/>
    </xf>
    <xf numFmtId="3" fontId="17" fillId="0" borderId="10" xfId="55" applyNumberFormat="1" applyFont="1" applyFill="1" applyBorder="1"/>
    <xf numFmtId="4" fontId="11" fillId="0" borderId="0" xfId="55" applyNumberFormat="1" applyFont="1" applyAlignment="1">
      <alignment vertical="center" wrapText="1"/>
    </xf>
    <xf numFmtId="0" fontId="8" fillId="0" borderId="0" xfId="55" applyFont="1" applyAlignment="1"/>
    <xf numFmtId="0" fontId="2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166" fontId="67" fillId="29" borderId="46" xfId="0" quotePrefix="1" applyNumberFormat="1" applyFont="1" applyFill="1" applyBorder="1" applyAlignment="1" applyProtection="1">
      <alignment horizontal="right" vertical="center" wrapText="1" indent="1"/>
    </xf>
    <xf numFmtId="166" fontId="67" fillId="29" borderId="17" xfId="0" quotePrefix="1" applyNumberFormat="1" applyFont="1" applyFill="1" applyBorder="1" applyAlignment="1" applyProtection="1">
      <alignment horizontal="right" vertical="center" wrapText="1" indent="1"/>
    </xf>
    <xf numFmtId="166" fontId="67" fillId="0" borderId="46" xfId="0" quotePrefix="1" applyNumberFormat="1" applyFont="1" applyBorder="1" applyAlignment="1" applyProtection="1">
      <alignment horizontal="right" vertical="center" wrapText="1" indent="1"/>
    </xf>
    <xf numFmtId="166" fontId="67" fillId="33" borderId="17" xfId="0" quotePrefix="1" applyNumberFormat="1" applyFont="1" applyFill="1" applyBorder="1" applyAlignment="1" applyProtection="1">
      <alignment horizontal="right" vertical="center" wrapText="1" indent="1"/>
    </xf>
    <xf numFmtId="0" fontId="79" fillId="0" borderId="0" xfId="55" applyFont="1"/>
    <xf numFmtId="0" fontId="23" fillId="0" borderId="0" xfId="55" applyFont="1"/>
    <xf numFmtId="0" fontId="14" fillId="0" borderId="0" xfId="55" applyFont="1"/>
    <xf numFmtId="0" fontId="93" fillId="0" borderId="0" xfId="55" applyFont="1"/>
    <xf numFmtId="0" fontId="81" fillId="0" borderId="0" xfId="55" applyFont="1"/>
    <xf numFmtId="0" fontId="82" fillId="0" borderId="0" xfId="55" applyFont="1"/>
    <xf numFmtId="0" fontId="83" fillId="0" borderId="0" xfId="55" applyFont="1" applyAlignment="1">
      <alignment horizontal="right"/>
    </xf>
    <xf numFmtId="0" fontId="114" fillId="0" borderId="12" xfId="55" applyFont="1" applyBorder="1" applyAlignment="1">
      <alignment vertical="center"/>
    </xf>
    <xf numFmtId="0" fontId="115" fillId="0" borderId="57" xfId="55" applyFont="1" applyBorder="1" applyAlignment="1">
      <alignment horizontal="center" vertical="center"/>
    </xf>
    <xf numFmtId="2" fontId="26" fillId="33" borderId="13" xfId="55" applyNumberFormat="1" applyFont="1" applyFill="1" applyBorder="1" applyAlignment="1">
      <alignment horizontal="center" vertical="center" wrapText="1"/>
    </xf>
    <xf numFmtId="14" fontId="84" fillId="0" borderId="14" xfId="55" applyNumberFormat="1" applyFont="1" applyBorder="1"/>
    <xf numFmtId="3" fontId="40" fillId="0" borderId="20" xfId="55" applyNumberFormat="1" applyFont="1" applyBorder="1"/>
    <xf numFmtId="3" fontId="85" fillId="0" borderId="15" xfId="55" applyNumberFormat="1" applyFont="1" applyBorder="1" applyAlignment="1">
      <alignment wrapText="1"/>
    </xf>
    <xf numFmtId="2" fontId="85" fillId="0" borderId="15" xfId="55" applyNumberFormat="1" applyFont="1" applyBorder="1" applyAlignment="1">
      <alignment wrapText="1"/>
    </xf>
    <xf numFmtId="0" fontId="85" fillId="26" borderId="14" xfId="55" applyFont="1" applyFill="1" applyBorder="1"/>
    <xf numFmtId="3" fontId="8" fillId="26" borderId="20" xfId="55" applyNumberFormat="1" applyFont="1" applyFill="1" applyBorder="1"/>
    <xf numFmtId="3" fontId="8" fillId="26" borderId="15" xfId="55" applyNumberFormat="1" applyFont="1" applyFill="1" applyBorder="1"/>
    <xf numFmtId="3" fontId="86" fillId="26" borderId="20" xfId="55" applyNumberFormat="1" applyFont="1" applyFill="1" applyBorder="1"/>
    <xf numFmtId="3" fontId="86" fillId="26" borderId="15" xfId="55" applyNumberFormat="1" applyFont="1" applyFill="1" applyBorder="1"/>
    <xf numFmtId="0" fontId="86" fillId="34" borderId="29" xfId="55" applyFont="1" applyFill="1" applyBorder="1"/>
    <xf numFmtId="3" fontId="86" fillId="34" borderId="32" xfId="55" applyNumberFormat="1" applyFont="1" applyFill="1" applyBorder="1"/>
    <xf numFmtId="3" fontId="86" fillId="34" borderId="31" xfId="55" applyNumberFormat="1" applyFont="1" applyFill="1" applyBorder="1"/>
    <xf numFmtId="0" fontId="84" fillId="26" borderId="12" xfId="55" applyFont="1" applyFill="1" applyBorder="1"/>
    <xf numFmtId="3" fontId="86" fillId="26" borderId="57" xfId="55" applyNumberFormat="1" applyFont="1" applyFill="1" applyBorder="1"/>
    <xf numFmtId="3" fontId="85" fillId="26" borderId="13" xfId="55" applyNumberFormat="1" applyFont="1" applyFill="1" applyBorder="1" applyAlignment="1">
      <alignment wrapText="1"/>
    </xf>
    <xf numFmtId="2" fontId="85" fillId="26" borderId="13" xfId="55" applyNumberFormat="1" applyFont="1" applyFill="1" applyBorder="1" applyAlignment="1">
      <alignment wrapText="1"/>
    </xf>
    <xf numFmtId="0" fontId="85" fillId="0" borderId="14" xfId="55" applyFont="1" applyBorder="1"/>
    <xf numFmtId="3" fontId="86" fillId="0" borderId="20" xfId="55" applyNumberFormat="1" applyFont="1" applyBorder="1"/>
    <xf numFmtId="3" fontId="86" fillId="0" borderId="15" xfId="55" applyNumberFormat="1" applyFont="1" applyBorder="1"/>
    <xf numFmtId="0" fontId="108" fillId="0" borderId="14" xfId="55" applyFont="1" applyBorder="1"/>
    <xf numFmtId="3" fontId="109" fillId="0" borderId="20" xfId="55" applyNumberFormat="1" applyFont="1" applyBorder="1"/>
    <xf numFmtId="3" fontId="109" fillId="0" borderId="15" xfId="55" applyNumberFormat="1" applyFont="1" applyBorder="1"/>
    <xf numFmtId="0" fontId="110" fillId="0" borderId="0" xfId="55" applyFont="1"/>
    <xf numFmtId="0" fontId="84" fillId="0" borderId="14" xfId="55" applyFont="1" applyBorder="1"/>
    <xf numFmtId="3" fontId="86" fillId="0" borderId="10" xfId="55" applyNumberFormat="1" applyFont="1" applyBorder="1"/>
    <xf numFmtId="0" fontId="84" fillId="24" borderId="29" xfId="55" applyFont="1" applyFill="1" applyBorder="1"/>
    <xf numFmtId="3" fontId="33" fillId="24" borderId="32" xfId="55" applyNumberFormat="1" applyFont="1" applyFill="1" applyBorder="1"/>
    <xf numFmtId="3" fontId="33" fillId="24" borderId="31" xfId="55" applyNumberFormat="1" applyFont="1" applyFill="1" applyBorder="1"/>
    <xf numFmtId="0" fontId="84" fillId="0" borderId="12" xfId="55" applyFont="1" applyBorder="1"/>
    <xf numFmtId="3" fontId="86" fillId="0" borderId="57" xfId="55" applyNumberFormat="1" applyFont="1" applyBorder="1"/>
    <xf numFmtId="3" fontId="86" fillId="0" borderId="13" xfId="55" applyNumberFormat="1" applyFont="1" applyBorder="1"/>
    <xf numFmtId="0" fontId="87" fillId="0" borderId="14" xfId="55" applyFont="1" applyBorder="1"/>
    <xf numFmtId="3" fontId="88" fillId="0" borderId="15" xfId="55" applyNumberFormat="1" applyFont="1" applyBorder="1"/>
    <xf numFmtId="0" fontId="89" fillId="0" borderId="14" xfId="55" applyFont="1" applyBorder="1"/>
    <xf numFmtId="3" fontId="88" fillId="0" borderId="20" xfId="55" applyNumberFormat="1" applyFont="1" applyBorder="1"/>
    <xf numFmtId="3" fontId="33" fillId="0" borderId="10" xfId="55" applyNumberFormat="1" applyFont="1" applyBorder="1" applyAlignment="1">
      <alignment horizontal="right"/>
    </xf>
    <xf numFmtId="3" fontId="33" fillId="0" borderId="15" xfId="55" applyNumberFormat="1" applyFont="1" applyBorder="1" applyAlignment="1">
      <alignment horizontal="right"/>
    </xf>
    <xf numFmtId="0" fontId="87" fillId="0" borderId="29" xfId="55" applyFont="1" applyBorder="1"/>
    <xf numFmtId="3" fontId="90" fillId="0" borderId="32" xfId="55" applyNumberFormat="1" applyFont="1" applyBorder="1" applyAlignment="1">
      <alignment horizontal="right"/>
    </xf>
    <xf numFmtId="3" fontId="90" fillId="0" borderId="31" xfId="55" applyNumberFormat="1" applyFont="1" applyBorder="1" applyAlignment="1">
      <alignment horizontal="right"/>
    </xf>
    <xf numFmtId="3" fontId="91" fillId="0" borderId="57" xfId="55" applyNumberFormat="1" applyFont="1" applyBorder="1"/>
    <xf numFmtId="3" fontId="85" fillId="0" borderId="13" xfId="55" applyNumberFormat="1" applyFont="1" applyBorder="1" applyAlignment="1">
      <alignment wrapText="1"/>
    </xf>
    <xf numFmtId="2" fontId="85" fillId="0" borderId="13" xfId="55" applyNumberFormat="1" applyFont="1" applyBorder="1" applyAlignment="1">
      <alignment wrapText="1"/>
    </xf>
    <xf numFmtId="3" fontId="91" fillId="0" borderId="20" xfId="55" applyNumberFormat="1" applyFont="1" applyBorder="1"/>
    <xf numFmtId="3" fontId="33" fillId="0" borderId="20" xfId="55" applyNumberFormat="1" applyFont="1" applyBorder="1"/>
    <xf numFmtId="3" fontId="33" fillId="0" borderId="15" xfId="55" applyNumberFormat="1" applyFont="1" applyBorder="1"/>
    <xf numFmtId="3" fontId="86" fillId="0" borderId="10" xfId="55" applyNumberFormat="1" applyFont="1" applyBorder="1" applyAlignment="1">
      <alignment horizontal="right"/>
    </xf>
    <xf numFmtId="3" fontId="86" fillId="0" borderId="15" xfId="55" applyNumberFormat="1" applyFont="1" applyBorder="1" applyAlignment="1">
      <alignment horizontal="right"/>
    </xf>
    <xf numFmtId="0" fontId="96" fillId="35" borderId="53" xfId="55" applyFont="1" applyFill="1" applyBorder="1"/>
    <xf numFmtId="3" fontId="96" fillId="35" borderId="42" xfId="55" applyNumberFormat="1" applyFont="1" applyFill="1" applyBorder="1" applyAlignment="1">
      <alignment horizontal="right"/>
    </xf>
    <xf numFmtId="0" fontId="84" fillId="0" borderId="0" xfId="55" applyFont="1"/>
    <xf numFmtId="3" fontId="85" fillId="0" borderId="0" xfId="55" applyNumberFormat="1" applyFont="1"/>
    <xf numFmtId="3" fontId="92" fillId="0" borderId="0" xfId="55" applyNumberFormat="1" applyFont="1"/>
    <xf numFmtId="3" fontId="116" fillId="0" borderId="0" xfId="55" applyNumberFormat="1" applyFont="1"/>
    <xf numFmtId="3" fontId="84" fillId="0" borderId="0" xfId="55" applyNumberFormat="1" applyFont="1"/>
    <xf numFmtId="0" fontId="85" fillId="0" borderId="0" xfId="55" applyFont="1"/>
    <xf numFmtId="3" fontId="116" fillId="26" borderId="0" xfId="55" applyNumberFormat="1" applyFont="1" applyFill="1"/>
    <xf numFmtId="3" fontId="74" fillId="0" borderId="10" xfId="64" applyNumberFormat="1" applyFont="1" applyBorder="1"/>
    <xf numFmtId="3" fontId="8" fillId="0" borderId="26" xfId="55" applyNumberFormat="1" applyFont="1" applyBorder="1" applyAlignment="1">
      <alignment horizontal="center" vertical="center" wrapText="1"/>
    </xf>
    <xf numFmtId="0" fontId="7" fillId="0" borderId="0" xfId="55" applyFont="1"/>
    <xf numFmtId="0" fontId="75" fillId="0" borderId="0" xfId="55" applyFont="1" applyAlignment="1">
      <alignment horizontal="center"/>
    </xf>
    <xf numFmtId="0" fontId="76" fillId="0" borderId="57" xfId="64" applyFont="1" applyBorder="1" applyAlignment="1">
      <alignment horizontal="center" vertical="center"/>
    </xf>
    <xf numFmtId="167" fontId="75" fillId="0" borderId="57" xfId="55" applyNumberFormat="1" applyFont="1" applyFill="1" applyBorder="1" applyAlignment="1">
      <alignment horizontal="center" vertical="center" wrapText="1"/>
    </xf>
    <xf numFmtId="0" fontId="76" fillId="33" borderId="57" xfId="64" applyFont="1" applyFill="1" applyBorder="1" applyAlignment="1">
      <alignment horizontal="center" vertical="center"/>
    </xf>
    <xf numFmtId="0" fontId="75" fillId="0" borderId="0" xfId="64" applyFont="1" applyAlignment="1">
      <alignment horizontal="center"/>
    </xf>
    <xf numFmtId="0" fontId="76" fillId="0" borderId="57" xfId="64" applyFont="1" applyFill="1" applyBorder="1" applyAlignment="1">
      <alignment horizontal="center" vertical="center"/>
    </xf>
    <xf numFmtId="0" fontId="0" fillId="0" borderId="10" xfId="0" applyBorder="1"/>
    <xf numFmtId="0" fontId="8" fillId="0" borderId="10" xfId="0" applyFont="1" applyBorder="1"/>
    <xf numFmtId="0" fontId="7" fillId="0" borderId="10" xfId="0" applyFont="1" applyBorder="1"/>
    <xf numFmtId="3" fontId="0" fillId="0" borderId="10" xfId="0" applyNumberFormat="1" applyBorder="1"/>
    <xf numFmtId="0" fontId="0" fillId="27" borderId="0" xfId="0" applyFill="1"/>
    <xf numFmtId="0" fontId="0" fillId="27" borderId="10" xfId="0" applyFill="1" applyBorder="1"/>
    <xf numFmtId="3" fontId="0" fillId="27" borderId="10" xfId="0" applyNumberFormat="1" applyFill="1" applyBorder="1"/>
    <xf numFmtId="165" fontId="0" fillId="0" borderId="10" xfId="0" applyNumberFormat="1" applyBorder="1"/>
    <xf numFmtId="4" fontId="0" fillId="0" borderId="10" xfId="0" applyNumberFormat="1" applyBorder="1"/>
    <xf numFmtId="0" fontId="7" fillId="27" borderId="10" xfId="0" applyFont="1" applyFill="1" applyBorder="1"/>
    <xf numFmtId="0" fontId="7" fillId="0" borderId="0" xfId="0" applyFont="1"/>
    <xf numFmtId="3" fontId="5" fillId="0" borderId="10" xfId="86" applyNumberFormat="1" applyBorder="1"/>
    <xf numFmtId="3" fontId="7" fillId="0" borderId="20" xfId="0" applyNumberFormat="1" applyFont="1" applyBorder="1" applyAlignment="1">
      <alignment horizontal="right" wrapText="1"/>
    </xf>
    <xf numFmtId="0" fontId="7" fillId="0" borderId="10" xfId="0" applyFont="1" applyBorder="1" applyAlignment="1">
      <alignment horizontal="left" vertical="center" wrapText="1"/>
    </xf>
    <xf numFmtId="0" fontId="7" fillId="0" borderId="0" xfId="0" applyFont="1" applyAlignment="1">
      <alignment vertical="center"/>
    </xf>
    <xf numFmtId="0" fontId="9" fillId="0" borderId="0" xfId="0" applyFont="1"/>
    <xf numFmtId="0" fontId="8" fillId="0" borderId="10" xfId="0" applyFont="1" applyBorder="1" applyAlignment="1">
      <alignment horizontal="center"/>
    </xf>
    <xf numFmtId="0" fontId="78" fillId="0" borderId="10" xfId="0" applyFont="1" applyBorder="1"/>
    <xf numFmtId="3" fontId="7" fillId="0" borderId="10" xfId="0" applyNumberFormat="1" applyFont="1" applyBorder="1"/>
    <xf numFmtId="0" fontId="7" fillId="0" borderId="10" xfId="0" applyFont="1" applyFill="1" applyBorder="1"/>
    <xf numFmtId="0" fontId="128" fillId="26" borderId="10" xfId="0" applyFont="1" applyFill="1" applyBorder="1"/>
    <xf numFmtId="3" fontId="130" fillId="0" borderId="10" xfId="0" applyNumberFormat="1" applyFont="1" applyFill="1" applyBorder="1"/>
    <xf numFmtId="3" fontId="128" fillId="26" borderId="10" xfId="0" applyNumberFormat="1" applyFont="1" applyFill="1" applyBorder="1"/>
    <xf numFmtId="3" fontId="129" fillId="26" borderId="0" xfId="0" applyNumberFormat="1" applyFont="1" applyFill="1"/>
    <xf numFmtId="0" fontId="129" fillId="26" borderId="0" xfId="0" applyFont="1" applyFill="1"/>
    <xf numFmtId="0" fontId="0" fillId="26" borderId="10" xfId="0" applyFont="1" applyFill="1" applyBorder="1"/>
    <xf numFmtId="0" fontId="7" fillId="26" borderId="10" xfId="0" applyFont="1" applyFill="1" applyBorder="1"/>
    <xf numFmtId="3" fontId="128" fillId="0" borderId="10" xfId="0" applyNumberFormat="1" applyFont="1" applyFill="1" applyBorder="1"/>
    <xf numFmtId="0" fontId="7" fillId="26" borderId="0" xfId="0" applyFont="1" applyFill="1"/>
    <xf numFmtId="3" fontId="130" fillId="26" borderId="10" xfId="0" applyNumberFormat="1" applyFont="1" applyFill="1" applyBorder="1"/>
    <xf numFmtId="0" fontId="131" fillId="26" borderId="0" xfId="0" applyFont="1" applyFill="1"/>
    <xf numFmtId="0" fontId="8" fillId="26" borderId="23" xfId="0" applyFont="1" applyFill="1" applyBorder="1"/>
    <xf numFmtId="3" fontId="132" fillId="0" borderId="10" xfId="0" applyNumberFormat="1" applyFont="1" applyFill="1" applyBorder="1"/>
    <xf numFmtId="0" fontId="8" fillId="26" borderId="0" xfId="0" applyFont="1" applyFill="1"/>
    <xf numFmtId="165" fontId="128" fillId="26" borderId="10" xfId="0" applyNumberFormat="1" applyFont="1" applyFill="1" applyBorder="1"/>
    <xf numFmtId="165" fontId="7" fillId="26" borderId="10" xfId="0" applyNumberFormat="1" applyFont="1" applyFill="1" applyBorder="1"/>
    <xf numFmtId="3" fontId="7" fillId="26" borderId="10" xfId="0" applyNumberFormat="1" applyFont="1" applyFill="1" applyBorder="1"/>
    <xf numFmtId="0" fontId="7" fillId="25" borderId="10" xfId="0" applyFont="1" applyFill="1" applyBorder="1"/>
    <xf numFmtId="3" fontId="7" fillId="25" borderId="10" xfId="0" applyNumberFormat="1" applyFont="1" applyFill="1" applyBorder="1"/>
    <xf numFmtId="3" fontId="129" fillId="0" borderId="0" xfId="0" applyNumberFormat="1" applyFont="1"/>
    <xf numFmtId="0" fontId="7" fillId="0" borderId="0" xfId="0" applyFont="1" applyFill="1" applyBorder="1"/>
    <xf numFmtId="3" fontId="7" fillId="0" borderId="0" xfId="0" applyNumberFormat="1" applyFont="1" applyBorder="1"/>
    <xf numFmtId="3" fontId="8" fillId="0" borderId="0" xfId="0" applyNumberFormat="1" applyFont="1" applyBorder="1"/>
    <xf numFmtId="3" fontId="7" fillId="0" borderId="0" xfId="0" applyNumberFormat="1" applyFont="1"/>
    <xf numFmtId="0" fontId="7" fillId="41" borderId="0" xfId="0" applyFont="1" applyFill="1"/>
    <xf numFmtId="3" fontId="7" fillId="41" borderId="0" xfId="0" applyNumberFormat="1" applyFont="1" applyFill="1"/>
    <xf numFmtId="0" fontId="22" fillId="0" borderId="0" xfId="0" applyFont="1"/>
    <xf numFmtId="0" fontId="7" fillId="0" borderId="0" xfId="0" applyFont="1" applyBorder="1"/>
    <xf numFmtId="2" fontId="8" fillId="0" borderId="10" xfId="0" applyNumberFormat="1" applyFont="1" applyBorder="1" applyAlignment="1">
      <alignment horizontal="center" wrapText="1"/>
    </xf>
    <xf numFmtId="2" fontId="8" fillId="0" borderId="10" xfId="0" applyNumberFormat="1" applyFont="1" applyBorder="1" applyAlignment="1">
      <alignment wrapText="1"/>
    </xf>
    <xf numFmtId="2" fontId="7" fillId="0" borderId="0" xfId="0" applyNumberFormat="1" applyFont="1" applyAlignment="1">
      <alignment wrapText="1"/>
    </xf>
    <xf numFmtId="3" fontId="8" fillId="26" borderId="10" xfId="0" applyNumberFormat="1" applyFont="1" applyFill="1" applyBorder="1"/>
    <xf numFmtId="0" fontId="7" fillId="26" borderId="0" xfId="87" applyFont="1" applyFill="1"/>
    <xf numFmtId="0" fontId="12" fillId="0" borderId="0" xfId="66" applyFont="1" applyFill="1" applyProtection="1"/>
    <xf numFmtId="0" fontId="10" fillId="0" borderId="0" xfId="66" applyFont="1" applyFill="1" applyProtection="1"/>
    <xf numFmtId="166" fontId="67" fillId="0" borderId="46" xfId="66" applyNumberFormat="1" applyFont="1" applyFill="1" applyBorder="1" applyAlignment="1" applyProtection="1">
      <alignment horizontal="right" vertical="center" wrapText="1" indent="1"/>
    </xf>
    <xf numFmtId="166" fontId="10" fillId="0" borderId="35" xfId="66" applyNumberFormat="1" applyFont="1" applyFill="1" applyBorder="1" applyAlignment="1" applyProtection="1">
      <alignment horizontal="right" vertical="center" wrapText="1" indent="1"/>
      <protection locked="0"/>
    </xf>
    <xf numFmtId="166" fontId="10" fillId="0" borderId="48" xfId="66" applyNumberFormat="1" applyFont="1" applyFill="1" applyBorder="1" applyAlignment="1" applyProtection="1">
      <alignment horizontal="right" vertical="center" wrapText="1" indent="1"/>
      <protection locked="0"/>
    </xf>
    <xf numFmtId="166" fontId="10" fillId="0" borderId="10" xfId="66" applyNumberFormat="1" applyFont="1" applyFill="1" applyBorder="1" applyAlignment="1" applyProtection="1">
      <alignment horizontal="right" vertical="center" wrapText="1" indent="1"/>
      <protection locked="0"/>
    </xf>
    <xf numFmtId="166" fontId="67" fillId="0" borderId="17" xfId="66" applyNumberFormat="1" applyFont="1" applyFill="1" applyBorder="1" applyAlignment="1" applyProtection="1">
      <alignment horizontal="right" vertical="center" wrapText="1" indent="1"/>
    </xf>
    <xf numFmtId="166" fontId="10" fillId="0" borderId="32" xfId="66" applyNumberFormat="1" applyFont="1" applyFill="1" applyBorder="1" applyAlignment="1" applyProtection="1">
      <alignment horizontal="right" vertical="center" wrapText="1" indent="1"/>
      <protection locked="0"/>
    </xf>
    <xf numFmtId="166" fontId="10" fillId="0" borderId="36" xfId="66" applyNumberFormat="1" applyFont="1" applyFill="1" applyBorder="1" applyAlignment="1" applyProtection="1">
      <alignment horizontal="right" vertical="center" wrapText="1" indent="1"/>
      <protection locked="0"/>
    </xf>
    <xf numFmtId="0" fontId="21" fillId="0" borderId="52" xfId="66" applyFont="1" applyFill="1" applyBorder="1" applyAlignment="1" applyProtection="1">
      <alignment horizontal="center" vertical="center" wrapText="1"/>
    </xf>
    <xf numFmtId="0" fontId="67" fillId="0" borderId="11" xfId="66" applyFont="1" applyFill="1" applyBorder="1" applyAlignment="1" applyProtection="1">
      <alignment horizontal="left" vertical="center" wrapText="1" indent="1"/>
    </xf>
    <xf numFmtId="0" fontId="67" fillId="0" borderId="44" xfId="66" applyFont="1" applyFill="1" applyBorder="1" applyAlignment="1" applyProtection="1">
      <alignment vertical="center" wrapText="1"/>
    </xf>
    <xf numFmtId="166" fontId="67" fillId="0" borderId="44" xfId="66" applyNumberFormat="1" applyFont="1" applyFill="1" applyBorder="1" applyAlignment="1" applyProtection="1">
      <alignment horizontal="right" vertical="center" wrapText="1" indent="1"/>
    </xf>
    <xf numFmtId="166" fontId="10" fillId="0" borderId="38" xfId="66" applyNumberFormat="1" applyFont="1" applyFill="1" applyBorder="1" applyAlignment="1" applyProtection="1">
      <alignment horizontal="right" vertical="center" wrapText="1" indent="1"/>
      <protection locked="0"/>
    </xf>
    <xf numFmtId="166" fontId="10" fillId="0" borderId="32" xfId="66" applyNumberFormat="1" applyFont="1" applyFill="1" applyBorder="1" applyAlignment="1" applyProtection="1">
      <alignment horizontal="center" vertical="center" wrapText="1"/>
      <protection locked="0"/>
    </xf>
    <xf numFmtId="166" fontId="107" fillId="0" borderId="0" xfId="66" applyNumberFormat="1" applyFont="1" applyFill="1" applyAlignment="1" applyProtection="1">
      <alignment horizontal="right" vertical="center" indent="1"/>
    </xf>
    <xf numFmtId="166" fontId="67" fillId="0" borderId="55" xfId="66" applyNumberFormat="1" applyFont="1" applyFill="1" applyBorder="1" applyAlignment="1" applyProtection="1">
      <alignment horizontal="right" vertical="center" wrapText="1" indent="1"/>
    </xf>
    <xf numFmtId="0" fontId="7" fillId="0" borderId="0" xfId="87" applyFont="1"/>
    <xf numFmtId="0" fontId="7" fillId="0" borderId="0" xfId="87" applyFont="1" applyAlignment="1">
      <alignment wrapText="1"/>
    </xf>
    <xf numFmtId="3" fontId="7" fillId="0" borderId="0" xfId="87" applyNumberFormat="1" applyFont="1"/>
    <xf numFmtId="166" fontId="67" fillId="29" borderId="17" xfId="66" applyNumberFormat="1" applyFont="1" applyFill="1" applyBorder="1" applyAlignment="1" applyProtection="1">
      <alignment horizontal="right" vertical="center" wrapText="1" indent="1"/>
    </xf>
    <xf numFmtId="3" fontId="20" fillId="26" borderId="10" xfId="87" applyNumberFormat="1" applyFont="1" applyFill="1" applyBorder="1"/>
    <xf numFmtId="166" fontId="10" fillId="0" borderId="15" xfId="66" applyNumberFormat="1" applyFont="1" applyFill="1" applyBorder="1" applyAlignment="1" applyProtection="1">
      <alignment horizontal="center" vertical="center" wrapText="1"/>
      <protection locked="0"/>
    </xf>
    <xf numFmtId="0" fontId="21" fillId="0" borderId="38" xfId="66" applyFont="1" applyFill="1" applyBorder="1" applyAlignment="1" applyProtection="1">
      <alignment horizontal="center" vertical="center" wrapText="1"/>
    </xf>
    <xf numFmtId="0" fontId="21" fillId="0" borderId="56" xfId="66" applyFont="1" applyFill="1" applyBorder="1" applyAlignment="1" applyProtection="1">
      <alignment horizontal="center" vertical="center" wrapText="1"/>
    </xf>
    <xf numFmtId="0" fontId="7" fillId="0" borderId="0" xfId="55" applyFont="1" applyAlignment="1">
      <alignment vertical="center"/>
    </xf>
    <xf numFmtId="4" fontId="119" fillId="0" borderId="0" xfId="87" applyNumberFormat="1" applyFont="1" applyAlignment="1">
      <alignment wrapText="1"/>
    </xf>
    <xf numFmtId="3" fontId="119" fillId="0" borderId="0" xfId="87" applyNumberFormat="1" applyFont="1"/>
    <xf numFmtId="4" fontId="120" fillId="0" borderId="0" xfId="87" applyNumberFormat="1" applyFont="1"/>
    <xf numFmtId="3" fontId="122" fillId="0" borderId="26" xfId="87" applyNumberFormat="1" applyFont="1" applyBorder="1" applyAlignment="1">
      <alignment horizontal="center" vertical="center"/>
    </xf>
    <xf numFmtId="4" fontId="122" fillId="0" borderId="37" xfId="87" applyNumberFormat="1" applyFont="1" applyBorder="1" applyAlignment="1">
      <alignment wrapText="1"/>
    </xf>
    <xf numFmtId="3" fontId="123" fillId="0" borderId="35" xfId="87" applyNumberFormat="1" applyFont="1" applyBorder="1"/>
    <xf numFmtId="3" fontId="20" fillId="0" borderId="10" xfId="87" applyNumberFormat="1" applyFont="1" applyBorder="1" applyAlignment="1">
      <alignment wrapText="1"/>
    </xf>
    <xf numFmtId="3" fontId="20" fillId="27" borderId="10" xfId="87" applyNumberFormat="1" applyFont="1" applyFill="1" applyBorder="1" applyAlignment="1">
      <alignment wrapText="1"/>
    </xf>
    <xf numFmtId="3" fontId="20" fillId="0" borderId="10" xfId="87" applyNumberFormat="1" applyFont="1" applyBorder="1"/>
    <xf numFmtId="3" fontId="20" fillId="40" borderId="10" xfId="87" applyNumberFormat="1" applyFont="1" applyFill="1" applyBorder="1"/>
    <xf numFmtId="3" fontId="7" fillId="26" borderId="10" xfId="87" applyNumberFormat="1" applyFont="1" applyFill="1" applyBorder="1"/>
    <xf numFmtId="3" fontId="8" fillId="39" borderId="10" xfId="87" applyNumberFormat="1" applyFont="1" applyFill="1" applyBorder="1" applyAlignment="1">
      <alignment wrapText="1"/>
    </xf>
    <xf numFmtId="3" fontId="20" fillId="43" borderId="10" xfId="87" applyNumberFormat="1" applyFont="1" applyFill="1" applyBorder="1"/>
    <xf numFmtId="3" fontId="20" fillId="29" borderId="10" xfId="87" applyNumberFormat="1" applyFont="1" applyFill="1" applyBorder="1"/>
    <xf numFmtId="2" fontId="133" fillId="0" borderId="0" xfId="87" applyNumberFormat="1" applyFont="1" applyAlignment="1"/>
    <xf numFmtId="4" fontId="7" fillId="0" borderId="0" xfId="87" applyNumberFormat="1" applyFont="1" applyAlignment="1">
      <alignment wrapText="1"/>
    </xf>
    <xf numFmtId="3" fontId="7" fillId="0" borderId="0" xfId="55" applyNumberFormat="1" applyFont="1"/>
    <xf numFmtId="0" fontId="134" fillId="0" borderId="0" xfId="56" applyFont="1"/>
    <xf numFmtId="3" fontId="20" fillId="0" borderId="10" xfId="61" applyNumberFormat="1" applyFont="1" applyBorder="1"/>
    <xf numFmtId="3" fontId="20" fillId="39" borderId="10" xfId="61" applyNumberFormat="1" applyFont="1" applyFill="1" applyBorder="1"/>
    <xf numFmtId="3" fontId="7" fillId="39" borderId="20" xfId="87" applyNumberFormat="1" applyFont="1" applyFill="1" applyBorder="1"/>
    <xf numFmtId="3" fontId="7" fillId="29" borderId="20" xfId="87" applyNumberFormat="1" applyFont="1" applyFill="1" applyBorder="1"/>
    <xf numFmtId="0" fontId="7" fillId="29" borderId="0" xfId="55" applyFont="1" applyFill="1"/>
    <xf numFmtId="3" fontId="7" fillId="43" borderId="20" xfId="87" applyNumberFormat="1" applyFont="1" applyFill="1" applyBorder="1"/>
    <xf numFmtId="0" fontId="7" fillId="43" borderId="0" xfId="55" applyFont="1" applyFill="1"/>
    <xf numFmtId="3" fontId="125" fillId="26" borderId="10" xfId="87" applyNumberFormat="1" applyFont="1" applyFill="1" applyBorder="1"/>
    <xf numFmtId="3" fontId="136" fillId="0" borderId="10" xfId="87" applyNumberFormat="1" applyFont="1" applyBorder="1"/>
    <xf numFmtId="3" fontId="43" fillId="26" borderId="10" xfId="0" applyNumberFormat="1" applyFont="1" applyFill="1" applyBorder="1" applyAlignment="1">
      <alignment vertical="center"/>
    </xf>
    <xf numFmtId="0" fontId="19" fillId="0" borderId="0" xfId="66" applyFont="1" applyFill="1" applyProtection="1"/>
    <xf numFmtId="0" fontId="137" fillId="0" borderId="0" xfId="66" applyFont="1" applyFill="1" applyProtection="1"/>
    <xf numFmtId="16" fontId="8" fillId="0" borderId="0" xfId="0" applyNumberFormat="1" applyFont="1"/>
    <xf numFmtId="3" fontId="24" fillId="0" borderId="0" xfId="0" applyNumberFormat="1" applyFont="1"/>
    <xf numFmtId="0" fontId="24" fillId="0" borderId="0" xfId="0" applyFont="1"/>
    <xf numFmtId="4" fontId="0" fillId="0" borderId="0" xfId="0" applyNumberFormat="1"/>
    <xf numFmtId="3" fontId="0" fillId="0" borderId="0" xfId="0" applyNumberFormat="1"/>
    <xf numFmtId="0" fontId="8" fillId="36" borderId="12" xfId="0" applyFont="1" applyFill="1" applyBorder="1" applyAlignment="1">
      <alignment wrapText="1"/>
    </xf>
    <xf numFmtId="3" fontId="8" fillId="40" borderId="38" xfId="0" applyNumberFormat="1" applyFont="1" applyFill="1" applyBorder="1" applyAlignment="1">
      <alignment wrapText="1"/>
    </xf>
    <xf numFmtId="0" fontId="8" fillId="40" borderId="38" xfId="0" applyFont="1" applyFill="1" applyBorder="1" applyAlignment="1">
      <alignment wrapText="1"/>
    </xf>
    <xf numFmtId="4" fontId="8" fillId="40" borderId="38" xfId="0" applyNumberFormat="1" applyFont="1" applyFill="1" applyBorder="1" applyAlignment="1">
      <alignment wrapText="1"/>
    </xf>
    <xf numFmtId="0" fontId="8" fillId="40" borderId="13" xfId="0" applyFont="1" applyFill="1" applyBorder="1" applyAlignment="1">
      <alignment wrapText="1"/>
    </xf>
    <xf numFmtId="0" fontId="8" fillId="0" borderId="0" xfId="0" applyFont="1" applyAlignment="1">
      <alignment wrapText="1"/>
    </xf>
    <xf numFmtId="4" fontId="120" fillId="44" borderId="14" xfId="0" applyNumberFormat="1" applyFont="1" applyFill="1" applyBorder="1" applyAlignment="1">
      <alignment wrapText="1"/>
    </xf>
    <xf numFmtId="3" fontId="120" fillId="44" borderId="10" xfId="0" applyNumberFormat="1" applyFont="1" applyFill="1" applyBorder="1" applyAlignment="1">
      <alignment wrapText="1"/>
    </xf>
    <xf numFmtId="3" fontId="0" fillId="0" borderId="15" xfId="0" applyNumberFormat="1" applyBorder="1"/>
    <xf numFmtId="3" fontId="0" fillId="25" borderId="10" xfId="0" applyNumberFormat="1" applyFill="1" applyBorder="1"/>
    <xf numFmtId="3" fontId="138" fillId="44" borderId="10" xfId="0" applyNumberFormat="1" applyFont="1" applyFill="1" applyBorder="1" applyAlignment="1">
      <alignment wrapText="1"/>
    </xf>
    <xf numFmtId="0" fontId="8" fillId="36" borderId="53" xfId="0" applyFont="1" applyFill="1" applyBorder="1"/>
    <xf numFmtId="3" fontId="8" fillId="40" borderId="42" xfId="0" applyNumberFormat="1" applyFont="1" applyFill="1" applyBorder="1"/>
    <xf numFmtId="3" fontId="8" fillId="40" borderId="43" xfId="0" applyNumberFormat="1" applyFont="1" applyFill="1" applyBorder="1"/>
    <xf numFmtId="0" fontId="139" fillId="0" borderId="22" xfId="0" applyFont="1" applyBorder="1"/>
    <xf numFmtId="3" fontId="78" fillId="0" borderId="62" xfId="0" applyNumberFormat="1" applyFont="1" applyBorder="1"/>
    <xf numFmtId="3" fontId="78" fillId="0" borderId="47" xfId="0" applyNumberFormat="1" applyFont="1" applyBorder="1"/>
    <xf numFmtId="3" fontId="17" fillId="0" borderId="0" xfId="0" applyNumberFormat="1" applyFont="1"/>
    <xf numFmtId="4" fontId="120" fillId="45" borderId="12" xfId="0" applyNumberFormat="1" applyFont="1" applyFill="1" applyBorder="1" applyAlignment="1">
      <alignment wrapText="1"/>
    </xf>
    <xf numFmtId="3" fontId="0" fillId="26" borderId="65" xfId="0" applyNumberFormat="1" applyFill="1" applyBorder="1"/>
    <xf numFmtId="3" fontId="0" fillId="26" borderId="45" xfId="0" applyNumberFormat="1" applyFill="1" applyBorder="1"/>
    <xf numFmtId="0" fontId="8" fillId="26" borderId="61" xfId="0" applyFont="1" applyFill="1" applyBorder="1"/>
    <xf numFmtId="3" fontId="8" fillId="26" borderId="66" xfId="0" applyNumberFormat="1" applyFont="1" applyFill="1" applyBorder="1"/>
    <xf numFmtId="0" fontId="24" fillId="0" borderId="22" xfId="0" applyFont="1" applyBorder="1"/>
    <xf numFmtId="3" fontId="19" fillId="0" borderId="47" xfId="0" applyNumberFormat="1" applyFont="1" applyBorder="1"/>
    <xf numFmtId="0" fontId="7" fillId="0" borderId="13" xfId="87" applyFont="1" applyBorder="1"/>
    <xf numFmtId="0" fontId="7" fillId="0" borderId="15" xfId="87" applyFont="1" applyBorder="1"/>
    <xf numFmtId="3" fontId="123" fillId="0" borderId="15" xfId="87" applyNumberFormat="1" applyFont="1" applyBorder="1"/>
    <xf numFmtId="0" fontId="8" fillId="39" borderId="14" xfId="87" applyFont="1" applyFill="1" applyBorder="1" applyAlignment="1">
      <alignment wrapText="1"/>
    </xf>
    <xf numFmtId="3" fontId="8" fillId="39" borderId="67" xfId="87" applyNumberFormat="1" applyFont="1" applyFill="1" applyBorder="1" applyAlignment="1">
      <alignment wrapText="1"/>
    </xf>
    <xf numFmtId="4" fontId="124" fillId="0" borderId="14" xfId="87" applyNumberFormat="1" applyFont="1" applyBorder="1" applyAlignment="1">
      <alignment wrapText="1"/>
    </xf>
    <xf numFmtId="3" fontId="7" fillId="0" borderId="67" xfId="87" applyNumberFormat="1" applyFont="1" applyBorder="1"/>
    <xf numFmtId="0" fontId="7" fillId="0" borderId="14" xfId="87" applyFont="1" applyBorder="1" applyAlignment="1">
      <alignment wrapText="1"/>
    </xf>
    <xf numFmtId="0" fontId="7" fillId="26" borderId="14" xfId="87" applyFont="1" applyFill="1" applyBorder="1" applyAlignment="1">
      <alignment wrapText="1"/>
    </xf>
    <xf numFmtId="3" fontId="7" fillId="26" borderId="67" xfId="87" applyNumberFormat="1" applyFont="1" applyFill="1" applyBorder="1"/>
    <xf numFmtId="2" fontId="19" fillId="0" borderId="14" xfId="87" applyNumberFormat="1" applyFont="1" applyBorder="1" applyAlignment="1">
      <alignment wrapText="1"/>
    </xf>
    <xf numFmtId="2" fontId="19" fillId="39" borderId="14" xfId="87" applyNumberFormat="1" applyFont="1" applyFill="1" applyBorder="1" applyAlignment="1">
      <alignment wrapText="1"/>
    </xf>
    <xf numFmtId="3" fontId="7" fillId="39" borderId="67" xfId="87" applyNumberFormat="1" applyFont="1" applyFill="1" applyBorder="1"/>
    <xf numFmtId="0" fontId="7" fillId="29" borderId="14" xfId="87" applyFont="1" applyFill="1" applyBorder="1" applyAlignment="1">
      <alignment wrapText="1"/>
    </xf>
    <xf numFmtId="3" fontId="7" fillId="29" borderId="67" xfId="87" applyNumberFormat="1" applyFont="1" applyFill="1" applyBorder="1"/>
    <xf numFmtId="0" fontId="7" fillId="43" borderId="14" xfId="87" applyFont="1" applyFill="1" applyBorder="1" applyAlignment="1">
      <alignment wrapText="1"/>
    </xf>
    <xf numFmtId="3" fontId="7" fillId="43" borderId="67" xfId="87" applyNumberFormat="1" applyFont="1" applyFill="1" applyBorder="1"/>
    <xf numFmtId="0" fontId="135" fillId="43" borderId="14" xfId="0" applyFont="1" applyFill="1" applyBorder="1" applyAlignment="1">
      <alignment horizontal="left"/>
    </xf>
    <xf numFmtId="0" fontId="8" fillId="26" borderId="14" xfId="87" applyFont="1" applyFill="1" applyBorder="1" applyAlignment="1">
      <alignment wrapText="1"/>
    </xf>
    <xf numFmtId="3" fontId="8" fillId="0" borderId="67" xfId="87" applyNumberFormat="1" applyFont="1" applyBorder="1"/>
    <xf numFmtId="0" fontId="19" fillId="0" borderId="14" xfId="87" applyFont="1" applyBorder="1" applyAlignment="1">
      <alignment wrapText="1"/>
    </xf>
    <xf numFmtId="3" fontId="19" fillId="0" borderId="67" xfId="87" applyNumberFormat="1" applyFont="1" applyBorder="1"/>
    <xf numFmtId="0" fontId="8" fillId="36" borderId="14" xfId="87" applyFont="1" applyFill="1" applyBorder="1" applyAlignment="1">
      <alignment wrapText="1"/>
    </xf>
    <xf numFmtId="3" fontId="20" fillId="40" borderId="67" xfId="87" applyNumberFormat="1" applyFont="1" applyFill="1" applyBorder="1"/>
    <xf numFmtId="4" fontId="122" fillId="25" borderId="53" xfId="87" applyNumberFormat="1" applyFont="1" applyFill="1" applyBorder="1" applyAlignment="1">
      <alignment wrapText="1"/>
    </xf>
    <xf numFmtId="3" fontId="125" fillId="25" borderId="42" xfId="87" applyNumberFormat="1" applyFont="1" applyFill="1" applyBorder="1"/>
    <xf numFmtId="3" fontId="125" fillId="25" borderId="68" xfId="87" applyNumberFormat="1" applyFont="1" applyFill="1" applyBorder="1"/>
    <xf numFmtId="0" fontId="140" fillId="42" borderId="0" xfId="64" applyFont="1" applyFill="1"/>
    <xf numFmtId="3" fontId="140" fillId="42" borderId="0" xfId="64" applyNumberFormat="1" applyFont="1" applyFill="1"/>
    <xf numFmtId="0" fontId="7" fillId="26" borderId="10" xfId="87" applyFont="1" applyFill="1" applyBorder="1"/>
    <xf numFmtId="3" fontId="123" fillId="26" borderId="10" xfId="87" applyNumberFormat="1" applyFont="1" applyFill="1" applyBorder="1"/>
    <xf numFmtId="3" fontId="19" fillId="26" borderId="10" xfId="87" applyNumberFormat="1" applyFont="1" applyFill="1" applyBorder="1"/>
    <xf numFmtId="3" fontId="19" fillId="26" borderId="0" xfId="87" applyNumberFormat="1" applyFont="1" applyFill="1"/>
    <xf numFmtId="3" fontId="20" fillId="38" borderId="10" xfId="87" applyNumberFormat="1" applyFont="1" applyFill="1" applyBorder="1"/>
    <xf numFmtId="0" fontId="66" fillId="0" borderId="43" xfId="66" applyFont="1" applyFill="1" applyBorder="1" applyAlignment="1" applyProtection="1">
      <alignment horizontal="center" vertical="center" wrapText="1"/>
    </xf>
    <xf numFmtId="0" fontId="141" fillId="0" borderId="45" xfId="66" applyFont="1" applyFill="1" applyBorder="1" applyAlignment="1" applyProtection="1">
      <alignment horizontal="center" vertical="center" wrapText="1"/>
    </xf>
    <xf numFmtId="166" fontId="141" fillId="0" borderId="47" xfId="66" applyNumberFormat="1" applyFont="1" applyFill="1" applyBorder="1" applyAlignment="1" applyProtection="1">
      <alignment horizontal="right" vertical="center" wrapText="1" indent="1"/>
    </xf>
    <xf numFmtId="166" fontId="137" fillId="0" borderId="48" xfId="66" applyNumberFormat="1" applyFont="1" applyFill="1" applyBorder="1" applyAlignment="1" applyProtection="1">
      <alignment horizontal="right" vertical="center" wrapText="1" indent="1"/>
      <protection locked="0"/>
    </xf>
    <xf numFmtId="166" fontId="141" fillId="0" borderId="17" xfId="66" applyNumberFormat="1" applyFont="1" applyFill="1" applyBorder="1" applyAlignment="1" applyProtection="1">
      <alignment horizontal="right" vertical="center" wrapText="1" indent="1"/>
    </xf>
    <xf numFmtId="166" fontId="137" fillId="0" borderId="15" xfId="66" applyNumberFormat="1" applyFont="1" applyFill="1" applyBorder="1" applyAlignment="1" applyProtection="1">
      <alignment horizontal="right" vertical="center" wrapText="1" indent="1"/>
      <protection locked="0"/>
    </xf>
    <xf numFmtId="166" fontId="137" fillId="0" borderId="36" xfId="66" applyNumberFormat="1" applyFont="1" applyFill="1" applyBorder="1" applyAlignment="1" applyProtection="1">
      <alignment horizontal="right" vertical="center" wrapText="1" indent="1"/>
      <protection locked="0"/>
    </xf>
    <xf numFmtId="166" fontId="137" fillId="0" borderId="19" xfId="66" applyNumberFormat="1" applyFont="1" applyFill="1" applyBorder="1" applyAlignment="1" applyProtection="1">
      <alignment horizontal="right" vertical="center" wrapText="1" indent="1"/>
      <protection locked="0"/>
    </xf>
    <xf numFmtId="166" fontId="137" fillId="0" borderId="13" xfId="66" applyNumberFormat="1" applyFont="1" applyFill="1" applyBorder="1" applyAlignment="1" applyProtection="1">
      <alignment horizontal="right" vertical="center" wrapText="1" indent="1"/>
      <protection locked="0"/>
    </xf>
    <xf numFmtId="166" fontId="141" fillId="28" borderId="17" xfId="66" applyNumberFormat="1" applyFont="1" applyFill="1" applyBorder="1" applyAlignment="1" applyProtection="1">
      <alignment horizontal="right" vertical="center" wrapText="1" indent="1"/>
    </xf>
    <xf numFmtId="166" fontId="141" fillId="0" borderId="17" xfId="66" applyNumberFormat="1" applyFont="1" applyFill="1" applyBorder="1" applyAlignment="1" applyProtection="1">
      <alignment horizontal="right" vertical="center" wrapText="1" indent="1"/>
      <protection locked="0"/>
    </xf>
    <xf numFmtId="166" fontId="141" fillId="29" borderId="17" xfId="66" applyNumberFormat="1" applyFont="1" applyFill="1" applyBorder="1" applyAlignment="1" applyProtection="1">
      <alignment horizontal="right" vertical="center" wrapText="1" indent="1"/>
    </xf>
    <xf numFmtId="166" fontId="141" fillId="33" borderId="47" xfId="66" applyNumberFormat="1" applyFont="1" applyFill="1" applyBorder="1" applyAlignment="1" applyProtection="1">
      <alignment horizontal="right" vertical="center" wrapText="1" indent="1"/>
    </xf>
    <xf numFmtId="0" fontId="141" fillId="0" borderId="0" xfId="66" applyFont="1" applyFill="1" applyProtection="1"/>
    <xf numFmtId="0" fontId="8" fillId="0" borderId="0" xfId="87" applyFont="1" applyAlignment="1">
      <alignment wrapText="1"/>
    </xf>
    <xf numFmtId="0" fontId="19" fillId="0" borderId="10" xfId="87" applyFont="1" applyBorder="1" applyAlignment="1">
      <alignment wrapText="1"/>
    </xf>
    <xf numFmtId="0" fontId="19" fillId="0" borderId="10" xfId="87" applyFont="1" applyBorder="1"/>
    <xf numFmtId="0" fontId="42" fillId="0" borderId="0" xfId="0" applyFont="1" applyAlignment="1">
      <alignment vertical="center"/>
    </xf>
    <xf numFmtId="4" fontId="133" fillId="0" borderId="0" xfId="87" applyNumberFormat="1" applyFont="1" applyAlignment="1">
      <alignment horizontal="right"/>
    </xf>
    <xf numFmtId="4" fontId="7" fillId="0" borderId="0" xfId="87" applyNumberFormat="1" applyFont="1"/>
    <xf numFmtId="4" fontId="24" fillId="0" borderId="0" xfId="87" applyNumberFormat="1" applyFont="1" applyAlignment="1">
      <alignment horizontal="right"/>
    </xf>
    <xf numFmtId="4" fontId="7" fillId="0" borderId="22" xfId="87" applyNumberFormat="1" applyFont="1" applyBorder="1" applyAlignment="1">
      <alignment horizontal="center" vertical="center"/>
    </xf>
    <xf numFmtId="4" fontId="123" fillId="0" borderId="34" xfId="87" applyNumberFormat="1" applyFont="1" applyBorder="1"/>
    <xf numFmtId="4" fontId="8" fillId="39" borderId="20" xfId="87" applyNumberFormat="1" applyFont="1" applyFill="1" applyBorder="1" applyAlignment="1">
      <alignment wrapText="1"/>
    </xf>
    <xf numFmtId="4" fontId="7" fillId="0" borderId="20" xfId="87" applyNumberFormat="1" applyFont="1" applyBorder="1"/>
    <xf numFmtId="4" fontId="7" fillId="26" borderId="20" xfId="87" applyNumberFormat="1" applyFont="1" applyFill="1" applyBorder="1"/>
    <xf numFmtId="4" fontId="7" fillId="39" borderId="20" xfId="87" applyNumberFormat="1" applyFont="1" applyFill="1" applyBorder="1"/>
    <xf numFmtId="4" fontId="7" fillId="29" borderId="20" xfId="87" applyNumberFormat="1" applyFont="1" applyFill="1" applyBorder="1"/>
    <xf numFmtId="4" fontId="7" fillId="43" borderId="20" xfId="87" applyNumberFormat="1" applyFont="1" applyFill="1" applyBorder="1"/>
    <xf numFmtId="4" fontId="8" fillId="26" borderId="20" xfId="87" applyNumberFormat="1" applyFont="1" applyFill="1" applyBorder="1"/>
    <xf numFmtId="4" fontId="19" fillId="0" borderId="20" xfId="87" applyNumberFormat="1" applyFont="1" applyBorder="1"/>
    <xf numFmtId="4" fontId="20" fillId="40" borderId="20" xfId="87" applyNumberFormat="1" applyFont="1" applyFill="1" applyBorder="1"/>
    <xf numFmtId="4" fontId="125" fillId="25" borderId="63" xfId="87" applyNumberFormat="1" applyFont="1" applyFill="1" applyBorder="1"/>
    <xf numFmtId="4" fontId="19" fillId="0" borderId="0" xfId="87" applyNumberFormat="1" applyFont="1"/>
    <xf numFmtId="4" fontId="19" fillId="0" borderId="10" xfId="87" applyNumberFormat="1" applyFont="1" applyBorder="1"/>
    <xf numFmtId="4" fontId="24" fillId="0" borderId="0" xfId="87" applyNumberFormat="1" applyFont="1"/>
    <xf numFmtId="4" fontId="142" fillId="0" borderId="10" xfId="87" applyNumberFormat="1" applyFont="1" applyBorder="1"/>
    <xf numFmtId="4" fontId="7" fillId="26" borderId="10" xfId="55" applyNumberFormat="1" applyFont="1" applyFill="1" applyBorder="1" applyAlignment="1">
      <alignment wrapText="1"/>
    </xf>
    <xf numFmtId="171" fontId="118" fillId="0" borderId="0" xfId="84" applyNumberFormat="1" applyFont="1" applyFill="1" applyProtection="1"/>
    <xf numFmtId="0" fontId="143" fillId="0" borderId="0" xfId="84" applyFont="1"/>
    <xf numFmtId="171" fontId="118" fillId="0" borderId="0" xfId="84" applyNumberFormat="1" applyFont="1" applyFill="1" applyBorder="1" applyProtection="1"/>
    <xf numFmtId="0" fontId="118" fillId="0" borderId="0" xfId="84" applyFont="1" applyFill="1" applyBorder="1" applyProtection="1"/>
    <xf numFmtId="0" fontId="144" fillId="0" borderId="0" xfId="84" applyFont="1" applyFill="1" applyBorder="1" applyAlignment="1" applyProtection="1">
      <alignment horizontal="right"/>
    </xf>
    <xf numFmtId="3" fontId="118" fillId="0" borderId="0" xfId="84" applyNumberFormat="1" applyFont="1" applyFill="1" applyProtection="1"/>
    <xf numFmtId="0" fontId="144" fillId="46" borderId="64" xfId="84" applyFont="1" applyFill="1" applyBorder="1" applyAlignment="1" applyProtection="1">
      <alignment horizontal="center" vertical="center" wrapText="1"/>
    </xf>
    <xf numFmtId="0" fontId="144" fillId="46" borderId="69" xfId="84" applyFont="1" applyFill="1" applyBorder="1" applyAlignment="1" applyProtection="1">
      <alignment horizontal="center" vertical="center" wrapText="1"/>
    </xf>
    <xf numFmtId="0" fontId="144" fillId="47" borderId="10" xfId="84" applyFont="1" applyFill="1" applyBorder="1" applyAlignment="1" applyProtection="1">
      <alignment horizontal="center" vertical="center" wrapText="1"/>
    </xf>
    <xf numFmtId="0" fontId="144" fillId="0" borderId="10" xfId="84" applyFont="1" applyFill="1" applyBorder="1" applyAlignment="1" applyProtection="1">
      <alignment horizontal="center" vertical="center" wrapText="1"/>
    </xf>
    <xf numFmtId="0" fontId="144" fillId="0" borderId="15" xfId="84" applyFont="1" applyFill="1" applyBorder="1" applyAlignment="1" applyProtection="1">
      <alignment horizontal="center" vertical="center" wrapText="1"/>
    </xf>
    <xf numFmtId="0" fontId="144" fillId="0" borderId="0" xfId="84" applyFont="1" applyFill="1" applyBorder="1" applyAlignment="1" applyProtection="1">
      <alignment horizontal="center" vertical="center" wrapText="1"/>
    </xf>
    <xf numFmtId="0" fontId="145" fillId="0" borderId="20" xfId="84" applyFont="1" applyFill="1" applyBorder="1" applyAlignment="1" applyProtection="1">
      <alignment horizontal="center"/>
    </xf>
    <xf numFmtId="0" fontId="145" fillId="0" borderId="15" xfId="84" applyFont="1" applyFill="1" applyBorder="1" applyAlignment="1" applyProtection="1">
      <alignment horizontal="center"/>
    </xf>
    <xf numFmtId="0" fontId="145" fillId="0" borderId="0" xfId="84" applyFont="1" applyFill="1" applyBorder="1" applyAlignment="1" applyProtection="1">
      <alignment horizontal="center"/>
    </xf>
    <xf numFmtId="1" fontId="145" fillId="0" borderId="20" xfId="84" applyNumberFormat="1" applyFont="1" applyFill="1" applyBorder="1" applyAlignment="1" applyProtection="1">
      <alignment horizontal="center" vertical="center"/>
    </xf>
    <xf numFmtId="1" fontId="145" fillId="0" borderId="41" xfId="84" applyNumberFormat="1" applyFont="1" applyFill="1" applyBorder="1" applyAlignment="1" applyProtection="1">
      <alignment horizontal="center" vertical="center"/>
    </xf>
    <xf numFmtId="0" fontId="145" fillId="0" borderId="20" xfId="84" applyFont="1" applyFill="1" applyBorder="1" applyAlignment="1" applyProtection="1">
      <alignment horizontal="left" vertical="center"/>
    </xf>
    <xf numFmtId="0" fontId="145" fillId="0" borderId="72" xfId="84" applyFont="1" applyFill="1" applyBorder="1" applyAlignment="1" applyProtection="1">
      <alignment horizontal="center" vertical="center"/>
    </xf>
    <xf numFmtId="0" fontId="145" fillId="48" borderId="20" xfId="84" applyFont="1" applyFill="1" applyBorder="1" applyAlignment="1" applyProtection="1">
      <alignment horizontal="center" vertical="center"/>
    </xf>
    <xf numFmtId="0" fontId="145" fillId="48" borderId="72" xfId="84" applyFont="1" applyFill="1" applyBorder="1" applyAlignment="1" applyProtection="1">
      <alignment horizontal="center" vertical="center"/>
    </xf>
    <xf numFmtId="0" fontId="145" fillId="48" borderId="41" xfId="84" applyFont="1" applyFill="1" applyBorder="1" applyAlignment="1" applyProtection="1">
      <alignment horizontal="center" vertical="center"/>
    </xf>
    <xf numFmtId="0" fontId="118" fillId="48" borderId="10" xfId="84" applyFont="1" applyFill="1" applyBorder="1" applyProtection="1"/>
    <xf numFmtId="0" fontId="118" fillId="48" borderId="15" xfId="84" applyFont="1" applyFill="1" applyBorder="1" applyProtection="1"/>
    <xf numFmtId="0" fontId="118" fillId="48" borderId="0" xfId="84" applyFont="1" applyFill="1" applyBorder="1" applyProtection="1"/>
    <xf numFmtId="3" fontId="118" fillId="49" borderId="10" xfId="84" applyNumberFormat="1" applyFont="1" applyFill="1" applyBorder="1" applyProtection="1"/>
    <xf numFmtId="3" fontId="118" fillId="50" borderId="10" xfId="84" applyNumberFormat="1" applyFont="1" applyFill="1" applyBorder="1" applyProtection="1"/>
    <xf numFmtId="3" fontId="118" fillId="49" borderId="15" xfId="84" applyNumberFormat="1" applyFont="1" applyFill="1" applyBorder="1" applyProtection="1"/>
    <xf numFmtId="3" fontId="118" fillId="49" borderId="0" xfId="84" applyNumberFormat="1" applyFont="1" applyFill="1" applyBorder="1" applyProtection="1"/>
    <xf numFmtId="3" fontId="144" fillId="49" borderId="41" xfId="84" applyNumberFormat="1" applyFont="1" applyFill="1" applyBorder="1" applyProtection="1"/>
    <xf numFmtId="3" fontId="144" fillId="50" borderId="41" xfId="84" applyNumberFormat="1" applyFont="1" applyFill="1" applyBorder="1" applyProtection="1"/>
    <xf numFmtId="3" fontId="144" fillId="49" borderId="67" xfId="84" applyNumberFormat="1" applyFont="1" applyFill="1" applyBorder="1" applyProtection="1"/>
    <xf numFmtId="3" fontId="144" fillId="49" borderId="0" xfId="84" applyNumberFormat="1" applyFont="1" applyFill="1" applyBorder="1" applyProtection="1"/>
    <xf numFmtId="3" fontId="144" fillId="49" borderId="10" xfId="84" applyNumberFormat="1" applyFont="1" applyFill="1" applyBorder="1" applyProtection="1"/>
    <xf numFmtId="3" fontId="144" fillId="50" borderId="10" xfId="84" applyNumberFormat="1" applyFont="1" applyFill="1" applyBorder="1" applyProtection="1"/>
    <xf numFmtId="3" fontId="144" fillId="49" borderId="15" xfId="84" applyNumberFormat="1" applyFont="1" applyFill="1" applyBorder="1" applyProtection="1"/>
    <xf numFmtId="3" fontId="146" fillId="52" borderId="10" xfId="84" applyNumberFormat="1" applyFont="1" applyFill="1" applyBorder="1" applyProtection="1"/>
    <xf numFmtId="3" fontId="118" fillId="50" borderId="15" xfId="84" applyNumberFormat="1" applyFont="1" applyFill="1" applyBorder="1" applyProtection="1"/>
    <xf numFmtId="3" fontId="118" fillId="50" borderId="0" xfId="84" applyNumberFormat="1" applyFont="1" applyFill="1" applyBorder="1" applyProtection="1"/>
    <xf numFmtId="3" fontId="144" fillId="49" borderId="58" xfId="84" applyNumberFormat="1" applyFont="1" applyFill="1" applyBorder="1" applyProtection="1"/>
    <xf numFmtId="3" fontId="144" fillId="52" borderId="58" xfId="84" applyNumberFormat="1" applyFont="1" applyFill="1" applyBorder="1" applyProtection="1"/>
    <xf numFmtId="3" fontId="144" fillId="49" borderId="73" xfId="84" applyNumberFormat="1" applyFont="1" applyFill="1" applyBorder="1" applyProtection="1"/>
    <xf numFmtId="3" fontId="118" fillId="49" borderId="12" xfId="84" applyNumberFormat="1" applyFont="1" applyFill="1" applyBorder="1" applyProtection="1"/>
    <xf numFmtId="3" fontId="118" fillId="52" borderId="38" xfId="84" applyNumberFormat="1" applyFont="1" applyFill="1" applyBorder="1" applyProtection="1"/>
    <xf numFmtId="3" fontId="118" fillId="49" borderId="13" xfId="84" applyNumberFormat="1" applyFont="1" applyFill="1" applyBorder="1" applyProtection="1"/>
    <xf numFmtId="3" fontId="118" fillId="49" borderId="14" xfId="84" applyNumberFormat="1" applyFont="1" applyFill="1" applyBorder="1" applyProtection="1"/>
    <xf numFmtId="3" fontId="118" fillId="52" borderId="10" xfId="84" applyNumberFormat="1" applyFont="1" applyFill="1" applyBorder="1" applyProtection="1"/>
    <xf numFmtId="3" fontId="147" fillId="46" borderId="14" xfId="84" applyNumberFormat="1" applyFont="1" applyFill="1" applyBorder="1" applyProtection="1"/>
    <xf numFmtId="3" fontId="145" fillId="50" borderId="10" xfId="84" applyNumberFormat="1" applyFont="1" applyFill="1" applyBorder="1" applyProtection="1"/>
    <xf numFmtId="3" fontId="144" fillId="53" borderId="74" xfId="84" applyNumberFormat="1" applyFont="1" applyFill="1" applyBorder="1" applyProtection="1"/>
    <xf numFmtId="3" fontId="144" fillId="53" borderId="75" xfId="84" applyNumberFormat="1" applyFont="1" applyFill="1" applyBorder="1" applyProtection="1"/>
    <xf numFmtId="3" fontId="144" fillId="49" borderId="76" xfId="84" applyNumberFormat="1" applyFont="1" applyFill="1" applyBorder="1" applyProtection="1"/>
    <xf numFmtId="3" fontId="118" fillId="49" borderId="37" xfId="84" applyNumberFormat="1" applyFont="1" applyFill="1" applyBorder="1" applyProtection="1"/>
    <xf numFmtId="3" fontId="118" fillId="52" borderId="35" xfId="84" applyNumberFormat="1" applyFont="1" applyFill="1" applyBorder="1" applyProtection="1"/>
    <xf numFmtId="3" fontId="118" fillId="49" borderId="36" xfId="84" applyNumberFormat="1" applyFont="1" applyFill="1" applyBorder="1" applyProtection="1"/>
    <xf numFmtId="3" fontId="144" fillId="53" borderId="53" xfId="84" applyNumberFormat="1" applyFont="1" applyFill="1" applyBorder="1" applyProtection="1"/>
    <xf numFmtId="3" fontId="144" fillId="53" borderId="52" xfId="84" applyNumberFormat="1" applyFont="1" applyFill="1" applyBorder="1" applyProtection="1"/>
    <xf numFmtId="3" fontId="144" fillId="49" borderId="68" xfId="84" applyNumberFormat="1" applyFont="1" applyFill="1" applyBorder="1" applyProtection="1"/>
    <xf numFmtId="3" fontId="118" fillId="49" borderId="35" xfId="84" applyNumberFormat="1" applyFont="1" applyFill="1" applyBorder="1" applyProtection="1"/>
    <xf numFmtId="3" fontId="118" fillId="50" borderId="35" xfId="84" applyNumberFormat="1" applyFont="1" applyFill="1" applyBorder="1" applyProtection="1"/>
    <xf numFmtId="3" fontId="144" fillId="54" borderId="41" xfId="84" applyNumberFormat="1" applyFont="1" applyFill="1" applyBorder="1" applyProtection="1"/>
    <xf numFmtId="3" fontId="144" fillId="53" borderId="0" xfId="84" applyNumberFormat="1" applyFont="1" applyFill="1" applyBorder="1" applyProtection="1"/>
    <xf numFmtId="171" fontId="144" fillId="0" borderId="69" xfId="84" quotePrefix="1" applyNumberFormat="1" applyFont="1" applyFill="1" applyBorder="1" applyAlignment="1" applyProtection="1">
      <alignment horizontal="center" vertical="center"/>
    </xf>
    <xf numFmtId="0" fontId="144" fillId="0" borderId="69" xfId="84" applyFont="1" applyFill="1" applyBorder="1" applyAlignment="1" applyProtection="1">
      <alignment horizontal="left" vertical="center"/>
    </xf>
    <xf numFmtId="172" fontId="144" fillId="0" borderId="72" xfId="84" applyNumberFormat="1" applyFont="1" applyFill="1" applyBorder="1" applyAlignment="1" applyProtection="1">
      <alignment vertical="center"/>
    </xf>
    <xf numFmtId="172" fontId="145" fillId="0" borderId="72" xfId="84" applyNumberFormat="1" applyFont="1" applyFill="1" applyBorder="1" applyAlignment="1" applyProtection="1">
      <alignment horizontal="right" vertical="center"/>
    </xf>
    <xf numFmtId="3" fontId="144" fillId="0" borderId="0" xfId="84" applyNumberFormat="1" applyFont="1" applyFill="1" applyBorder="1" applyProtection="1"/>
    <xf numFmtId="3" fontId="147" fillId="0" borderId="0" xfId="84" applyNumberFormat="1" applyFont="1" applyFill="1" applyBorder="1" applyProtection="1"/>
    <xf numFmtId="171" fontId="118" fillId="0" borderId="69" xfId="84" applyNumberFormat="1" applyFont="1" applyFill="1" applyBorder="1" applyProtection="1"/>
    <xf numFmtId="0" fontId="118" fillId="0" borderId="69" xfId="84" applyFont="1" applyFill="1" applyBorder="1" applyAlignment="1" applyProtection="1">
      <alignment vertical="center"/>
    </xf>
    <xf numFmtId="0" fontId="118" fillId="0" borderId="72" xfId="84" applyFont="1" applyFill="1" applyBorder="1" applyAlignment="1" applyProtection="1">
      <alignment vertical="center"/>
    </xf>
    <xf numFmtId="171" fontId="118" fillId="0" borderId="72" xfId="84" applyNumberFormat="1" applyFont="1" applyFill="1" applyBorder="1" applyProtection="1"/>
    <xf numFmtId="0" fontId="118" fillId="0" borderId="0" xfId="84" applyFont="1" applyFill="1" applyAlignment="1" applyProtection="1">
      <alignment vertical="center"/>
    </xf>
    <xf numFmtId="0" fontId="144" fillId="0" borderId="77" xfId="84" applyFont="1" applyFill="1" applyBorder="1" applyAlignment="1" applyProtection="1">
      <alignment horizontal="center" vertical="center" wrapText="1"/>
    </xf>
    <xf numFmtId="0" fontId="144" fillId="0" borderId="20" xfId="84" applyFont="1" applyFill="1" applyBorder="1" applyAlignment="1" applyProtection="1">
      <alignment horizontal="center" vertical="center" wrapText="1"/>
    </xf>
    <xf numFmtId="0" fontId="144" fillId="0" borderId="41" xfId="84" applyFont="1" applyFill="1" applyBorder="1" applyAlignment="1" applyProtection="1">
      <alignment horizontal="center" vertical="center" wrapText="1"/>
    </xf>
    <xf numFmtId="0" fontId="144" fillId="0" borderId="67" xfId="84" applyFont="1" applyFill="1" applyBorder="1" applyAlignment="1" applyProtection="1">
      <alignment horizontal="center" vertical="center" wrapText="1"/>
    </xf>
    <xf numFmtId="3" fontId="118" fillId="49" borderId="10" xfId="84" applyNumberFormat="1" applyFont="1" applyFill="1" applyBorder="1" applyAlignment="1" applyProtection="1">
      <alignment horizontal="right"/>
    </xf>
    <xf numFmtId="3" fontId="118" fillId="49" borderId="15" xfId="84" applyNumberFormat="1" applyFont="1" applyFill="1" applyBorder="1" applyAlignment="1" applyProtection="1">
      <alignment horizontal="right"/>
    </xf>
    <xf numFmtId="3" fontId="118" fillId="54" borderId="10" xfId="84" applyNumberFormat="1" applyFont="1" applyFill="1" applyBorder="1" applyAlignment="1" applyProtection="1">
      <alignment horizontal="right"/>
    </xf>
    <xf numFmtId="3" fontId="118" fillId="49" borderId="0" xfId="84" applyNumberFormat="1" applyFont="1" applyFill="1" applyBorder="1" applyAlignment="1" applyProtection="1">
      <alignment horizontal="right"/>
    </xf>
    <xf numFmtId="3" fontId="144" fillId="49" borderId="41" xfId="84" applyNumberFormat="1" applyFont="1" applyFill="1" applyBorder="1" applyAlignment="1" applyProtection="1">
      <alignment horizontal="right"/>
    </xf>
    <xf numFmtId="3" fontId="144" fillId="49" borderId="67" xfId="84" applyNumberFormat="1" applyFont="1" applyFill="1" applyBorder="1" applyAlignment="1" applyProtection="1">
      <alignment horizontal="right"/>
    </xf>
    <xf numFmtId="3" fontId="144" fillId="54" borderId="41" xfId="84" applyNumberFormat="1" applyFont="1" applyFill="1" applyBorder="1" applyAlignment="1" applyProtection="1">
      <alignment horizontal="right"/>
    </xf>
    <xf numFmtId="3" fontId="144" fillId="49" borderId="0" xfId="84" applyNumberFormat="1" applyFont="1" applyFill="1" applyBorder="1" applyAlignment="1" applyProtection="1">
      <alignment horizontal="right"/>
    </xf>
    <xf numFmtId="3" fontId="118" fillId="52" borderId="10" xfId="84" applyNumberFormat="1" applyFont="1" applyFill="1" applyBorder="1" applyAlignment="1" applyProtection="1">
      <alignment horizontal="right"/>
    </xf>
    <xf numFmtId="3" fontId="147" fillId="46" borderId="10" xfId="84" applyNumberFormat="1" applyFont="1" applyFill="1" applyBorder="1" applyAlignment="1" applyProtection="1">
      <alignment horizontal="right"/>
    </xf>
    <xf numFmtId="3" fontId="118" fillId="54" borderId="15" xfId="84" applyNumberFormat="1" applyFont="1" applyFill="1" applyBorder="1" applyAlignment="1" applyProtection="1">
      <alignment horizontal="right"/>
    </xf>
    <xf numFmtId="3" fontId="118" fillId="55" borderId="10" xfId="84" applyNumberFormat="1" applyFont="1" applyFill="1" applyBorder="1" applyAlignment="1" applyProtection="1">
      <alignment horizontal="right"/>
    </xf>
    <xf numFmtId="3" fontId="118" fillId="55" borderId="15" xfId="84" applyNumberFormat="1" applyFont="1" applyFill="1" applyBorder="1" applyAlignment="1" applyProtection="1">
      <alignment horizontal="right"/>
    </xf>
    <xf numFmtId="3" fontId="118" fillId="55" borderId="0" xfId="84" applyNumberFormat="1" applyFont="1" applyFill="1" applyBorder="1" applyAlignment="1" applyProtection="1">
      <alignment horizontal="right"/>
    </xf>
    <xf numFmtId="3" fontId="144" fillId="52" borderId="41" xfId="84" applyNumberFormat="1" applyFont="1" applyFill="1" applyBorder="1" applyAlignment="1" applyProtection="1">
      <alignment horizontal="right"/>
    </xf>
    <xf numFmtId="3" fontId="144" fillId="49" borderId="52" xfId="84" applyNumberFormat="1" applyFont="1" applyFill="1" applyBorder="1" applyAlignment="1" applyProtection="1">
      <alignment horizontal="right"/>
    </xf>
    <xf numFmtId="0" fontId="144" fillId="0" borderId="72" xfId="84" quotePrefix="1" applyFont="1" applyFill="1" applyBorder="1" applyAlignment="1" applyProtection="1">
      <alignment horizontal="center" vertical="center"/>
    </xf>
    <xf numFmtId="0" fontId="67" fillId="0" borderId="72" xfId="84" applyFont="1" applyFill="1" applyBorder="1" applyAlignment="1" applyProtection="1">
      <alignment horizontal="left" vertical="center" wrapText="1"/>
    </xf>
    <xf numFmtId="0" fontId="144" fillId="0" borderId="72" xfId="84" applyFont="1" applyFill="1" applyBorder="1" applyAlignment="1" applyProtection="1">
      <alignment horizontal="left" vertical="center"/>
    </xf>
    <xf numFmtId="3" fontId="144" fillId="0" borderId="24" xfId="84" applyNumberFormat="1" applyFont="1" applyFill="1" applyBorder="1" applyAlignment="1" applyProtection="1">
      <alignment horizontal="right"/>
    </xf>
    <xf numFmtId="3" fontId="144" fillId="0" borderId="0" xfId="84" applyNumberFormat="1" applyFont="1" applyFill="1" applyBorder="1" applyAlignment="1" applyProtection="1">
      <alignment horizontal="right"/>
    </xf>
    <xf numFmtId="0" fontId="144" fillId="0" borderId="0" xfId="84" quotePrefix="1" applyFont="1" applyFill="1" applyBorder="1" applyAlignment="1" applyProtection="1">
      <alignment horizontal="center" vertical="center"/>
    </xf>
    <xf numFmtId="0" fontId="67" fillId="0" borderId="0" xfId="84" applyFont="1" applyFill="1" applyBorder="1" applyAlignment="1" applyProtection="1">
      <alignment horizontal="left" vertical="center" wrapText="1"/>
    </xf>
    <xf numFmtId="3" fontId="144" fillId="49" borderId="41" xfId="84" applyNumberFormat="1" applyFont="1" applyFill="1" applyBorder="1" applyAlignment="1" applyProtection="1"/>
    <xf numFmtId="3" fontId="144" fillId="49" borderId="67" xfId="84" applyNumberFormat="1" applyFont="1" applyFill="1" applyBorder="1" applyAlignment="1" applyProtection="1"/>
    <xf numFmtId="3" fontId="144" fillId="49" borderId="0" xfId="84" applyNumberFormat="1" applyFont="1" applyFill="1" applyBorder="1" applyAlignment="1" applyProtection="1"/>
    <xf numFmtId="3" fontId="144" fillId="49" borderId="52" xfId="84" applyNumberFormat="1" applyFont="1" applyFill="1" applyBorder="1" applyProtection="1"/>
    <xf numFmtId="0" fontId="118" fillId="0" borderId="0" xfId="84" applyFont="1" applyFill="1" applyProtection="1"/>
    <xf numFmtId="0" fontId="118" fillId="0" borderId="0" xfId="84" applyFont="1" applyFill="1" applyAlignment="1" applyProtection="1">
      <alignment horizontal="left"/>
    </xf>
    <xf numFmtId="3" fontId="143" fillId="0" borderId="0" xfId="84" applyNumberFormat="1" applyFont="1"/>
    <xf numFmtId="3" fontId="27" fillId="0" borderId="10" xfId="125" applyNumberFormat="1" applyBorder="1"/>
    <xf numFmtId="0" fontId="29" fillId="0" borderId="0" xfId="66" applyFont="1" applyFill="1" applyProtection="1">
      <protection locked="0"/>
    </xf>
    <xf numFmtId="0" fontId="29" fillId="0" borderId="0" xfId="66" applyFill="1" applyProtection="1"/>
    <xf numFmtId="0" fontId="151" fillId="0" borderId="0" xfId="66" applyFont="1" applyFill="1" applyAlignment="1" applyProtection="1">
      <alignment horizontal="center" wrapText="1"/>
      <protection locked="0"/>
    </xf>
    <xf numFmtId="0" fontId="151" fillId="0" borderId="0" xfId="0" applyFont="1" applyAlignment="1" applyProtection="1">
      <alignment horizontal="center"/>
      <protection locked="0"/>
    </xf>
    <xf numFmtId="0" fontId="152" fillId="0" borderId="0" xfId="0" applyFont="1" applyAlignment="1" applyProtection="1">
      <alignment horizontal="center"/>
      <protection locked="0"/>
    </xf>
    <xf numFmtId="0" fontId="29" fillId="0" borderId="0" xfId="66" applyFont="1" applyFill="1" applyAlignment="1" applyProtection="1">
      <alignment horizontal="right" vertical="center" indent="1"/>
      <protection locked="0"/>
    </xf>
    <xf numFmtId="0" fontId="155" fillId="0" borderId="39" xfId="0" applyFont="1" applyFill="1" applyBorder="1" applyAlignment="1" applyProtection="1">
      <alignment horizontal="right" vertical="center"/>
      <protection locked="0"/>
    </xf>
    <xf numFmtId="0" fontId="69" fillId="0" borderId="16" xfId="66" applyFont="1" applyFill="1" applyBorder="1" applyAlignment="1" applyProtection="1">
      <alignment horizontal="center" vertical="center" wrapText="1"/>
      <protection locked="0"/>
    </xf>
    <xf numFmtId="0" fontId="69" fillId="0" borderId="46" xfId="66" applyFont="1" applyFill="1" applyBorder="1" applyAlignment="1" applyProtection="1">
      <alignment horizontal="center" vertical="center" wrapText="1"/>
      <protection locked="0"/>
    </xf>
    <xf numFmtId="0" fontId="69" fillId="0" borderId="17" xfId="66" applyFont="1" applyFill="1" applyBorder="1" applyAlignment="1" applyProtection="1">
      <alignment horizontal="center" vertical="center" wrapText="1"/>
      <protection locked="0"/>
    </xf>
    <xf numFmtId="0" fontId="69" fillId="0" borderId="11" xfId="66" applyFont="1" applyFill="1" applyBorder="1" applyAlignment="1" applyProtection="1">
      <alignment horizontal="center" vertical="center" wrapText="1"/>
    </xf>
    <xf numFmtId="0" fontId="69" fillId="0" borderId="44" xfId="66" applyFont="1" applyFill="1" applyBorder="1" applyAlignment="1" applyProtection="1">
      <alignment horizontal="center" vertical="center" wrapText="1"/>
    </xf>
    <xf numFmtId="0" fontId="69" fillId="0" borderId="79" xfId="66" applyFont="1" applyFill="1" applyBorder="1" applyAlignment="1" applyProtection="1">
      <alignment horizontal="center" vertical="center" wrapText="1"/>
    </xf>
    <xf numFmtId="0" fontId="156" fillId="0" borderId="0" xfId="66" applyFont="1" applyFill="1" applyProtection="1"/>
    <xf numFmtId="0" fontId="157" fillId="0" borderId="16" xfId="66" applyFont="1" applyFill="1" applyBorder="1" applyAlignment="1" applyProtection="1">
      <alignment horizontal="left" vertical="center" wrapText="1" indent="1"/>
    </xf>
    <xf numFmtId="0" fontId="157" fillId="0" borderId="46" xfId="66" applyFont="1" applyFill="1" applyBorder="1" applyAlignment="1" applyProtection="1">
      <alignment horizontal="left" vertical="center" wrapText="1" indent="1"/>
    </xf>
    <xf numFmtId="166" fontId="157" fillId="0" borderId="17" xfId="66" applyNumberFormat="1" applyFont="1" applyFill="1" applyBorder="1" applyAlignment="1" applyProtection="1">
      <alignment horizontal="right" vertical="center" wrapText="1" indent="1"/>
    </xf>
    <xf numFmtId="0" fontId="158" fillId="0" borderId="0" xfId="66" applyFont="1" applyFill="1" applyProtection="1"/>
    <xf numFmtId="49" fontId="156" fillId="0" borderId="37" xfId="66" applyNumberFormat="1" applyFont="1" applyFill="1" applyBorder="1" applyAlignment="1" applyProtection="1">
      <alignment horizontal="left" vertical="center" wrapText="1" indent="1"/>
    </xf>
    <xf numFmtId="0" fontId="127" fillId="0" borderId="35" xfId="0" applyFont="1" applyBorder="1" applyAlignment="1" applyProtection="1">
      <alignment horizontal="left" wrapText="1" indent="1"/>
    </xf>
    <xf numFmtId="166" fontId="156" fillId="0" borderId="36" xfId="66" applyNumberFormat="1" applyFont="1" applyFill="1" applyBorder="1" applyAlignment="1" applyProtection="1">
      <alignment horizontal="right" vertical="center" wrapText="1" indent="1"/>
      <protection locked="0"/>
    </xf>
    <xf numFmtId="49" fontId="156" fillId="0" borderId="14" xfId="66" applyNumberFormat="1" applyFont="1" applyFill="1" applyBorder="1" applyAlignment="1" applyProtection="1">
      <alignment horizontal="left" vertical="center" wrapText="1" indent="1"/>
    </xf>
    <xf numFmtId="0" fontId="127" fillId="0" borderId="10" xfId="0" applyFont="1" applyBorder="1" applyAlignment="1" applyProtection="1">
      <alignment horizontal="left" wrapText="1" indent="1"/>
    </xf>
    <xf numFmtId="0" fontId="127" fillId="0" borderId="10" xfId="0" applyFont="1" applyBorder="1" applyAlignment="1" applyProtection="1">
      <alignment horizontal="left" vertical="center" wrapText="1" indent="1"/>
    </xf>
    <xf numFmtId="49" fontId="156" fillId="0" borderId="29" xfId="66" applyNumberFormat="1" applyFont="1" applyFill="1" applyBorder="1" applyAlignment="1" applyProtection="1">
      <alignment horizontal="left" vertical="center" wrapText="1" indent="1"/>
    </xf>
    <xf numFmtId="0" fontId="127" fillId="0" borderId="32" xfId="0" applyFont="1" applyBorder="1" applyAlignment="1" applyProtection="1">
      <alignment horizontal="left" vertical="center" wrapText="1" indent="1"/>
    </xf>
    <xf numFmtId="0" fontId="31" fillId="0" borderId="46" xfId="0" applyFont="1" applyBorder="1" applyAlignment="1" applyProtection="1">
      <alignment horizontal="left" vertical="center" wrapText="1" indent="1"/>
    </xf>
    <xf numFmtId="49" fontId="156" fillId="0" borderId="29" xfId="66" applyNumberFormat="1" applyFont="1" applyFill="1" applyBorder="1" applyAlignment="1" applyProtection="1">
      <alignment horizontal="left" vertical="center" wrapText="1"/>
    </xf>
    <xf numFmtId="0" fontId="127" fillId="0" borderId="32" xfId="0" applyFont="1" applyBorder="1" applyAlignment="1" applyProtection="1">
      <alignment horizontal="left" vertical="center" wrapText="1"/>
    </xf>
    <xf numFmtId="0" fontId="158" fillId="0" borderId="0" xfId="66" applyFont="1" applyFill="1" applyAlignment="1" applyProtection="1">
      <alignment vertical="center"/>
    </xf>
    <xf numFmtId="166" fontId="159" fillId="0" borderId="17" xfId="66" applyNumberFormat="1" applyFont="1" applyFill="1" applyBorder="1" applyAlignment="1" applyProtection="1">
      <alignment horizontal="right" vertical="center" wrapText="1" indent="1"/>
    </xf>
    <xf numFmtId="0" fontId="127" fillId="0" borderId="32" xfId="0" applyFont="1" applyBorder="1" applyAlignment="1" applyProtection="1">
      <alignment horizontal="left" wrapText="1" indent="1"/>
    </xf>
    <xf numFmtId="0" fontId="157" fillId="0" borderId="16" xfId="66" applyFont="1" applyFill="1" applyBorder="1" applyAlignment="1" applyProtection="1">
      <alignment horizontal="left" vertical="center" wrapText="1"/>
    </xf>
    <xf numFmtId="0" fontId="31" fillId="0" borderId="16" xfId="0" applyFont="1" applyBorder="1" applyAlignment="1" applyProtection="1">
      <alignment vertical="center" wrapText="1"/>
    </xf>
    <xf numFmtId="0" fontId="127" fillId="0" borderId="32" xfId="0" applyFont="1" applyBorder="1" applyAlignment="1" applyProtection="1">
      <alignment vertical="center" wrapText="1"/>
    </xf>
    <xf numFmtId="49" fontId="156" fillId="0" borderId="16" xfId="66" applyNumberFormat="1" applyFont="1" applyFill="1" applyBorder="1" applyAlignment="1" applyProtection="1">
      <alignment horizontal="left" vertical="center" wrapText="1" indent="1"/>
    </xf>
    <xf numFmtId="0" fontId="127" fillId="0" borderId="46" xfId="0" applyFont="1" applyBorder="1" applyAlignment="1" applyProtection="1">
      <alignment horizontal="left" vertical="center" wrapText="1" indent="1"/>
    </xf>
    <xf numFmtId="166" fontId="160" fillId="0" borderId="17" xfId="66" applyNumberFormat="1" applyFont="1" applyFill="1" applyBorder="1" applyAlignment="1" applyProtection="1">
      <alignment horizontal="right" vertical="center" wrapText="1" indent="1"/>
      <protection locked="0"/>
    </xf>
    <xf numFmtId="49" fontId="156" fillId="0" borderId="18" xfId="66" applyNumberFormat="1" applyFont="1" applyFill="1" applyBorder="1" applyAlignment="1" applyProtection="1">
      <alignment horizontal="left" vertical="center" wrapText="1" indent="1"/>
    </xf>
    <xf numFmtId="0" fontId="127" fillId="0" borderId="49" xfId="0" applyFont="1" applyBorder="1" applyAlignment="1" applyProtection="1">
      <alignment horizontal="left" wrapText="1" indent="1"/>
    </xf>
    <xf numFmtId="49" fontId="156" fillId="0" borderId="53" xfId="66" applyNumberFormat="1" applyFont="1" applyFill="1" applyBorder="1" applyAlignment="1" applyProtection="1">
      <alignment horizontal="left" vertical="center" wrapText="1" indent="1"/>
    </xf>
    <xf numFmtId="0" fontId="127" fillId="0" borderId="42" xfId="0" applyFont="1" applyBorder="1" applyAlignment="1" applyProtection="1">
      <alignment horizontal="left" vertical="center" wrapText="1" indent="1"/>
    </xf>
    <xf numFmtId="0" fontId="127" fillId="0" borderId="37" xfId="0" applyFont="1" applyBorder="1" applyAlignment="1" applyProtection="1">
      <alignment wrapText="1"/>
    </xf>
    <xf numFmtId="0" fontId="127" fillId="0" borderId="14" xfId="0" applyFont="1" applyBorder="1" applyAlignment="1" applyProtection="1">
      <alignment wrapText="1"/>
    </xf>
    <xf numFmtId="0" fontId="127" fillId="0" borderId="29" xfId="0" applyFont="1" applyBorder="1" applyAlignment="1" applyProtection="1">
      <alignment wrapText="1"/>
    </xf>
    <xf numFmtId="0" fontId="31" fillId="0" borderId="46" xfId="0" applyFont="1" applyBorder="1" applyAlignment="1" applyProtection="1">
      <alignment wrapText="1"/>
    </xf>
    <xf numFmtId="0" fontId="31" fillId="0" borderId="50" xfId="0" applyFont="1" applyBorder="1" applyAlignment="1" applyProtection="1">
      <alignment vertical="center" wrapText="1"/>
    </xf>
    <xf numFmtId="0" fontId="31" fillId="0" borderId="51" xfId="0" applyFont="1" applyBorder="1" applyAlignment="1" applyProtection="1">
      <alignment wrapText="1"/>
    </xf>
    <xf numFmtId="0" fontId="153" fillId="0" borderId="0" xfId="66" applyFont="1" applyFill="1" applyBorder="1" applyAlignment="1" applyProtection="1">
      <alignment horizontal="center" vertical="center" wrapText="1"/>
    </xf>
    <xf numFmtId="0" fontId="153" fillId="0" borderId="0" xfId="66" applyFont="1" applyFill="1" applyBorder="1" applyAlignment="1" applyProtection="1">
      <alignment vertical="center" wrapText="1"/>
    </xf>
    <xf numFmtId="166" fontId="153" fillId="0" borderId="0" xfId="66" applyNumberFormat="1" applyFont="1" applyFill="1" applyBorder="1" applyAlignment="1" applyProtection="1">
      <alignment horizontal="right" vertical="center" wrapText="1" indent="1"/>
    </xf>
    <xf numFmtId="0" fontId="155" fillId="0" borderId="39" xfId="0" applyFont="1" applyFill="1" applyBorder="1" applyAlignment="1" applyProtection="1">
      <alignment horizontal="right"/>
    </xf>
    <xf numFmtId="0" fontId="29" fillId="0" borderId="0" xfId="66" applyFill="1" applyAlignment="1" applyProtection="1"/>
    <xf numFmtId="0" fontId="30" fillId="0" borderId="16" xfId="66" applyFont="1" applyFill="1" applyBorder="1" applyAlignment="1" applyProtection="1">
      <alignment horizontal="center" vertical="center" wrapText="1"/>
    </xf>
    <xf numFmtId="0" fontId="30" fillId="0" borderId="46" xfId="66" applyFont="1" applyFill="1" applyBorder="1" applyAlignment="1" applyProtection="1">
      <alignment horizontal="center" vertical="center" wrapText="1"/>
    </xf>
    <xf numFmtId="0" fontId="30" fillId="0" borderId="17" xfId="66" applyFont="1" applyFill="1" applyBorder="1" applyAlignment="1" applyProtection="1">
      <alignment horizontal="center" vertical="center" wrapText="1"/>
    </xf>
    <xf numFmtId="0" fontId="157" fillId="0" borderId="11" xfId="66" applyFont="1" applyFill="1" applyBorder="1" applyAlignment="1" applyProtection="1">
      <alignment horizontal="left" vertical="center" wrapText="1" indent="1"/>
    </xf>
    <xf numFmtId="0" fontId="157" fillId="0" borderId="44" xfId="66" applyFont="1" applyFill="1" applyBorder="1" applyAlignment="1" applyProtection="1">
      <alignment vertical="center" wrapText="1"/>
    </xf>
    <xf numFmtId="166" fontId="157" fillId="0" borderId="79" xfId="66" applyNumberFormat="1" applyFont="1" applyFill="1" applyBorder="1" applyAlignment="1" applyProtection="1">
      <alignment horizontal="right" vertical="center" wrapText="1" indent="1"/>
    </xf>
    <xf numFmtId="49" fontId="156" fillId="0" borderId="12" xfId="66" applyNumberFormat="1" applyFont="1" applyFill="1" applyBorder="1" applyAlignment="1" applyProtection="1">
      <alignment horizontal="left" vertical="center" wrapText="1" indent="1"/>
    </xf>
    <xf numFmtId="0" fontId="156" fillId="0" borderId="38" xfId="66" applyFont="1" applyFill="1" applyBorder="1" applyAlignment="1" applyProtection="1">
      <alignment horizontal="left" vertical="center" wrapText="1" indent="1"/>
    </xf>
    <xf numFmtId="166" fontId="156" fillId="0" borderId="13" xfId="66" applyNumberFormat="1" applyFont="1" applyFill="1" applyBorder="1" applyAlignment="1" applyProtection="1">
      <alignment horizontal="right" vertical="center" wrapText="1" indent="1"/>
      <protection locked="0"/>
    </xf>
    <xf numFmtId="0" fontId="156" fillId="0" borderId="10" xfId="66" applyFont="1" applyFill="1" applyBorder="1" applyAlignment="1" applyProtection="1">
      <alignment horizontal="left" vertical="center" wrapText="1" indent="1"/>
    </xf>
    <xf numFmtId="0" fontId="156" fillId="0" borderId="41" xfId="66" applyFont="1" applyFill="1" applyBorder="1" applyAlignment="1" applyProtection="1">
      <alignment horizontal="left" vertical="center" wrapText="1" indent="1"/>
    </xf>
    <xf numFmtId="0" fontId="156" fillId="0" borderId="0" xfId="66" applyFont="1" applyFill="1" applyBorder="1" applyAlignment="1" applyProtection="1">
      <alignment horizontal="left" vertical="center" wrapText="1" indent="1"/>
    </xf>
    <xf numFmtId="0" fontId="156" fillId="0" borderId="32" xfId="66" applyFont="1" applyFill="1" applyBorder="1" applyAlignment="1" applyProtection="1">
      <alignment horizontal="left" vertical="center" wrapText="1" indent="6"/>
    </xf>
    <xf numFmtId="0" fontId="156" fillId="0" borderId="10" xfId="66" applyFont="1" applyFill="1" applyBorder="1" applyAlignment="1" applyProtection="1">
      <alignment horizontal="left" indent="6"/>
    </xf>
    <xf numFmtId="0" fontId="156" fillId="0" borderId="10" xfId="66" applyFont="1" applyFill="1" applyBorder="1" applyAlignment="1" applyProtection="1">
      <alignment horizontal="left" vertical="center" wrapText="1" indent="6"/>
    </xf>
    <xf numFmtId="0" fontId="156" fillId="0" borderId="42" xfId="66" applyFont="1" applyFill="1" applyBorder="1" applyAlignment="1" applyProtection="1">
      <alignment horizontal="left" vertical="center" wrapText="1" indent="7"/>
    </xf>
    <xf numFmtId="166" fontId="156" fillId="0" borderId="43" xfId="66" applyNumberFormat="1" applyFont="1" applyFill="1" applyBorder="1" applyAlignment="1" applyProtection="1">
      <alignment horizontal="right" vertical="center" wrapText="1" indent="1"/>
      <protection locked="0"/>
    </xf>
    <xf numFmtId="0" fontId="157" fillId="0" borderId="50" xfId="66" applyFont="1" applyFill="1" applyBorder="1" applyAlignment="1" applyProtection="1">
      <alignment horizontal="left" vertical="center" wrapText="1" indent="1"/>
    </xf>
    <xf numFmtId="0" fontId="157" fillId="0" borderId="51" xfId="66" applyFont="1" applyFill="1" applyBorder="1" applyAlignment="1" applyProtection="1">
      <alignment vertical="center" wrapText="1"/>
    </xf>
    <xf numFmtId="166" fontId="157" fillId="0" borderId="19" xfId="66" applyNumberFormat="1" applyFont="1" applyFill="1" applyBorder="1" applyAlignment="1" applyProtection="1">
      <alignment horizontal="right" vertical="center" wrapText="1" indent="1"/>
    </xf>
    <xf numFmtId="0" fontId="156" fillId="0" borderId="32" xfId="66" applyFont="1" applyFill="1" applyBorder="1" applyAlignment="1" applyProtection="1">
      <alignment horizontal="left" vertical="center" wrapText="1" indent="1"/>
    </xf>
    <xf numFmtId="166" fontId="156" fillId="0" borderId="67" xfId="66" applyNumberFormat="1" applyFont="1" applyFill="1" applyBorder="1" applyAlignment="1" applyProtection="1">
      <alignment horizontal="right" vertical="center" wrapText="1" indent="1"/>
      <protection locked="0"/>
    </xf>
    <xf numFmtId="0" fontId="156" fillId="0" borderId="35" xfId="66" applyFont="1" applyFill="1" applyBorder="1" applyAlignment="1" applyProtection="1">
      <alignment horizontal="left" vertical="center" wrapText="1" indent="6"/>
    </xf>
    <xf numFmtId="166" fontId="156" fillId="0" borderId="73" xfId="66" applyNumberFormat="1" applyFont="1" applyFill="1" applyBorder="1" applyAlignment="1" applyProtection="1">
      <alignment horizontal="right" vertical="center" wrapText="1" indent="1"/>
      <protection locked="0"/>
    </xf>
    <xf numFmtId="0" fontId="159" fillId="0" borderId="46" xfId="66" applyFont="1" applyFill="1" applyBorder="1" applyAlignment="1" applyProtection="1">
      <alignment horizontal="left" vertical="center" wrapText="1" indent="1"/>
    </xf>
    <xf numFmtId="0" fontId="156" fillId="0" borderId="35" xfId="66" applyFont="1" applyFill="1" applyBorder="1" applyAlignment="1" applyProtection="1">
      <alignment horizontal="left" vertical="center" wrapText="1" indent="1"/>
    </xf>
    <xf numFmtId="0" fontId="156" fillId="0" borderId="49" xfId="66" applyFont="1" applyFill="1" applyBorder="1" applyAlignment="1" applyProtection="1">
      <alignment horizontal="left" vertical="center" wrapText="1" indent="1"/>
    </xf>
    <xf numFmtId="0" fontId="156" fillId="0" borderId="42" xfId="66" applyFont="1" applyFill="1" applyBorder="1" applyAlignment="1" applyProtection="1">
      <alignment horizontal="left" vertical="center" wrapText="1" indent="1"/>
    </xf>
    <xf numFmtId="0" fontId="156" fillId="0" borderId="46" xfId="66" applyFont="1" applyFill="1" applyBorder="1" applyAlignment="1" applyProtection="1">
      <alignment horizontal="left" vertical="center" wrapText="1" indent="1"/>
    </xf>
    <xf numFmtId="166" fontId="156" fillId="0" borderId="47" xfId="66" applyNumberFormat="1" applyFont="1" applyFill="1" applyBorder="1" applyAlignment="1" applyProtection="1">
      <alignment horizontal="right" vertical="center" wrapText="1" indent="1"/>
      <protection locked="0"/>
    </xf>
    <xf numFmtId="166" fontId="31" fillId="0" borderId="17" xfId="0" applyNumberFormat="1" applyFont="1" applyBorder="1" applyAlignment="1" applyProtection="1">
      <alignment horizontal="right" vertical="center" wrapText="1" indent="1"/>
    </xf>
    <xf numFmtId="166" fontId="31" fillId="0" borderId="17" xfId="0" applyNumberFormat="1" applyFont="1" applyBorder="1" applyAlignment="1" applyProtection="1">
      <alignment horizontal="right" vertical="center" wrapText="1" indent="1"/>
      <protection locked="0"/>
    </xf>
    <xf numFmtId="166" fontId="31" fillId="0" borderId="17" xfId="0" quotePrefix="1" applyNumberFormat="1" applyFont="1" applyBorder="1" applyAlignment="1" applyProtection="1">
      <alignment horizontal="right" vertical="center" wrapText="1" indent="1"/>
    </xf>
    <xf numFmtId="0" fontId="161" fillId="0" borderId="0" xfId="66" applyFont="1" applyFill="1" applyProtection="1"/>
    <xf numFmtId="0" fontId="151" fillId="0" borderId="0" xfId="66" applyFont="1" applyFill="1" applyProtection="1"/>
    <xf numFmtId="0" fontId="31" fillId="0" borderId="50" xfId="0" applyFont="1" applyBorder="1" applyAlignment="1" applyProtection="1">
      <alignment horizontal="left" vertical="center" wrapText="1" indent="1"/>
    </xf>
    <xf numFmtId="0" fontId="31" fillId="0" borderId="51" xfId="0" applyFont="1" applyBorder="1" applyAlignment="1" applyProtection="1">
      <alignment horizontal="left" vertical="center" wrapText="1" indent="1"/>
    </xf>
    <xf numFmtId="0" fontId="160" fillId="0" borderId="0" xfId="66" applyFont="1" applyFill="1" applyProtection="1"/>
    <xf numFmtId="166" fontId="162" fillId="0" borderId="0" xfId="66" applyNumberFormat="1" applyFont="1" applyFill="1" applyAlignment="1" applyProtection="1">
      <alignment horizontal="right" vertical="center" indent="1"/>
    </xf>
    <xf numFmtId="0" fontId="155" fillId="0" borderId="39" xfId="0" applyFont="1" applyFill="1" applyBorder="1" applyAlignment="1" applyProtection="1">
      <alignment horizontal="right" vertical="center"/>
    </xf>
    <xf numFmtId="0" fontId="157" fillId="0" borderId="46" xfId="66" applyFont="1" applyFill="1" applyBorder="1" applyAlignment="1" applyProtection="1">
      <alignment vertical="center" wrapText="1"/>
    </xf>
    <xf numFmtId="0" fontId="29" fillId="0" borderId="0" xfId="66" applyFill="1" applyBorder="1" applyProtection="1"/>
    <xf numFmtId="0" fontId="29" fillId="0" borderId="0" xfId="66" applyFont="1" applyFill="1" applyProtection="1"/>
    <xf numFmtId="0" fontId="29" fillId="0" borderId="0" xfId="66" applyFont="1" applyFill="1" applyAlignment="1" applyProtection="1">
      <alignment horizontal="right" vertical="center" indent="1"/>
    </xf>
    <xf numFmtId="166" fontId="0" fillId="0" borderId="0" xfId="0" applyNumberFormat="1" applyFill="1" applyAlignment="1" applyProtection="1">
      <alignment vertical="center" wrapText="1"/>
    </xf>
    <xf numFmtId="166" fontId="153" fillId="0" borderId="0" xfId="0" applyNumberFormat="1" applyFont="1" applyFill="1" applyAlignment="1" applyProtection="1">
      <alignment horizontal="centerContinuous" vertical="center" wrapText="1"/>
    </xf>
    <xf numFmtId="166" fontId="0" fillId="0" borderId="0" xfId="0" applyNumberFormat="1" applyFill="1" applyAlignment="1" applyProtection="1">
      <alignment horizontal="centerContinuous" vertical="center"/>
    </xf>
    <xf numFmtId="166" fontId="0" fillId="0" borderId="0" xfId="0" applyNumberFormat="1" applyFill="1" applyAlignment="1" applyProtection="1">
      <alignment horizontal="center" vertical="center" wrapText="1"/>
    </xf>
    <xf numFmtId="166" fontId="155" fillId="0" borderId="0" xfId="0" applyNumberFormat="1" applyFont="1" applyFill="1" applyAlignment="1" applyProtection="1">
      <alignment horizontal="right" vertical="center"/>
    </xf>
    <xf numFmtId="166" fontId="69" fillId="0" borderId="16" xfId="0" applyNumberFormat="1" applyFont="1" applyFill="1" applyBorder="1" applyAlignment="1" applyProtection="1">
      <alignment horizontal="centerContinuous" vertical="center" wrapText="1"/>
    </xf>
    <xf numFmtId="166" fontId="69" fillId="0" borderId="46" xfId="0" applyNumberFormat="1" applyFont="1" applyFill="1" applyBorder="1" applyAlignment="1" applyProtection="1">
      <alignment horizontal="centerContinuous" vertical="center" wrapText="1"/>
    </xf>
    <xf numFmtId="166" fontId="69" fillId="0" borderId="17" xfId="0" applyNumberFormat="1" applyFont="1" applyFill="1" applyBorder="1" applyAlignment="1" applyProtection="1">
      <alignment horizontal="centerContinuous" vertical="center" wrapText="1"/>
    </xf>
    <xf numFmtId="166" fontId="69" fillId="0" borderId="16" xfId="0" applyNumberFormat="1" applyFont="1" applyFill="1" applyBorder="1" applyAlignment="1" applyProtection="1">
      <alignment horizontal="center" vertical="center" wrapText="1"/>
    </xf>
    <xf numFmtId="166" fontId="69" fillId="0" borderId="46" xfId="0" applyNumberFormat="1" applyFont="1" applyFill="1" applyBorder="1" applyAlignment="1" applyProtection="1">
      <alignment horizontal="center" vertical="center" wrapText="1"/>
    </xf>
    <xf numFmtId="166" fontId="69" fillId="0" borderId="17" xfId="0" applyNumberFormat="1" applyFont="1" applyFill="1" applyBorder="1" applyAlignment="1" applyProtection="1">
      <alignment horizontal="center" vertical="center" wrapText="1"/>
    </xf>
    <xf numFmtId="166" fontId="30" fillId="0" borderId="0" xfId="0" applyNumberFormat="1" applyFont="1" applyFill="1" applyAlignment="1" applyProtection="1">
      <alignment horizontal="center" vertical="center" wrapText="1"/>
    </xf>
    <xf numFmtId="166" fontId="159" fillId="0" borderId="26" xfId="0" applyNumberFormat="1" applyFont="1" applyFill="1" applyBorder="1" applyAlignment="1" applyProtection="1">
      <alignment horizontal="center" vertical="center" wrapText="1"/>
    </xf>
    <xf numFmtId="166" fontId="159" fillId="0" borderId="16" xfId="0" applyNumberFormat="1" applyFont="1" applyFill="1" applyBorder="1" applyAlignment="1" applyProtection="1">
      <alignment horizontal="center" vertical="center" wrapText="1"/>
    </xf>
    <xf numFmtId="166" fontId="159" fillId="0" borderId="46" xfId="0" applyNumberFormat="1" applyFont="1" applyFill="1" applyBorder="1" applyAlignment="1" applyProtection="1">
      <alignment horizontal="center" vertical="center" wrapText="1"/>
    </xf>
    <xf numFmtId="166" fontId="159" fillId="0" borderId="17" xfId="0" applyNumberFormat="1" applyFont="1" applyFill="1" applyBorder="1" applyAlignment="1" applyProtection="1">
      <alignment horizontal="center" vertical="center" wrapText="1"/>
    </xf>
    <xf numFmtId="166" fontId="159" fillId="0" borderId="0" xfId="0" applyNumberFormat="1" applyFont="1" applyFill="1" applyAlignment="1" applyProtection="1">
      <alignment horizontal="center" vertical="center" wrapText="1"/>
    </xf>
    <xf numFmtId="166" fontId="0" fillId="0" borderId="60" xfId="0" applyNumberFormat="1" applyFill="1" applyBorder="1" applyAlignment="1" applyProtection="1">
      <alignment horizontal="left" vertical="center" wrapText="1" indent="1"/>
    </xf>
    <xf numFmtId="166" fontId="156" fillId="0" borderId="37" xfId="0" applyNumberFormat="1" applyFont="1" applyFill="1" applyBorder="1" applyAlignment="1" applyProtection="1">
      <alignment horizontal="left" vertical="center" wrapText="1" indent="1"/>
    </xf>
    <xf numFmtId="166" fontId="156" fillId="0" borderId="35" xfId="0" applyNumberFormat="1" applyFont="1" applyFill="1" applyBorder="1" applyAlignment="1" applyProtection="1">
      <alignment horizontal="right" vertical="center" wrapText="1" indent="1"/>
      <protection locked="0"/>
    </xf>
    <xf numFmtId="166" fontId="156" fillId="0" borderId="36" xfId="0" applyNumberFormat="1" applyFont="1" applyFill="1" applyBorder="1" applyAlignment="1" applyProtection="1">
      <alignment horizontal="right" vertical="center" wrapText="1" indent="1"/>
      <protection locked="0"/>
    </xf>
    <xf numFmtId="166" fontId="0" fillId="0" borderId="81" xfId="0" applyNumberFormat="1" applyFill="1" applyBorder="1" applyAlignment="1" applyProtection="1">
      <alignment horizontal="left" vertical="center" wrapText="1" indent="1"/>
    </xf>
    <xf numFmtId="166" fontId="156" fillId="0" borderId="14" xfId="0" applyNumberFormat="1" applyFont="1" applyFill="1" applyBorder="1" applyAlignment="1" applyProtection="1">
      <alignment horizontal="left" vertical="center" wrapText="1" indent="1"/>
    </xf>
    <xf numFmtId="166" fontId="156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166" fontId="156" fillId="0" borderId="15" xfId="0" applyNumberFormat="1" applyFont="1" applyFill="1" applyBorder="1" applyAlignment="1" applyProtection="1">
      <alignment horizontal="right" vertical="center" wrapText="1" indent="1"/>
      <protection locked="0"/>
    </xf>
    <xf numFmtId="166" fontId="156" fillId="0" borderId="23" xfId="0" applyNumberFormat="1" applyFont="1" applyFill="1" applyBorder="1" applyAlignment="1" applyProtection="1">
      <alignment horizontal="left" vertical="center" wrapText="1" indent="1"/>
    </xf>
    <xf numFmtId="166" fontId="156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6" fontId="156" fillId="0" borderId="14" xfId="0" applyNumberFormat="1" applyFont="1" applyFill="1" applyBorder="1" applyAlignment="1" applyProtection="1">
      <alignment horizontal="left" vertical="center" wrapText="1" indent="1"/>
      <protection locked="0"/>
    </xf>
    <xf numFmtId="166" fontId="160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66" fontId="156" fillId="0" borderId="29" xfId="0" applyNumberFormat="1" applyFont="1" applyFill="1" applyBorder="1" applyAlignment="1" applyProtection="1">
      <alignment horizontal="left" vertical="center" wrapText="1" indent="1"/>
      <protection locked="0"/>
    </xf>
    <xf numFmtId="166" fontId="156" fillId="0" borderId="32" xfId="0" applyNumberFormat="1" applyFont="1" applyFill="1" applyBorder="1" applyAlignment="1" applyProtection="1">
      <alignment horizontal="right" vertical="center" wrapText="1" indent="1"/>
      <protection locked="0"/>
    </xf>
    <xf numFmtId="166" fontId="156" fillId="0" borderId="31" xfId="0" applyNumberFormat="1" applyFont="1" applyFill="1" applyBorder="1" applyAlignment="1" applyProtection="1">
      <alignment horizontal="right" vertical="center" wrapText="1" indent="1"/>
      <protection locked="0"/>
    </xf>
    <xf numFmtId="166" fontId="152" fillId="0" borderId="26" xfId="0" applyNumberFormat="1" applyFont="1" applyFill="1" applyBorder="1" applyAlignment="1" applyProtection="1">
      <alignment horizontal="left" vertical="center" wrapText="1" indent="1"/>
    </xf>
    <xf numFmtId="166" fontId="159" fillId="0" borderId="16" xfId="0" applyNumberFormat="1" applyFont="1" applyFill="1" applyBorder="1" applyAlignment="1" applyProtection="1">
      <alignment horizontal="left" vertical="center" wrapText="1" indent="1"/>
    </xf>
    <xf numFmtId="166" fontId="159" fillId="0" borderId="46" xfId="0" applyNumberFormat="1" applyFont="1" applyFill="1" applyBorder="1" applyAlignment="1" applyProtection="1">
      <alignment horizontal="right" vertical="center" wrapText="1" indent="1"/>
    </xf>
    <xf numFmtId="166" fontId="159" fillId="0" borderId="17" xfId="0" applyNumberFormat="1" applyFont="1" applyFill="1" applyBorder="1" applyAlignment="1" applyProtection="1">
      <alignment horizontal="right" vertical="center" wrapText="1" indent="1"/>
    </xf>
    <xf numFmtId="166" fontId="71" fillId="0" borderId="28" xfId="0" applyNumberFormat="1" applyFont="1" applyFill="1" applyBorder="1" applyAlignment="1" applyProtection="1">
      <alignment horizontal="left" vertical="center" wrapText="1" indent="1"/>
    </xf>
    <xf numFmtId="166" fontId="160" fillId="0" borderId="18" xfId="0" applyNumberFormat="1" applyFont="1" applyFill="1" applyBorder="1" applyAlignment="1" applyProtection="1">
      <alignment horizontal="left" vertical="center" wrapText="1" indent="1"/>
    </xf>
    <xf numFmtId="166" fontId="163" fillId="0" borderId="49" xfId="0" applyNumberFormat="1" applyFont="1" applyFill="1" applyBorder="1" applyAlignment="1" applyProtection="1">
      <alignment horizontal="right" vertical="center" wrapText="1" indent="1"/>
    </xf>
    <xf numFmtId="166" fontId="160" fillId="0" borderId="14" xfId="0" applyNumberFormat="1" applyFont="1" applyFill="1" applyBorder="1" applyAlignment="1" applyProtection="1">
      <alignment horizontal="left" vertical="center" wrapText="1" indent="1"/>
    </xf>
    <xf numFmtId="166" fontId="160" fillId="0" borderId="82" xfId="0" applyNumberFormat="1" applyFont="1" applyFill="1" applyBorder="1" applyAlignment="1" applyProtection="1">
      <alignment horizontal="right" vertical="center" wrapText="1" indent="1"/>
      <protection locked="0"/>
    </xf>
    <xf numFmtId="166" fontId="71" fillId="0" borderId="81" xfId="0" applyNumberFormat="1" applyFont="1" applyFill="1" applyBorder="1" applyAlignment="1" applyProtection="1">
      <alignment horizontal="left" vertical="center" wrapText="1" indent="1"/>
    </xf>
    <xf numFmtId="166" fontId="160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166" fontId="160" fillId="0" borderId="15" xfId="0" applyNumberFormat="1" applyFont="1" applyFill="1" applyBorder="1" applyAlignment="1" applyProtection="1">
      <alignment horizontal="right" vertical="center" wrapText="1" indent="1"/>
      <protection locked="0"/>
    </xf>
    <xf numFmtId="166" fontId="160" fillId="0" borderId="14" xfId="0" applyNumberFormat="1" applyFont="1" applyFill="1" applyBorder="1" applyAlignment="1" applyProtection="1">
      <alignment horizontal="left" vertical="center" wrapText="1" indent="2"/>
    </xf>
    <xf numFmtId="166" fontId="163" fillId="0" borderId="10" xfId="0" applyNumberFormat="1" applyFont="1" applyFill="1" applyBorder="1" applyAlignment="1" applyProtection="1">
      <alignment horizontal="right" vertical="center" wrapText="1" indent="1"/>
    </xf>
    <xf numFmtId="166" fontId="160" fillId="0" borderId="49" xfId="0" applyNumberFormat="1" applyFont="1" applyFill="1" applyBorder="1" applyAlignment="1" applyProtection="1">
      <alignment horizontal="right" vertical="center" wrapText="1" indent="1"/>
      <protection locked="0"/>
    </xf>
    <xf numFmtId="166" fontId="0" fillId="0" borderId="28" xfId="0" applyNumberFormat="1" applyFill="1" applyBorder="1" applyAlignment="1" applyProtection="1">
      <alignment horizontal="left" vertical="center" wrapText="1" indent="1"/>
    </xf>
    <xf numFmtId="166" fontId="156" fillId="0" borderId="18" xfId="0" applyNumberFormat="1" applyFont="1" applyFill="1" applyBorder="1" applyAlignment="1" applyProtection="1">
      <alignment horizontal="left" vertical="center" wrapText="1" indent="1"/>
      <protection locked="0"/>
    </xf>
    <xf numFmtId="166" fontId="152" fillId="0" borderId="16" xfId="0" applyNumberFormat="1" applyFont="1" applyFill="1" applyBorder="1" applyAlignment="1" applyProtection="1">
      <alignment horizontal="left" vertical="center" wrapText="1" indent="1"/>
    </xf>
    <xf numFmtId="166" fontId="152" fillId="0" borderId="47" xfId="0" applyNumberFormat="1" applyFont="1" applyFill="1" applyBorder="1" applyAlignment="1" applyProtection="1">
      <alignment horizontal="right" vertical="center" wrapText="1" indent="1"/>
    </xf>
    <xf numFmtId="166" fontId="155" fillId="0" borderId="0" xfId="0" applyNumberFormat="1" applyFont="1" applyFill="1" applyAlignment="1" applyProtection="1">
      <alignment horizontal="right" vertical="center"/>
      <protection locked="0"/>
    </xf>
    <xf numFmtId="166" fontId="156" fillId="0" borderId="14" xfId="0" quotePrefix="1" applyNumberFormat="1" applyFont="1" applyFill="1" applyBorder="1" applyAlignment="1" applyProtection="1">
      <alignment horizontal="left" vertical="center" wrapText="1" indent="6"/>
      <protection locked="0"/>
    </xf>
    <xf numFmtId="166" fontId="160" fillId="0" borderId="14" xfId="0" quotePrefix="1" applyNumberFormat="1" applyFont="1" applyFill="1" applyBorder="1" applyAlignment="1" applyProtection="1">
      <alignment horizontal="left" vertical="center" wrapText="1" indent="6"/>
      <protection locked="0"/>
    </xf>
    <xf numFmtId="166" fontId="156" fillId="0" borderId="14" xfId="0" quotePrefix="1" applyNumberFormat="1" applyFont="1" applyFill="1" applyBorder="1" applyAlignment="1" applyProtection="1">
      <alignment horizontal="left" vertical="center" wrapText="1" indent="3"/>
      <protection locked="0"/>
    </xf>
    <xf numFmtId="166" fontId="156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6" fontId="156" fillId="0" borderId="18" xfId="0" applyNumberFormat="1" applyFont="1" applyFill="1" applyBorder="1" applyAlignment="1" applyProtection="1">
      <alignment horizontal="left" vertical="center" wrapText="1" indent="1"/>
    </xf>
    <xf numFmtId="166" fontId="156" fillId="0" borderId="82" xfId="0" applyNumberFormat="1" applyFont="1" applyFill="1" applyBorder="1" applyAlignment="1" applyProtection="1">
      <alignment horizontal="right" vertical="center" wrapText="1" indent="1"/>
      <protection locked="0"/>
    </xf>
    <xf numFmtId="166" fontId="163" fillId="0" borderId="18" xfId="0" applyNumberFormat="1" applyFont="1" applyFill="1" applyBorder="1" applyAlignment="1" applyProtection="1">
      <alignment horizontal="left" vertical="center" wrapText="1" indent="1"/>
    </xf>
    <xf numFmtId="166" fontId="163" fillId="0" borderId="35" xfId="0" applyNumberFormat="1" applyFont="1" applyFill="1" applyBorder="1" applyAlignment="1" applyProtection="1">
      <alignment horizontal="right" vertical="center" wrapText="1" indent="1"/>
    </xf>
    <xf numFmtId="166" fontId="160" fillId="0" borderId="36" xfId="0" applyNumberFormat="1" applyFont="1" applyFill="1" applyBorder="1" applyAlignment="1" applyProtection="1">
      <alignment horizontal="right" vertical="center" wrapText="1" indent="1"/>
      <protection locked="0"/>
    </xf>
    <xf numFmtId="166" fontId="160" fillId="0" borderId="10" xfId="0" applyNumberFormat="1" applyFont="1" applyFill="1" applyBorder="1" applyAlignment="1" applyProtection="1">
      <alignment horizontal="left" vertical="center" wrapText="1" indent="2"/>
    </xf>
    <xf numFmtId="166" fontId="163" fillId="0" borderId="10" xfId="0" applyNumberFormat="1" applyFont="1" applyFill="1" applyBorder="1" applyAlignment="1" applyProtection="1">
      <alignment horizontal="left" vertical="center" wrapText="1" indent="1"/>
    </xf>
    <xf numFmtId="166" fontId="160" fillId="0" borderId="37" xfId="0" applyNumberFormat="1" applyFont="1" applyFill="1" applyBorder="1" applyAlignment="1" applyProtection="1">
      <alignment horizontal="left" vertical="center" wrapText="1" indent="1"/>
    </xf>
    <xf numFmtId="166" fontId="160" fillId="0" borderId="37" xfId="0" applyNumberFormat="1" applyFont="1" applyFill="1" applyBorder="1" applyAlignment="1" applyProtection="1">
      <alignment horizontal="left" vertical="center" wrapText="1" indent="1"/>
      <protection locked="0"/>
    </xf>
    <xf numFmtId="166" fontId="156" fillId="0" borderId="37" xfId="0" applyNumberFormat="1" applyFont="1" applyFill="1" applyBorder="1" applyAlignment="1" applyProtection="1">
      <alignment horizontal="left" vertical="center" wrapText="1" indent="1"/>
      <protection locked="0"/>
    </xf>
    <xf numFmtId="166" fontId="156" fillId="0" borderId="37" xfId="0" applyNumberFormat="1" applyFont="1" applyFill="1" applyBorder="1" applyAlignment="1" applyProtection="1">
      <alignment horizontal="left" vertical="center" wrapText="1" indent="2"/>
    </xf>
    <xf numFmtId="166" fontId="156" fillId="0" borderId="29" xfId="0" applyNumberFormat="1" applyFont="1" applyFill="1" applyBorder="1" applyAlignment="1" applyProtection="1">
      <alignment horizontal="left" vertical="center" wrapText="1" indent="2"/>
    </xf>
    <xf numFmtId="0" fontId="165" fillId="0" borderId="0" xfId="66" applyFont="1" applyFill="1" applyAlignment="1" applyProtection="1">
      <alignment vertical="center"/>
    </xf>
    <xf numFmtId="0" fontId="165" fillId="0" borderId="0" xfId="0" applyFont="1" applyAlignment="1"/>
    <xf numFmtId="166" fontId="154" fillId="0" borderId="39" xfId="66" applyNumberFormat="1" applyFont="1" applyFill="1" applyBorder="1" applyAlignment="1" applyProtection="1">
      <alignment horizontal="left" vertical="center"/>
    </xf>
    <xf numFmtId="0" fontId="167" fillId="0" borderId="39" xfId="0" applyFont="1" applyFill="1" applyBorder="1" applyAlignment="1" applyProtection="1">
      <alignment horizontal="right" vertical="center"/>
    </xf>
    <xf numFmtId="0" fontId="69" fillId="0" borderId="16" xfId="66" applyFont="1" applyFill="1" applyBorder="1" applyAlignment="1" applyProtection="1">
      <alignment horizontal="center" vertical="center" wrapText="1"/>
    </xf>
    <xf numFmtId="0" fontId="69" fillId="0" borderId="46" xfId="66" applyFont="1" applyFill="1" applyBorder="1" applyAlignment="1" applyProtection="1">
      <alignment horizontal="center" vertical="center" wrapText="1"/>
    </xf>
    <xf numFmtId="0" fontId="69" fillId="0" borderId="54" xfId="66" applyFont="1" applyFill="1" applyBorder="1" applyAlignment="1" applyProtection="1">
      <alignment horizontal="center" vertical="center" wrapText="1"/>
    </xf>
    <xf numFmtId="0" fontId="69" fillId="0" borderId="47" xfId="66" applyFont="1" applyFill="1" applyBorder="1" applyAlignment="1" applyProtection="1">
      <alignment horizontal="center" vertical="center" wrapText="1"/>
    </xf>
    <xf numFmtId="0" fontId="157" fillId="0" borderId="16" xfId="66" applyFont="1" applyFill="1" applyBorder="1" applyAlignment="1" applyProtection="1">
      <alignment horizontal="center" vertical="center" wrapText="1"/>
    </xf>
    <xf numFmtId="0" fontId="157" fillId="0" borderId="46" xfId="66" applyFont="1" applyFill="1" applyBorder="1" applyAlignment="1" applyProtection="1">
      <alignment horizontal="center" vertical="center" wrapText="1"/>
    </xf>
    <xf numFmtId="0" fontId="157" fillId="0" borderId="47" xfId="66" applyFont="1" applyFill="1" applyBorder="1" applyAlignment="1" applyProtection="1">
      <alignment horizontal="center" vertical="center" wrapText="1"/>
    </xf>
    <xf numFmtId="166" fontId="157" fillId="0" borderId="46" xfId="66" applyNumberFormat="1" applyFont="1" applyFill="1" applyBorder="1" applyAlignment="1" applyProtection="1">
      <alignment horizontal="right" vertical="center" wrapText="1" indent="1"/>
      <protection locked="0"/>
    </xf>
    <xf numFmtId="166" fontId="157" fillId="0" borderId="47" xfId="66" applyNumberFormat="1" applyFont="1" applyFill="1" applyBorder="1" applyAlignment="1" applyProtection="1">
      <alignment horizontal="right" vertical="center" wrapText="1" indent="1"/>
      <protection locked="0"/>
    </xf>
    <xf numFmtId="166" fontId="159" fillId="0" borderId="46" xfId="66" applyNumberFormat="1" applyFont="1" applyFill="1" applyBorder="1" applyAlignment="1" applyProtection="1">
      <alignment horizontal="right" vertical="center" wrapText="1" indent="1"/>
    </xf>
    <xf numFmtId="166" fontId="159" fillId="0" borderId="47" xfId="66" applyNumberFormat="1" applyFont="1" applyFill="1" applyBorder="1" applyAlignment="1" applyProtection="1">
      <alignment horizontal="right" vertical="center" wrapText="1" indent="1"/>
    </xf>
    <xf numFmtId="166" fontId="156" fillId="0" borderId="10" xfId="66" applyNumberFormat="1" applyFont="1" applyFill="1" applyBorder="1" applyAlignment="1" applyProtection="1">
      <alignment horizontal="right" vertical="center" wrapText="1" indent="1"/>
      <protection locked="0"/>
    </xf>
    <xf numFmtId="166" fontId="159" fillId="0" borderId="46" xfId="66" applyNumberFormat="1" applyFont="1" applyFill="1" applyBorder="1" applyAlignment="1" applyProtection="1">
      <alignment horizontal="right" vertical="center" wrapText="1" indent="1"/>
      <protection locked="0"/>
    </xf>
    <xf numFmtId="0" fontId="153" fillId="0" borderId="64" xfId="66" applyFont="1" applyFill="1" applyBorder="1" applyAlignment="1" applyProtection="1">
      <alignment horizontal="center" vertical="center" wrapText="1"/>
    </xf>
    <xf numFmtId="0" fontId="153" fillId="0" borderId="64" xfId="66" applyFont="1" applyFill="1" applyBorder="1" applyAlignment="1" applyProtection="1">
      <alignment vertical="center" wrapText="1"/>
    </xf>
    <xf numFmtId="166" fontId="153" fillId="0" borderId="64" xfId="66" applyNumberFormat="1" applyFont="1" applyFill="1" applyBorder="1" applyAlignment="1" applyProtection="1">
      <alignment horizontal="right" vertical="center" wrapText="1" indent="1"/>
    </xf>
    <xf numFmtId="0" fontId="156" fillId="0" borderId="64" xfId="66" applyFont="1" applyFill="1" applyBorder="1" applyAlignment="1" applyProtection="1">
      <alignment horizontal="right" vertical="center" wrapText="1" indent="1"/>
    </xf>
    <xf numFmtId="166" fontId="160" fillId="0" borderId="64" xfId="66" applyNumberFormat="1" applyFont="1" applyFill="1" applyBorder="1" applyAlignment="1" applyProtection="1">
      <alignment horizontal="right" vertical="center" wrapText="1" indent="1"/>
    </xf>
    <xf numFmtId="0" fontId="158" fillId="0" borderId="0" xfId="66" applyFont="1" applyFill="1" applyBorder="1" applyProtection="1"/>
    <xf numFmtId="0" fontId="157" fillId="0" borderId="11" xfId="66" applyFont="1" applyFill="1" applyBorder="1" applyAlignment="1" applyProtection="1">
      <alignment horizontal="center" vertical="center" wrapText="1"/>
    </xf>
    <xf numFmtId="0" fontId="157" fillId="0" borderId="44" xfId="66" applyFont="1" applyFill="1" applyBorder="1" applyAlignment="1" applyProtection="1">
      <alignment horizontal="center" vertical="center" wrapText="1"/>
    </xf>
    <xf numFmtId="0" fontId="157" fillId="0" borderId="65" xfId="66" applyFont="1" applyFill="1" applyBorder="1" applyAlignment="1" applyProtection="1">
      <alignment horizontal="center" vertical="center" wrapText="1"/>
    </xf>
    <xf numFmtId="0" fontId="159" fillId="0" borderId="51" xfId="66" applyFont="1" applyFill="1" applyBorder="1" applyAlignment="1" applyProtection="1">
      <alignment vertical="center" wrapText="1"/>
    </xf>
    <xf numFmtId="166" fontId="159" fillId="0" borderId="51" xfId="66" applyNumberFormat="1" applyFont="1" applyFill="1" applyBorder="1" applyAlignment="1" applyProtection="1">
      <alignment horizontal="right" vertical="center" wrapText="1" indent="1"/>
    </xf>
    <xf numFmtId="166" fontId="32" fillId="0" borderId="46" xfId="0" quotePrefix="1" applyNumberFormat="1" applyFont="1" applyBorder="1" applyAlignment="1" applyProtection="1">
      <alignment horizontal="right" vertical="center" wrapText="1" indent="1"/>
      <protection locked="0"/>
    </xf>
    <xf numFmtId="0" fontId="32" fillId="0" borderId="51" xfId="0" applyFont="1" applyBorder="1" applyAlignment="1" applyProtection="1">
      <alignment horizontal="left" vertical="center" wrapText="1" indent="1"/>
    </xf>
    <xf numFmtId="166" fontId="168" fillId="0" borderId="0" xfId="66" applyNumberFormat="1" applyFont="1" applyFill="1" applyProtection="1"/>
    <xf numFmtId="3" fontId="8" fillId="0" borderId="0" xfId="0" applyNumberFormat="1" applyFont="1"/>
    <xf numFmtId="1" fontId="169" fillId="0" borderId="12" xfId="0" applyNumberFormat="1" applyFont="1" applyBorder="1" applyAlignment="1">
      <alignment horizontal="center" vertical="center" wrapText="1"/>
    </xf>
    <xf numFmtId="1" fontId="169" fillId="0" borderId="38" xfId="0" applyNumberFormat="1" applyFont="1" applyBorder="1" applyAlignment="1">
      <alignment horizontal="center" vertical="center" wrapText="1"/>
    </xf>
    <xf numFmtId="1" fontId="169" fillId="0" borderId="38" xfId="0" applyNumberFormat="1" applyFont="1" applyFill="1" applyBorder="1" applyAlignment="1">
      <alignment horizontal="center" vertical="center" wrapText="1"/>
    </xf>
    <xf numFmtId="1" fontId="8" fillId="0" borderId="38" xfId="0" applyNumberFormat="1" applyFont="1" applyBorder="1" applyAlignment="1">
      <alignment horizontal="center" vertical="center"/>
    </xf>
    <xf numFmtId="1" fontId="8" fillId="0" borderId="57" xfId="0" applyNumberFormat="1" applyFont="1" applyBorder="1" applyAlignment="1">
      <alignment horizontal="center" vertical="center"/>
    </xf>
    <xf numFmtId="1" fontId="8" fillId="0" borderId="13" xfId="0" applyNumberFormat="1" applyFont="1" applyBorder="1" applyAlignment="1">
      <alignment horizontal="center" vertical="center"/>
    </xf>
    <xf numFmtId="3" fontId="169" fillId="0" borderId="10" xfId="0" applyNumberFormat="1" applyFont="1" applyFill="1" applyBorder="1" applyAlignment="1">
      <alignment horizontal="center" vertical="center" wrapText="1"/>
    </xf>
    <xf numFmtId="3" fontId="8" fillId="0" borderId="10" xfId="0" applyNumberFormat="1" applyFont="1" applyBorder="1" applyAlignment="1">
      <alignment horizontal="center" vertical="center"/>
    </xf>
    <xf numFmtId="3" fontId="8" fillId="0" borderId="15" xfId="0" applyNumberFormat="1" applyFont="1" applyBorder="1"/>
    <xf numFmtId="0" fontId="170" fillId="0" borderId="14" xfId="0" applyFont="1" applyBorder="1" applyAlignment="1">
      <alignment horizontal="left" vertical="top" wrapText="1"/>
    </xf>
    <xf numFmtId="0" fontId="170" fillId="0" borderId="10" xfId="0" applyFont="1" applyBorder="1" applyAlignment="1">
      <alignment horizontal="right" vertical="top" wrapText="1"/>
    </xf>
    <xf numFmtId="0" fontId="170" fillId="0" borderId="10" xfId="0" applyFont="1" applyBorder="1" applyAlignment="1">
      <alignment horizontal="center" vertical="center" wrapText="1"/>
    </xf>
    <xf numFmtId="0" fontId="170" fillId="58" borderId="14" xfId="0" applyFont="1" applyFill="1" applyBorder="1" applyAlignment="1">
      <alignment horizontal="left" vertical="top" wrapText="1"/>
    </xf>
    <xf numFmtId="0" fontId="170" fillId="58" borderId="10" xfId="0" applyFont="1" applyFill="1" applyBorder="1" applyAlignment="1">
      <alignment horizontal="right" vertical="top" wrapText="1"/>
    </xf>
    <xf numFmtId="3" fontId="7" fillId="58" borderId="10" xfId="0" applyNumberFormat="1" applyFont="1" applyFill="1" applyBorder="1"/>
    <xf numFmtId="0" fontId="170" fillId="58" borderId="10" xfId="0" applyFont="1" applyFill="1" applyBorder="1" applyAlignment="1">
      <alignment horizontal="center" vertical="center" wrapText="1"/>
    </xf>
    <xf numFmtId="3" fontId="171" fillId="58" borderId="10" xfId="0" applyNumberFormat="1" applyFont="1" applyFill="1" applyBorder="1" applyAlignment="1">
      <alignment horizontal="center" vertical="center" wrapText="1"/>
    </xf>
    <xf numFmtId="3" fontId="172" fillId="58" borderId="10" xfId="0" applyNumberFormat="1" applyFont="1" applyFill="1" applyBorder="1" applyAlignment="1">
      <alignment horizontal="center" vertical="center" wrapText="1"/>
    </xf>
    <xf numFmtId="3" fontId="172" fillId="58" borderId="15" xfId="0" applyNumberFormat="1" applyFont="1" applyFill="1" applyBorder="1" applyAlignment="1">
      <alignment horizontal="center" vertical="center" wrapText="1"/>
    </xf>
    <xf numFmtId="0" fontId="0" fillId="26" borderId="0" xfId="0" applyFill="1"/>
    <xf numFmtId="0" fontId="170" fillId="26" borderId="14" xfId="0" applyFont="1" applyFill="1" applyBorder="1" applyAlignment="1">
      <alignment horizontal="left" vertical="top" wrapText="1"/>
    </xf>
    <xf numFmtId="0" fontId="170" fillId="26" borderId="10" xfId="0" applyFont="1" applyFill="1" applyBorder="1" applyAlignment="1">
      <alignment horizontal="right" vertical="top" wrapText="1"/>
    </xf>
    <xf numFmtId="3" fontId="0" fillId="26" borderId="10" xfId="0" applyNumberFormat="1" applyFill="1" applyBorder="1"/>
    <xf numFmtId="0" fontId="170" fillId="26" borderId="10" xfId="0" applyFont="1" applyFill="1" applyBorder="1" applyAlignment="1">
      <alignment horizontal="center" vertical="center" wrapText="1"/>
    </xf>
    <xf numFmtId="3" fontId="171" fillId="26" borderId="10" xfId="0" applyNumberFormat="1" applyFont="1" applyFill="1" applyBorder="1" applyAlignment="1">
      <alignment horizontal="center" vertical="center" wrapText="1"/>
    </xf>
    <xf numFmtId="3" fontId="0" fillId="0" borderId="20" xfId="0" applyNumberFormat="1" applyBorder="1"/>
    <xf numFmtId="0" fontId="170" fillId="28" borderId="14" xfId="0" applyFont="1" applyFill="1" applyBorder="1" applyAlignment="1">
      <alignment horizontal="left" vertical="top" wrapText="1"/>
    </xf>
    <xf numFmtId="0" fontId="170" fillId="28" borderId="10" xfId="0" applyFont="1" applyFill="1" applyBorder="1" applyAlignment="1">
      <alignment horizontal="right" vertical="top" wrapText="1"/>
    </xf>
    <xf numFmtId="0" fontId="170" fillId="28" borderId="10" xfId="0" applyFont="1" applyFill="1" applyBorder="1" applyAlignment="1">
      <alignment horizontal="center" vertical="center" wrapText="1"/>
    </xf>
    <xf numFmtId="3" fontId="171" fillId="28" borderId="10" xfId="0" applyNumberFormat="1" applyFont="1" applyFill="1" applyBorder="1" applyAlignment="1">
      <alignment horizontal="center" vertical="center" wrapText="1"/>
    </xf>
    <xf numFmtId="3" fontId="8" fillId="28" borderId="10" xfId="0" applyNumberFormat="1" applyFont="1" applyFill="1" applyBorder="1"/>
    <xf numFmtId="3" fontId="8" fillId="28" borderId="20" xfId="0" applyNumberFormat="1" applyFont="1" applyFill="1" applyBorder="1"/>
    <xf numFmtId="3" fontId="8" fillId="28" borderId="15" xfId="0" applyNumberFormat="1" applyFont="1" applyFill="1" applyBorder="1"/>
    <xf numFmtId="0" fontId="171" fillId="26" borderId="14" xfId="0" applyFont="1" applyFill="1" applyBorder="1" applyAlignment="1">
      <alignment horizontal="left" vertical="top" wrapText="1"/>
    </xf>
    <xf numFmtId="0" fontId="171" fillId="26" borderId="10" xfId="0" applyFont="1" applyFill="1" applyBorder="1" applyAlignment="1">
      <alignment horizontal="right" vertical="top" wrapText="1"/>
    </xf>
    <xf numFmtId="0" fontId="171" fillId="26" borderId="10" xfId="0" applyFont="1" applyFill="1" applyBorder="1" applyAlignment="1">
      <alignment horizontal="center" vertical="center" wrapText="1"/>
    </xf>
    <xf numFmtId="3" fontId="8" fillId="0" borderId="41" xfId="0" applyNumberFormat="1" applyFont="1" applyBorder="1"/>
    <xf numFmtId="0" fontId="8" fillId="37" borderId="14" xfId="0" applyFont="1" applyFill="1" applyBorder="1"/>
    <xf numFmtId="0" fontId="8" fillId="37" borderId="10" xfId="0" applyFont="1" applyFill="1" applyBorder="1"/>
    <xf numFmtId="3" fontId="8" fillId="37" borderId="10" xfId="0" applyNumberFormat="1" applyFont="1" applyFill="1" applyBorder="1"/>
    <xf numFmtId="0" fontId="8" fillId="37" borderId="53" xfId="0" applyFont="1" applyFill="1" applyBorder="1"/>
    <xf numFmtId="0" fontId="8" fillId="37" borderId="42" xfId="0" applyFont="1" applyFill="1" applyBorder="1"/>
    <xf numFmtId="3" fontId="8" fillId="37" borderId="42" xfId="0" applyNumberFormat="1" applyFont="1" applyFill="1" applyBorder="1"/>
    <xf numFmtId="3" fontId="0" fillId="26" borderId="0" xfId="0" applyNumberFormat="1" applyFill="1"/>
    <xf numFmtId="3" fontId="0" fillId="0" borderId="0" xfId="0" applyNumberFormat="1" applyAlignment="1">
      <alignment wrapText="1"/>
    </xf>
    <xf numFmtId="3" fontId="7" fillId="0" borderId="10" xfId="0" applyNumberFormat="1" applyFont="1" applyBorder="1" applyAlignment="1">
      <alignment horizontal="center" vertical="center"/>
    </xf>
    <xf numFmtId="3" fontId="0" fillId="0" borderId="10" xfId="0" applyNumberFormat="1" applyBorder="1" applyAlignment="1">
      <alignment horizontal="center" vertical="center"/>
    </xf>
    <xf numFmtId="3" fontId="0" fillId="0" borderId="0" xfId="0" applyNumberFormat="1" applyBorder="1"/>
    <xf numFmtId="3" fontId="169" fillId="0" borderId="57" xfId="0" applyNumberFormat="1" applyFont="1" applyFill="1" applyBorder="1" applyAlignment="1">
      <alignment horizontal="center" vertical="center" wrapText="1"/>
    </xf>
    <xf numFmtId="0" fontId="0" fillId="0" borderId="0" xfId="0" applyBorder="1"/>
    <xf numFmtId="3" fontId="169" fillId="0" borderId="0" xfId="0" applyNumberFormat="1" applyFont="1" applyFill="1" applyBorder="1" applyAlignment="1">
      <alignment horizontal="center" vertical="center" wrapText="1"/>
    </xf>
    <xf numFmtId="3" fontId="7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3" fontId="0" fillId="0" borderId="0" xfId="0" applyNumberFormat="1" applyBorder="1" applyAlignment="1">
      <alignment horizontal="center" vertical="center"/>
    </xf>
    <xf numFmtId="3" fontId="8" fillId="0" borderId="0" xfId="0" applyNumberFormat="1" applyFont="1" applyBorder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166" fontId="173" fillId="0" borderId="0" xfId="0" applyNumberFormat="1" applyFont="1" applyFill="1" applyAlignment="1">
      <alignment horizontal="center" vertical="center" wrapText="1"/>
    </xf>
    <xf numFmtId="0" fontId="169" fillId="0" borderId="0" xfId="0" applyFont="1" applyAlignment="1">
      <alignment horizontal="center" wrapText="1"/>
    </xf>
    <xf numFmtId="166" fontId="173" fillId="0" borderId="0" xfId="0" applyNumberFormat="1" applyFont="1" applyFill="1" applyAlignment="1">
      <alignment vertical="center" wrapText="1"/>
    </xf>
    <xf numFmtId="166" fontId="167" fillId="0" borderId="0" xfId="0" applyNumberFormat="1" applyFont="1" applyFill="1" applyAlignment="1">
      <alignment horizontal="right" vertical="center"/>
    </xf>
    <xf numFmtId="0" fontId="69" fillId="0" borderId="16" xfId="0" applyFont="1" applyFill="1" applyBorder="1" applyAlignment="1">
      <alignment horizontal="center" vertical="center" wrapText="1"/>
    </xf>
    <xf numFmtId="0" fontId="69" fillId="0" borderId="46" xfId="0" applyFont="1" applyFill="1" applyBorder="1" applyAlignment="1" applyProtection="1">
      <alignment horizontal="center" vertical="center" wrapText="1"/>
    </xf>
    <xf numFmtId="0" fontId="69" fillId="0" borderId="17" xfId="0" applyFont="1" applyFill="1" applyBorder="1" applyAlignment="1" applyProtection="1">
      <alignment horizontal="center" vertical="center" wrapText="1"/>
    </xf>
    <xf numFmtId="0" fontId="30" fillId="0" borderId="0" xfId="0" applyFont="1" applyFill="1" applyAlignment="1">
      <alignment horizontal="center" vertical="center" wrapText="1"/>
    </xf>
    <xf numFmtId="0" fontId="157" fillId="0" borderId="16" xfId="0" applyFont="1" applyFill="1" applyBorder="1" applyAlignment="1">
      <alignment horizontal="center" vertical="center" wrapText="1"/>
    </xf>
    <xf numFmtId="0" fontId="157" fillId="0" borderId="46" xfId="0" applyFont="1" applyFill="1" applyBorder="1" applyAlignment="1" applyProtection="1">
      <alignment horizontal="center" vertical="center" wrapText="1"/>
    </xf>
    <xf numFmtId="0" fontId="157" fillId="0" borderId="17" xfId="0" applyFont="1" applyFill="1" applyBorder="1" applyAlignment="1" applyProtection="1">
      <alignment horizontal="center" vertical="center" wrapText="1"/>
    </xf>
    <xf numFmtId="0" fontId="160" fillId="0" borderId="12" xfId="0" applyFont="1" applyFill="1" applyBorder="1" applyAlignment="1">
      <alignment horizontal="center" vertical="center" wrapText="1"/>
    </xf>
    <xf numFmtId="0" fontId="127" fillId="0" borderId="59" xfId="0" applyFont="1" applyFill="1" applyBorder="1" applyAlignment="1" applyProtection="1">
      <alignment horizontal="left" vertical="center" wrapText="1" indent="1"/>
    </xf>
    <xf numFmtId="0" fontId="160" fillId="0" borderId="14" xfId="0" applyFont="1" applyFill="1" applyBorder="1" applyAlignment="1">
      <alignment horizontal="center" vertical="center" wrapText="1"/>
    </xf>
    <xf numFmtId="0" fontId="127" fillId="0" borderId="41" xfId="0" applyFont="1" applyFill="1" applyBorder="1" applyAlignment="1" applyProtection="1">
      <alignment horizontal="left" vertical="center" wrapText="1" indent="1"/>
    </xf>
    <xf numFmtId="0" fontId="127" fillId="0" borderId="41" xfId="0" applyFont="1" applyFill="1" applyBorder="1" applyAlignment="1" applyProtection="1">
      <alignment horizontal="left" vertical="center" wrapText="1" indent="8"/>
    </xf>
    <xf numFmtId="0" fontId="159" fillId="0" borderId="16" xfId="0" applyFont="1" applyFill="1" applyBorder="1" applyAlignment="1">
      <alignment horizontal="center" vertical="center" wrapText="1"/>
    </xf>
    <xf numFmtId="0" fontId="68" fillId="0" borderId="51" xfId="0" applyFont="1" applyFill="1" applyBorder="1" applyAlignment="1" applyProtection="1">
      <alignment vertical="center" wrapText="1"/>
    </xf>
    <xf numFmtId="166" fontId="159" fillId="0" borderId="51" xfId="0" applyNumberFormat="1" applyFont="1" applyFill="1" applyBorder="1" applyAlignment="1" applyProtection="1">
      <alignment vertical="center" wrapText="1"/>
    </xf>
    <xf numFmtId="0" fontId="0" fillId="0" borderId="0" xfId="0" applyFill="1" applyAlignment="1">
      <alignment horizontal="right" vertical="center" wrapText="1"/>
    </xf>
    <xf numFmtId="166" fontId="158" fillId="0" borderId="0" xfId="66" applyNumberFormat="1" applyFont="1" applyFill="1" applyProtection="1"/>
    <xf numFmtId="3" fontId="17" fillId="26" borderId="0" xfId="0" applyNumberFormat="1" applyFont="1" applyFill="1" applyBorder="1" applyAlignment="1">
      <alignment vertical="center"/>
    </xf>
    <xf numFmtId="3" fontId="45" fillId="26" borderId="0" xfId="0" applyNumberFormat="1" applyFont="1" applyFill="1" applyAlignment="1">
      <alignment vertical="center"/>
    </xf>
    <xf numFmtId="3" fontId="45" fillId="26" borderId="0" xfId="0" applyNumberFormat="1" applyFont="1" applyFill="1" applyAlignment="1">
      <alignment vertical="center" wrapText="1"/>
    </xf>
    <xf numFmtId="3" fontId="127" fillId="26" borderId="0" xfId="0" applyNumberFormat="1" applyFont="1" applyFill="1" applyAlignment="1">
      <alignment vertical="center"/>
    </xf>
    <xf numFmtId="3" fontId="17" fillId="26" borderId="0" xfId="0" applyNumberFormat="1" applyFont="1" applyFill="1" applyAlignment="1">
      <alignment vertical="center"/>
    </xf>
    <xf numFmtId="3" fontId="21" fillId="26" borderId="0" xfId="55" applyNumberFormat="1" applyFont="1" applyFill="1" applyBorder="1" applyAlignment="1">
      <alignment vertical="center" wrapText="1"/>
    </xf>
    <xf numFmtId="0" fontId="44" fillId="26" borderId="0" xfId="0" applyFont="1" applyFill="1" applyAlignment="1">
      <alignment horizontal="center" vertical="center"/>
    </xf>
    <xf numFmtId="0" fontId="31" fillId="26" borderId="0" xfId="0" applyFont="1" applyFill="1" applyAlignment="1">
      <alignment horizontal="center" vertical="center"/>
    </xf>
    <xf numFmtId="3" fontId="21" fillId="26" borderId="0" xfId="55" applyNumberFormat="1" applyFont="1" applyFill="1" applyAlignment="1">
      <alignment vertical="center" wrapText="1"/>
    </xf>
    <xf numFmtId="3" fontId="22" fillId="26" borderId="0" xfId="0" applyNumberFormat="1" applyFont="1" applyFill="1" applyAlignment="1">
      <alignment vertical="center"/>
    </xf>
    <xf numFmtId="3" fontId="22" fillId="26" borderId="0" xfId="55" applyNumberFormat="1" applyFont="1" applyFill="1" applyBorder="1" applyAlignment="1">
      <alignment vertical="center"/>
    </xf>
    <xf numFmtId="3" fontId="43" fillId="26" borderId="0" xfId="0" applyNumberFormat="1" applyFont="1" applyFill="1" applyAlignment="1">
      <alignment vertical="center"/>
    </xf>
    <xf numFmtId="3" fontId="32" fillId="26" borderId="0" xfId="55" applyNumberFormat="1" applyFont="1" applyFill="1" applyAlignment="1">
      <alignment vertical="center" wrapText="1"/>
    </xf>
    <xf numFmtId="3" fontId="43" fillId="26" borderId="0" xfId="55" applyNumberFormat="1" applyFont="1" applyFill="1" applyAlignment="1">
      <alignment vertical="center"/>
    </xf>
    <xf numFmtId="3" fontId="127" fillId="26" borderId="0" xfId="55" applyNumberFormat="1" applyFont="1" applyFill="1" applyAlignment="1">
      <alignment vertical="center"/>
    </xf>
    <xf numFmtId="3" fontId="22" fillId="26" borderId="0" xfId="55" applyNumberFormat="1" applyFont="1" applyFill="1" applyAlignment="1">
      <alignment vertical="center"/>
    </xf>
    <xf numFmtId="3" fontId="21" fillId="26" borderId="0" xfId="55" applyNumberFormat="1" applyFont="1" applyFill="1" applyBorder="1" applyAlignment="1">
      <alignment horizontal="center" vertical="center" wrapText="1"/>
    </xf>
    <xf numFmtId="3" fontId="32" fillId="26" borderId="26" xfId="55" applyNumberFormat="1" applyFont="1" applyFill="1" applyBorder="1" applyAlignment="1">
      <alignment horizontal="center" vertical="center" wrapText="1"/>
    </xf>
    <xf numFmtId="3" fontId="32" fillId="26" borderId="22" xfId="55" applyNumberFormat="1" applyFont="1" applyFill="1" applyBorder="1" applyAlignment="1">
      <alignment horizontal="center" vertical="center" wrapText="1"/>
    </xf>
    <xf numFmtId="3" fontId="31" fillId="26" borderId="26" xfId="55" applyNumberFormat="1" applyFont="1" applyFill="1" applyBorder="1" applyAlignment="1">
      <alignment horizontal="center" vertical="center" wrapText="1"/>
    </xf>
    <xf numFmtId="3" fontId="21" fillId="26" borderId="25" xfId="55" applyNumberFormat="1" applyFont="1" applyFill="1" applyBorder="1" applyAlignment="1">
      <alignment horizontal="center" vertical="center" wrapText="1"/>
    </xf>
    <xf numFmtId="0" fontId="28" fillId="26" borderId="0" xfId="0" applyFont="1" applyFill="1" applyBorder="1" applyAlignment="1">
      <alignment horizontal="center" vertical="center" wrapText="1"/>
    </xf>
    <xf numFmtId="0" fontId="31" fillId="26" borderId="26" xfId="55" applyFont="1" applyFill="1" applyBorder="1" applyAlignment="1">
      <alignment horizontal="center" vertical="center" wrapText="1"/>
    </xf>
    <xf numFmtId="3" fontId="22" fillId="26" borderId="0" xfId="0" applyNumberFormat="1" applyFont="1" applyFill="1" applyAlignment="1">
      <alignment horizontal="center" vertical="center"/>
    </xf>
    <xf numFmtId="0" fontId="31" fillId="26" borderId="26" xfId="0" applyFont="1" applyFill="1" applyBorder="1" applyAlignment="1">
      <alignment horizontal="center" vertical="center" wrapText="1"/>
    </xf>
    <xf numFmtId="0" fontId="105" fillId="26" borderId="26" xfId="0" applyFont="1" applyFill="1" applyBorder="1" applyAlignment="1">
      <alignment horizontal="center" vertical="center" wrapText="1"/>
    </xf>
    <xf numFmtId="3" fontId="43" fillId="26" borderId="38" xfId="0" applyNumberFormat="1" applyFont="1" applyFill="1" applyBorder="1" applyAlignment="1">
      <alignment horizontal="center" vertical="center"/>
    </xf>
    <xf numFmtId="3" fontId="43" fillId="26" borderId="35" xfId="0" applyNumberFormat="1" applyFont="1" applyFill="1" applyBorder="1" applyAlignment="1">
      <alignment horizontal="left" vertical="center" wrapText="1"/>
    </xf>
    <xf numFmtId="3" fontId="43" fillId="26" borderId="35" xfId="55" applyNumberFormat="1" applyFont="1" applyFill="1" applyBorder="1" applyAlignment="1">
      <alignment vertical="center"/>
    </xf>
    <xf numFmtId="3" fontId="127" fillId="26" borderId="35" xfId="55" applyNumberFormat="1" applyFont="1" applyFill="1" applyBorder="1" applyAlignment="1">
      <alignment vertical="center"/>
    </xf>
    <xf numFmtId="3" fontId="22" fillId="26" borderId="25" xfId="55" applyNumberFormat="1" applyFont="1" applyFill="1" applyBorder="1" applyAlignment="1">
      <alignment vertical="center"/>
    </xf>
    <xf numFmtId="3" fontId="43" fillId="26" borderId="10" xfId="0" applyNumberFormat="1" applyFont="1" applyFill="1" applyBorder="1" applyAlignment="1">
      <alignment horizontal="center" vertical="center"/>
    </xf>
    <xf numFmtId="3" fontId="43" fillId="26" borderId="10" xfId="0" applyNumberFormat="1" applyFont="1" applyFill="1" applyBorder="1" applyAlignment="1">
      <alignment horizontal="left" vertical="center" wrapText="1"/>
    </xf>
    <xf numFmtId="3" fontId="43" fillId="26" borderId="10" xfId="55" applyNumberFormat="1" applyFont="1" applyFill="1" applyBorder="1" applyAlignment="1">
      <alignment vertical="center"/>
    </xf>
    <xf numFmtId="3" fontId="127" fillId="26" borderId="10" xfId="55" applyNumberFormat="1" applyFont="1" applyFill="1" applyBorder="1" applyAlignment="1">
      <alignment vertical="center"/>
    </xf>
    <xf numFmtId="3" fontId="22" fillId="26" borderId="0" xfId="0" applyNumberFormat="1" applyFont="1" applyFill="1" applyBorder="1" applyAlignment="1">
      <alignment vertical="center"/>
    </xf>
    <xf numFmtId="3" fontId="127" fillId="26" borderId="10" xfId="0" applyNumberFormat="1" applyFont="1" applyFill="1" applyBorder="1" applyAlignment="1">
      <alignment vertical="center"/>
    </xf>
    <xf numFmtId="3" fontId="22" fillId="26" borderId="25" xfId="0" applyNumberFormat="1" applyFont="1" applyFill="1" applyBorder="1" applyAlignment="1">
      <alignment vertical="center"/>
    </xf>
    <xf numFmtId="3" fontId="21" fillId="26" borderId="0" xfId="0" applyNumberFormat="1" applyFont="1" applyFill="1" applyBorder="1" applyAlignment="1">
      <alignment vertical="center"/>
    </xf>
    <xf numFmtId="3" fontId="32" fillId="26" borderId="10" xfId="0" applyNumberFormat="1" applyFont="1" applyFill="1" applyBorder="1" applyAlignment="1">
      <alignment horizontal="left" vertical="center" wrapText="1"/>
    </xf>
    <xf numFmtId="3" fontId="32" fillId="26" borderId="10" xfId="0" applyNumberFormat="1" applyFont="1" applyFill="1" applyBorder="1" applyAlignment="1">
      <alignment vertical="center"/>
    </xf>
    <xf numFmtId="3" fontId="31" fillId="26" borderId="10" xfId="0" applyNumberFormat="1" applyFont="1" applyFill="1" applyBorder="1" applyAlignment="1">
      <alignment vertical="center"/>
    </xf>
    <xf numFmtId="3" fontId="21" fillId="26" borderId="25" xfId="0" applyNumberFormat="1" applyFont="1" applyFill="1" applyBorder="1" applyAlignment="1">
      <alignment vertical="center"/>
    </xf>
    <xf numFmtId="3" fontId="118" fillId="26" borderId="15" xfId="84" applyNumberFormat="1" applyFont="1" applyFill="1" applyBorder="1" applyAlignment="1" applyProtection="1">
      <alignment horizontal="right"/>
    </xf>
    <xf numFmtId="3" fontId="43" fillId="26" borderId="10" xfId="0" applyNumberFormat="1" applyFont="1" applyFill="1" applyBorder="1"/>
    <xf numFmtId="3" fontId="43" fillId="26" borderId="38" xfId="0" applyNumberFormat="1" applyFont="1" applyFill="1" applyBorder="1" applyAlignment="1">
      <alignment vertical="center"/>
    </xf>
    <xf numFmtId="3" fontId="43" fillId="26" borderId="10" xfId="0" applyNumberFormat="1" applyFont="1" applyFill="1" applyBorder="1" applyAlignment="1">
      <alignment vertical="center" wrapText="1"/>
    </xf>
    <xf numFmtId="3" fontId="32" fillId="26" borderId="10" xfId="0" applyNumberFormat="1" applyFont="1" applyFill="1" applyBorder="1" applyAlignment="1">
      <alignment vertical="center" wrapText="1"/>
    </xf>
    <xf numFmtId="3" fontId="21" fillId="26" borderId="0" xfId="0" applyNumberFormat="1" applyFont="1" applyFill="1" applyAlignment="1">
      <alignment vertical="center"/>
    </xf>
    <xf numFmtId="3" fontId="43" fillId="26" borderId="0" xfId="0" applyNumberFormat="1" applyFont="1" applyFill="1" applyAlignment="1">
      <alignment vertical="center" wrapText="1"/>
    </xf>
    <xf numFmtId="0" fontId="22" fillId="26" borderId="0" xfId="87" applyFont="1" applyFill="1"/>
    <xf numFmtId="3" fontId="45" fillId="26" borderId="0" xfId="87" applyNumberFormat="1" applyFont="1" applyFill="1" applyAlignment="1">
      <alignment vertical="center"/>
    </xf>
    <xf numFmtId="3" fontId="45" fillId="26" borderId="0" xfId="87" applyNumberFormat="1" applyFont="1" applyFill="1" applyAlignment="1">
      <alignment vertical="center" wrapText="1"/>
    </xf>
    <xf numFmtId="3" fontId="44" fillId="26" borderId="0" xfId="87" applyNumberFormat="1" applyFont="1" applyFill="1" applyAlignment="1">
      <alignment vertical="center"/>
    </xf>
    <xf numFmtId="0" fontId="44" fillId="26" borderId="0" xfId="87" applyFont="1" applyFill="1" applyAlignment="1">
      <alignment horizontal="center" vertical="center"/>
    </xf>
    <xf numFmtId="3" fontId="43" fillId="26" borderId="0" xfId="87" applyNumberFormat="1" applyFont="1" applyFill="1" applyAlignment="1">
      <alignment vertical="center"/>
    </xf>
    <xf numFmtId="3" fontId="32" fillId="26" borderId="0" xfId="87" applyNumberFormat="1" applyFont="1" applyFill="1" applyAlignment="1">
      <alignment vertical="center" wrapText="1"/>
    </xf>
    <xf numFmtId="3" fontId="32" fillId="26" borderId="0" xfId="87" applyNumberFormat="1" applyFont="1" applyFill="1" applyAlignment="1">
      <alignment vertical="center"/>
    </xf>
    <xf numFmtId="3" fontId="21" fillId="26" borderId="0" xfId="87" applyNumberFormat="1" applyFont="1" applyFill="1" applyBorder="1" applyAlignment="1">
      <alignment horizontal="center" vertical="center" wrapText="1"/>
    </xf>
    <xf numFmtId="3" fontId="32" fillId="26" borderId="26" xfId="87" applyNumberFormat="1" applyFont="1" applyFill="1" applyBorder="1" applyAlignment="1">
      <alignment horizontal="center" vertical="center" wrapText="1"/>
    </xf>
    <xf numFmtId="3" fontId="21" fillId="26" borderId="25" xfId="87" applyNumberFormat="1" applyFont="1" applyFill="1" applyBorder="1" applyAlignment="1">
      <alignment horizontal="center" vertical="center" wrapText="1"/>
    </xf>
    <xf numFmtId="3" fontId="22" fillId="26" borderId="0" xfId="87" applyNumberFormat="1" applyFont="1" applyFill="1" applyAlignment="1">
      <alignment vertical="center"/>
    </xf>
    <xf numFmtId="0" fontId="28" fillId="26" borderId="0" xfId="87" applyFont="1" applyFill="1" applyBorder="1" applyAlignment="1">
      <alignment horizontal="center" vertical="center" wrapText="1"/>
    </xf>
    <xf numFmtId="0" fontId="31" fillId="26" borderId="26" xfId="87" applyFont="1" applyFill="1" applyBorder="1" applyAlignment="1">
      <alignment horizontal="center" vertical="center" wrapText="1"/>
    </xf>
    <xf numFmtId="3" fontId="22" fillId="26" borderId="0" xfId="87" applyNumberFormat="1" applyFont="1" applyFill="1" applyAlignment="1">
      <alignment horizontal="center" vertical="center"/>
    </xf>
    <xf numFmtId="0" fontId="105" fillId="26" borderId="26" xfId="87" applyFont="1" applyFill="1" applyBorder="1" applyAlignment="1">
      <alignment horizontal="center" vertical="center" wrapText="1"/>
    </xf>
    <xf numFmtId="3" fontId="32" fillId="26" borderId="12" xfId="87" applyNumberFormat="1" applyFont="1" applyFill="1" applyBorder="1" applyAlignment="1">
      <alignment horizontal="center" vertical="center"/>
    </xf>
    <xf numFmtId="0" fontId="32" fillId="26" borderId="56" xfId="65" applyFont="1" applyFill="1" applyBorder="1" applyAlignment="1">
      <alignment horizontal="left" vertical="center" wrapText="1"/>
    </xf>
    <xf numFmtId="3" fontId="32" fillId="26" borderId="35" xfId="87" applyNumberFormat="1" applyFont="1" applyFill="1" applyBorder="1" applyAlignment="1">
      <alignment vertical="center"/>
    </xf>
    <xf numFmtId="3" fontId="43" fillId="26" borderId="35" xfId="87" applyNumberFormat="1" applyFont="1" applyFill="1" applyBorder="1" applyAlignment="1">
      <alignment vertical="center"/>
    </xf>
    <xf numFmtId="3" fontId="32" fillId="26" borderId="14" xfId="87" applyNumberFormat="1" applyFont="1" applyFill="1" applyBorder="1" applyAlignment="1">
      <alignment horizontal="center" vertical="center"/>
    </xf>
    <xf numFmtId="0" fontId="32" fillId="26" borderId="41" xfId="65" applyFont="1" applyFill="1" applyBorder="1" applyAlignment="1">
      <alignment horizontal="left" vertical="center" wrapText="1"/>
    </xf>
    <xf numFmtId="3" fontId="43" fillId="26" borderId="10" xfId="87" applyNumberFormat="1" applyFont="1" applyFill="1" applyBorder="1" applyAlignment="1">
      <alignment vertical="center"/>
    </xf>
    <xf numFmtId="3" fontId="32" fillId="26" borderId="10" xfId="87" applyNumberFormat="1" applyFont="1" applyFill="1" applyBorder="1" applyAlignment="1">
      <alignment vertical="center"/>
    </xf>
    <xf numFmtId="3" fontId="43" fillId="26" borderId="14" xfId="87" applyNumberFormat="1" applyFont="1" applyFill="1" applyBorder="1" applyAlignment="1">
      <alignment horizontal="center" vertical="center"/>
    </xf>
    <xf numFmtId="0" fontId="43" fillId="26" borderId="41" xfId="65" applyFont="1" applyFill="1" applyBorder="1" applyAlignment="1">
      <alignment horizontal="left" vertical="center" wrapText="1"/>
    </xf>
    <xf numFmtId="3" fontId="32" fillId="26" borderId="29" xfId="87" applyNumberFormat="1" applyFont="1" applyFill="1" applyBorder="1" applyAlignment="1">
      <alignment horizontal="center" vertical="center"/>
    </xf>
    <xf numFmtId="166" fontId="68" fillId="26" borderId="58" xfId="66" applyNumberFormat="1" applyFont="1" applyFill="1" applyBorder="1" applyAlignment="1" applyProtection="1">
      <alignment horizontal="left" vertical="center" wrapText="1"/>
    </xf>
    <xf numFmtId="3" fontId="43" fillId="26" borderId="49" xfId="87" applyNumberFormat="1" applyFont="1" applyFill="1" applyBorder="1" applyAlignment="1">
      <alignment vertical="center"/>
    </xf>
    <xf numFmtId="3" fontId="32" fillId="26" borderId="26" xfId="87" applyNumberFormat="1" applyFont="1" applyFill="1" applyBorder="1" applyAlignment="1">
      <alignment horizontal="center" vertical="center"/>
    </xf>
    <xf numFmtId="0" fontId="32" fillId="26" borderId="26" xfId="65" applyFont="1" applyFill="1" applyBorder="1" applyAlignment="1">
      <alignment horizontal="left" vertical="center" wrapText="1"/>
    </xf>
    <xf numFmtId="3" fontId="32" fillId="26" borderId="26" xfId="87" applyNumberFormat="1" applyFont="1" applyFill="1" applyBorder="1" applyAlignment="1">
      <alignment vertical="center"/>
    </xf>
    <xf numFmtId="3" fontId="43" fillId="26" borderId="37" xfId="87" applyNumberFormat="1" applyFont="1" applyFill="1" applyBorder="1" applyAlignment="1">
      <alignment horizontal="center" vertical="center"/>
    </xf>
    <xf numFmtId="0" fontId="43" fillId="26" borderId="59" xfId="65" applyFont="1" applyFill="1" applyBorder="1" applyAlignment="1">
      <alignment horizontal="left" vertical="center" wrapText="1"/>
    </xf>
    <xf numFmtId="3" fontId="43" fillId="26" borderId="29" xfId="87" applyNumberFormat="1" applyFont="1" applyFill="1" applyBorder="1" applyAlignment="1">
      <alignment horizontal="center" vertical="center"/>
    </xf>
    <xf numFmtId="0" fontId="43" fillId="26" borderId="58" xfId="65" applyFont="1" applyFill="1" applyBorder="1" applyAlignment="1">
      <alignment horizontal="left" vertical="center" wrapText="1"/>
    </xf>
    <xf numFmtId="3" fontId="43" fillId="26" borderId="26" xfId="87" applyNumberFormat="1" applyFont="1" applyFill="1" applyBorder="1" applyAlignment="1">
      <alignment horizontal="center" vertical="center"/>
    </xf>
    <xf numFmtId="166" fontId="69" fillId="26" borderId="26" xfId="66" applyNumberFormat="1" applyFont="1" applyFill="1" applyBorder="1" applyAlignment="1" applyProtection="1">
      <alignment horizontal="left" vertical="center" wrapText="1"/>
    </xf>
    <xf numFmtId="3" fontId="43" fillId="26" borderId="26" xfId="87" applyNumberFormat="1" applyFont="1" applyFill="1" applyBorder="1" applyAlignment="1">
      <alignment vertical="center"/>
    </xf>
    <xf numFmtId="3" fontId="43" fillId="26" borderId="32" xfId="87" applyNumberFormat="1" applyFont="1" applyFill="1" applyBorder="1" applyAlignment="1">
      <alignment vertical="center"/>
    </xf>
    <xf numFmtId="3" fontId="32" fillId="26" borderId="32" xfId="87" applyNumberFormat="1" applyFont="1" applyFill="1" applyBorder="1" applyAlignment="1">
      <alignment vertical="center"/>
    </xf>
    <xf numFmtId="3" fontId="32" fillId="26" borderId="16" xfId="87" applyNumberFormat="1" applyFont="1" applyFill="1" applyBorder="1" applyAlignment="1">
      <alignment horizontal="center" vertical="center"/>
    </xf>
    <xf numFmtId="0" fontId="32" fillId="26" borderId="47" xfId="65" applyFont="1" applyFill="1" applyBorder="1" applyAlignment="1">
      <alignment horizontal="left" vertical="center" wrapText="1"/>
    </xf>
    <xf numFmtId="0" fontId="70" fillId="26" borderId="24" xfId="66" applyFont="1" applyFill="1" applyBorder="1" applyAlignment="1" applyProtection="1">
      <alignment horizontal="left" vertical="center" wrapText="1"/>
    </xf>
    <xf numFmtId="0" fontId="70" fillId="26" borderId="58" xfId="66" applyFont="1" applyFill="1" applyBorder="1" applyAlignment="1" applyProtection="1">
      <alignment horizontal="left" vertical="center" wrapText="1"/>
    </xf>
    <xf numFmtId="0" fontId="70" fillId="26" borderId="41" xfId="66" applyFont="1" applyFill="1" applyBorder="1" applyAlignment="1" applyProtection="1">
      <alignment horizontal="left" vertical="center" wrapText="1"/>
    </xf>
    <xf numFmtId="0" fontId="70" fillId="26" borderId="59" xfId="66" applyFont="1" applyFill="1" applyBorder="1" applyAlignment="1" applyProtection="1">
      <alignment horizontal="left" vertical="center" wrapText="1"/>
    </xf>
    <xf numFmtId="3" fontId="21" fillId="26" borderId="0" xfId="87" applyNumberFormat="1" applyFont="1" applyFill="1"/>
    <xf numFmtId="3" fontId="22" fillId="26" borderId="0" xfId="87" applyNumberFormat="1" applyFont="1" applyFill="1"/>
    <xf numFmtId="0" fontId="21" fillId="26" borderId="0" xfId="87" applyFont="1" applyFill="1"/>
    <xf numFmtId="3" fontId="43" fillId="26" borderId="0" xfId="87" applyNumberFormat="1" applyFont="1" applyFill="1" applyAlignment="1">
      <alignment vertical="center" wrapText="1"/>
    </xf>
    <xf numFmtId="0" fontId="7" fillId="26" borderId="0" xfId="87" applyFill="1"/>
    <xf numFmtId="0" fontId="7" fillId="26" borderId="38" xfId="87" applyFont="1" applyFill="1" applyBorder="1"/>
    <xf numFmtId="3" fontId="7" fillId="26" borderId="10" xfId="87" applyNumberFormat="1" applyFont="1" applyFill="1" applyBorder="1" applyAlignment="1">
      <alignment wrapText="1"/>
    </xf>
    <xf numFmtId="174" fontId="2" fillId="26" borderId="10" xfId="0" applyNumberFormat="1" applyFont="1" applyFill="1" applyBorder="1"/>
    <xf numFmtId="3" fontId="20" fillId="26" borderId="42" xfId="87" applyNumberFormat="1" applyFont="1" applyFill="1" applyBorder="1"/>
    <xf numFmtId="0" fontId="7" fillId="0" borderId="0" xfId="109"/>
    <xf numFmtId="0" fontId="9" fillId="0" borderId="0" xfId="109" applyFont="1"/>
    <xf numFmtId="0" fontId="8" fillId="0" borderId="0" xfId="109" applyFont="1"/>
    <xf numFmtId="0" fontId="8" fillId="0" borderId="64" xfId="109" applyFont="1" applyBorder="1" applyAlignment="1">
      <alignment horizontal="left"/>
    </xf>
    <xf numFmtId="0" fontId="8" fillId="0" borderId="64" xfId="109" applyFont="1" applyBorder="1"/>
    <xf numFmtId="0" fontId="8" fillId="0" borderId="39" xfId="109" applyFont="1" applyBorder="1"/>
    <xf numFmtId="0" fontId="11" fillId="0" borderId="77" xfId="109" applyFont="1" applyBorder="1"/>
    <xf numFmtId="0" fontId="13" fillId="0" borderId="77" xfId="109" applyFont="1" applyBorder="1"/>
    <xf numFmtId="0" fontId="9" fillId="0" borderId="72" xfId="109" applyFont="1" applyBorder="1"/>
    <xf numFmtId="0" fontId="12" fillId="0" borderId="72" xfId="109" applyFont="1" applyBorder="1"/>
    <xf numFmtId="0" fontId="9" fillId="0" borderId="62" xfId="109" applyFont="1" applyBorder="1"/>
    <xf numFmtId="0" fontId="9" fillId="0" borderId="0" xfId="109" applyFont="1" applyBorder="1"/>
    <xf numFmtId="0" fontId="12" fillId="0" borderId="0" xfId="109" applyFont="1" applyBorder="1"/>
    <xf numFmtId="0" fontId="9" fillId="0" borderId="77" xfId="109" applyFont="1" applyBorder="1"/>
    <xf numFmtId="0" fontId="9" fillId="0" borderId="64" xfId="109" applyFont="1" applyBorder="1"/>
    <xf numFmtId="0" fontId="137" fillId="0" borderId="0" xfId="109" applyFont="1" applyBorder="1"/>
    <xf numFmtId="0" fontId="174" fillId="0" borderId="0" xfId="109" applyFont="1" applyBorder="1"/>
    <xf numFmtId="0" fontId="174" fillId="0" borderId="72" xfId="109" applyFont="1" applyBorder="1"/>
    <xf numFmtId="3" fontId="9" fillId="0" borderId="0" xfId="109" applyNumberFormat="1" applyFont="1"/>
    <xf numFmtId="3" fontId="8" fillId="0" borderId="65" xfId="109" applyNumberFormat="1" applyFont="1" applyBorder="1"/>
    <xf numFmtId="3" fontId="8" fillId="0" borderId="66" xfId="109" applyNumberFormat="1" applyFont="1" applyBorder="1" applyAlignment="1">
      <alignment horizontal="center"/>
    </xf>
    <xf numFmtId="3" fontId="12" fillId="0" borderId="15" xfId="109" applyNumberFormat="1" applyFont="1" applyBorder="1"/>
    <xf numFmtId="3" fontId="12" fillId="0" borderId="17" xfId="109" applyNumberFormat="1" applyFont="1" applyBorder="1"/>
    <xf numFmtId="3" fontId="12" fillId="0" borderId="82" xfId="109" applyNumberFormat="1" applyFont="1" applyBorder="1"/>
    <xf numFmtId="3" fontId="174" fillId="0" borderId="82" xfId="109" applyNumberFormat="1" applyFont="1" applyBorder="1"/>
    <xf numFmtId="3" fontId="174" fillId="0" borderId="15" xfId="109" applyNumberFormat="1" applyFont="1" applyBorder="1"/>
    <xf numFmtId="3" fontId="12" fillId="0" borderId="19" xfId="109" applyNumberFormat="1" applyFont="1" applyBorder="1"/>
    <xf numFmtId="3" fontId="12" fillId="0" borderId="43" xfId="109" applyNumberFormat="1" applyFont="1" applyBorder="1"/>
    <xf numFmtId="3" fontId="12" fillId="0" borderId="46" xfId="109" applyNumberFormat="1" applyFont="1" applyBorder="1"/>
    <xf numFmtId="3" fontId="8" fillId="0" borderId="13" xfId="109" applyNumberFormat="1" applyFont="1" applyFill="1" applyBorder="1"/>
    <xf numFmtId="3" fontId="12" fillId="0" borderId="46" xfId="109" applyNumberFormat="1" applyFont="1" applyFill="1" applyBorder="1"/>
    <xf numFmtId="3" fontId="12" fillId="0" borderId="82" xfId="109" applyNumberFormat="1" applyFont="1" applyFill="1" applyBorder="1"/>
    <xf numFmtId="4" fontId="176" fillId="0" borderId="10" xfId="0" applyNumberFormat="1" applyFont="1" applyBorder="1" applyAlignment="1">
      <alignment wrapText="1"/>
    </xf>
    <xf numFmtId="3" fontId="176" fillId="0" borderId="10" xfId="0" applyNumberFormat="1" applyFont="1" applyBorder="1"/>
    <xf numFmtId="3" fontId="176" fillId="0" borderId="20" xfId="0" applyNumberFormat="1" applyFont="1" applyBorder="1"/>
    <xf numFmtId="3" fontId="176" fillId="0" borderId="25" xfId="0" applyNumberFormat="1" applyFont="1" applyFill="1" applyBorder="1"/>
    <xf numFmtId="4" fontId="0" fillId="0" borderId="10" xfId="0" applyNumberFormat="1" applyBorder="1" applyAlignment="1">
      <alignment wrapText="1"/>
    </xf>
    <xf numFmtId="3" fontId="0" fillId="0" borderId="0" xfId="0" applyNumberFormat="1" applyFill="1"/>
    <xf numFmtId="4" fontId="176" fillId="0" borderId="0" xfId="0" applyNumberFormat="1" applyFont="1" applyBorder="1" applyAlignment="1">
      <alignment wrapText="1"/>
    </xf>
    <xf numFmtId="3" fontId="176" fillId="0" borderId="0" xfId="0" applyNumberFormat="1" applyFont="1" applyBorder="1"/>
    <xf numFmtId="0" fontId="135" fillId="0" borderId="10" xfId="0" applyFont="1" applyBorder="1" applyAlignment="1">
      <alignment vertical="center" wrapText="1"/>
    </xf>
    <xf numFmtId="0" fontId="135" fillId="0" borderId="10" xfId="0" applyFont="1" applyBorder="1" applyAlignment="1">
      <alignment horizontal="center" vertical="center" wrapText="1"/>
    </xf>
    <xf numFmtId="3" fontId="135" fillId="0" borderId="10" xfId="0" applyNumberFormat="1" applyFont="1" applyBorder="1" applyAlignment="1">
      <alignment horizontal="right" vertical="center" wrapText="1"/>
    </xf>
    <xf numFmtId="4" fontId="8" fillId="0" borderId="0" xfId="0" applyNumberFormat="1" applyFont="1"/>
    <xf numFmtId="4" fontId="175" fillId="0" borderId="10" xfId="138" applyNumberFormat="1" applyFont="1" applyBorder="1"/>
    <xf numFmtId="0" fontId="1" fillId="0" borderId="0" xfId="138"/>
    <xf numFmtId="0" fontId="1" fillId="0" borderId="10" xfId="138" applyBorder="1"/>
    <xf numFmtId="3" fontId="1" fillId="0" borderId="10" xfId="138" applyNumberFormat="1" applyBorder="1"/>
    <xf numFmtId="4" fontId="1" fillId="0" borderId="10" xfId="138" applyNumberFormat="1" applyBorder="1"/>
    <xf numFmtId="3" fontId="1" fillId="0" borderId="0" xfId="138" applyNumberFormat="1"/>
    <xf numFmtId="0" fontId="1" fillId="0" borderId="62" xfId="138" applyBorder="1"/>
    <xf numFmtId="0" fontId="8" fillId="0" borderId="47" xfId="138" applyFont="1" applyBorder="1"/>
    <xf numFmtId="0" fontId="7" fillId="0" borderId="22" xfId="138" applyFont="1" applyBorder="1"/>
    <xf numFmtId="3" fontId="1" fillId="0" borderId="62" xfId="138" applyNumberFormat="1" applyBorder="1"/>
    <xf numFmtId="0" fontId="1" fillId="0" borderId="47" xfId="138" applyBorder="1"/>
    <xf numFmtId="2" fontId="7" fillId="0" borderId="35" xfId="138" applyNumberFormat="1" applyFont="1" applyBorder="1" applyAlignment="1">
      <alignment wrapText="1"/>
    </xf>
    <xf numFmtId="3" fontId="7" fillId="0" borderId="35" xfId="138" applyNumberFormat="1" applyFont="1" applyBorder="1" applyAlignment="1">
      <alignment wrapText="1"/>
    </xf>
    <xf numFmtId="0" fontId="7" fillId="0" borderId="10" xfId="138" applyFont="1" applyBorder="1"/>
    <xf numFmtId="4" fontId="8" fillId="0" borderId="10" xfId="138" applyNumberFormat="1" applyFont="1" applyBorder="1"/>
    <xf numFmtId="0" fontId="7" fillId="0" borderId="0" xfId="138" applyFont="1"/>
    <xf numFmtId="4" fontId="1" fillId="27" borderId="0" xfId="138" applyNumberFormat="1" applyFill="1"/>
    <xf numFmtId="0" fontId="8" fillId="0" borderId="10" xfId="138" applyFont="1" applyBorder="1"/>
    <xf numFmtId="0" fontId="75" fillId="0" borderId="0" xfId="55" applyFont="1" applyAlignment="1">
      <alignment vertical="center"/>
    </xf>
    <xf numFmtId="4" fontId="11" fillId="33" borderId="10" xfId="55" applyNumberFormat="1" applyFont="1" applyFill="1" applyBorder="1" applyAlignment="1">
      <alignment horizontal="left" vertical="center" wrapText="1"/>
    </xf>
    <xf numFmtId="0" fontId="8" fillId="0" borderId="10" xfId="55" applyFont="1" applyBorder="1" applyAlignment="1">
      <alignment vertical="center"/>
    </xf>
    <xf numFmtId="0" fontId="8" fillId="0" borderId="10" xfId="55" applyFont="1" applyBorder="1" applyAlignment="1">
      <alignment horizontal="right" vertical="center"/>
    </xf>
    <xf numFmtId="0" fontId="21" fillId="0" borderId="10" xfId="55" applyFont="1" applyBorder="1" applyAlignment="1">
      <alignment horizontal="right" vertical="center"/>
    </xf>
    <xf numFmtId="0" fontId="7" fillId="0" borderId="10" xfId="55" applyFont="1" applyBorder="1" applyAlignment="1">
      <alignment wrapText="1"/>
    </xf>
    <xf numFmtId="3" fontId="13" fillId="0" borderId="0" xfId="55" applyNumberFormat="1" applyFont="1" applyAlignment="1">
      <alignment horizontal="right" wrapText="1"/>
    </xf>
    <xf numFmtId="3" fontId="7" fillId="26" borderId="10" xfId="87" applyNumberFormat="1" applyFill="1" applyBorder="1" applyAlignment="1">
      <alignment vertical="center"/>
    </xf>
    <xf numFmtId="3" fontId="159" fillId="0" borderId="46" xfId="66" applyNumberFormat="1" applyFont="1" applyFill="1" applyBorder="1" applyAlignment="1" applyProtection="1">
      <alignment horizontal="right" vertical="center" wrapText="1" indent="1"/>
    </xf>
    <xf numFmtId="3" fontId="159" fillId="0" borderId="46" xfId="66" applyNumberFormat="1" applyFont="1" applyFill="1" applyBorder="1" applyAlignment="1" applyProtection="1">
      <alignment horizontal="right" vertical="center" wrapText="1" indent="1"/>
      <protection locked="0"/>
    </xf>
    <xf numFmtId="3" fontId="29" fillId="0" borderId="0" xfId="66" applyNumberFormat="1" applyFont="1" applyFill="1" applyAlignment="1" applyProtection="1">
      <alignment horizontal="right"/>
    </xf>
    <xf numFmtId="3" fontId="154" fillId="0" borderId="0" xfId="66" applyNumberFormat="1" applyFont="1" applyFill="1" applyBorder="1" applyAlignment="1" applyProtection="1">
      <alignment horizontal="right" vertical="center"/>
    </xf>
    <xf numFmtId="3" fontId="69" fillId="0" borderId="46" xfId="66" applyNumberFormat="1" applyFont="1" applyFill="1" applyBorder="1" applyAlignment="1" applyProtection="1">
      <alignment horizontal="right" vertical="center" wrapText="1"/>
    </xf>
    <xf numFmtId="3" fontId="157" fillId="0" borderId="46" xfId="66" applyNumberFormat="1" applyFont="1" applyFill="1" applyBorder="1" applyAlignment="1" applyProtection="1">
      <alignment horizontal="right" vertical="center" wrapText="1"/>
    </xf>
    <xf numFmtId="3" fontId="157" fillId="0" borderId="46" xfId="66" applyNumberFormat="1" applyFont="1" applyFill="1" applyBorder="1" applyAlignment="1" applyProtection="1">
      <alignment horizontal="right" vertical="center" wrapText="1" indent="1"/>
    </xf>
    <xf numFmtId="3" fontId="31" fillId="0" borderId="46" xfId="0" applyNumberFormat="1" applyFont="1" applyBorder="1" applyAlignment="1" applyProtection="1">
      <alignment horizontal="right" vertical="center" wrapText="1" indent="1"/>
    </xf>
    <xf numFmtId="3" fontId="153" fillId="0" borderId="64" xfId="66" applyNumberFormat="1" applyFont="1" applyFill="1" applyBorder="1" applyAlignment="1" applyProtection="1">
      <alignment horizontal="right" vertical="center" wrapText="1"/>
    </xf>
    <xf numFmtId="3" fontId="154" fillId="0" borderId="0" xfId="66" applyNumberFormat="1" applyFont="1" applyFill="1" applyBorder="1" applyAlignment="1" applyProtection="1">
      <alignment horizontal="right"/>
    </xf>
    <xf numFmtId="3" fontId="157" fillId="0" borderId="44" xfId="66" applyNumberFormat="1" applyFont="1" applyFill="1" applyBorder="1" applyAlignment="1" applyProtection="1">
      <alignment horizontal="right" vertical="center" wrapText="1"/>
    </xf>
    <xf numFmtId="3" fontId="159" fillId="0" borderId="51" xfId="66" applyNumberFormat="1" applyFont="1" applyFill="1" applyBorder="1" applyAlignment="1" applyProtection="1">
      <alignment horizontal="right" vertical="center" wrapText="1"/>
    </xf>
    <xf numFmtId="3" fontId="32" fillId="0" borderId="51" xfId="0" applyNumberFormat="1" applyFont="1" applyBorder="1" applyAlignment="1" applyProtection="1">
      <alignment horizontal="right" vertical="center" wrapText="1" indent="1"/>
    </xf>
    <xf numFmtId="3" fontId="10" fillId="26" borderId="10" xfId="0" applyNumberFormat="1" applyFont="1" applyFill="1" applyBorder="1"/>
    <xf numFmtId="0" fontId="177" fillId="0" borderId="0" xfId="55" applyFont="1"/>
    <xf numFmtId="167" fontId="177" fillId="0" borderId="0" xfId="55" applyNumberFormat="1" applyFont="1"/>
    <xf numFmtId="3" fontId="177" fillId="0" borderId="0" xfId="55" applyNumberFormat="1" applyFont="1"/>
    <xf numFmtId="3" fontId="178" fillId="0" borderId="0" xfId="55" applyNumberFormat="1" applyFont="1"/>
    <xf numFmtId="167" fontId="179" fillId="0" borderId="0" xfId="55" applyNumberFormat="1" applyFont="1"/>
    <xf numFmtId="3" fontId="127" fillId="0" borderId="35" xfId="0" applyNumberFormat="1" applyFont="1" applyBorder="1" applyAlignment="1" applyProtection="1">
      <alignment horizontal="left" wrapText="1" indent="1"/>
    </xf>
    <xf numFmtId="0" fontId="19" fillId="0" borderId="0" xfId="55" applyFont="1" applyAlignment="1">
      <alignment vertical="center"/>
    </xf>
    <xf numFmtId="168" fontId="182" fillId="0" borderId="10" xfId="28" applyFont="1" applyFill="1" applyBorder="1" applyAlignment="1">
      <alignment horizontal="left" vertical="center" wrapText="1"/>
    </xf>
    <xf numFmtId="168" fontId="182" fillId="0" borderId="10" xfId="28" applyFont="1" applyFill="1" applyBorder="1" applyAlignment="1">
      <alignment vertical="center" wrapText="1"/>
    </xf>
    <xf numFmtId="3" fontId="182" fillId="0" borderId="10" xfId="30" applyNumberFormat="1" applyFont="1" applyFill="1" applyBorder="1" applyAlignment="1">
      <alignment horizontal="right" vertical="center" wrapText="1"/>
    </xf>
    <xf numFmtId="3" fontId="157" fillId="0" borderId="46" xfId="66" applyNumberFormat="1" applyFont="1" applyFill="1" applyBorder="1" applyAlignment="1" applyProtection="1">
      <alignment horizontal="left" vertical="center" wrapText="1" indent="1"/>
    </xf>
    <xf numFmtId="167" fontId="183" fillId="0" borderId="0" xfId="55" applyNumberFormat="1" applyFont="1"/>
    <xf numFmtId="3" fontId="0" fillId="0" borderId="72" xfId="0" applyNumberFormat="1" applyBorder="1" applyAlignment="1">
      <alignment horizontal="center" vertical="center"/>
    </xf>
    <xf numFmtId="3" fontId="0" fillId="0" borderId="72" xfId="0" applyNumberFormat="1" applyBorder="1"/>
    <xf numFmtId="3" fontId="0" fillId="0" borderId="85" xfId="0" applyNumberFormat="1" applyBorder="1"/>
    <xf numFmtId="3" fontId="8" fillId="0" borderId="10" xfId="0" applyNumberFormat="1" applyFont="1" applyBorder="1" applyAlignment="1">
      <alignment wrapText="1"/>
    </xf>
    <xf numFmtId="3" fontId="8" fillId="0" borderId="10" xfId="0" applyNumberFormat="1" applyFont="1" applyFill="1" applyBorder="1" applyAlignment="1">
      <alignment wrapText="1"/>
    </xf>
    <xf numFmtId="3" fontId="0" fillId="0" borderId="10" xfId="0" applyNumberFormat="1" applyBorder="1" applyAlignment="1">
      <alignment wrapText="1"/>
    </xf>
    <xf numFmtId="3" fontId="19" fillId="0" borderId="10" xfId="0" applyNumberFormat="1" applyFont="1" applyBorder="1" applyAlignment="1">
      <alignment wrapText="1"/>
    </xf>
    <xf numFmtId="3" fontId="19" fillId="0" borderId="10" xfId="0" applyNumberFormat="1" applyFont="1" applyBorder="1"/>
    <xf numFmtId="3" fontId="19" fillId="0" borderId="70" xfId="0" applyNumberFormat="1" applyFont="1" applyBorder="1"/>
    <xf numFmtId="3" fontId="19" fillId="0" borderId="0" xfId="0" applyNumberFormat="1" applyFont="1" applyBorder="1"/>
    <xf numFmtId="0" fontId="19" fillId="0" borderId="0" xfId="0" applyFont="1"/>
    <xf numFmtId="3" fontId="75" fillId="0" borderId="10" xfId="0" applyNumberFormat="1" applyFont="1" applyBorder="1" applyAlignment="1">
      <alignment wrapText="1"/>
    </xf>
    <xf numFmtId="0" fontId="44" fillId="26" borderId="0" xfId="87" applyFont="1" applyFill="1" applyAlignment="1">
      <alignment horizontal="center" vertical="center"/>
    </xf>
    <xf numFmtId="0" fontId="8" fillId="0" borderId="0" xfId="55" applyFont="1" applyAlignment="1">
      <alignment horizontal="right"/>
    </xf>
    <xf numFmtId="3" fontId="8" fillId="0" borderId="0" xfId="0" applyNumberFormat="1" applyFont="1" applyAlignment="1">
      <alignment horizontal="center"/>
    </xf>
    <xf numFmtId="0" fontId="24" fillId="0" borderId="0" xfId="66" applyFont="1" applyFill="1" applyProtection="1"/>
    <xf numFmtId="0" fontId="184" fillId="26" borderId="0" xfId="66" applyFont="1" applyFill="1" applyProtection="1"/>
    <xf numFmtId="3" fontId="184" fillId="26" borderId="0" xfId="66" applyNumberFormat="1" applyFont="1" applyFill="1" applyProtection="1"/>
    <xf numFmtId="0" fontId="184" fillId="26" borderId="0" xfId="66" applyFont="1" applyFill="1" applyAlignment="1" applyProtection="1"/>
    <xf numFmtId="0" fontId="185" fillId="26" borderId="0" xfId="66" applyFont="1" applyFill="1" applyProtection="1"/>
    <xf numFmtId="0" fontId="67" fillId="0" borderId="10" xfId="66" applyFont="1" applyFill="1" applyBorder="1" applyAlignment="1" applyProtection="1">
      <alignment horizontal="left" vertical="center" wrapText="1" indent="1"/>
    </xf>
    <xf numFmtId="0" fontId="67" fillId="0" borderId="10" xfId="66" applyFont="1" applyFill="1" applyBorder="1" applyAlignment="1" applyProtection="1">
      <alignment vertical="center" wrapText="1"/>
    </xf>
    <xf numFmtId="166" fontId="67" fillId="0" borderId="10" xfId="66" applyNumberFormat="1" applyFont="1" applyFill="1" applyBorder="1" applyAlignment="1" applyProtection="1">
      <alignment horizontal="right" vertical="center" wrapText="1" indent="1"/>
    </xf>
    <xf numFmtId="166" fontId="186" fillId="0" borderId="0" xfId="66" applyNumberFormat="1" applyFont="1" applyFill="1" applyAlignment="1" applyProtection="1">
      <alignment horizontal="right" vertical="center" indent="1"/>
    </xf>
    <xf numFmtId="0" fontId="29" fillId="0" borderId="0" xfId="66" applyFont="1" applyFill="1" applyAlignment="1" applyProtection="1">
      <alignment horizontal="center"/>
      <protection locked="0"/>
    </xf>
    <xf numFmtId="3" fontId="24" fillId="0" borderId="0" xfId="66" applyNumberFormat="1" applyFont="1" applyFill="1" applyProtection="1"/>
    <xf numFmtId="3" fontId="8" fillId="0" borderId="0" xfId="0" applyNumberFormat="1" applyFont="1" applyAlignment="1">
      <alignment vertical="center"/>
    </xf>
    <xf numFmtId="3" fontId="33" fillId="0" borderId="26" xfId="55" applyNumberFormat="1" applyFont="1" applyBorder="1" applyAlignment="1">
      <alignment horizontal="center" vertical="center" wrapText="1"/>
    </xf>
    <xf numFmtId="3" fontId="102" fillId="0" borderId="26" xfId="0" applyNumberFormat="1" applyFont="1" applyBorder="1" applyAlignment="1">
      <alignment horizontal="center" vertical="center" wrapText="1"/>
    </xf>
    <xf numFmtId="0" fontId="187" fillId="26" borderId="0" xfId="87" applyFont="1" applyFill="1" applyAlignment="1">
      <alignment vertical="center"/>
    </xf>
    <xf numFmtId="0" fontId="75" fillId="0" borderId="0" xfId="64" applyFont="1" applyAlignment="1"/>
    <xf numFmtId="3" fontId="7" fillId="26" borderId="20" xfId="87" applyNumberFormat="1" applyFont="1" applyFill="1" applyBorder="1"/>
    <xf numFmtId="0" fontId="7" fillId="26" borderId="45" xfId="87" applyFont="1" applyFill="1" applyBorder="1"/>
    <xf numFmtId="0" fontId="7" fillId="26" borderId="0" xfId="55" applyFont="1" applyFill="1"/>
    <xf numFmtId="4" fontId="124" fillId="26" borderId="14" xfId="87" applyNumberFormat="1" applyFont="1" applyFill="1" applyBorder="1" applyAlignment="1">
      <alignment wrapText="1"/>
    </xf>
    <xf numFmtId="3" fontId="20" fillId="26" borderId="10" xfId="87" applyNumberFormat="1" applyFont="1" applyFill="1" applyBorder="1" applyAlignment="1">
      <alignment wrapText="1"/>
    </xf>
    <xf numFmtId="3" fontId="7" fillId="26" borderId="0" xfId="55" applyNumberFormat="1" applyFont="1" applyFill="1"/>
    <xf numFmtId="0" fontId="19" fillId="26" borderId="14" xfId="87" applyFont="1" applyFill="1" applyBorder="1" applyAlignment="1">
      <alignment wrapText="1"/>
    </xf>
    <xf numFmtId="2" fontId="7" fillId="0" borderId="14" xfId="87" applyNumberFormat="1" applyFont="1" applyBorder="1" applyAlignment="1">
      <alignment wrapText="1"/>
    </xf>
    <xf numFmtId="175" fontId="189" fillId="0" borderId="0" xfId="0" applyNumberFormat="1" applyFont="1"/>
    <xf numFmtId="0" fontId="189" fillId="26" borderId="10" xfId="0" applyFont="1" applyFill="1" applyBorder="1"/>
    <xf numFmtId="175" fontId="189" fillId="26" borderId="10" xfId="0" applyNumberFormat="1" applyFont="1" applyFill="1" applyBorder="1"/>
    <xf numFmtId="0" fontId="189" fillId="26" borderId="0" xfId="0" applyFont="1" applyFill="1" applyBorder="1"/>
    <xf numFmtId="0" fontId="8" fillId="0" borderId="10" xfId="138" applyFont="1" applyFill="1" applyBorder="1"/>
    <xf numFmtId="4" fontId="8" fillId="0" borderId="10" xfId="0" applyNumberFormat="1" applyFont="1" applyBorder="1"/>
    <xf numFmtId="2" fontId="24" fillId="0" borderId="10" xfId="138" applyNumberFormat="1" applyFont="1" applyBorder="1" applyAlignment="1">
      <alignment wrapText="1"/>
    </xf>
    <xf numFmtId="4" fontId="1" fillId="0" borderId="62" xfId="138" applyNumberFormat="1" applyBorder="1"/>
    <xf numFmtId="2" fontId="108" fillId="0" borderId="14" xfId="55" applyNumberFormat="1" applyFont="1" applyBorder="1" applyAlignment="1">
      <alignment wrapText="1"/>
    </xf>
    <xf numFmtId="3" fontId="196" fillId="0" borderId="15" xfId="55" applyNumberFormat="1" applyFont="1" applyBorder="1" applyAlignment="1">
      <alignment horizontal="right"/>
    </xf>
    <xf numFmtId="3" fontId="194" fillId="0" borderId="31" xfId="55" applyNumberFormat="1" applyFont="1" applyBorder="1" applyAlignment="1">
      <alignment horizontal="right"/>
    </xf>
    <xf numFmtId="3" fontId="193" fillId="0" borderId="10" xfId="55" applyNumberFormat="1" applyFont="1" applyBorder="1" applyAlignment="1">
      <alignment horizontal="right"/>
    </xf>
    <xf numFmtId="3" fontId="193" fillId="35" borderId="42" xfId="55" applyNumberFormat="1" applyFont="1" applyFill="1" applyBorder="1" applyAlignment="1">
      <alignment horizontal="right"/>
    </xf>
    <xf numFmtId="3" fontId="63" fillId="0" borderId="0" xfId="55" applyNumberFormat="1" applyFont="1" applyAlignment="1">
      <alignment horizontal="right"/>
    </xf>
    <xf numFmtId="3" fontId="13" fillId="0" borderId="0" xfId="55" applyNumberFormat="1" applyFont="1" applyAlignment="1">
      <alignment horizontal="right"/>
    </xf>
    <xf numFmtId="3" fontId="190" fillId="33" borderId="13" xfId="55" applyNumberFormat="1" applyFont="1" applyFill="1" applyBorder="1" applyAlignment="1">
      <alignment horizontal="right" vertical="center" wrapText="1"/>
    </xf>
    <xf numFmtId="3" fontId="191" fillId="0" borderId="15" xfId="55" applyNumberFormat="1" applyFont="1" applyBorder="1" applyAlignment="1">
      <alignment horizontal="right" wrapText="1"/>
    </xf>
    <xf numFmtId="3" fontId="13" fillId="26" borderId="15" xfId="55" applyNumberFormat="1" applyFont="1" applyFill="1" applyBorder="1" applyAlignment="1">
      <alignment horizontal="right"/>
    </xf>
    <xf numFmtId="3" fontId="192" fillId="26" borderId="15" xfId="55" applyNumberFormat="1" applyFont="1" applyFill="1" applyBorder="1" applyAlignment="1">
      <alignment horizontal="right"/>
    </xf>
    <xf numFmtId="3" fontId="193" fillId="34" borderId="31" xfId="55" applyNumberFormat="1" applyFont="1" applyFill="1" applyBorder="1" applyAlignment="1">
      <alignment horizontal="right"/>
    </xf>
    <xf numFmtId="3" fontId="191" fillId="26" borderId="13" xfId="55" applyNumberFormat="1" applyFont="1" applyFill="1" applyBorder="1" applyAlignment="1">
      <alignment horizontal="right" wrapText="1"/>
    </xf>
    <xf numFmtId="3" fontId="194" fillId="0" borderId="15" xfId="55" applyNumberFormat="1" applyFont="1" applyBorder="1" applyAlignment="1">
      <alignment horizontal="right"/>
    </xf>
    <xf numFmtId="3" fontId="195" fillId="0" borderId="15" xfId="55" applyNumberFormat="1" applyFont="1" applyBorder="1" applyAlignment="1">
      <alignment horizontal="right"/>
    </xf>
    <xf numFmtId="3" fontId="193" fillId="0" borderId="15" xfId="55" applyNumberFormat="1" applyFont="1" applyBorder="1" applyAlignment="1">
      <alignment horizontal="right"/>
    </xf>
    <xf numFmtId="3" fontId="196" fillId="24" borderId="31" xfId="55" applyNumberFormat="1" applyFont="1" applyFill="1" applyBorder="1" applyAlignment="1">
      <alignment horizontal="right"/>
    </xf>
    <xf numFmtId="3" fontId="193" fillId="0" borderId="13" xfId="55" applyNumberFormat="1" applyFont="1" applyBorder="1" applyAlignment="1">
      <alignment horizontal="right"/>
    </xf>
    <xf numFmtId="3" fontId="191" fillId="0" borderId="13" xfId="55" applyNumberFormat="1" applyFont="1" applyBorder="1" applyAlignment="1">
      <alignment horizontal="right" wrapText="1"/>
    </xf>
    <xf numFmtId="3" fontId="134" fillId="0" borderId="10" xfId="66" applyNumberFormat="1" applyFont="1" applyFill="1" applyBorder="1" applyAlignment="1" applyProtection="1">
      <alignment vertical="center" wrapText="1"/>
      <protection locked="0"/>
    </xf>
    <xf numFmtId="3" fontId="134" fillId="0" borderId="0" xfId="83" applyNumberFormat="1" applyFont="1" applyAlignment="1">
      <alignment horizontal="right"/>
    </xf>
    <xf numFmtId="3" fontId="134" fillId="0" borderId="15" xfId="55" applyNumberFormat="1" applyFont="1" applyBorder="1" applyAlignment="1">
      <alignment horizontal="right"/>
    </xf>
    <xf numFmtId="3" fontId="134" fillId="0" borderId="10" xfId="0" applyNumberFormat="1" applyFont="1" applyBorder="1" applyAlignment="1">
      <alignment horizontal="right"/>
    </xf>
    <xf numFmtId="3" fontId="11" fillId="0" borderId="0" xfId="0" applyNumberFormat="1" applyFont="1"/>
    <xf numFmtId="3" fontId="83" fillId="0" borderId="0" xfId="0" applyNumberFormat="1" applyFont="1"/>
    <xf numFmtId="3" fontId="9" fillId="0" borderId="0" xfId="0" applyNumberFormat="1" applyFont="1"/>
    <xf numFmtId="3" fontId="19" fillId="0" borderId="0" xfId="0" applyNumberFormat="1" applyFont="1"/>
    <xf numFmtId="0" fontId="19" fillId="26" borderId="0" xfId="0" applyFont="1" applyFill="1"/>
    <xf numFmtId="3" fontId="19" fillId="26" borderId="0" xfId="0" applyNumberFormat="1" applyFont="1" applyFill="1"/>
    <xf numFmtId="0" fontId="170" fillId="0" borderId="14" xfId="0" applyFont="1" applyBorder="1" applyAlignment="1">
      <alignment horizontal="center" vertical="top" wrapText="1"/>
    </xf>
    <xf numFmtId="0" fontId="170" fillId="0" borderId="10" xfId="0" applyFont="1" applyBorder="1" applyAlignment="1">
      <alignment horizontal="center" vertical="top" wrapText="1"/>
    </xf>
    <xf numFmtId="3" fontId="170" fillId="0" borderId="10" xfId="0" applyNumberFormat="1" applyFont="1" applyFill="1" applyBorder="1" applyAlignment="1">
      <alignment horizontal="center" vertical="center" wrapText="1"/>
    </xf>
    <xf numFmtId="3" fontId="19" fillId="0" borderId="10" xfId="0" applyNumberFormat="1" applyFont="1" applyBorder="1" applyAlignment="1">
      <alignment horizontal="center" vertical="center"/>
    </xf>
    <xf numFmtId="3" fontId="19" fillId="0" borderId="20" xfId="0" applyNumberFormat="1" applyFont="1" applyBorder="1"/>
    <xf numFmtId="3" fontId="19" fillId="0" borderId="15" xfId="0" applyNumberFormat="1" applyFont="1" applyBorder="1"/>
    <xf numFmtId="3" fontId="180" fillId="0" borderId="10" xfId="0" applyNumberFormat="1" applyFont="1" applyFill="1" applyBorder="1" applyAlignment="1">
      <alignment horizontal="center" vertical="center" wrapText="1"/>
    </xf>
    <xf numFmtId="3" fontId="170" fillId="0" borderId="10" xfId="0" applyNumberFormat="1" applyFont="1" applyBorder="1" applyAlignment="1">
      <alignment horizontal="center" vertical="center" wrapText="1"/>
    </xf>
    <xf numFmtId="3" fontId="180" fillId="0" borderId="10" xfId="0" applyNumberFormat="1" applyFont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1" fontId="7" fillId="0" borderId="0" xfId="0" applyNumberFormat="1" applyFont="1" applyAlignment="1">
      <alignment horizontal="center" vertical="center"/>
    </xf>
    <xf numFmtId="3" fontId="19" fillId="26" borderId="10" xfId="0" applyNumberFormat="1" applyFont="1" applyFill="1" applyBorder="1"/>
    <xf numFmtId="3" fontId="170" fillId="26" borderId="10" xfId="0" applyNumberFormat="1" applyFont="1" applyFill="1" applyBorder="1" applyAlignment="1">
      <alignment horizontal="center" vertical="center" wrapText="1"/>
    </xf>
    <xf numFmtId="0" fontId="7" fillId="0" borderId="0" xfId="0" applyFont="1" applyFill="1"/>
    <xf numFmtId="3" fontId="7" fillId="0" borderId="20" xfId="0" applyNumberFormat="1" applyFont="1" applyBorder="1"/>
    <xf numFmtId="3" fontId="7" fillId="28" borderId="10" xfId="0" applyNumberFormat="1" applyFont="1" applyFill="1" applyBorder="1"/>
    <xf numFmtId="0" fontId="7" fillId="28" borderId="0" xfId="0" applyFont="1" applyFill="1"/>
    <xf numFmtId="3" fontId="7" fillId="28" borderId="20" xfId="0" applyNumberFormat="1" applyFont="1" applyFill="1" applyBorder="1"/>
    <xf numFmtId="3" fontId="7" fillId="0" borderId="41" xfId="0" applyNumberFormat="1" applyFont="1" applyBorder="1"/>
    <xf numFmtId="4" fontId="170" fillId="26" borderId="14" xfId="0" applyNumberFormat="1" applyFont="1" applyFill="1" applyBorder="1" applyAlignment="1">
      <alignment horizontal="left" vertical="top" wrapText="1"/>
    </xf>
    <xf numFmtId="3" fontId="19" fillId="26" borderId="15" xfId="0" applyNumberFormat="1" applyFont="1" applyFill="1" applyBorder="1"/>
    <xf numFmtId="3" fontId="19" fillId="26" borderId="20" xfId="0" applyNumberFormat="1" applyFont="1" applyFill="1" applyBorder="1"/>
    <xf numFmtId="0" fontId="25" fillId="0" borderId="0" xfId="66" applyFont="1" applyFill="1" applyAlignment="1" applyProtection="1">
      <alignment horizontal="right"/>
      <protection locked="0"/>
    </xf>
    <xf numFmtId="0" fontId="25" fillId="0" borderId="0" xfId="0" applyFont="1" applyAlignment="1" applyProtection="1">
      <alignment horizontal="right"/>
      <protection locked="0"/>
    </xf>
    <xf numFmtId="0" fontId="9" fillId="0" borderId="0" xfId="66" applyFont="1" applyFill="1" applyAlignment="1" applyProtection="1">
      <alignment horizontal="center"/>
      <protection locked="0"/>
    </xf>
    <xf numFmtId="0" fontId="8" fillId="0" borderId="0" xfId="0" applyFont="1" applyAlignment="1" applyProtection="1">
      <alignment horizontal="center"/>
      <protection locked="0"/>
    </xf>
    <xf numFmtId="0" fontId="9" fillId="0" borderId="0" xfId="66" applyFont="1" applyFill="1" applyAlignment="1" applyProtection="1">
      <alignment horizontal="center" vertical="center"/>
      <protection locked="0"/>
    </xf>
    <xf numFmtId="166" fontId="9" fillId="0" borderId="0" xfId="66" applyNumberFormat="1" applyFont="1" applyFill="1" applyBorder="1" applyAlignment="1" applyProtection="1">
      <alignment horizontal="center" vertical="center"/>
      <protection locked="0"/>
    </xf>
    <xf numFmtId="166" fontId="66" fillId="0" borderId="39" xfId="66" applyNumberFormat="1" applyFont="1" applyFill="1" applyBorder="1" applyAlignment="1" applyProtection="1">
      <alignment horizontal="left" vertical="center"/>
      <protection locked="0"/>
    </xf>
    <xf numFmtId="0" fontId="9" fillId="0" borderId="0" xfId="66" applyFont="1" applyFill="1" applyAlignment="1" applyProtection="1">
      <alignment horizontal="center"/>
    </xf>
    <xf numFmtId="166" fontId="66" fillId="0" borderId="39" xfId="66" applyNumberFormat="1" applyFont="1" applyFill="1" applyBorder="1" applyAlignment="1" applyProtection="1">
      <alignment horizontal="left" vertical="center"/>
    </xf>
    <xf numFmtId="0" fontId="21" fillId="0" borderId="11" xfId="66" applyFont="1" applyFill="1" applyBorder="1" applyAlignment="1" applyProtection="1">
      <alignment horizontal="center" vertical="center" wrapText="1"/>
    </xf>
    <xf numFmtId="0" fontId="21" fillId="0" borderId="50" xfId="66" applyFont="1" applyFill="1" applyBorder="1" applyAlignment="1" applyProtection="1">
      <alignment horizontal="center" vertical="center" wrapText="1"/>
    </xf>
    <xf numFmtId="0" fontId="21" fillId="0" borderId="44" xfId="66" applyFont="1" applyFill="1" applyBorder="1" applyAlignment="1" applyProtection="1">
      <alignment horizontal="center" vertical="center" wrapText="1"/>
    </xf>
    <xf numFmtId="0" fontId="21" fillId="0" borderId="51" xfId="66" applyFont="1" applyFill="1" applyBorder="1" applyAlignment="1" applyProtection="1">
      <alignment horizontal="center" vertical="center" wrapText="1"/>
    </xf>
    <xf numFmtId="166" fontId="9" fillId="0" borderId="0" xfId="66" applyNumberFormat="1" applyFont="1" applyFill="1" applyBorder="1" applyAlignment="1" applyProtection="1">
      <alignment horizontal="center" vertical="center"/>
    </xf>
    <xf numFmtId="166" fontId="66" fillId="0" borderId="39" xfId="66" applyNumberFormat="1" applyFont="1" applyFill="1" applyBorder="1" applyAlignment="1" applyProtection="1">
      <alignment horizontal="left"/>
    </xf>
    <xf numFmtId="166" fontId="154" fillId="0" borderId="39" xfId="66" applyNumberFormat="1" applyFont="1" applyFill="1" applyBorder="1" applyAlignment="1" applyProtection="1">
      <alignment horizontal="left" vertical="center"/>
    </xf>
    <xf numFmtId="166" fontId="153" fillId="0" borderId="0" xfId="66" applyNumberFormat="1" applyFont="1" applyFill="1" applyBorder="1" applyAlignment="1" applyProtection="1">
      <alignment horizontal="center" vertical="center"/>
      <protection locked="0"/>
    </xf>
    <xf numFmtId="166" fontId="154" fillId="0" borderId="39" xfId="66" applyNumberFormat="1" applyFont="1" applyFill="1" applyBorder="1" applyAlignment="1" applyProtection="1">
      <alignment horizontal="left" vertical="center"/>
      <protection locked="0"/>
    </xf>
    <xf numFmtId="166" fontId="153" fillId="0" borderId="0" xfId="66" applyNumberFormat="1" applyFont="1" applyFill="1" applyBorder="1" applyAlignment="1" applyProtection="1">
      <alignment horizontal="center" vertical="center"/>
    </xf>
    <xf numFmtId="166" fontId="154" fillId="0" borderId="39" xfId="66" applyNumberFormat="1" applyFont="1" applyFill="1" applyBorder="1" applyAlignment="1" applyProtection="1">
      <alignment horizontal="left"/>
    </xf>
    <xf numFmtId="0" fontId="159" fillId="0" borderId="0" xfId="66" applyFont="1" applyFill="1" applyAlignment="1" applyProtection="1">
      <alignment horizontal="center"/>
    </xf>
    <xf numFmtId="0" fontId="150" fillId="0" borderId="0" xfId="66" applyFont="1" applyFill="1" applyAlignment="1" applyProtection="1">
      <alignment horizontal="right"/>
      <protection locked="0"/>
    </xf>
    <xf numFmtId="0" fontId="150" fillId="0" borderId="0" xfId="0" applyFont="1" applyAlignment="1" applyProtection="1">
      <alignment horizontal="right"/>
      <protection locked="0"/>
    </xf>
    <xf numFmtId="166" fontId="150" fillId="0" borderId="0" xfId="0" applyNumberFormat="1" applyFont="1" applyFill="1" applyAlignment="1" applyProtection="1">
      <alignment horizontal="center" textRotation="180" wrapText="1"/>
    </xf>
    <xf numFmtId="166" fontId="68" fillId="0" borderId="40" xfId="0" applyNumberFormat="1" applyFont="1" applyFill="1" applyBorder="1" applyAlignment="1" applyProtection="1">
      <alignment horizontal="center" vertical="center" wrapText="1"/>
    </xf>
    <xf numFmtId="166" fontId="68" fillId="0" borderId="80" xfId="0" applyNumberFormat="1" applyFont="1" applyFill="1" applyBorder="1" applyAlignment="1" applyProtection="1">
      <alignment horizontal="center" vertical="center" wrapText="1"/>
    </xf>
    <xf numFmtId="166" fontId="164" fillId="0" borderId="64" xfId="0" applyNumberFormat="1" applyFont="1" applyFill="1" applyBorder="1" applyAlignment="1" applyProtection="1">
      <alignment horizontal="left" vertical="top" wrapText="1"/>
    </xf>
    <xf numFmtId="166" fontId="68" fillId="0" borderId="83" xfId="0" applyNumberFormat="1" applyFont="1" applyFill="1" applyBorder="1" applyAlignment="1" applyProtection="1">
      <alignment horizontal="center" vertical="center" wrapText="1"/>
    </xf>
    <xf numFmtId="166" fontId="68" fillId="0" borderId="84" xfId="0" applyNumberFormat="1" applyFont="1" applyFill="1" applyBorder="1" applyAlignment="1" applyProtection="1">
      <alignment horizontal="center" vertical="center" wrapText="1"/>
    </xf>
    <xf numFmtId="3" fontId="43" fillId="26" borderId="26" xfId="0" applyNumberFormat="1" applyFont="1" applyFill="1" applyBorder="1" applyAlignment="1">
      <alignment horizontal="center" vertical="center" textRotation="90"/>
    </xf>
    <xf numFmtId="0" fontId="32" fillId="26" borderId="26" xfId="0" applyFont="1" applyFill="1" applyBorder="1" applyAlignment="1">
      <alignment horizontal="center" vertical="center"/>
    </xf>
    <xf numFmtId="0" fontId="43" fillId="26" borderId="26" xfId="0" applyFont="1" applyFill="1" applyBorder="1" applyAlignment="1">
      <alignment horizontal="center" vertical="center"/>
    </xf>
    <xf numFmtId="0" fontId="169" fillId="26" borderId="0" xfId="0" applyFont="1" applyFill="1" applyAlignment="1">
      <alignment horizontal="center" vertical="center"/>
    </xf>
    <xf numFmtId="0" fontId="44" fillId="26" borderId="0" xfId="0" applyFont="1" applyFill="1" applyAlignment="1">
      <alignment horizontal="center" vertical="center"/>
    </xf>
    <xf numFmtId="0" fontId="26" fillId="0" borderId="26" xfId="0" applyFont="1" applyBorder="1" applyAlignment="1">
      <alignment horizontal="center" vertical="center"/>
    </xf>
    <xf numFmtId="0" fontId="27" fillId="0" borderId="26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2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2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3" fontId="43" fillId="26" borderId="26" xfId="87" applyNumberFormat="1" applyFont="1" applyFill="1" applyBorder="1" applyAlignment="1">
      <alignment horizontal="center" vertical="center" textRotation="90"/>
    </xf>
    <xf numFmtId="0" fontId="32" fillId="26" borderId="26" xfId="87" applyFont="1" applyFill="1" applyBorder="1" applyAlignment="1">
      <alignment horizontal="center" vertical="center"/>
    </xf>
    <xf numFmtId="0" fontId="43" fillId="26" borderId="26" xfId="87" applyFont="1" applyFill="1" applyBorder="1" applyAlignment="1">
      <alignment horizontal="center" vertical="center"/>
    </xf>
    <xf numFmtId="0" fontId="144" fillId="0" borderId="69" xfId="84" applyFont="1" applyFill="1" applyBorder="1" applyAlignment="1" applyProtection="1">
      <alignment horizontal="center"/>
    </xf>
    <xf numFmtId="0" fontId="144" fillId="0" borderId="69" xfId="84" applyFont="1" applyFill="1" applyBorder="1" applyAlignment="1" applyProtection="1">
      <alignment horizontal="right"/>
    </xf>
    <xf numFmtId="0" fontId="10" fillId="0" borderId="69" xfId="84" applyFont="1" applyBorder="1" applyAlignment="1" applyProtection="1"/>
    <xf numFmtId="171" fontId="144" fillId="0" borderId="70" xfId="84" applyNumberFormat="1" applyFont="1" applyFill="1" applyBorder="1" applyAlignment="1" applyProtection="1">
      <alignment horizontal="center" vertical="center" wrapText="1"/>
    </xf>
    <xf numFmtId="171" fontId="144" fillId="0" borderId="0" xfId="84" applyNumberFormat="1" applyFont="1" applyFill="1" applyBorder="1" applyAlignment="1" applyProtection="1">
      <alignment horizontal="center" vertical="center" wrapText="1"/>
    </xf>
    <xf numFmtId="171" fontId="144" fillId="0" borderId="69" xfId="84" applyNumberFormat="1" applyFont="1" applyFill="1" applyBorder="1" applyAlignment="1" applyProtection="1">
      <alignment horizontal="center" vertical="center" wrapText="1"/>
    </xf>
    <xf numFmtId="0" fontId="144" fillId="0" borderId="70" xfId="84" applyFont="1" applyFill="1" applyBorder="1" applyAlignment="1" applyProtection="1">
      <alignment horizontal="center" vertical="center"/>
    </xf>
    <xf numFmtId="0" fontId="144" fillId="0" borderId="0" xfId="84" applyFont="1" applyFill="1" applyBorder="1" applyAlignment="1" applyProtection="1">
      <alignment horizontal="center" vertical="center"/>
    </xf>
    <xf numFmtId="0" fontId="144" fillId="0" borderId="69" xfId="84" applyFont="1" applyFill="1" applyBorder="1" applyAlignment="1" applyProtection="1">
      <alignment horizontal="center" vertical="center"/>
    </xf>
    <xf numFmtId="0" fontId="144" fillId="0" borderId="70" xfId="84" applyFont="1" applyFill="1" applyBorder="1" applyAlignment="1" applyProtection="1">
      <alignment horizontal="center" vertical="center" wrapText="1"/>
    </xf>
    <xf numFmtId="0" fontId="144" fillId="0" borderId="58" xfId="84" applyFont="1" applyFill="1" applyBorder="1" applyAlignment="1" applyProtection="1">
      <alignment horizontal="center" vertical="center" wrapText="1"/>
    </xf>
    <xf numFmtId="0" fontId="144" fillId="0" borderId="0" xfId="84" applyFont="1" applyFill="1" applyBorder="1" applyAlignment="1" applyProtection="1">
      <alignment horizontal="center" vertical="center" wrapText="1"/>
    </xf>
    <xf numFmtId="0" fontId="144" fillId="0" borderId="24" xfId="84" applyFont="1" applyFill="1" applyBorder="1" applyAlignment="1" applyProtection="1">
      <alignment horizontal="center" vertical="center" wrapText="1"/>
    </xf>
    <xf numFmtId="0" fontId="144" fillId="0" borderId="69" xfId="84" applyFont="1" applyFill="1" applyBorder="1" applyAlignment="1" applyProtection="1">
      <alignment horizontal="center" vertical="center" wrapText="1"/>
    </xf>
    <xf numFmtId="0" fontId="144" fillId="0" borderId="59" xfId="84" applyFont="1" applyFill="1" applyBorder="1" applyAlignment="1" applyProtection="1">
      <alignment horizontal="center" vertical="center" wrapText="1"/>
    </xf>
    <xf numFmtId="0" fontId="144" fillId="46" borderId="71" xfId="84" applyFont="1" applyFill="1" applyBorder="1" applyAlignment="1" applyProtection="1">
      <alignment horizontal="center" vertical="center" wrapText="1"/>
    </xf>
    <xf numFmtId="0" fontId="144" fillId="46" borderId="64" xfId="84" applyFont="1" applyFill="1" applyBorder="1" applyAlignment="1" applyProtection="1">
      <alignment horizontal="center" vertical="center" wrapText="1"/>
    </xf>
    <xf numFmtId="0" fontId="144" fillId="46" borderId="65" xfId="84" applyFont="1" applyFill="1" applyBorder="1" applyAlignment="1" applyProtection="1">
      <alignment horizontal="center" vertical="center" wrapText="1"/>
    </xf>
    <xf numFmtId="0" fontId="144" fillId="46" borderId="34" xfId="84" applyFont="1" applyFill="1" applyBorder="1" applyAlignment="1" applyProtection="1">
      <alignment horizontal="center" vertical="center" wrapText="1"/>
    </xf>
    <xf numFmtId="0" fontId="144" fillId="46" borderId="69" xfId="84" applyFont="1" applyFill="1" applyBorder="1" applyAlignment="1" applyProtection="1">
      <alignment horizontal="center" vertical="center" wrapText="1"/>
    </xf>
    <xf numFmtId="0" fontId="144" fillId="46" borderId="48" xfId="84" applyFont="1" applyFill="1" applyBorder="1" applyAlignment="1" applyProtection="1">
      <alignment horizontal="center" vertical="center" wrapText="1"/>
    </xf>
    <xf numFmtId="1" fontId="145" fillId="0" borderId="20" xfId="84" applyNumberFormat="1" applyFont="1" applyFill="1" applyBorder="1" applyAlignment="1" applyProtection="1">
      <alignment horizontal="center" vertical="center"/>
    </xf>
    <xf numFmtId="1" fontId="145" fillId="0" borderId="41" xfId="84" applyNumberFormat="1" applyFont="1" applyFill="1" applyBorder="1" applyAlignment="1" applyProtection="1">
      <alignment horizontal="center" vertical="center"/>
    </xf>
    <xf numFmtId="0" fontId="145" fillId="0" borderId="20" xfId="84" applyFont="1" applyFill="1" applyBorder="1" applyAlignment="1" applyProtection="1">
      <alignment horizontal="center" vertical="center"/>
    </xf>
    <xf numFmtId="0" fontId="145" fillId="0" borderId="72" xfId="84" applyFont="1" applyFill="1" applyBorder="1" applyAlignment="1" applyProtection="1">
      <alignment horizontal="center" vertical="center"/>
    </xf>
    <xf numFmtId="0" fontId="145" fillId="0" borderId="41" xfId="84" applyFont="1" applyFill="1" applyBorder="1" applyAlignment="1" applyProtection="1">
      <alignment horizontal="center" vertical="center"/>
    </xf>
    <xf numFmtId="171" fontId="118" fillId="0" borderId="20" xfId="84" quotePrefix="1" applyNumberFormat="1" applyFont="1" applyFill="1" applyBorder="1" applyAlignment="1" applyProtection="1">
      <alignment horizontal="center" vertical="center"/>
    </xf>
    <xf numFmtId="171" fontId="118" fillId="0" borderId="41" xfId="84" quotePrefix="1" applyNumberFormat="1" applyFont="1" applyFill="1" applyBorder="1" applyAlignment="1" applyProtection="1">
      <alignment horizontal="center" vertical="center"/>
    </xf>
    <xf numFmtId="0" fontId="118" fillId="0" borderId="20" xfId="84" applyFont="1" applyFill="1" applyBorder="1" applyAlignment="1" applyProtection="1">
      <alignment vertical="center"/>
    </xf>
    <xf numFmtId="0" fontId="118" fillId="0" borderId="72" xfId="84" applyFont="1" applyFill="1" applyBorder="1" applyAlignment="1" applyProtection="1">
      <alignment vertical="center"/>
    </xf>
    <xf numFmtId="0" fontId="118" fillId="0" borderId="20" xfId="84" applyNumberFormat="1" applyFont="1" applyFill="1" applyBorder="1" applyAlignment="1" applyProtection="1">
      <alignment vertical="center"/>
    </xf>
    <xf numFmtId="0" fontId="118" fillId="0" borderId="72" xfId="84" applyNumberFormat="1" applyFont="1" applyFill="1" applyBorder="1" applyAlignment="1" applyProtection="1">
      <alignment vertical="center"/>
    </xf>
    <xf numFmtId="0" fontId="118" fillId="0" borderId="41" xfId="84" applyNumberFormat="1" applyFont="1" applyFill="1" applyBorder="1" applyAlignment="1" applyProtection="1">
      <alignment vertical="center"/>
    </xf>
    <xf numFmtId="0" fontId="118" fillId="0" borderId="20" xfId="84" applyFont="1" applyFill="1" applyBorder="1" applyAlignment="1" applyProtection="1">
      <alignment vertical="center" wrapText="1"/>
    </xf>
    <xf numFmtId="0" fontId="118" fillId="0" borderId="72" xfId="84" applyFont="1" applyFill="1" applyBorder="1" applyAlignment="1" applyProtection="1">
      <alignment vertical="center" wrapText="1"/>
    </xf>
    <xf numFmtId="172" fontId="118" fillId="0" borderId="10" xfId="84" applyNumberFormat="1" applyFont="1" applyFill="1" applyBorder="1" applyAlignment="1" applyProtection="1">
      <alignment vertical="center"/>
    </xf>
    <xf numFmtId="172" fontId="118" fillId="0" borderId="20" xfId="84" applyNumberFormat="1" applyFont="1" applyFill="1" applyBorder="1" applyAlignment="1" applyProtection="1">
      <alignment vertical="center"/>
    </xf>
    <xf numFmtId="172" fontId="118" fillId="0" borderId="72" xfId="84" applyNumberFormat="1" applyFont="1" applyFill="1" applyBorder="1" applyAlignment="1" applyProtection="1">
      <alignment vertical="center"/>
    </xf>
    <xf numFmtId="172" fontId="118" fillId="0" borderId="41" xfId="84" applyNumberFormat="1" applyFont="1" applyFill="1" applyBorder="1" applyAlignment="1" applyProtection="1">
      <alignment vertical="center"/>
    </xf>
    <xf numFmtId="0" fontId="118" fillId="0" borderId="20" xfId="84" applyFont="1" applyFill="1" applyBorder="1" applyAlignment="1" applyProtection="1">
      <alignment horizontal="left" vertical="center" wrapText="1"/>
    </xf>
    <xf numFmtId="0" fontId="118" fillId="0" borderId="72" xfId="84" applyFont="1" applyFill="1" applyBorder="1" applyAlignment="1" applyProtection="1">
      <alignment horizontal="left" vertical="center" wrapText="1"/>
    </xf>
    <xf numFmtId="0" fontId="118" fillId="0" borderId="20" xfId="84" applyFont="1" applyFill="1" applyBorder="1" applyAlignment="1" applyProtection="1">
      <alignment horizontal="left" vertical="center"/>
    </xf>
    <xf numFmtId="0" fontId="118" fillId="0" borderId="72" xfId="84" applyFont="1" applyFill="1" applyBorder="1" applyAlignment="1" applyProtection="1">
      <alignment horizontal="left" vertical="center"/>
    </xf>
    <xf numFmtId="171" fontId="144" fillId="0" borderId="20" xfId="84" quotePrefix="1" applyNumberFormat="1" applyFont="1" applyFill="1" applyBorder="1" applyAlignment="1" applyProtection="1">
      <alignment horizontal="center" vertical="center"/>
    </xf>
    <xf numFmtId="171" fontId="144" fillId="0" borderId="41" xfId="84" quotePrefix="1" applyNumberFormat="1" applyFont="1" applyFill="1" applyBorder="1" applyAlignment="1" applyProtection="1">
      <alignment horizontal="center" vertical="center"/>
    </xf>
    <xf numFmtId="0" fontId="144" fillId="0" borderId="20" xfId="84" applyFont="1" applyFill="1" applyBorder="1" applyAlignment="1" applyProtection="1">
      <alignment vertical="center" wrapText="1"/>
    </xf>
    <xf numFmtId="0" fontId="144" fillId="0" borderId="72" xfId="84" applyFont="1" applyFill="1" applyBorder="1" applyAlignment="1" applyProtection="1">
      <alignment vertical="center" wrapText="1"/>
    </xf>
    <xf numFmtId="172" fontId="144" fillId="0" borderId="10" xfId="84" applyNumberFormat="1" applyFont="1" applyFill="1" applyBorder="1" applyAlignment="1" applyProtection="1">
      <alignment vertical="center"/>
    </xf>
    <xf numFmtId="0" fontId="144" fillId="0" borderId="20" xfId="84" applyFont="1" applyFill="1" applyBorder="1" applyAlignment="1" applyProtection="1">
      <alignment horizontal="left" vertical="center" wrapText="1"/>
    </xf>
    <xf numFmtId="0" fontId="144" fillId="0" borderId="72" xfId="84" applyFont="1" applyFill="1" applyBorder="1" applyAlignment="1" applyProtection="1">
      <alignment horizontal="left" vertical="center" wrapText="1"/>
    </xf>
    <xf numFmtId="172" fontId="144" fillId="27" borderId="10" xfId="84" applyNumberFormat="1" applyFont="1" applyFill="1" applyBorder="1" applyAlignment="1" applyProtection="1">
      <alignment vertical="center"/>
    </xf>
    <xf numFmtId="0" fontId="118" fillId="51" borderId="20" xfId="84" applyFont="1" applyFill="1" applyBorder="1" applyAlignment="1" applyProtection="1">
      <alignment horizontal="left" vertical="center" wrapText="1"/>
    </xf>
    <xf numFmtId="0" fontId="118" fillId="51" borderId="72" xfId="84" applyFont="1" applyFill="1" applyBorder="1" applyAlignment="1" applyProtection="1">
      <alignment horizontal="left" vertical="center" wrapText="1"/>
    </xf>
    <xf numFmtId="171" fontId="118" fillId="52" borderId="20" xfId="84" quotePrefix="1" applyNumberFormat="1" applyFont="1" applyFill="1" applyBorder="1" applyAlignment="1" applyProtection="1">
      <alignment horizontal="center" vertical="center"/>
    </xf>
    <xf numFmtId="171" fontId="118" fillId="52" borderId="41" xfId="84" quotePrefix="1" applyNumberFormat="1" applyFont="1" applyFill="1" applyBorder="1" applyAlignment="1" applyProtection="1">
      <alignment horizontal="center" vertical="center"/>
    </xf>
    <xf numFmtId="0" fontId="118" fillId="52" borderId="20" xfId="84" applyFont="1" applyFill="1" applyBorder="1" applyAlignment="1" applyProtection="1">
      <alignment horizontal="left" vertical="center" wrapText="1"/>
    </xf>
    <xf numFmtId="0" fontId="118" fillId="52" borderId="72" xfId="84" applyFont="1" applyFill="1" applyBorder="1" applyAlignment="1" applyProtection="1">
      <alignment horizontal="left" vertical="center" wrapText="1"/>
    </xf>
    <xf numFmtId="0" fontId="10" fillId="51" borderId="20" xfId="84" applyFont="1" applyFill="1" applyBorder="1" applyAlignment="1" applyProtection="1">
      <alignment horizontal="left" vertical="center" wrapText="1"/>
    </xf>
    <xf numFmtId="0" fontId="10" fillId="51" borderId="72" xfId="84" applyFont="1" applyFill="1" applyBorder="1" applyAlignment="1" applyProtection="1">
      <alignment horizontal="left" vertical="center" wrapText="1"/>
    </xf>
    <xf numFmtId="0" fontId="10" fillId="0" borderId="20" xfId="84" applyFont="1" applyFill="1" applyBorder="1" applyAlignment="1" applyProtection="1">
      <alignment horizontal="left" vertical="center" wrapText="1"/>
    </xf>
    <xf numFmtId="0" fontId="10" fillId="0" borderId="72" xfId="84" applyFont="1" applyFill="1" applyBorder="1" applyAlignment="1" applyProtection="1">
      <alignment horizontal="left" vertical="center" wrapText="1"/>
    </xf>
    <xf numFmtId="0" fontId="10" fillId="0" borderId="20" xfId="84" applyFont="1" applyFill="1" applyBorder="1" applyAlignment="1" applyProtection="1">
      <alignment vertical="center" wrapText="1"/>
    </xf>
    <xf numFmtId="0" fontId="10" fillId="0" borderId="72" xfId="84" applyFont="1" applyFill="1" applyBorder="1" applyAlignment="1" applyProtection="1">
      <alignment vertical="center" wrapText="1"/>
    </xf>
    <xf numFmtId="0" fontId="67" fillId="0" borderId="20" xfId="84" applyFont="1" applyFill="1" applyBorder="1" applyAlignment="1" applyProtection="1">
      <alignment horizontal="left" vertical="center" wrapText="1"/>
    </xf>
    <xf numFmtId="0" fontId="67" fillId="0" borderId="72" xfId="84" applyFont="1" applyFill="1" applyBorder="1" applyAlignment="1" applyProtection="1">
      <alignment horizontal="left" vertical="center" wrapText="1"/>
    </xf>
    <xf numFmtId="0" fontId="67" fillId="0" borderId="20" xfId="84" applyFont="1" applyFill="1" applyBorder="1" applyAlignment="1" applyProtection="1">
      <alignment vertical="center" wrapText="1"/>
    </xf>
    <xf numFmtId="0" fontId="67" fillId="0" borderId="72" xfId="84" applyFont="1" applyFill="1" applyBorder="1" applyAlignment="1" applyProtection="1">
      <alignment vertical="center" wrapText="1"/>
    </xf>
    <xf numFmtId="0" fontId="10" fillId="0" borderId="20" xfId="84" applyFont="1" applyFill="1" applyBorder="1" applyAlignment="1" applyProtection="1">
      <alignment vertical="center"/>
    </xf>
    <xf numFmtId="0" fontId="10" fillId="0" borderId="72" xfId="84" applyFont="1" applyFill="1" applyBorder="1" applyAlignment="1" applyProtection="1">
      <alignment vertical="center"/>
    </xf>
    <xf numFmtId="173" fontId="118" fillId="0" borderId="20" xfId="84" applyNumberFormat="1" applyFont="1" applyFill="1" applyBorder="1" applyAlignment="1" applyProtection="1">
      <alignment horizontal="left" vertical="center"/>
    </xf>
    <xf numFmtId="173" fontId="118" fillId="0" borderId="72" xfId="84" applyNumberFormat="1" applyFont="1" applyFill="1" applyBorder="1" applyAlignment="1" applyProtection="1">
      <alignment horizontal="left" vertical="center"/>
    </xf>
    <xf numFmtId="0" fontId="144" fillId="0" borderId="20" xfId="84" applyFont="1" applyFill="1" applyBorder="1" applyAlignment="1" applyProtection="1">
      <alignment horizontal="left" vertical="center"/>
    </xf>
    <xf numFmtId="0" fontId="144" fillId="0" borderId="72" xfId="84" applyFont="1" applyFill="1" applyBorder="1" applyAlignment="1" applyProtection="1">
      <alignment horizontal="left" vertical="center"/>
    </xf>
    <xf numFmtId="0" fontId="144" fillId="0" borderId="77" xfId="84" applyFont="1" applyFill="1" applyBorder="1" applyAlignment="1" applyProtection="1">
      <alignment horizontal="center" vertical="center" wrapText="1"/>
    </xf>
    <xf numFmtId="0" fontId="144" fillId="0" borderId="78" xfId="84" applyFont="1" applyFill="1" applyBorder="1" applyAlignment="1" applyProtection="1">
      <alignment horizontal="center" vertical="center" wrapText="1"/>
    </xf>
    <xf numFmtId="172" fontId="144" fillId="41" borderId="20" xfId="84" applyNumberFormat="1" applyFont="1" applyFill="1" applyBorder="1" applyAlignment="1" applyProtection="1">
      <alignment vertical="center"/>
    </xf>
    <xf numFmtId="172" fontId="144" fillId="41" borderId="72" xfId="84" applyNumberFormat="1" applyFont="1" applyFill="1" applyBorder="1" applyAlignment="1" applyProtection="1">
      <alignment vertical="center"/>
    </xf>
    <xf numFmtId="172" fontId="144" fillId="41" borderId="41" xfId="84" applyNumberFormat="1" applyFont="1" applyFill="1" applyBorder="1" applyAlignment="1" applyProtection="1">
      <alignment vertical="center"/>
    </xf>
    <xf numFmtId="0" fontId="144" fillId="0" borderId="20" xfId="84" applyFont="1" applyFill="1" applyBorder="1" applyAlignment="1" applyProtection="1">
      <alignment horizontal="center" vertical="center" wrapText="1"/>
    </xf>
    <xf numFmtId="0" fontId="144" fillId="0" borderId="72" xfId="84" applyFont="1" applyFill="1" applyBorder="1" applyAlignment="1" applyProtection="1">
      <alignment horizontal="center" vertical="center" wrapText="1"/>
    </xf>
    <xf numFmtId="0" fontId="144" fillId="0" borderId="67" xfId="84" applyFont="1" applyFill="1" applyBorder="1" applyAlignment="1" applyProtection="1">
      <alignment horizontal="center" vertical="center" wrapText="1"/>
    </xf>
    <xf numFmtId="0" fontId="118" fillId="0" borderId="20" xfId="84" quotePrefix="1" applyFont="1" applyFill="1" applyBorder="1" applyAlignment="1" applyProtection="1">
      <alignment horizontal="center" vertical="center"/>
    </xf>
    <xf numFmtId="0" fontId="118" fillId="0" borderId="41" xfId="84" applyFont="1" applyFill="1" applyBorder="1" applyAlignment="1" applyProtection="1">
      <alignment horizontal="center" vertical="center"/>
    </xf>
    <xf numFmtId="0" fontId="118" fillId="0" borderId="41" xfId="84" applyFont="1" applyFill="1" applyBorder="1" applyAlignment="1" applyProtection="1">
      <alignment vertical="center" wrapText="1"/>
    </xf>
    <xf numFmtId="0" fontId="118" fillId="0" borderId="41" xfId="84" applyFont="1" applyFill="1" applyBorder="1" applyAlignment="1" applyProtection="1">
      <alignment horizontal="left" vertical="center"/>
    </xf>
    <xf numFmtId="171" fontId="118" fillId="0" borderId="30" xfId="84" applyNumberFormat="1" applyFont="1" applyFill="1" applyBorder="1" applyAlignment="1" applyProtection="1">
      <alignment horizontal="center"/>
    </xf>
    <xf numFmtId="171" fontId="118" fillId="0" borderId="70" xfId="84" applyNumberFormat="1" applyFont="1" applyFill="1" applyBorder="1" applyAlignment="1" applyProtection="1">
      <alignment horizontal="center"/>
    </xf>
    <xf numFmtId="171" fontId="118" fillId="0" borderId="34" xfId="84" applyNumberFormat="1" applyFont="1" applyFill="1" applyBorder="1" applyAlignment="1" applyProtection="1">
      <alignment horizontal="center"/>
    </xf>
    <xf numFmtId="171" fontId="118" fillId="0" borderId="69" xfId="84" applyNumberFormat="1" applyFont="1" applyFill="1" applyBorder="1" applyAlignment="1" applyProtection="1">
      <alignment horizontal="center"/>
    </xf>
    <xf numFmtId="0" fontId="145" fillId="0" borderId="70" xfId="84" applyFont="1" applyFill="1" applyBorder="1" applyAlignment="1" applyProtection="1">
      <alignment horizontal="center" vertical="center"/>
    </xf>
    <xf numFmtId="0" fontId="145" fillId="0" borderId="58" xfId="84" applyFont="1" applyFill="1" applyBorder="1" applyAlignment="1" applyProtection="1">
      <alignment horizontal="center" vertical="center"/>
    </xf>
    <xf numFmtId="0" fontId="145" fillId="0" borderId="69" xfId="84" applyFont="1" applyFill="1" applyBorder="1" applyAlignment="1" applyProtection="1">
      <alignment horizontal="center" vertical="center"/>
    </xf>
    <xf numFmtId="0" fontId="145" fillId="0" borderId="59" xfId="84" applyFont="1" applyFill="1" applyBorder="1" applyAlignment="1" applyProtection="1">
      <alignment horizontal="center" vertical="center"/>
    </xf>
    <xf numFmtId="0" fontId="144" fillId="0" borderId="30" xfId="84" applyFont="1" applyFill="1" applyBorder="1" applyAlignment="1" applyProtection="1">
      <alignment horizontal="center" vertical="center" wrapText="1"/>
    </xf>
    <xf numFmtId="0" fontId="144" fillId="0" borderId="34" xfId="84" applyFont="1" applyFill="1" applyBorder="1" applyAlignment="1" applyProtection="1">
      <alignment horizontal="center" vertical="center" wrapText="1"/>
    </xf>
    <xf numFmtId="0" fontId="118" fillId="0" borderId="41" xfId="84" applyFont="1" applyFill="1" applyBorder="1" applyAlignment="1" applyProtection="1">
      <alignment horizontal="left" vertical="center" wrapText="1"/>
    </xf>
    <xf numFmtId="0" fontId="144" fillId="0" borderId="20" xfId="84" quotePrefix="1" applyFont="1" applyFill="1" applyBorder="1" applyAlignment="1" applyProtection="1">
      <alignment horizontal="center" vertical="center"/>
    </xf>
    <xf numFmtId="0" fontId="144" fillId="0" borderId="41" xfId="84" applyFont="1" applyFill="1" applyBorder="1" applyAlignment="1" applyProtection="1">
      <alignment horizontal="center" vertical="center"/>
    </xf>
    <xf numFmtId="0" fontId="144" fillId="0" borderId="41" xfId="84" applyFont="1" applyFill="1" applyBorder="1" applyAlignment="1" applyProtection="1">
      <alignment horizontal="left" vertical="center" wrapText="1"/>
    </xf>
    <xf numFmtId="0" fontId="144" fillId="0" borderId="41" xfId="84" applyFont="1" applyFill="1" applyBorder="1" applyAlignment="1" applyProtection="1">
      <alignment horizontal="left" vertical="center"/>
    </xf>
    <xf numFmtId="0" fontId="144" fillId="27" borderId="20" xfId="84" applyFont="1" applyFill="1" applyBorder="1" applyAlignment="1" applyProtection="1">
      <alignment horizontal="left" vertical="center"/>
    </xf>
    <xf numFmtId="0" fontId="144" fillId="27" borderId="72" xfId="84" applyFont="1" applyFill="1" applyBorder="1" applyAlignment="1" applyProtection="1">
      <alignment horizontal="left" vertical="center"/>
    </xf>
    <xf numFmtId="0" fontId="144" fillId="27" borderId="41" xfId="84" applyFont="1" applyFill="1" applyBorder="1" applyAlignment="1" applyProtection="1">
      <alignment horizontal="left" vertical="center"/>
    </xf>
    <xf numFmtId="0" fontId="10" fillId="0" borderId="41" xfId="84" applyFont="1" applyFill="1" applyBorder="1" applyAlignment="1" applyProtection="1">
      <alignment horizontal="left" vertical="center" wrapText="1"/>
    </xf>
    <xf numFmtId="0" fontId="67" fillId="0" borderId="41" xfId="84" applyFont="1" applyFill="1" applyBorder="1" applyAlignment="1" applyProtection="1">
      <alignment horizontal="left" vertical="center" wrapText="1"/>
    </xf>
    <xf numFmtId="0" fontId="118" fillId="0" borderId="41" xfId="84" quotePrefix="1" applyFont="1" applyFill="1" applyBorder="1" applyAlignment="1" applyProtection="1">
      <alignment horizontal="center" vertical="center"/>
    </xf>
    <xf numFmtId="0" fontId="144" fillId="0" borderId="41" xfId="84" quotePrefix="1" applyFont="1" applyFill="1" applyBorder="1" applyAlignment="1" applyProtection="1">
      <alignment horizontal="center" vertical="center"/>
    </xf>
    <xf numFmtId="0" fontId="10" fillId="0" borderId="20" xfId="84" applyFont="1" applyFill="1" applyBorder="1" applyAlignment="1" applyProtection="1">
      <alignment horizontal="left" vertical="center"/>
    </xf>
    <xf numFmtId="0" fontId="10" fillId="0" borderId="72" xfId="84" applyFont="1" applyFill="1" applyBorder="1" applyAlignment="1" applyProtection="1">
      <alignment horizontal="left" vertical="center"/>
    </xf>
    <xf numFmtId="0" fontId="10" fillId="0" borderId="41" xfId="84" applyFont="1" applyFill="1" applyBorder="1" applyAlignment="1" applyProtection="1">
      <alignment horizontal="left" vertical="center"/>
    </xf>
    <xf numFmtId="171" fontId="118" fillId="0" borderId="25" xfId="84" applyNumberFormat="1" applyFont="1" applyFill="1" applyBorder="1" applyAlignment="1" applyProtection="1">
      <alignment horizontal="center"/>
    </xf>
    <xf numFmtId="171" fontId="118" fillId="0" borderId="0" xfId="84" applyNumberFormat="1" applyFont="1" applyFill="1" applyBorder="1" applyAlignment="1" applyProtection="1">
      <alignment horizontal="center"/>
    </xf>
    <xf numFmtId="0" fontId="145" fillId="0" borderId="0" xfId="84" applyFont="1" applyFill="1" applyAlignment="1" applyProtection="1">
      <alignment horizontal="center" vertical="center"/>
    </xf>
    <xf numFmtId="0" fontId="145" fillId="0" borderId="24" xfId="84" applyFont="1" applyFill="1" applyBorder="1" applyAlignment="1" applyProtection="1">
      <alignment horizontal="center" vertical="center"/>
    </xf>
    <xf numFmtId="0" fontId="67" fillId="0" borderId="20" xfId="84" applyFont="1" applyFill="1" applyBorder="1" applyAlignment="1" applyProtection="1">
      <alignment horizontal="left" vertical="center"/>
    </xf>
    <xf numFmtId="0" fontId="67" fillId="0" borderId="72" xfId="84" applyFont="1" applyFill="1" applyBorder="1" applyAlignment="1" applyProtection="1">
      <alignment horizontal="left" vertical="center"/>
    </xf>
    <xf numFmtId="0" fontId="67" fillId="0" borderId="41" xfId="84" applyFont="1" applyFill="1" applyBorder="1" applyAlignment="1" applyProtection="1">
      <alignment horizontal="left" vertical="center"/>
    </xf>
    <xf numFmtId="0" fontId="144" fillId="27" borderId="20" xfId="84" applyFont="1" applyFill="1" applyBorder="1" applyAlignment="1" applyProtection="1">
      <alignment horizontal="left" vertical="center" wrapText="1"/>
    </xf>
    <xf numFmtId="0" fontId="144" fillId="27" borderId="72" xfId="84" applyFont="1" applyFill="1" applyBorder="1" applyAlignment="1" applyProtection="1">
      <alignment horizontal="left" vertical="center" wrapText="1"/>
    </xf>
    <xf numFmtId="0" fontId="144" fillId="0" borderId="20" xfId="84" applyFont="1" applyFill="1" applyBorder="1" applyAlignment="1" applyProtection="1">
      <alignment horizontal="center"/>
    </xf>
    <xf numFmtId="0" fontId="144" fillId="0" borderId="41" xfId="84" applyFont="1" applyFill="1" applyBorder="1" applyAlignment="1" applyProtection="1">
      <alignment horizontal="center"/>
    </xf>
    <xf numFmtId="0" fontId="145" fillId="0" borderId="20" xfId="84" applyFont="1" applyFill="1" applyBorder="1" applyAlignment="1" applyProtection="1"/>
    <xf numFmtId="0" fontId="145" fillId="0" borderId="72" xfId="84" applyFont="1" applyFill="1" applyBorder="1" applyAlignment="1" applyProtection="1"/>
    <xf numFmtId="0" fontId="145" fillId="0" borderId="41" xfId="84" applyFont="1" applyFill="1" applyBorder="1" applyAlignment="1" applyProtection="1"/>
    <xf numFmtId="0" fontId="144" fillId="41" borderId="20" xfId="84" applyFont="1" applyFill="1" applyBorder="1" applyAlignment="1" applyProtection="1"/>
    <xf numFmtId="0" fontId="148" fillId="41" borderId="72" xfId="84" applyFont="1" applyFill="1" applyBorder="1" applyAlignment="1" applyProtection="1"/>
    <xf numFmtId="0" fontId="118" fillId="0" borderId="0" xfId="84" applyFont="1" applyFill="1" applyAlignment="1" applyProtection="1">
      <alignment horizontal="center"/>
    </xf>
    <xf numFmtId="0" fontId="143" fillId="0" borderId="0" xfId="84" applyFont="1" applyAlignment="1">
      <alignment horizontal="center"/>
    </xf>
    <xf numFmtId="0" fontId="144" fillId="0" borderId="72" xfId="84" applyFont="1" applyFill="1" applyBorder="1" applyAlignment="1" applyProtection="1">
      <alignment horizontal="center"/>
    </xf>
    <xf numFmtId="0" fontId="118" fillId="56" borderId="20" xfId="84" applyFont="1" applyFill="1" applyBorder="1" applyAlignment="1" applyProtection="1"/>
    <xf numFmtId="0" fontId="143" fillId="56" borderId="72" xfId="84" applyFont="1" applyFill="1" applyBorder="1" applyAlignment="1" applyProtection="1"/>
    <xf numFmtId="0" fontId="143" fillId="56" borderId="41" xfId="84" applyFont="1" applyFill="1" applyBorder="1" applyAlignment="1" applyProtection="1"/>
    <xf numFmtId="0" fontId="118" fillId="0" borderId="20" xfId="84" applyFont="1" applyFill="1" applyBorder="1" applyAlignment="1" applyProtection="1">
      <alignment horizontal="center"/>
      <protection locked="0"/>
    </xf>
    <xf numFmtId="0" fontId="118" fillId="0" borderId="72" xfId="84" applyFont="1" applyFill="1" applyBorder="1" applyAlignment="1" applyProtection="1">
      <alignment horizontal="center"/>
      <protection locked="0"/>
    </xf>
    <xf numFmtId="0" fontId="118" fillId="0" borderId="41" xfId="84" applyFont="1" applyFill="1" applyBorder="1" applyAlignment="1" applyProtection="1">
      <alignment horizontal="center"/>
      <protection locked="0"/>
    </xf>
    <xf numFmtId="0" fontId="44" fillId="0" borderId="40" xfId="64" applyFont="1" applyBorder="1" applyAlignment="1">
      <alignment horizontal="center" textRotation="90"/>
    </xf>
    <xf numFmtId="0" fontId="44" fillId="0" borderId="60" xfId="64" applyFont="1" applyBorder="1" applyAlignment="1">
      <alignment horizontal="center" textRotation="90"/>
    </xf>
    <xf numFmtId="0" fontId="44" fillId="0" borderId="11" xfId="55" applyFont="1" applyBorder="1" applyAlignment="1">
      <alignment vertical="center"/>
    </xf>
    <xf numFmtId="0" fontId="44" fillId="0" borderId="37" xfId="55" applyFont="1" applyBorder="1" applyAlignment="1">
      <alignment vertical="center"/>
    </xf>
    <xf numFmtId="0" fontId="74" fillId="0" borderId="0" xfId="64" applyFont="1" applyAlignment="1">
      <alignment horizontal="center" vertical="center"/>
    </xf>
    <xf numFmtId="0" fontId="74" fillId="0" borderId="40" xfId="64" applyFont="1" applyBorder="1" applyAlignment="1">
      <alignment horizontal="center" textRotation="90"/>
    </xf>
    <xf numFmtId="0" fontId="74" fillId="0" borderId="60" xfId="64" applyFont="1" applyBorder="1" applyAlignment="1">
      <alignment horizontal="center" textRotation="90"/>
    </xf>
    <xf numFmtId="0" fontId="75" fillId="0" borderId="11" xfId="64" applyFont="1" applyBorder="1" applyAlignment="1">
      <alignment horizontal="center" vertical="center"/>
    </xf>
    <xf numFmtId="0" fontId="75" fillId="0" borderId="37" xfId="64" applyFont="1" applyBorder="1" applyAlignment="1">
      <alignment horizontal="center" vertical="center"/>
    </xf>
    <xf numFmtId="0" fontId="8" fillId="0" borderId="0" xfId="55" applyFont="1" applyAlignment="1">
      <alignment horizontal="right"/>
    </xf>
    <xf numFmtId="4" fontId="11" fillId="0" borderId="0" xfId="55" applyNumberFormat="1" applyFont="1" applyAlignment="1">
      <alignment horizontal="center" vertical="center" wrapText="1"/>
    </xf>
    <xf numFmtId="4" fontId="121" fillId="0" borderId="26" xfId="87" applyNumberFormat="1" applyFont="1" applyBorder="1" applyAlignment="1">
      <alignment horizontal="center" wrapText="1"/>
    </xf>
    <xf numFmtId="3" fontId="8" fillId="0" borderId="22" xfId="87" applyNumberFormat="1" applyFont="1" applyBorder="1" applyAlignment="1">
      <alignment horizontal="center"/>
    </xf>
    <xf numFmtId="3" fontId="8" fillId="0" borderId="54" xfId="87" applyNumberFormat="1" applyFont="1" applyBorder="1" applyAlignment="1">
      <alignment horizontal="center"/>
    </xf>
    <xf numFmtId="4" fontId="188" fillId="0" borderId="0" xfId="87" applyNumberFormat="1" applyFont="1" applyAlignment="1">
      <alignment horizontal="center"/>
    </xf>
    <xf numFmtId="0" fontId="8" fillId="0" borderId="10" xfId="0" applyFont="1" applyBorder="1" applyAlignment="1">
      <alignment horizontal="center"/>
    </xf>
    <xf numFmtId="0" fontId="0" fillId="0" borderId="10" xfId="0" applyBorder="1" applyAlignment="1">
      <alignment horizontal="center"/>
    </xf>
    <xf numFmtId="2" fontId="11" fillId="0" borderId="0" xfId="55" applyNumberFormat="1" applyFont="1" applyAlignment="1">
      <alignment horizontal="center" wrapText="1"/>
    </xf>
    <xf numFmtId="2" fontId="80" fillId="0" borderId="0" xfId="55" applyNumberFormat="1" applyFont="1" applyAlignment="1">
      <alignment horizontal="right"/>
    </xf>
    <xf numFmtId="0" fontId="166" fillId="0" borderId="0" xfId="66" applyFont="1" applyFill="1" applyAlignment="1" applyProtection="1">
      <alignment horizontal="center"/>
      <protection locked="0"/>
    </xf>
    <xf numFmtId="0" fontId="166" fillId="0" borderId="0" xfId="0" applyFont="1" applyAlignment="1" applyProtection="1">
      <alignment horizontal="center"/>
      <protection locked="0"/>
    </xf>
    <xf numFmtId="3" fontId="8" fillId="0" borderId="0" xfId="0" applyNumberFormat="1" applyFont="1" applyAlignment="1">
      <alignment horizontal="center"/>
    </xf>
    <xf numFmtId="3" fontId="24" fillId="0" borderId="0" xfId="0" applyNumberFormat="1" applyFont="1" applyBorder="1" applyAlignment="1">
      <alignment horizontal="center"/>
    </xf>
    <xf numFmtId="0" fontId="169" fillId="0" borderId="0" xfId="0" applyFont="1" applyAlignment="1" applyProtection="1">
      <alignment horizontal="center" wrapText="1"/>
      <protection locked="0"/>
    </xf>
    <xf numFmtId="0" fontId="160" fillId="0" borderId="64" xfId="0" applyFont="1" applyFill="1" applyBorder="1" applyAlignment="1">
      <alignment horizontal="justify" vertical="center" wrapText="1"/>
    </xf>
    <xf numFmtId="2" fontId="13" fillId="0" borderId="10" xfId="55" applyNumberFormat="1" applyFont="1" applyBorder="1" applyAlignment="1">
      <alignment horizontal="center" vertical="center" wrapText="1"/>
    </xf>
    <xf numFmtId="2" fontId="86" fillId="0" borderId="10" xfId="0" applyNumberFormat="1" applyFont="1" applyBorder="1" applyAlignment="1">
      <alignment horizontal="center" vertical="center" wrapText="1"/>
    </xf>
    <xf numFmtId="2" fontId="86" fillId="33" borderId="10" xfId="0" applyNumberFormat="1" applyFont="1" applyFill="1" applyBorder="1" applyAlignment="1">
      <alignment horizontal="center" vertical="center" wrapText="1"/>
    </xf>
    <xf numFmtId="3" fontId="86" fillId="33" borderId="10" xfId="0" applyNumberFormat="1" applyFont="1" applyFill="1" applyBorder="1" applyAlignment="1">
      <alignment horizontal="center" vertical="center" wrapText="1"/>
    </xf>
    <xf numFmtId="2" fontId="45" fillId="0" borderId="10" xfId="55" applyNumberFormat="1" applyFont="1" applyBorder="1" applyAlignment="1">
      <alignment vertical="center" wrapText="1"/>
    </xf>
    <xf numFmtId="3" fontId="17" fillId="0" borderId="10" xfId="55" applyNumberFormat="1" applyFont="1" applyBorder="1" applyAlignment="1">
      <alignment vertical="center"/>
    </xf>
    <xf numFmtId="2" fontId="45" fillId="26" borderId="10" xfId="55" applyNumberFormat="1" applyFont="1" applyFill="1" applyBorder="1" applyAlignment="1">
      <alignment vertical="center" wrapText="1"/>
    </xf>
    <xf numFmtId="0" fontId="111" fillId="0" borderId="10" xfId="27" applyFont="1" applyFill="1" applyBorder="1" applyAlignment="1">
      <alignment vertical="center"/>
    </xf>
    <xf numFmtId="2" fontId="45" fillId="0" borderId="10" xfId="55" applyNumberFormat="1" applyFont="1" applyFill="1" applyBorder="1" applyAlignment="1">
      <alignment vertical="center" wrapText="1"/>
    </xf>
    <xf numFmtId="2" fontId="180" fillId="0" borderId="10" xfId="55" applyNumberFormat="1" applyFont="1" applyBorder="1" applyAlignment="1">
      <alignment vertical="center" wrapText="1"/>
    </xf>
    <xf numFmtId="3" fontId="181" fillId="0" borderId="10" xfId="55" applyNumberFormat="1" applyFont="1" applyFill="1" applyBorder="1" applyAlignment="1">
      <alignment horizontal="right" vertical="center" wrapText="1"/>
    </xf>
    <xf numFmtId="3" fontId="19" fillId="0" borderId="10" xfId="55" applyNumberFormat="1" applyFont="1" applyBorder="1" applyAlignment="1">
      <alignment vertical="center"/>
    </xf>
    <xf numFmtId="2" fontId="170" fillId="0" borderId="10" xfId="55" applyNumberFormat="1" applyFont="1" applyBorder="1" applyAlignment="1">
      <alignment vertical="center" wrapText="1"/>
    </xf>
    <xf numFmtId="2" fontId="13" fillId="25" borderId="10" xfId="55" applyNumberFormat="1" applyFont="1" applyFill="1" applyBorder="1" applyAlignment="1">
      <alignment wrapText="1"/>
    </xf>
    <xf numFmtId="3" fontId="95" fillId="25" borderId="10" xfId="55" applyNumberFormat="1" applyFont="1" applyFill="1" applyBorder="1"/>
    <xf numFmtId="2" fontId="44" fillId="0" borderId="10" xfId="55" applyNumberFormat="1" applyFont="1" applyBorder="1" applyAlignment="1">
      <alignment vertical="center" wrapText="1"/>
    </xf>
    <xf numFmtId="3" fontId="197" fillId="0" borderId="10" xfId="55" applyNumberFormat="1" applyFont="1" applyFill="1" applyBorder="1" applyAlignment="1">
      <alignment horizontal="right" vertical="center" wrapText="1"/>
    </xf>
    <xf numFmtId="3" fontId="8" fillId="0" borderId="10" xfId="55" applyNumberFormat="1" applyFont="1" applyBorder="1" applyAlignment="1">
      <alignment vertical="center"/>
    </xf>
  </cellXfs>
  <cellStyles count="141">
    <cellStyle name="20% - 1. jelölőszín 2" xfId="1"/>
    <cellStyle name="20% - 2. jelölőszín 2" xfId="2"/>
    <cellStyle name="20% - 3. jelölőszín 2" xfId="3"/>
    <cellStyle name="20% - 4. jelölőszín 2" xfId="4"/>
    <cellStyle name="20% - 5. jelölőszín 2" xfId="5"/>
    <cellStyle name="20% - 6. jelölőszín 2" xfId="6"/>
    <cellStyle name="40% - 1. jelölőszín 2" xfId="7"/>
    <cellStyle name="40% - 2. jelölőszín 2" xfId="8"/>
    <cellStyle name="40% - 3. jelölőszín 2" xfId="9"/>
    <cellStyle name="40% - 4. jelölőszín 2" xfId="10"/>
    <cellStyle name="40% - 5. jelölőszín 2" xfId="11"/>
    <cellStyle name="40% - 6. jelölőszín 2" xfId="12"/>
    <cellStyle name="60% - 1. jelölőszín 2" xfId="13"/>
    <cellStyle name="60% - 2. jelölőszín 2" xfId="14"/>
    <cellStyle name="60% - 3. jelölőszín 2" xfId="15"/>
    <cellStyle name="60% - 4. jelölőszín 2" xfId="16"/>
    <cellStyle name="60% - 5. jelölőszín 2" xfId="17"/>
    <cellStyle name="60% - 6. jelölőszín 2" xfId="18"/>
    <cellStyle name="Bevitel 2" xfId="19"/>
    <cellStyle name="Cím 2" xfId="20"/>
    <cellStyle name="Címsor 1 2" xfId="21"/>
    <cellStyle name="Címsor 2 2" xfId="22"/>
    <cellStyle name="Címsor 3 2" xfId="23"/>
    <cellStyle name="Címsor 4 2" xfId="24"/>
    <cellStyle name="Ellenőrzőcella 2" xfId="25"/>
    <cellStyle name="Excel Built-in Normal" xfId="26"/>
    <cellStyle name="Excel Built-in Normal 1" xfId="27"/>
    <cellStyle name="Excel Built-in Normal 1 2" xfId="28"/>
    <cellStyle name="Excel Built-in Normal 2" xfId="29"/>
    <cellStyle name="Excel Built-in Normal 3" xfId="30"/>
    <cellStyle name="Ezres 2" xfId="31"/>
    <cellStyle name="Ezres 2 2" xfId="102"/>
    <cellStyle name="Ezres 3" xfId="80"/>
    <cellStyle name="Ezres 3 2" xfId="85"/>
    <cellStyle name="Ezres 3 2 2" xfId="103"/>
    <cellStyle name="Ezres 3 3" xfId="98"/>
    <cellStyle name="Ezres 4" xfId="91"/>
    <cellStyle name="Figyelmeztetés 2" xfId="32"/>
    <cellStyle name="Heading" xfId="33"/>
    <cellStyle name="Heading 1" xfId="34"/>
    <cellStyle name="Heading 1 2" xfId="35"/>
    <cellStyle name="Heading 2" xfId="36"/>
    <cellStyle name="Heading1" xfId="37"/>
    <cellStyle name="Heading1 1" xfId="38"/>
    <cellStyle name="Heading1 1 2" xfId="39"/>
    <cellStyle name="Heading1 2" xfId="40"/>
    <cellStyle name="Hiperhivatkozás" xfId="41"/>
    <cellStyle name="Hivatkozott cella 2" xfId="42"/>
    <cellStyle name="Jegyzet 2" xfId="43"/>
    <cellStyle name="Jegyzet 2 2" xfId="105"/>
    <cellStyle name="Jegyzet 2 3" xfId="104"/>
    <cellStyle name="Jelölőszín (1) 2" xfId="44"/>
    <cellStyle name="Jelölőszín (2) 2" xfId="45"/>
    <cellStyle name="Jelölőszín (2) 2 2" xfId="107"/>
    <cellStyle name="Jelölőszín (2) 2 3" xfId="106"/>
    <cellStyle name="Jelölőszín (3) 2" xfId="46"/>
    <cellStyle name="Jelölőszín (4) 2" xfId="47"/>
    <cellStyle name="Jelölőszín (5) 2" xfId="48"/>
    <cellStyle name="Jelölőszín (6) 2" xfId="49"/>
    <cellStyle name="Jó 2" xfId="50"/>
    <cellStyle name="Kimenet 2" xfId="51"/>
    <cellStyle name="Magyarázó szöveg 2" xfId="52"/>
    <cellStyle name="Magyarázó szöveg 3" xfId="53"/>
    <cellStyle name="Már látott hiperhivatkozás" xfId="54"/>
    <cellStyle name="Normál" xfId="0" builtinId="0"/>
    <cellStyle name="Normál 10" xfId="138"/>
    <cellStyle name="Normál 2" xfId="55"/>
    <cellStyle name="Normál 2 2" xfId="56"/>
    <cellStyle name="Normál 2 2 2" xfId="81"/>
    <cellStyle name="Normál 2 2 2 2" xfId="99"/>
    <cellStyle name="Normál 2 2 2 2 2" xfId="111"/>
    <cellStyle name="Normál 2 2 2 3" xfId="112"/>
    <cellStyle name="Normál 2 2 2 4" xfId="110"/>
    <cellStyle name="Normál 2 2 3" xfId="84"/>
    <cellStyle name="Normál 2 2 4" xfId="89"/>
    <cellStyle name="Normál 2 2 4 2" xfId="113"/>
    <cellStyle name="Normál 2 2 5" xfId="92"/>
    <cellStyle name="Normál 2 2 5 2" xfId="114"/>
    <cellStyle name="Normál 2 2 6" xfId="115"/>
    <cellStyle name="Normál 2 2 7" xfId="116"/>
    <cellStyle name="Normál 2 2 8" xfId="109"/>
    <cellStyle name="Normál 2 2 9" xfId="139"/>
    <cellStyle name="Normál 2 3" xfId="86"/>
    <cellStyle name="Normál 2 3 2" xfId="118"/>
    <cellStyle name="Normál 2 3 3" xfId="117"/>
    <cellStyle name="Normál 2 4" xfId="87"/>
    <cellStyle name="Normál 2 4 2" xfId="120"/>
    <cellStyle name="Normál 2 4 3" xfId="119"/>
    <cellStyle name="Normál 2 5" xfId="108"/>
    <cellStyle name="Normál 3" xfId="57"/>
    <cellStyle name="Normál 3 2" xfId="58"/>
    <cellStyle name="Normál 3 2 2" xfId="123"/>
    <cellStyle name="Normál 3 2 2 2" xfId="124"/>
    <cellStyle name="Normál 3 2 3" xfId="122"/>
    <cellStyle name="Normál 3 3" xfId="59"/>
    <cellStyle name="Normál 3 3 2" xfId="82"/>
    <cellStyle name="Normál 3 3 2 2" xfId="100"/>
    <cellStyle name="Normál 3 3 2 2 2" xfId="127"/>
    <cellStyle name="Normál 3 3 2 3" xfId="126"/>
    <cellStyle name="Normál 3 3 3" xfId="94"/>
    <cellStyle name="Normál 3 3 3 2" xfId="128"/>
    <cellStyle name="Normál 3 3 4" xfId="129"/>
    <cellStyle name="Normál 3 3 5" xfId="125"/>
    <cellStyle name="Normál 3 4" xfId="90"/>
    <cellStyle name="Normál 3 4 2" xfId="130"/>
    <cellStyle name="Normál 3 5" xfId="93"/>
    <cellStyle name="Normál 3 6" xfId="131"/>
    <cellStyle name="Normál 3 7" xfId="121"/>
    <cellStyle name="Normál 3 8" xfId="140"/>
    <cellStyle name="Normál 4" xfId="60"/>
    <cellStyle name="Normál 4 2" xfId="61"/>
    <cellStyle name="Normál 4 3" xfId="62"/>
    <cellStyle name="Normál 4 3 2" xfId="96"/>
    <cellStyle name="Normál 4 4" xfId="95"/>
    <cellStyle name="Normál 4 5" xfId="132"/>
    <cellStyle name="Normál 4 6" xfId="133"/>
    <cellStyle name="Normál 5" xfId="63"/>
    <cellStyle name="Normál 5 2" xfId="88"/>
    <cellStyle name="Normál 5 3" xfId="135"/>
    <cellStyle name="Normál 5 4" xfId="134"/>
    <cellStyle name="Normál 6" xfId="64"/>
    <cellStyle name="Normál 6 2" xfId="97"/>
    <cellStyle name="Normál 7" xfId="83"/>
    <cellStyle name="Normál 7 2" xfId="136"/>
    <cellStyle name="Normál 8" xfId="137"/>
    <cellStyle name="Normál 9" xfId="101"/>
    <cellStyle name="Normal_KTRSZJ" xfId="65"/>
    <cellStyle name="Normál_KVRENMUNKA" xfId="66"/>
    <cellStyle name="Összesen 2" xfId="67"/>
    <cellStyle name="Result" xfId="68"/>
    <cellStyle name="Result 1" xfId="69"/>
    <cellStyle name="Result 1 2" xfId="70"/>
    <cellStyle name="Result 2" xfId="71"/>
    <cellStyle name="Result2" xfId="72"/>
    <cellStyle name="Result2 1" xfId="73"/>
    <cellStyle name="Result2 1 2" xfId="74"/>
    <cellStyle name="Result2 2" xfId="75"/>
    <cellStyle name="Rossz 2" xfId="76"/>
    <cellStyle name="Semleges 2" xfId="77"/>
    <cellStyle name="Számítás 2" xfId="78"/>
    <cellStyle name="Százalék 2" xfId="79"/>
  </cellStyles>
  <dxfs count="85"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externalLink" Target="externalLinks/externalLink1.xml"/><Relationship Id="rId35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ERV_ZARSZ_ONKRM\Tartalom\&#214;NKORM&#193;NYZAT\EXCEL\KVIREND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K&#233;pvisel&#337;-test&#252;let%20nyilv&#225;nos%20&#252;l&#233;sek/2019/2019_02_28/El&#337;terjeszt&#233;sek/08_Et_2019_k&#246;lts&#233;gvet&#233;s/kiad&#225;s_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RTALOMJEGYZÉK"/>
      <sheetName val="ALAPADATOK"/>
      <sheetName val="KV_ÖSSZEFÜGGÉSEK"/>
      <sheetName val="KV_1.1.sz.mell."/>
      <sheetName val="KV_1.2.sz.mell."/>
      <sheetName val="KV_1.3.sz.mell."/>
      <sheetName val="KV_1.4.sz.mell."/>
      <sheetName val="KV_2.1.sz.mell."/>
      <sheetName val="KV_2.2.sz.mell."/>
      <sheetName val="KV_ELLENŐRZÉS"/>
      <sheetName val="KV_3.sz.mell."/>
      <sheetName val="KV_4.sz.mell."/>
      <sheetName val="KV_5.sz.mell."/>
      <sheetName val="KV_6.sz.mell."/>
      <sheetName val="KV_7.sz.mell."/>
      <sheetName val="KV_8.sz.mell."/>
      <sheetName val="KV_9.1.sz.mell"/>
      <sheetName val="KV_9.1.1.sz.mell"/>
      <sheetName val="KV_9.1.2.sz.mell."/>
      <sheetName val="KV_9.1.3.sz.mell"/>
      <sheetName val="KV_9.2.sz.mell"/>
      <sheetName val="KV_9.2.1.sz.mell"/>
      <sheetName val="KV_9.2.2.sz.mell"/>
      <sheetName val="KV_9.2.3.sz.mell"/>
      <sheetName val="KV_9.3.sz.mell"/>
      <sheetName val="KV_9.3.1.sz.mell"/>
      <sheetName val="KV_9.3.2.sz.mell"/>
      <sheetName val="KV_9.3.3.sz.mell"/>
      <sheetName val="KV_9.4.sz.mell"/>
      <sheetName val="KV_9.4.1.sz.mell"/>
      <sheetName val="KV_9.4.2.sz.mell"/>
      <sheetName val="KV_9.4.3.sz.mell"/>
      <sheetName val="KV_9.5.sz.mell"/>
      <sheetName val="KV_9.5.1.sz.mell"/>
      <sheetName val="KV_9.5.2.sz.mell"/>
      <sheetName val="KV_9.5.3.sz.mell"/>
      <sheetName val="KV_9.6.sz.mell"/>
      <sheetName val="KV_9.6.1.sz.mell"/>
      <sheetName val="KV_9.6.2.sz.mell"/>
      <sheetName val="KV_9.6.3.sz.mell"/>
      <sheetName val="KV_9.7.sz.mell"/>
      <sheetName val="KV_9.7.1.sz.mell"/>
      <sheetName val="KV_9.7.2.sz.mell"/>
      <sheetName val="KV_9.7.3.sz.mell"/>
      <sheetName val="KV_9.8.sz.mell"/>
      <sheetName val="KV_9.8.1.sz.mell"/>
      <sheetName val="KV_9.8.2.sz.mell"/>
      <sheetName val="KV_9.8.3.sz.mell"/>
      <sheetName val="KV_9.9.sz.mell"/>
      <sheetName val="KV_9.9.1.sz.mell"/>
      <sheetName val="KV_9.9.2.sz.mell"/>
      <sheetName val="KV_9.9.3.sz.mell"/>
      <sheetName val="KV_9.10.sz.mell"/>
      <sheetName val="KV_9.10.1.sz.mell"/>
      <sheetName val="KV_9.10.2.sz.mell"/>
      <sheetName val="KV_9.10.3.sz.mell"/>
      <sheetName val="KV_9.11.sz.mell"/>
      <sheetName val="KV_9.11.1.sz.mell"/>
      <sheetName val="KV_9.11.2.sz.mell"/>
      <sheetName val="KV_9.11.3.sz.mell"/>
      <sheetName val="KV_9.12.sz.mell"/>
      <sheetName val="KV_9.12.1.sz.mell"/>
      <sheetName val="KV_9.12.2.sz.mell"/>
      <sheetName val="KV_9.12.3.sz.mell"/>
      <sheetName val="KV_10.sz.mell"/>
      <sheetName val="KV_1.sz.tájékoztató_t."/>
      <sheetName val="KV_2.sz.tájékoztató_t."/>
      <sheetName val="KV_3.sz.tájékoztató_t."/>
      <sheetName val="KV_4.sz.tájékoztató_t."/>
      <sheetName val="KV_5.sz.tájékoztató_t"/>
      <sheetName val="KV_6.sz.tájékoztató_t."/>
      <sheetName val="KV_7.sz.tájékoztató_t."/>
    </sheetNames>
    <sheetDataSet>
      <sheetData sheetId="0"/>
      <sheetData sheetId="1">
        <row r="3">
          <cell r="A3" t="str">
            <v>…............................................... ÖNKORMÁNYZATA</v>
          </cell>
        </row>
      </sheetData>
      <sheetData sheetId="2">
        <row r="5">
          <cell r="A5" t="str">
            <v>2020. évi előirányzat BEVÉTELEK</v>
          </cell>
        </row>
      </sheetData>
      <sheetData sheetId="3">
        <row r="3">
          <cell r="B3" t="str">
            <v>2020. ÉVI KÖLTSÉGVETÉS</v>
          </cell>
        </row>
        <row r="7">
          <cell r="C7" t="str">
            <v>Forintban!</v>
          </cell>
        </row>
        <row r="8">
          <cell r="C8" t="str">
            <v>2020. évi előirányzat</v>
          </cell>
        </row>
        <row r="32">
          <cell r="B32" t="str">
            <v>Építményadó</v>
          </cell>
        </row>
        <row r="33">
          <cell r="B33" t="str">
            <v>Idegenforgalmi adó</v>
          </cell>
        </row>
        <row r="34">
          <cell r="B34" t="str">
            <v>Iparűzési adó</v>
          </cell>
        </row>
        <row r="35">
          <cell r="B35" t="str">
            <v>Talajterhelési díj</v>
          </cell>
        </row>
        <row r="36">
          <cell r="B36" t="str">
            <v>Gépjárműadó</v>
          </cell>
        </row>
        <row r="37">
          <cell r="B37" t="str">
            <v>Telekadó</v>
          </cell>
        </row>
        <row r="38">
          <cell r="B38" t="str">
            <v>Kommunális adó</v>
          </cell>
        </row>
      </sheetData>
      <sheetData sheetId="4"/>
      <sheetData sheetId="5"/>
      <sheetData sheetId="6"/>
      <sheetData sheetId="7">
        <row r="4">
          <cell r="C4" t="str">
            <v>2020. évi előirányzat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>
        <row r="3">
          <cell r="O3" t="str">
            <v>Forintban!</v>
          </cell>
        </row>
      </sheetData>
      <sheetData sheetId="69"/>
      <sheetData sheetId="70"/>
      <sheetData sheetId="7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érleg"/>
      <sheetName val="teljes kiadás"/>
      <sheetName val="MŰKÖDÉSI"/>
      <sheetName val="önkormányzati támogatás"/>
      <sheetName val="intézmény fin"/>
      <sheetName val="önkormányzat"/>
      <sheetName val="céltARTALÉK"/>
      <sheetName val="beruházás és felh. célú átadás"/>
      <sheetName val="pénzeszkö átadás"/>
      <sheetName val="eu támogatások"/>
      <sheetName val="felújítások (2)"/>
      <sheetName val="finanszírozás"/>
      <sheetName val="adósságot keletkeztető"/>
      <sheetName val="kötelezettségvállalások"/>
      <sheetName val="megfelelés"/>
      <sheetName val="közvetett"/>
      <sheetName val="gördülő"/>
      <sheetName val="előirányzat"/>
      <sheetName val="likviditás"/>
      <sheetName val="Munka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81">
          <cell r="A81" t="str">
            <v>Többcélú finanszírozási hitel</v>
          </cell>
          <cell r="D81">
            <v>0</v>
          </cell>
        </row>
      </sheetData>
      <sheetData sheetId="12"/>
      <sheetData sheetId="13">
        <row r="63">
          <cell r="P63">
            <v>57977300</v>
          </cell>
        </row>
        <row r="64">
          <cell r="P64">
            <v>764867</v>
          </cell>
        </row>
      </sheetData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65"/>
  <sheetViews>
    <sheetView zoomScaleNormal="100" workbookViewId="0">
      <selection activeCell="A3" sqref="A3:C3"/>
    </sheetView>
  </sheetViews>
  <sheetFormatPr defaultRowHeight="15"/>
  <cols>
    <col min="1" max="1" width="6.28515625" style="56" customWidth="1"/>
    <col min="2" max="2" width="56.5703125" style="56" customWidth="1"/>
    <col min="3" max="3" width="18.5703125" style="132" bestFit="1" customWidth="1"/>
    <col min="4" max="4" width="15.140625" style="415" customWidth="1"/>
    <col min="5" max="5" width="15.140625" style="415" hidden="1" customWidth="1"/>
    <col min="6" max="6" width="9.5703125" style="1119" bestFit="1" customWidth="1"/>
    <col min="7" max="7" width="9.5703125" style="57" bestFit="1" customWidth="1"/>
    <col min="8" max="16384" width="9.140625" style="56"/>
  </cols>
  <sheetData>
    <row r="1" spans="1:7">
      <c r="A1" s="55"/>
      <c r="B1" s="1201"/>
      <c r="C1" s="1202"/>
      <c r="D1" s="1118" t="s">
        <v>549</v>
      </c>
    </row>
    <row r="2" spans="1:7" ht="15.75">
      <c r="A2" s="1203" t="s">
        <v>300</v>
      </c>
      <c r="B2" s="1204"/>
      <c r="C2" s="1204"/>
    </row>
    <row r="3" spans="1:7" ht="15.75">
      <c r="A3" s="1203" t="s">
        <v>1078</v>
      </c>
      <c r="B3" s="1203"/>
      <c r="C3" s="1205"/>
    </row>
    <row r="4" spans="1:7" ht="12" customHeight="1">
      <c r="A4" s="1203"/>
      <c r="B4" s="1203"/>
      <c r="C4" s="1205"/>
    </row>
    <row r="5" spans="1:7" ht="15.95" customHeight="1">
      <c r="A5" s="1206" t="s">
        <v>301</v>
      </c>
      <c r="B5" s="1206"/>
      <c r="C5" s="1206"/>
    </row>
    <row r="6" spans="1:7" ht="15.95" customHeight="1" thickBot="1">
      <c r="A6" s="1207"/>
      <c r="B6" s="1207"/>
      <c r="C6" s="58"/>
    </row>
    <row r="7" spans="1:7">
      <c r="A7" s="1210" t="s">
        <v>286</v>
      </c>
      <c r="B7" s="1212" t="s">
        <v>302</v>
      </c>
      <c r="C7" s="383">
        <v>2020</v>
      </c>
      <c r="D7" s="383">
        <v>2019</v>
      </c>
      <c r="E7" s="383"/>
    </row>
    <row r="8" spans="1:7" ht="24.75" thickBot="1">
      <c r="A8" s="1211"/>
      <c r="B8" s="1213"/>
      <c r="C8" s="59" t="s">
        <v>270</v>
      </c>
      <c r="D8" s="480" t="s">
        <v>272</v>
      </c>
      <c r="E8" s="480" t="s">
        <v>1074</v>
      </c>
    </row>
    <row r="9" spans="1:7" s="57" customFormat="1" ht="12" customHeight="1" thickBot="1">
      <c r="A9" s="60" t="s">
        <v>287</v>
      </c>
      <c r="B9" s="61" t="s">
        <v>268</v>
      </c>
      <c r="C9" s="61" t="s">
        <v>288</v>
      </c>
      <c r="D9" s="481" t="s">
        <v>303</v>
      </c>
      <c r="E9" s="481"/>
      <c r="F9" s="1119"/>
    </row>
    <row r="10" spans="1:7" s="65" customFormat="1" ht="12" customHeight="1" thickBot="1">
      <c r="A10" s="62" t="s">
        <v>172</v>
      </c>
      <c r="B10" s="63" t="s">
        <v>304</v>
      </c>
      <c r="C10" s="64">
        <f>+C11+C12+C13+C14+C15+C16</f>
        <v>1012426632</v>
      </c>
      <c r="D10" s="482">
        <v>1107084996</v>
      </c>
      <c r="E10" s="482">
        <f t="shared" ref="E10:E73" si="0">C10-D10</f>
        <v>-94658364</v>
      </c>
      <c r="F10" s="1119"/>
      <c r="G10" s="57"/>
    </row>
    <row r="11" spans="1:7" s="65" customFormat="1" ht="12" customHeight="1">
      <c r="A11" s="66" t="s">
        <v>305</v>
      </c>
      <c r="B11" s="67" t="s">
        <v>306</v>
      </c>
      <c r="C11" s="68">
        <f>'2'!D7</f>
        <v>275406451</v>
      </c>
      <c r="D11" s="483">
        <v>265468991</v>
      </c>
      <c r="E11" s="483">
        <f t="shared" si="0"/>
        <v>9937460</v>
      </c>
      <c r="F11" s="1119"/>
      <c r="G11" s="57"/>
    </row>
    <row r="12" spans="1:7" s="65" customFormat="1" ht="12" customHeight="1">
      <c r="A12" s="69" t="s">
        <v>307</v>
      </c>
      <c r="B12" s="70" t="s">
        <v>308</v>
      </c>
      <c r="C12" s="363">
        <f>'2'!D8</f>
        <v>263588830</v>
      </c>
      <c r="D12" s="483">
        <v>232620142</v>
      </c>
      <c r="E12" s="483">
        <f t="shared" si="0"/>
        <v>30968688</v>
      </c>
      <c r="F12" s="1119"/>
      <c r="G12" s="57"/>
    </row>
    <row r="13" spans="1:7" s="65" customFormat="1" ht="12" customHeight="1">
      <c r="A13" s="69" t="s">
        <v>309</v>
      </c>
      <c r="B13" s="70" t="s">
        <v>310</v>
      </c>
      <c r="C13" s="363">
        <f>'2'!D9</f>
        <v>413052831</v>
      </c>
      <c r="D13" s="483">
        <v>403796410</v>
      </c>
      <c r="E13" s="483">
        <f t="shared" si="0"/>
        <v>9256421</v>
      </c>
      <c r="F13" s="1119"/>
      <c r="G13" s="57"/>
    </row>
    <row r="14" spans="1:7" s="65" customFormat="1" ht="12" customHeight="1">
      <c r="A14" s="69" t="s">
        <v>311</v>
      </c>
      <c r="B14" s="70" t="s">
        <v>312</v>
      </c>
      <c r="C14" s="363">
        <f>'2'!D10</f>
        <v>22989520</v>
      </c>
      <c r="D14" s="483">
        <v>26273437</v>
      </c>
      <c r="E14" s="483">
        <f t="shared" si="0"/>
        <v>-3283917</v>
      </c>
      <c r="F14" s="1119"/>
      <c r="G14" s="57"/>
    </row>
    <row r="15" spans="1:7" s="65" customFormat="1" ht="12" customHeight="1">
      <c r="A15" s="69" t="s">
        <v>313</v>
      </c>
      <c r="B15" s="72" t="s">
        <v>314</v>
      </c>
      <c r="C15" s="363">
        <f>'2'!D11</f>
        <v>37389000</v>
      </c>
      <c r="D15" s="483">
        <v>178698493</v>
      </c>
      <c r="E15" s="483">
        <f t="shared" si="0"/>
        <v>-141309493</v>
      </c>
      <c r="F15" s="1119"/>
      <c r="G15" s="57"/>
    </row>
    <row r="16" spans="1:7" s="65" customFormat="1" ht="12" customHeight="1" thickBot="1">
      <c r="A16" s="73" t="s">
        <v>315</v>
      </c>
      <c r="B16" s="74" t="s">
        <v>265</v>
      </c>
      <c r="C16" s="71"/>
      <c r="D16" s="483">
        <v>227523</v>
      </c>
      <c r="E16" s="483">
        <f t="shared" si="0"/>
        <v>-227523</v>
      </c>
      <c r="F16" s="1119"/>
      <c r="G16" s="57"/>
    </row>
    <row r="17" spans="1:7" s="65" customFormat="1" ht="15" customHeight="1" thickBot="1">
      <c r="A17" s="62" t="s">
        <v>173</v>
      </c>
      <c r="B17" s="75" t="s">
        <v>554</v>
      </c>
      <c r="C17" s="64">
        <f>+C18+C19+C20+C21+C22</f>
        <v>537913170.96541262</v>
      </c>
      <c r="D17" s="484">
        <v>472676542</v>
      </c>
      <c r="E17" s="484">
        <f t="shared" si="0"/>
        <v>65236628.965412617</v>
      </c>
      <c r="F17" s="1119"/>
      <c r="G17" s="57"/>
    </row>
    <row r="18" spans="1:7" s="65" customFormat="1" ht="12" customHeight="1">
      <c r="A18" s="66" t="s">
        <v>316</v>
      </c>
      <c r="B18" s="67" t="s">
        <v>317</v>
      </c>
      <c r="C18" s="68"/>
      <c r="D18" s="483">
        <v>0</v>
      </c>
      <c r="E18" s="483">
        <f t="shared" si="0"/>
        <v>0</v>
      </c>
      <c r="F18" s="1119"/>
      <c r="G18" s="57"/>
    </row>
    <row r="19" spans="1:7" s="65" customFormat="1" ht="12" customHeight="1">
      <c r="A19" s="69" t="s">
        <v>318</v>
      </c>
      <c r="B19" s="70" t="s">
        <v>319</v>
      </c>
      <c r="C19" s="71"/>
      <c r="D19" s="483">
        <v>0</v>
      </c>
      <c r="E19" s="483">
        <f t="shared" si="0"/>
        <v>0</v>
      </c>
      <c r="F19" s="1119"/>
      <c r="G19" s="57"/>
    </row>
    <row r="20" spans="1:7" s="65" customFormat="1" ht="12" customHeight="1">
      <c r="A20" s="69" t="s">
        <v>320</v>
      </c>
      <c r="B20" s="70" t="s">
        <v>321</v>
      </c>
      <c r="C20" s="71">
        <f>'2'!D14-'2'!E14</f>
        <v>32000000</v>
      </c>
      <c r="D20" s="483">
        <v>27000000</v>
      </c>
      <c r="E20" s="483">
        <f t="shared" si="0"/>
        <v>5000000</v>
      </c>
      <c r="F20" s="1119"/>
      <c r="G20" s="57"/>
    </row>
    <row r="21" spans="1:7" s="65" customFormat="1" ht="12" customHeight="1">
      <c r="A21" s="69" t="s">
        <v>322</v>
      </c>
      <c r="B21" s="70" t="s">
        <v>323</v>
      </c>
      <c r="C21" s="71">
        <f>'2'!E14</f>
        <v>32000000</v>
      </c>
      <c r="D21" s="483">
        <v>27000000</v>
      </c>
      <c r="E21" s="483">
        <f t="shared" si="0"/>
        <v>5000000</v>
      </c>
      <c r="F21" s="1119"/>
      <c r="G21" s="57"/>
    </row>
    <row r="22" spans="1:7" s="65" customFormat="1" ht="12" customHeight="1">
      <c r="A22" s="69" t="s">
        <v>324</v>
      </c>
      <c r="B22" s="70" t="s">
        <v>325</v>
      </c>
      <c r="C22" s="71">
        <f>'2'!D15</f>
        <v>473913170.96541268</v>
      </c>
      <c r="D22" s="483">
        <v>418676542</v>
      </c>
      <c r="E22" s="483">
        <f t="shared" si="0"/>
        <v>55236628.965412676</v>
      </c>
      <c r="F22" s="1119"/>
      <c r="G22" s="57"/>
    </row>
    <row r="23" spans="1:7" s="65" customFormat="1" ht="12" customHeight="1" thickBot="1">
      <c r="A23" s="73" t="s">
        <v>326</v>
      </c>
      <c r="B23" s="74" t="s">
        <v>327</v>
      </c>
      <c r="C23" s="76"/>
      <c r="D23" s="483">
        <v>0</v>
      </c>
      <c r="E23" s="483">
        <f t="shared" si="0"/>
        <v>0</v>
      </c>
      <c r="F23" s="1119"/>
      <c r="G23" s="57"/>
    </row>
    <row r="24" spans="1:7" s="65" customFormat="1" ht="15.75" customHeight="1" thickBot="1">
      <c r="A24" s="62" t="s">
        <v>174</v>
      </c>
      <c r="B24" s="63" t="s">
        <v>553</v>
      </c>
      <c r="C24" s="64">
        <f>+C25+C26+C27+C28+C29</f>
        <v>708423293</v>
      </c>
      <c r="D24" s="484">
        <v>1884296929</v>
      </c>
      <c r="E24" s="484">
        <f t="shared" si="0"/>
        <v>-1175873636</v>
      </c>
      <c r="F24" s="1119"/>
      <c r="G24" s="57"/>
    </row>
    <row r="25" spans="1:7" s="65" customFormat="1" ht="12" customHeight="1">
      <c r="A25" s="66" t="s">
        <v>328</v>
      </c>
      <c r="B25" s="67" t="s">
        <v>329</v>
      </c>
      <c r="C25" s="68">
        <f>'2'!D17</f>
        <v>153703520</v>
      </c>
      <c r="D25" s="483">
        <v>579110663</v>
      </c>
      <c r="E25" s="483">
        <f t="shared" si="0"/>
        <v>-425407143</v>
      </c>
      <c r="F25" s="1119"/>
      <c r="G25" s="57"/>
    </row>
    <row r="26" spans="1:7" s="65" customFormat="1" ht="12" customHeight="1">
      <c r="A26" s="69" t="s">
        <v>330</v>
      </c>
      <c r="B26" s="70" t="s">
        <v>331</v>
      </c>
      <c r="C26" s="71"/>
      <c r="D26" s="483">
        <v>0</v>
      </c>
      <c r="E26" s="483">
        <f t="shared" si="0"/>
        <v>0</v>
      </c>
      <c r="F26" s="1119"/>
      <c r="G26" s="57"/>
    </row>
    <row r="27" spans="1:7" s="65" customFormat="1" ht="12" customHeight="1">
      <c r="A27" s="69" t="s">
        <v>332</v>
      </c>
      <c r="B27" s="70" t="s">
        <v>333</v>
      </c>
      <c r="C27" s="71"/>
      <c r="D27" s="483">
        <v>0</v>
      </c>
      <c r="E27" s="483">
        <f t="shared" si="0"/>
        <v>0</v>
      </c>
      <c r="F27" s="1119"/>
      <c r="G27" s="57"/>
    </row>
    <row r="28" spans="1:7" s="65" customFormat="1" ht="12" customHeight="1">
      <c r="A28" s="69" t="s">
        <v>334</v>
      </c>
      <c r="B28" s="70" t="s">
        <v>335</v>
      </c>
      <c r="C28" s="71"/>
      <c r="D28" s="483">
        <v>0</v>
      </c>
      <c r="E28" s="483">
        <f t="shared" si="0"/>
        <v>0</v>
      </c>
      <c r="F28" s="1119"/>
      <c r="G28" s="57"/>
    </row>
    <row r="29" spans="1:7" s="65" customFormat="1" ht="12" customHeight="1">
      <c r="A29" s="69" t="s">
        <v>336</v>
      </c>
      <c r="B29" s="70" t="s">
        <v>337</v>
      </c>
      <c r="C29" s="71">
        <f>'2'!D20</f>
        <v>554719773</v>
      </c>
      <c r="D29" s="483">
        <v>1305186266</v>
      </c>
      <c r="E29" s="483">
        <f t="shared" si="0"/>
        <v>-750466493</v>
      </c>
      <c r="F29" s="1119"/>
      <c r="G29" s="57"/>
    </row>
    <row r="30" spans="1:7" s="65" customFormat="1" ht="12" customHeight="1" thickBot="1">
      <c r="A30" s="73" t="s">
        <v>338</v>
      </c>
      <c r="B30" s="77" t="s">
        <v>339</v>
      </c>
      <c r="C30" s="365">
        <f>'2'!D21</f>
        <v>553042773</v>
      </c>
      <c r="D30" s="485">
        <v>0</v>
      </c>
      <c r="E30" s="485">
        <f t="shared" si="0"/>
        <v>553042773</v>
      </c>
      <c r="F30" s="1119"/>
      <c r="G30" s="57"/>
    </row>
    <row r="31" spans="1:7" s="65" customFormat="1" ht="12" customHeight="1" thickBot="1">
      <c r="A31" s="62" t="s">
        <v>340</v>
      </c>
      <c r="B31" s="63" t="s">
        <v>341</v>
      </c>
      <c r="C31" s="64">
        <f>SUM(C32:C38)</f>
        <v>485095000</v>
      </c>
      <c r="D31" s="484">
        <v>461095000</v>
      </c>
      <c r="E31" s="484">
        <f t="shared" si="0"/>
        <v>24000000</v>
      </c>
      <c r="F31" s="1119"/>
      <c r="G31" s="57"/>
    </row>
    <row r="32" spans="1:7" s="65" customFormat="1" ht="12" customHeight="1">
      <c r="A32" s="66" t="s">
        <v>342</v>
      </c>
      <c r="B32" s="67" t="s">
        <v>343</v>
      </c>
      <c r="C32" s="68">
        <f>'2'!D23</f>
        <v>154000000</v>
      </c>
      <c r="D32" s="486">
        <v>152000000</v>
      </c>
      <c r="E32" s="486">
        <f t="shared" si="0"/>
        <v>2000000</v>
      </c>
      <c r="F32" s="1119"/>
      <c r="G32" s="57"/>
    </row>
    <row r="33" spans="1:7" s="65" customFormat="1" ht="12" customHeight="1">
      <c r="A33" s="69" t="s">
        <v>344</v>
      </c>
      <c r="B33" s="70"/>
      <c r="C33" s="71"/>
      <c r="D33" s="486">
        <v>0</v>
      </c>
      <c r="E33" s="486">
        <f t="shared" si="0"/>
        <v>0</v>
      </c>
      <c r="F33" s="1119"/>
      <c r="G33" s="57"/>
    </row>
    <row r="34" spans="1:7" s="65" customFormat="1" ht="12" customHeight="1">
      <c r="A34" s="69" t="s">
        <v>345</v>
      </c>
      <c r="B34" s="70" t="s">
        <v>346</v>
      </c>
      <c r="C34" s="71">
        <f>'2'!D25</f>
        <v>278000000</v>
      </c>
      <c r="D34" s="486">
        <v>259000000</v>
      </c>
      <c r="E34" s="486">
        <f t="shared" si="0"/>
        <v>19000000</v>
      </c>
      <c r="F34" s="1119"/>
      <c r="G34" s="57"/>
    </row>
    <row r="35" spans="1:7" s="65" customFormat="1" ht="12" customHeight="1">
      <c r="A35" s="69" t="s">
        <v>347</v>
      </c>
      <c r="B35" s="70" t="s">
        <v>348</v>
      </c>
      <c r="C35" s="71">
        <f>'2'!D27</f>
        <v>35500000</v>
      </c>
      <c r="D35" s="486">
        <v>33000000</v>
      </c>
      <c r="E35" s="486">
        <f t="shared" si="0"/>
        <v>2500000</v>
      </c>
      <c r="F35" s="1119"/>
      <c r="G35" s="57"/>
    </row>
    <row r="36" spans="1:7" s="65" customFormat="1" ht="12" customHeight="1">
      <c r="A36" s="69" t="s">
        <v>349</v>
      </c>
      <c r="B36" s="70" t="s">
        <v>241</v>
      </c>
      <c r="C36" s="71"/>
      <c r="D36" s="486">
        <v>0</v>
      </c>
      <c r="E36" s="486">
        <f t="shared" si="0"/>
        <v>0</v>
      </c>
      <c r="F36" s="1119"/>
      <c r="G36" s="57"/>
    </row>
    <row r="37" spans="1:7" s="65" customFormat="1" ht="12" customHeight="1">
      <c r="A37" s="69" t="s">
        <v>350</v>
      </c>
      <c r="B37" s="70" t="s">
        <v>351</v>
      </c>
      <c r="C37" s="71">
        <f>'2'!D28</f>
        <v>13000000</v>
      </c>
      <c r="D37" s="486">
        <v>12000000</v>
      </c>
      <c r="E37" s="486">
        <f t="shared" si="0"/>
        <v>1000000</v>
      </c>
      <c r="F37" s="1119"/>
      <c r="G37" s="57"/>
    </row>
    <row r="38" spans="1:7" s="65" customFormat="1" ht="12" customHeight="1" thickBot="1">
      <c r="A38" s="73" t="s">
        <v>352</v>
      </c>
      <c r="B38" s="78" t="s">
        <v>353</v>
      </c>
      <c r="C38" s="365">
        <f>'2'!D29</f>
        <v>4595000</v>
      </c>
      <c r="D38" s="487">
        <v>5095000</v>
      </c>
      <c r="E38" s="487">
        <f t="shared" si="0"/>
        <v>-500000</v>
      </c>
      <c r="F38" s="1119"/>
      <c r="G38" s="57"/>
    </row>
    <row r="39" spans="1:7" s="65" customFormat="1" ht="12" customHeight="1" thickBot="1">
      <c r="A39" s="62" t="s">
        <v>176</v>
      </c>
      <c r="B39" s="63" t="s">
        <v>354</v>
      </c>
      <c r="C39" s="64">
        <f>SUM(C40:C50)</f>
        <v>231665967</v>
      </c>
      <c r="D39" s="484">
        <v>240686175</v>
      </c>
      <c r="E39" s="484">
        <f t="shared" si="0"/>
        <v>-9020208</v>
      </c>
      <c r="F39" s="1119"/>
      <c r="G39" s="57"/>
    </row>
    <row r="40" spans="1:7" s="65" customFormat="1" ht="12" customHeight="1">
      <c r="A40" s="66" t="s">
        <v>355</v>
      </c>
      <c r="B40" s="67" t="s">
        <v>356</v>
      </c>
      <c r="C40" s="68">
        <f>'2'!D32</f>
        <v>156200</v>
      </c>
      <c r="D40" s="486">
        <v>250000</v>
      </c>
      <c r="E40" s="486">
        <f t="shared" si="0"/>
        <v>-93800</v>
      </c>
      <c r="F40" s="1119"/>
      <c r="G40" s="57"/>
    </row>
    <row r="41" spans="1:7" s="65" customFormat="1" ht="12" customHeight="1">
      <c r="A41" s="69" t="s">
        <v>357</v>
      </c>
      <c r="B41" s="70" t="s">
        <v>358</v>
      </c>
      <c r="C41" s="71">
        <f>'2'!D33</f>
        <v>41802637</v>
      </c>
      <c r="D41" s="486">
        <v>40803906</v>
      </c>
      <c r="E41" s="486">
        <f t="shared" si="0"/>
        <v>998731</v>
      </c>
      <c r="F41" s="1119"/>
      <c r="G41" s="57"/>
    </row>
    <row r="42" spans="1:7" s="65" customFormat="1" ht="12" customHeight="1">
      <c r="A42" s="69" t="s">
        <v>359</v>
      </c>
      <c r="B42" s="70" t="s">
        <v>360</v>
      </c>
      <c r="C42" s="71">
        <f>'2'!D35</f>
        <v>39530622</v>
      </c>
      <c r="D42" s="486">
        <v>39234451</v>
      </c>
      <c r="E42" s="486">
        <f t="shared" si="0"/>
        <v>296171</v>
      </c>
      <c r="F42" s="1119"/>
      <c r="G42" s="57"/>
    </row>
    <row r="43" spans="1:7" s="65" customFormat="1" ht="12" customHeight="1">
      <c r="A43" s="69" t="s">
        <v>361</v>
      </c>
      <c r="B43" s="70" t="s">
        <v>362</v>
      </c>
      <c r="C43" s="71">
        <f>'2'!D37</f>
        <v>14700000</v>
      </c>
      <c r="D43" s="486">
        <v>22050000</v>
      </c>
      <c r="E43" s="486">
        <f t="shared" si="0"/>
        <v>-7350000</v>
      </c>
      <c r="F43" s="1119"/>
      <c r="G43" s="57"/>
    </row>
    <row r="44" spans="1:7" s="65" customFormat="1" ht="12" customHeight="1">
      <c r="A44" s="69" t="s">
        <v>363</v>
      </c>
      <c r="B44" s="70" t="s">
        <v>364</v>
      </c>
      <c r="C44" s="71">
        <f>'2'!D39</f>
        <v>91013447</v>
      </c>
      <c r="D44" s="486">
        <v>90406945</v>
      </c>
      <c r="E44" s="486">
        <f t="shared" si="0"/>
        <v>606502</v>
      </c>
      <c r="F44" s="1119"/>
      <c r="G44" s="57"/>
    </row>
    <row r="45" spans="1:7" s="65" customFormat="1" ht="12" customHeight="1">
      <c r="A45" s="69" t="s">
        <v>365</v>
      </c>
      <c r="B45" s="70" t="s">
        <v>366</v>
      </c>
      <c r="C45" s="365">
        <f>'2'!D40</f>
        <v>44133031</v>
      </c>
      <c r="D45" s="486">
        <v>43531416</v>
      </c>
      <c r="E45" s="486">
        <f t="shared" si="0"/>
        <v>601615</v>
      </c>
      <c r="F45" s="1119"/>
      <c r="G45" s="57"/>
    </row>
    <row r="46" spans="1:7" s="65" customFormat="1" ht="12" customHeight="1">
      <c r="A46" s="69" t="s">
        <v>367</v>
      </c>
      <c r="B46" s="70" t="s">
        <v>368</v>
      </c>
      <c r="C46" s="71">
        <f>'2'!D41</f>
        <v>0</v>
      </c>
      <c r="D46" s="486">
        <v>3087000</v>
      </c>
      <c r="E46" s="486">
        <f t="shared" si="0"/>
        <v>-3087000</v>
      </c>
      <c r="F46" s="1119"/>
      <c r="G46" s="57"/>
    </row>
    <row r="47" spans="1:7" s="65" customFormat="1" ht="12" customHeight="1">
      <c r="A47" s="69" t="s">
        <v>369</v>
      </c>
      <c r="B47" s="70" t="s">
        <v>370</v>
      </c>
      <c r="C47" s="71">
        <f>'2'!D42</f>
        <v>10030</v>
      </c>
      <c r="D47" s="486">
        <v>1011000</v>
      </c>
      <c r="E47" s="486">
        <f t="shared" si="0"/>
        <v>-1000970</v>
      </c>
      <c r="F47" s="1119"/>
      <c r="G47" s="57"/>
    </row>
    <row r="48" spans="1:7" s="65" customFormat="1" ht="12" customHeight="1">
      <c r="A48" s="69" t="s">
        <v>371</v>
      </c>
      <c r="B48" s="70" t="s">
        <v>372</v>
      </c>
      <c r="C48" s="71"/>
      <c r="D48" s="486">
        <v>0</v>
      </c>
      <c r="E48" s="486">
        <f t="shared" si="0"/>
        <v>0</v>
      </c>
      <c r="F48" s="1119"/>
      <c r="G48" s="57"/>
    </row>
    <row r="49" spans="1:7" s="65" customFormat="1" ht="12" customHeight="1">
      <c r="A49" s="73" t="s">
        <v>373</v>
      </c>
      <c r="B49" s="77" t="s">
        <v>374</v>
      </c>
      <c r="C49" s="76"/>
      <c r="D49" s="486">
        <v>0</v>
      </c>
      <c r="E49" s="486">
        <f t="shared" si="0"/>
        <v>0</v>
      </c>
      <c r="F49" s="1119"/>
      <c r="G49" s="57"/>
    </row>
    <row r="50" spans="1:7" s="65" customFormat="1" ht="12" customHeight="1" thickBot="1">
      <c r="A50" s="73" t="s">
        <v>375</v>
      </c>
      <c r="B50" s="74" t="s">
        <v>376</v>
      </c>
      <c r="C50" s="76">
        <f>'2'!D43</f>
        <v>320000</v>
      </c>
      <c r="D50" s="486">
        <v>311457</v>
      </c>
      <c r="E50" s="486">
        <f t="shared" si="0"/>
        <v>8543</v>
      </c>
      <c r="F50" s="1119"/>
      <c r="G50" s="57"/>
    </row>
    <row r="51" spans="1:7" s="65" customFormat="1" ht="12" customHeight="1" thickBot="1">
      <c r="A51" s="62" t="s">
        <v>177</v>
      </c>
      <c r="B51" s="63" t="s">
        <v>377</v>
      </c>
      <c r="C51" s="64">
        <f>SUM(C52:C56)</f>
        <v>11400000</v>
      </c>
      <c r="D51" s="484">
        <v>97605000</v>
      </c>
      <c r="E51" s="484">
        <f t="shared" si="0"/>
        <v>-86205000</v>
      </c>
      <c r="F51" s="1119"/>
      <c r="G51" s="57"/>
    </row>
    <row r="52" spans="1:7" s="65" customFormat="1" ht="12" customHeight="1">
      <c r="A52" s="66" t="s">
        <v>378</v>
      </c>
      <c r="B52" s="67" t="s">
        <v>379</v>
      </c>
      <c r="C52" s="68"/>
      <c r="D52" s="486">
        <v>0</v>
      </c>
      <c r="E52" s="486">
        <f t="shared" si="0"/>
        <v>0</v>
      </c>
      <c r="F52" s="1119"/>
      <c r="G52" s="57"/>
    </row>
    <row r="53" spans="1:7" s="65" customFormat="1" ht="12" customHeight="1">
      <c r="A53" s="69" t="s">
        <v>380</v>
      </c>
      <c r="B53" s="70" t="s">
        <v>381</v>
      </c>
      <c r="C53" s="71">
        <f>'2'!D46</f>
        <v>10000000</v>
      </c>
      <c r="D53" s="486">
        <v>97605000</v>
      </c>
      <c r="E53" s="486">
        <f t="shared" si="0"/>
        <v>-87605000</v>
      </c>
      <c r="F53" s="1119"/>
      <c r="G53" s="57"/>
    </row>
    <row r="54" spans="1:7" s="65" customFormat="1" ht="12" customHeight="1">
      <c r="A54" s="69" t="s">
        <v>382</v>
      </c>
      <c r="B54" s="70" t="s">
        <v>383</v>
      </c>
      <c r="C54" s="71">
        <f>'2'!D48</f>
        <v>1400000</v>
      </c>
      <c r="D54" s="486">
        <v>0</v>
      </c>
      <c r="E54" s="486">
        <f t="shared" si="0"/>
        <v>1400000</v>
      </c>
      <c r="F54" s="1119"/>
      <c r="G54" s="57"/>
    </row>
    <row r="55" spans="1:7" s="65" customFormat="1" ht="12" customHeight="1">
      <c r="A55" s="69" t="s">
        <v>384</v>
      </c>
      <c r="B55" s="70" t="s">
        <v>385</v>
      </c>
      <c r="C55" s="71"/>
      <c r="D55" s="486">
        <v>0</v>
      </c>
      <c r="E55" s="486">
        <f t="shared" si="0"/>
        <v>0</v>
      </c>
      <c r="F55" s="1119"/>
      <c r="G55" s="57"/>
    </row>
    <row r="56" spans="1:7" s="65" customFormat="1" ht="12" customHeight="1" thickBot="1">
      <c r="A56" s="73" t="s">
        <v>386</v>
      </c>
      <c r="B56" s="74" t="s">
        <v>387</v>
      </c>
      <c r="C56" s="76"/>
      <c r="D56" s="486">
        <v>0</v>
      </c>
      <c r="E56" s="486">
        <f t="shared" si="0"/>
        <v>0</v>
      </c>
      <c r="F56" s="1119"/>
      <c r="G56" s="57"/>
    </row>
    <row r="57" spans="1:7" s="65" customFormat="1" ht="12" customHeight="1" thickBot="1">
      <c r="A57" s="62" t="s">
        <v>388</v>
      </c>
      <c r="B57" s="63" t="s">
        <v>389</v>
      </c>
      <c r="C57" s="64">
        <f>SUM(C58:C60)</f>
        <v>300000</v>
      </c>
      <c r="D57" s="484">
        <v>300000</v>
      </c>
      <c r="E57" s="484">
        <f t="shared" si="0"/>
        <v>0</v>
      </c>
      <c r="F57" s="1119"/>
      <c r="G57" s="57"/>
    </row>
    <row r="58" spans="1:7" s="65" customFormat="1" ht="12" customHeight="1">
      <c r="A58" s="66" t="s">
        <v>390</v>
      </c>
      <c r="B58" s="67" t="s">
        <v>391</v>
      </c>
      <c r="C58" s="68"/>
      <c r="D58" s="488">
        <v>0</v>
      </c>
      <c r="E58" s="488">
        <f t="shared" si="0"/>
        <v>0</v>
      </c>
      <c r="F58" s="1119"/>
      <c r="G58" s="57"/>
    </row>
    <row r="59" spans="1:7" s="65" customFormat="1" ht="12" customHeight="1">
      <c r="A59" s="69" t="s">
        <v>392</v>
      </c>
      <c r="B59" s="70" t="s">
        <v>393</v>
      </c>
      <c r="C59" s="71"/>
      <c r="D59" s="486">
        <v>0</v>
      </c>
      <c r="E59" s="486">
        <f t="shared" si="0"/>
        <v>0</v>
      </c>
      <c r="F59" s="1119"/>
      <c r="G59" s="57"/>
    </row>
    <row r="60" spans="1:7" s="65" customFormat="1" ht="12" customHeight="1">
      <c r="A60" s="69" t="s">
        <v>394</v>
      </c>
      <c r="B60" s="70" t="s">
        <v>395</v>
      </c>
      <c r="C60" s="71">
        <f>'2'!D58</f>
        <v>300000</v>
      </c>
      <c r="D60" s="486">
        <v>300000</v>
      </c>
      <c r="E60" s="486">
        <f t="shared" si="0"/>
        <v>0</v>
      </c>
      <c r="F60" s="1119"/>
      <c r="G60" s="57"/>
    </row>
    <row r="61" spans="1:7" s="65" customFormat="1" ht="12" customHeight="1" thickBot="1">
      <c r="A61" s="73" t="s">
        <v>396</v>
      </c>
      <c r="B61" s="74" t="s">
        <v>397</v>
      </c>
      <c r="C61" s="76"/>
      <c r="D61" s="486">
        <v>0</v>
      </c>
      <c r="E61" s="486">
        <f t="shared" si="0"/>
        <v>0</v>
      </c>
      <c r="F61" s="1119"/>
      <c r="G61" s="57"/>
    </row>
    <row r="62" spans="1:7" s="65" customFormat="1" ht="12" customHeight="1" thickBot="1">
      <c r="A62" s="62" t="s">
        <v>179</v>
      </c>
      <c r="B62" s="75" t="s">
        <v>398</v>
      </c>
      <c r="C62" s="64">
        <f>SUM(C63:C65)</f>
        <v>60459000</v>
      </c>
      <c r="D62" s="484">
        <v>61920000</v>
      </c>
      <c r="E62" s="484">
        <f t="shared" si="0"/>
        <v>-1461000</v>
      </c>
      <c r="F62" s="1119"/>
      <c r="G62" s="57"/>
    </row>
    <row r="63" spans="1:7" s="65" customFormat="1" ht="12" customHeight="1">
      <c r="A63" s="66" t="s">
        <v>399</v>
      </c>
      <c r="B63" s="67" t="s">
        <v>400</v>
      </c>
      <c r="C63" s="71"/>
      <c r="D63" s="486">
        <v>0</v>
      </c>
      <c r="E63" s="486">
        <f t="shared" si="0"/>
        <v>0</v>
      </c>
      <c r="F63" s="1119"/>
      <c r="G63" s="57"/>
    </row>
    <row r="64" spans="1:7" s="65" customFormat="1" ht="12" customHeight="1">
      <c r="A64" s="69" t="s">
        <v>401</v>
      </c>
      <c r="B64" s="70" t="s">
        <v>402</v>
      </c>
      <c r="C64" s="71"/>
      <c r="D64" s="486">
        <v>0</v>
      </c>
      <c r="E64" s="486">
        <f t="shared" si="0"/>
        <v>0</v>
      </c>
      <c r="F64" s="1119"/>
      <c r="G64" s="57"/>
    </row>
    <row r="65" spans="1:7" s="65" customFormat="1" ht="12" customHeight="1">
      <c r="A65" s="69" t="s">
        <v>403</v>
      </c>
      <c r="B65" s="70" t="s">
        <v>404</v>
      </c>
      <c r="C65" s="71">
        <f>'2'!D63</f>
        <v>60459000</v>
      </c>
      <c r="D65" s="486">
        <v>61920000</v>
      </c>
      <c r="E65" s="486">
        <f t="shared" si="0"/>
        <v>-1461000</v>
      </c>
      <c r="F65" s="1119"/>
      <c r="G65" s="57"/>
    </row>
    <row r="66" spans="1:7" s="65" customFormat="1" ht="12" customHeight="1" thickBot="1">
      <c r="A66" s="73" t="s">
        <v>405</v>
      </c>
      <c r="B66" s="74" t="s">
        <v>406</v>
      </c>
      <c r="C66" s="71"/>
      <c r="D66" s="486">
        <v>0</v>
      </c>
      <c r="E66" s="486">
        <f t="shared" si="0"/>
        <v>0</v>
      </c>
      <c r="F66" s="1119"/>
      <c r="G66" s="57"/>
    </row>
    <row r="67" spans="1:7" s="65" customFormat="1" ht="12" customHeight="1" thickBot="1">
      <c r="A67" s="80" t="s">
        <v>407</v>
      </c>
      <c r="B67" s="81" t="s">
        <v>408</v>
      </c>
      <c r="C67" s="82">
        <f>+C10+C17+C24+C31+C39+C51+C57+C62</f>
        <v>3047683062.9654126</v>
      </c>
      <c r="D67" s="489">
        <v>4325664642</v>
      </c>
      <c r="E67" s="489">
        <f t="shared" si="0"/>
        <v>-1277981579.0345874</v>
      </c>
      <c r="F67" s="1119"/>
      <c r="G67" s="57"/>
    </row>
    <row r="68" spans="1:7" s="65" customFormat="1" ht="12" customHeight="1" thickBot="1">
      <c r="A68" s="83" t="s">
        <v>409</v>
      </c>
      <c r="B68" s="75" t="s">
        <v>410</v>
      </c>
      <c r="C68" s="64">
        <f>SUM(C69:C71)</f>
        <v>283038987</v>
      </c>
      <c r="D68" s="484">
        <v>458554196</v>
      </c>
      <c r="E68" s="484">
        <f t="shared" si="0"/>
        <v>-175515209</v>
      </c>
      <c r="F68" s="1119"/>
      <c r="G68" s="57"/>
    </row>
    <row r="69" spans="1:7" s="65" customFormat="1" ht="12" customHeight="1">
      <c r="A69" s="66" t="s">
        <v>411</v>
      </c>
      <c r="B69" s="67" t="s">
        <v>412</v>
      </c>
      <c r="C69" s="71">
        <f>'2'!D69</f>
        <v>283038987</v>
      </c>
      <c r="D69" s="486">
        <v>458554196</v>
      </c>
      <c r="E69" s="486">
        <f t="shared" si="0"/>
        <v>-175515209</v>
      </c>
      <c r="F69" s="1119"/>
      <c r="G69" s="57"/>
    </row>
    <row r="70" spans="1:7" s="65" customFormat="1" ht="12" customHeight="1">
      <c r="A70" s="69" t="s">
        <v>413</v>
      </c>
      <c r="B70" s="70" t="s">
        <v>414</v>
      </c>
      <c r="C70" s="71"/>
      <c r="D70" s="486">
        <v>0</v>
      </c>
      <c r="E70" s="486">
        <f t="shared" si="0"/>
        <v>0</v>
      </c>
      <c r="F70" s="1119"/>
      <c r="G70" s="57"/>
    </row>
    <row r="71" spans="1:7" s="65" customFormat="1" ht="12" customHeight="1" thickBot="1">
      <c r="A71" s="73" t="s">
        <v>415</v>
      </c>
      <c r="B71" s="84" t="s">
        <v>416</v>
      </c>
      <c r="C71" s="71"/>
      <c r="D71" s="486">
        <v>0</v>
      </c>
      <c r="E71" s="486">
        <f t="shared" si="0"/>
        <v>0</v>
      </c>
      <c r="F71" s="1119"/>
      <c r="G71" s="57"/>
    </row>
    <row r="72" spans="1:7" s="65" customFormat="1" ht="12" customHeight="1" thickBot="1">
      <c r="A72" s="83" t="s">
        <v>417</v>
      </c>
      <c r="B72" s="75" t="s">
        <v>418</v>
      </c>
      <c r="C72" s="64">
        <f>SUM(C73:C76)</f>
        <v>0</v>
      </c>
      <c r="D72" s="484">
        <v>50000000</v>
      </c>
      <c r="E72" s="484">
        <f t="shared" si="0"/>
        <v>-50000000</v>
      </c>
      <c r="F72" s="1119"/>
      <c r="G72" s="57"/>
    </row>
    <row r="73" spans="1:7" s="65" customFormat="1" ht="12" customHeight="1">
      <c r="A73" s="66" t="s">
        <v>419</v>
      </c>
      <c r="B73" s="85" t="s">
        <v>420</v>
      </c>
      <c r="C73" s="71"/>
      <c r="D73" s="486">
        <v>0</v>
      </c>
      <c r="E73" s="486">
        <f t="shared" si="0"/>
        <v>0</v>
      </c>
      <c r="F73" s="1119"/>
      <c r="G73" s="57"/>
    </row>
    <row r="74" spans="1:7" s="65" customFormat="1" ht="12" customHeight="1">
      <c r="A74" s="69" t="s">
        <v>421</v>
      </c>
      <c r="B74" s="85" t="s">
        <v>422</v>
      </c>
      <c r="C74" s="71"/>
      <c r="D74" s="485">
        <v>0</v>
      </c>
      <c r="E74" s="485">
        <f t="shared" ref="E74:E98" si="1">C74-D74</f>
        <v>0</v>
      </c>
      <c r="F74" s="1119"/>
      <c r="G74" s="57"/>
    </row>
    <row r="75" spans="1:7" s="65" customFormat="1" ht="12" customHeight="1">
      <c r="A75" s="69" t="s">
        <v>423</v>
      </c>
      <c r="B75" s="85" t="s">
        <v>424</v>
      </c>
      <c r="C75" s="71"/>
      <c r="D75" s="486">
        <v>50000000</v>
      </c>
      <c r="E75" s="486">
        <f t="shared" si="1"/>
        <v>-50000000</v>
      </c>
      <c r="F75" s="1119"/>
      <c r="G75" s="57"/>
    </row>
    <row r="76" spans="1:7" s="65" customFormat="1" ht="12" customHeight="1" thickBot="1">
      <c r="A76" s="73" t="s">
        <v>425</v>
      </c>
      <c r="B76" s="86" t="s">
        <v>426</v>
      </c>
      <c r="C76" s="71"/>
      <c r="D76" s="486">
        <v>0</v>
      </c>
      <c r="E76" s="486">
        <f t="shared" si="1"/>
        <v>0</v>
      </c>
      <c r="F76" s="1119"/>
      <c r="G76" s="57"/>
    </row>
    <row r="77" spans="1:7" s="65" customFormat="1" ht="12" customHeight="1" thickBot="1">
      <c r="A77" s="83" t="s">
        <v>427</v>
      </c>
      <c r="B77" s="75" t="s">
        <v>428</v>
      </c>
      <c r="C77" s="64">
        <f>SUM(C78:C79)</f>
        <v>566540065</v>
      </c>
      <c r="D77" s="484">
        <v>656046736</v>
      </c>
      <c r="E77" s="484">
        <f t="shared" si="1"/>
        <v>-89506671</v>
      </c>
      <c r="F77" s="1119"/>
      <c r="G77" s="57"/>
    </row>
    <row r="78" spans="1:7" s="65" customFormat="1" ht="12" customHeight="1">
      <c r="A78" s="66" t="s">
        <v>429</v>
      </c>
      <c r="B78" s="67" t="s">
        <v>430</v>
      </c>
      <c r="C78" s="71">
        <f>'2'!D66</f>
        <v>566540065</v>
      </c>
      <c r="D78" s="486">
        <v>656046736</v>
      </c>
      <c r="E78" s="486">
        <f t="shared" si="1"/>
        <v>-89506671</v>
      </c>
      <c r="F78" s="1120"/>
      <c r="G78" s="57"/>
    </row>
    <row r="79" spans="1:7" s="65" customFormat="1" ht="12" customHeight="1" thickBot="1">
      <c r="A79" s="73" t="s">
        <v>431</v>
      </c>
      <c r="B79" s="74" t="s">
        <v>432</v>
      </c>
      <c r="C79" s="71"/>
      <c r="D79" s="486">
        <v>0</v>
      </c>
      <c r="E79" s="486">
        <f t="shared" si="1"/>
        <v>0</v>
      </c>
      <c r="F79" s="1119"/>
      <c r="G79" s="57"/>
    </row>
    <row r="80" spans="1:7" s="65" customFormat="1" ht="12" customHeight="1" thickBot="1">
      <c r="A80" s="83" t="s">
        <v>433</v>
      </c>
      <c r="B80" s="75" t="s">
        <v>434</v>
      </c>
      <c r="C80" s="64">
        <f>SUM(C81:C83)</f>
        <v>40868059</v>
      </c>
      <c r="D80" s="484">
        <v>31426346</v>
      </c>
      <c r="E80" s="484">
        <f t="shared" si="1"/>
        <v>9441713</v>
      </c>
      <c r="F80" s="1119"/>
      <c r="G80" s="57"/>
    </row>
    <row r="81" spans="1:7" s="65" customFormat="1" ht="12" customHeight="1">
      <c r="A81" s="66" t="s">
        <v>435</v>
      </c>
      <c r="B81" s="67" t="s">
        <v>436</v>
      </c>
      <c r="C81" s="71">
        <f>'2'!D67</f>
        <v>40868059</v>
      </c>
      <c r="D81" s="486">
        <v>31426346</v>
      </c>
      <c r="E81" s="486">
        <f t="shared" si="1"/>
        <v>9441713</v>
      </c>
      <c r="F81" s="1119"/>
      <c r="G81" s="57"/>
    </row>
    <row r="82" spans="1:7" s="65" customFormat="1" ht="12" customHeight="1">
      <c r="A82" s="69" t="s">
        <v>437</v>
      </c>
      <c r="B82" s="70" t="s">
        <v>438</v>
      </c>
      <c r="C82" s="71"/>
      <c r="D82" s="486">
        <v>0</v>
      </c>
      <c r="E82" s="486">
        <f t="shared" si="1"/>
        <v>0</v>
      </c>
      <c r="F82" s="1119"/>
      <c r="G82" s="57"/>
    </row>
    <row r="83" spans="1:7" s="65" customFormat="1" ht="12" customHeight="1" thickBot="1">
      <c r="A83" s="73" t="s">
        <v>439</v>
      </c>
      <c r="B83" s="74" t="s">
        <v>440</v>
      </c>
      <c r="C83" s="71"/>
      <c r="D83" s="486">
        <v>0</v>
      </c>
      <c r="E83" s="486">
        <f t="shared" si="1"/>
        <v>0</v>
      </c>
      <c r="F83" s="1119"/>
      <c r="G83" s="57"/>
    </row>
    <row r="84" spans="1:7" s="65" customFormat="1" ht="12" customHeight="1" thickBot="1">
      <c r="A84" s="83" t="s">
        <v>441</v>
      </c>
      <c r="B84" s="75" t="s">
        <v>442</v>
      </c>
      <c r="C84" s="64">
        <f>SUM(C85:C88)</f>
        <v>0</v>
      </c>
      <c r="D84" s="484"/>
      <c r="E84" s="484">
        <f t="shared" si="1"/>
        <v>0</v>
      </c>
      <c r="F84" s="1119"/>
      <c r="G84" s="57"/>
    </row>
    <row r="85" spans="1:7" s="65" customFormat="1" ht="12" customHeight="1">
      <c r="A85" s="87" t="s">
        <v>443</v>
      </c>
      <c r="B85" s="67" t="s">
        <v>444</v>
      </c>
      <c r="C85" s="71"/>
      <c r="D85" s="486">
        <v>0</v>
      </c>
      <c r="E85" s="486">
        <f t="shared" si="1"/>
        <v>0</v>
      </c>
      <c r="F85" s="1119"/>
      <c r="G85" s="57"/>
    </row>
    <row r="86" spans="1:7" s="65" customFormat="1" ht="12" customHeight="1">
      <c r="A86" s="88" t="s">
        <v>445</v>
      </c>
      <c r="B86" s="70" t="s">
        <v>446</v>
      </c>
      <c r="C86" s="71"/>
      <c r="D86" s="486">
        <v>0</v>
      </c>
      <c r="E86" s="486">
        <f t="shared" si="1"/>
        <v>0</v>
      </c>
      <c r="F86" s="1119"/>
      <c r="G86" s="57"/>
    </row>
    <row r="87" spans="1:7" s="65" customFormat="1" ht="12" customHeight="1">
      <c r="A87" s="88" t="s">
        <v>447</v>
      </c>
      <c r="B87" s="70" t="s">
        <v>448</v>
      </c>
      <c r="C87" s="71"/>
      <c r="D87" s="486">
        <v>0</v>
      </c>
      <c r="E87" s="486">
        <f t="shared" si="1"/>
        <v>0</v>
      </c>
      <c r="F87" s="1119"/>
      <c r="G87" s="57"/>
    </row>
    <row r="88" spans="1:7" s="65" customFormat="1" ht="12" customHeight="1" thickBot="1">
      <c r="A88" s="89" t="s">
        <v>449</v>
      </c>
      <c r="B88" s="74" t="s">
        <v>450</v>
      </c>
      <c r="C88" s="71"/>
      <c r="D88" s="486">
        <v>0</v>
      </c>
      <c r="E88" s="486">
        <f t="shared" si="1"/>
        <v>0</v>
      </c>
      <c r="F88" s="1119"/>
      <c r="G88" s="57"/>
    </row>
    <row r="89" spans="1:7" s="65" customFormat="1" ht="12" customHeight="1" thickBot="1">
      <c r="A89" s="83" t="s">
        <v>451</v>
      </c>
      <c r="B89" s="75" t="s">
        <v>452</v>
      </c>
      <c r="C89" s="90"/>
      <c r="D89" s="490"/>
      <c r="E89" s="490">
        <f t="shared" si="1"/>
        <v>0</v>
      </c>
      <c r="F89" s="1119"/>
      <c r="G89" s="57"/>
    </row>
    <row r="90" spans="1:7" s="65" customFormat="1" ht="13.5" customHeight="1" thickBot="1">
      <c r="A90" s="83" t="s">
        <v>453</v>
      </c>
      <c r="B90" s="75" t="s">
        <v>295</v>
      </c>
      <c r="C90" s="90"/>
      <c r="D90" s="486">
        <v>0</v>
      </c>
      <c r="E90" s="486">
        <f t="shared" si="1"/>
        <v>0</v>
      </c>
      <c r="F90" s="1119"/>
      <c r="G90" s="57"/>
    </row>
    <row r="91" spans="1:7" s="65" customFormat="1" ht="15.75" customHeight="1" thickBot="1">
      <c r="A91" s="91" t="s">
        <v>454</v>
      </c>
      <c r="B91" s="92" t="s">
        <v>455</v>
      </c>
      <c r="C91" s="93">
        <f>+C68+C72+C77+C80+C84+C90+C89</f>
        <v>890447111</v>
      </c>
      <c r="D91" s="491">
        <v>1196027278</v>
      </c>
      <c r="E91" s="491">
        <f t="shared" si="1"/>
        <v>-305580167</v>
      </c>
      <c r="F91" s="1119"/>
      <c r="G91" s="57"/>
    </row>
    <row r="92" spans="1:7" s="65" customFormat="1" ht="16.5" customHeight="1" thickBot="1">
      <c r="A92" s="94" t="s">
        <v>456</v>
      </c>
      <c r="B92" s="95" t="s">
        <v>457</v>
      </c>
      <c r="C92" s="64">
        <f>+C67+C91</f>
        <v>3938130173.9654126</v>
      </c>
      <c r="D92" s="492">
        <v>5521691920</v>
      </c>
      <c r="E92" s="492">
        <f t="shared" si="1"/>
        <v>-1583561746.0345874</v>
      </c>
      <c r="F92" s="1120">
        <f>C92-'2'!D71</f>
        <v>0</v>
      </c>
      <c r="G92" s="57"/>
    </row>
    <row r="93" spans="1:7" ht="16.5" customHeight="1">
      <c r="A93" s="1214" t="s">
        <v>458</v>
      </c>
      <c r="B93" s="1214"/>
      <c r="C93" s="1214"/>
    </row>
    <row r="94" spans="1:7" s="97" customFormat="1" ht="16.5" customHeight="1" thickBot="1">
      <c r="A94" s="1215"/>
      <c r="B94" s="1215"/>
      <c r="C94" s="96"/>
      <c r="D94" s="415"/>
      <c r="E94" s="415"/>
      <c r="F94" s="1121"/>
      <c r="G94" s="98"/>
    </row>
    <row r="95" spans="1:7">
      <c r="A95" s="1210" t="s">
        <v>286</v>
      </c>
      <c r="B95" s="1212" t="s">
        <v>459</v>
      </c>
      <c r="C95" s="384">
        <f>C7</f>
        <v>2020</v>
      </c>
      <c r="D95" s="384">
        <v>2019</v>
      </c>
      <c r="E95" s="384"/>
    </row>
    <row r="96" spans="1:7" ht="24.75" thickBot="1">
      <c r="A96" s="1211"/>
      <c r="B96" s="1213"/>
      <c r="C96" s="99" t="s">
        <v>460</v>
      </c>
      <c r="D96" s="369" t="s">
        <v>272</v>
      </c>
      <c r="E96" s="369" t="s">
        <v>1075</v>
      </c>
    </row>
    <row r="97" spans="1:6" s="57" customFormat="1" ht="12" customHeight="1" thickBot="1">
      <c r="A97" s="100" t="s">
        <v>287</v>
      </c>
      <c r="B97" s="101" t="s">
        <v>268</v>
      </c>
      <c r="C97" s="101" t="s">
        <v>288</v>
      </c>
      <c r="D97" s="415"/>
      <c r="E97" s="415"/>
      <c r="F97" s="1119"/>
    </row>
    <row r="98" spans="1:6" ht="12" customHeight="1" thickBot="1">
      <c r="A98" s="102" t="s">
        <v>172</v>
      </c>
      <c r="B98" s="103" t="s">
        <v>551</v>
      </c>
      <c r="C98" s="104">
        <f>C99+C100+C101+C102+C103+C116</f>
        <v>2345533478.0744147</v>
      </c>
      <c r="D98" s="362">
        <v>2361137988</v>
      </c>
      <c r="E98" s="362">
        <f t="shared" si="1"/>
        <v>-15604509.92558527</v>
      </c>
    </row>
    <row r="99" spans="1:6" ht="12" customHeight="1" thickBot="1">
      <c r="A99" s="105" t="s">
        <v>305</v>
      </c>
      <c r="B99" s="106" t="s">
        <v>461</v>
      </c>
      <c r="C99" s="107">
        <f>'3. melléklet'!D7</f>
        <v>983392540</v>
      </c>
      <c r="D99" s="364">
        <v>889884744</v>
      </c>
      <c r="E99" s="364">
        <f>C99-D99</f>
        <v>93507796</v>
      </c>
    </row>
    <row r="100" spans="1:6" ht="12" customHeight="1" thickBot="1">
      <c r="A100" s="69" t="s">
        <v>307</v>
      </c>
      <c r="B100" s="108" t="s">
        <v>289</v>
      </c>
      <c r="C100" s="373">
        <f>'3. melléklet'!D8</f>
        <v>184289834.5</v>
      </c>
      <c r="D100" s="364">
        <v>183763658</v>
      </c>
      <c r="E100" s="364">
        <f t="shared" ref="E100:E159" si="2">C100-D100</f>
        <v>526176.5</v>
      </c>
    </row>
    <row r="101" spans="1:6" ht="12" customHeight="1" thickBot="1">
      <c r="A101" s="69" t="s">
        <v>309</v>
      </c>
      <c r="B101" s="108" t="s">
        <v>462</v>
      </c>
      <c r="C101" s="373">
        <f>'3. melléklet'!D9</f>
        <v>661367710.23000002</v>
      </c>
      <c r="D101" s="364">
        <v>669492480</v>
      </c>
      <c r="E101" s="364">
        <f t="shared" si="2"/>
        <v>-8124769.7699999809</v>
      </c>
    </row>
    <row r="102" spans="1:6" ht="12" customHeight="1" thickBot="1">
      <c r="A102" s="69" t="s">
        <v>311</v>
      </c>
      <c r="B102" s="109" t="s">
        <v>290</v>
      </c>
      <c r="C102" s="373">
        <f>'3. melléklet'!D10</f>
        <v>13000000</v>
      </c>
      <c r="D102" s="364">
        <v>20299705</v>
      </c>
      <c r="E102" s="364">
        <f t="shared" si="2"/>
        <v>-7299705</v>
      </c>
    </row>
    <row r="103" spans="1:6" ht="12" customHeight="1">
      <c r="A103" s="69" t="s">
        <v>463</v>
      </c>
      <c r="B103" s="110" t="s">
        <v>291</v>
      </c>
      <c r="C103" s="373">
        <f>'3. melléklet'!D22-'3. melléklet'!D21</f>
        <v>381231152.34441459</v>
      </c>
      <c r="D103" s="364">
        <v>427362199</v>
      </c>
      <c r="E103" s="364">
        <f t="shared" si="2"/>
        <v>-46131046.655585408</v>
      </c>
    </row>
    <row r="104" spans="1:6" ht="12" customHeight="1">
      <c r="A104" s="69" t="s">
        <v>315</v>
      </c>
      <c r="B104" s="203" t="s">
        <v>676</v>
      </c>
      <c r="C104" s="76"/>
      <c r="D104" s="364">
        <v>227523</v>
      </c>
      <c r="E104" s="364">
        <f t="shared" si="2"/>
        <v>-227523</v>
      </c>
    </row>
    <row r="105" spans="1:6" ht="12" customHeight="1">
      <c r="A105" s="69" t="s">
        <v>464</v>
      </c>
      <c r="B105" s="204" t="s">
        <v>465</v>
      </c>
      <c r="C105" s="76"/>
      <c r="D105" s="364">
        <v>0</v>
      </c>
      <c r="E105" s="364">
        <f t="shared" si="2"/>
        <v>0</v>
      </c>
    </row>
    <row r="106" spans="1:6" ht="12" customHeight="1">
      <c r="A106" s="69" t="s">
        <v>466</v>
      </c>
      <c r="B106" s="204" t="s">
        <v>467</v>
      </c>
      <c r="C106" s="76"/>
      <c r="D106" s="364">
        <v>0</v>
      </c>
      <c r="E106" s="364">
        <f t="shared" si="2"/>
        <v>0</v>
      </c>
    </row>
    <row r="107" spans="1:6" ht="12" customHeight="1">
      <c r="A107" s="69" t="s">
        <v>468</v>
      </c>
      <c r="B107" s="205" t="s">
        <v>469</v>
      </c>
      <c r="C107" s="76"/>
      <c r="D107" s="364">
        <v>0</v>
      </c>
      <c r="E107" s="364">
        <f t="shared" si="2"/>
        <v>0</v>
      </c>
    </row>
    <row r="108" spans="1:6" ht="15.75" customHeight="1">
      <c r="A108" s="69" t="s">
        <v>470</v>
      </c>
      <c r="B108" s="206" t="s">
        <v>471</v>
      </c>
      <c r="C108" s="76">
        <f>'3. melléklet'!D13</f>
        <v>32000000</v>
      </c>
      <c r="D108" s="364">
        <v>27000000</v>
      </c>
      <c r="E108" s="364">
        <f t="shared" si="2"/>
        <v>5000000</v>
      </c>
    </row>
    <row r="109" spans="1:6" ht="12" customHeight="1">
      <c r="A109" s="69" t="s">
        <v>472</v>
      </c>
      <c r="B109" s="206" t="s">
        <v>473</v>
      </c>
      <c r="C109" s="367">
        <f>'3. melléklet'!D14</f>
        <v>32000000</v>
      </c>
      <c r="D109" s="364">
        <v>28159560</v>
      </c>
      <c r="E109" s="364">
        <f t="shared" si="2"/>
        <v>3840440</v>
      </c>
    </row>
    <row r="110" spans="1:6" ht="12" customHeight="1">
      <c r="A110" s="69" t="s">
        <v>474</v>
      </c>
      <c r="B110" s="205" t="s">
        <v>475</v>
      </c>
      <c r="C110" s="367">
        <f>'3. melléklet'!D15</f>
        <v>260102566.34441459</v>
      </c>
      <c r="D110" s="364">
        <v>243277320</v>
      </c>
      <c r="E110" s="364">
        <f t="shared" si="2"/>
        <v>16825246.344414592</v>
      </c>
    </row>
    <row r="111" spans="1:6" ht="12" customHeight="1">
      <c r="A111" s="69" t="s">
        <v>476</v>
      </c>
      <c r="B111" s="205" t="s">
        <v>477</v>
      </c>
      <c r="C111" s="76"/>
      <c r="D111" s="364">
        <v>0</v>
      </c>
      <c r="E111" s="364">
        <f t="shared" si="2"/>
        <v>0</v>
      </c>
    </row>
    <row r="112" spans="1:6" ht="12" customHeight="1">
      <c r="A112" s="69" t="s">
        <v>478</v>
      </c>
      <c r="B112" s="206" t="s">
        <v>479</v>
      </c>
      <c r="C112" s="76"/>
      <c r="D112" s="364">
        <v>0</v>
      </c>
      <c r="E112" s="364">
        <f t="shared" si="2"/>
        <v>0</v>
      </c>
    </row>
    <row r="113" spans="1:7" ht="12" customHeight="1">
      <c r="A113" s="111" t="s">
        <v>480</v>
      </c>
      <c r="B113" s="204" t="s">
        <v>481</v>
      </c>
      <c r="C113" s="76"/>
      <c r="D113" s="364">
        <v>0</v>
      </c>
      <c r="E113" s="364">
        <f t="shared" si="2"/>
        <v>0</v>
      </c>
    </row>
    <row r="114" spans="1:7" ht="12" customHeight="1">
      <c r="A114" s="69" t="s">
        <v>482</v>
      </c>
      <c r="B114" s="204" t="s">
        <v>483</v>
      </c>
      <c r="C114" s="76"/>
      <c r="D114" s="364">
        <v>0</v>
      </c>
      <c r="E114" s="364">
        <f t="shared" si="2"/>
        <v>0</v>
      </c>
    </row>
    <row r="115" spans="1:7" ht="12" customHeight="1">
      <c r="A115" s="73" t="s">
        <v>484</v>
      </c>
      <c r="B115" s="204" t="s">
        <v>485</v>
      </c>
      <c r="C115" s="112">
        <f>'3. melléklet'!D20</f>
        <v>57128586</v>
      </c>
      <c r="D115" s="382">
        <v>128697796</v>
      </c>
      <c r="E115" s="382">
        <f t="shared" si="2"/>
        <v>-71569210</v>
      </c>
    </row>
    <row r="116" spans="1:7" ht="12" customHeight="1">
      <c r="A116" s="69" t="s">
        <v>486</v>
      </c>
      <c r="B116" s="109" t="s">
        <v>292</v>
      </c>
      <c r="C116" s="374">
        <f>'3. melléklet'!D21</f>
        <v>122252241</v>
      </c>
      <c r="D116" s="368">
        <v>170335202</v>
      </c>
      <c r="E116" s="368">
        <f t="shared" si="2"/>
        <v>-48082961</v>
      </c>
    </row>
    <row r="117" spans="1:7" ht="12" customHeight="1">
      <c r="A117" s="69" t="s">
        <v>487</v>
      </c>
      <c r="B117" s="108" t="s">
        <v>488</v>
      </c>
      <c r="C117" s="71">
        <f>'3.c. tartalék'!F16</f>
        <v>19817675</v>
      </c>
      <c r="D117" s="368">
        <v>25900620</v>
      </c>
      <c r="E117" s="368">
        <f t="shared" si="2"/>
        <v>-6082945</v>
      </c>
    </row>
    <row r="118" spans="1:7" ht="12" customHeight="1" thickBot="1">
      <c r="A118" s="113" t="s">
        <v>489</v>
      </c>
      <c r="B118" s="114" t="s">
        <v>490</v>
      </c>
      <c r="C118" s="79">
        <f>'3.c. tartalék'!F12</f>
        <v>102434566</v>
      </c>
      <c r="D118" s="368">
        <v>144434582</v>
      </c>
      <c r="E118" s="368">
        <f t="shared" si="2"/>
        <v>-42000016</v>
      </c>
    </row>
    <row r="119" spans="1:7" ht="12" customHeight="1" thickBot="1">
      <c r="A119" s="115" t="s">
        <v>173</v>
      </c>
      <c r="B119" s="116" t="s">
        <v>552</v>
      </c>
      <c r="C119" s="117">
        <f>+C120+C122+C124</f>
        <v>1534607181.5</v>
      </c>
      <c r="D119" s="366">
        <v>3121658521</v>
      </c>
      <c r="E119" s="366">
        <f>C119-D119</f>
        <v>-1587051339.5</v>
      </c>
    </row>
    <row r="120" spans="1:7" ht="12" customHeight="1">
      <c r="A120" s="66" t="s">
        <v>316</v>
      </c>
      <c r="B120" s="108" t="s">
        <v>296</v>
      </c>
      <c r="C120" s="68">
        <f>'3. melléklet'!D24</f>
        <v>1411528234.5</v>
      </c>
      <c r="D120" s="368">
        <v>589709456</v>
      </c>
      <c r="E120" s="368">
        <f t="shared" si="2"/>
        <v>821818778.5</v>
      </c>
    </row>
    <row r="121" spans="1:7" ht="12" customHeight="1">
      <c r="A121" s="66" t="s">
        <v>318</v>
      </c>
      <c r="B121" s="118" t="s">
        <v>491</v>
      </c>
      <c r="C121" s="68"/>
      <c r="D121" s="368">
        <v>0</v>
      </c>
      <c r="E121" s="368">
        <f t="shared" si="2"/>
        <v>0</v>
      </c>
    </row>
    <row r="122" spans="1:7" ht="12" customHeight="1">
      <c r="A122" s="66" t="s">
        <v>320</v>
      </c>
      <c r="B122" s="118" t="s">
        <v>297</v>
      </c>
      <c r="C122" s="71">
        <f>'3. melléklet'!D25</f>
        <v>66578947</v>
      </c>
      <c r="D122" s="368">
        <v>126350690</v>
      </c>
      <c r="E122" s="368">
        <f t="shared" si="2"/>
        <v>-59771743</v>
      </c>
      <c r="G122" s="126"/>
    </row>
    <row r="123" spans="1:7" ht="12" customHeight="1">
      <c r="A123" s="66" t="s">
        <v>322</v>
      </c>
      <c r="B123" s="118" t="s">
        <v>492</v>
      </c>
      <c r="C123" s="71"/>
      <c r="D123" s="368">
        <v>0</v>
      </c>
      <c r="E123" s="368">
        <f t="shared" si="2"/>
        <v>0</v>
      </c>
    </row>
    <row r="124" spans="1:7" ht="12" customHeight="1">
      <c r="A124" s="66" t="s">
        <v>324</v>
      </c>
      <c r="B124" s="74" t="s">
        <v>298</v>
      </c>
      <c r="C124" s="71">
        <f>'3. melléklet'!D28</f>
        <v>56500000</v>
      </c>
      <c r="D124" s="368">
        <v>2405598375</v>
      </c>
      <c r="E124" s="368">
        <f t="shared" si="2"/>
        <v>-2349098375</v>
      </c>
    </row>
    <row r="125" spans="1:7" ht="12" customHeight="1">
      <c r="A125" s="66" t="s">
        <v>326</v>
      </c>
      <c r="B125" s="72" t="s">
        <v>677</v>
      </c>
      <c r="C125" s="71"/>
      <c r="D125" s="368">
        <v>0</v>
      </c>
      <c r="E125" s="368">
        <f t="shared" si="2"/>
        <v>0</v>
      </c>
    </row>
    <row r="126" spans="1:7" ht="12" customHeight="1">
      <c r="A126" s="66" t="s">
        <v>493</v>
      </c>
      <c r="B126" s="207" t="s">
        <v>494</v>
      </c>
      <c r="C126" s="71"/>
      <c r="D126" s="368">
        <v>0</v>
      </c>
      <c r="E126" s="368">
        <f t="shared" si="2"/>
        <v>0</v>
      </c>
    </row>
    <row r="127" spans="1:7" ht="13.5" customHeight="1">
      <c r="A127" s="66" t="s">
        <v>495</v>
      </c>
      <c r="B127" s="206" t="s">
        <v>473</v>
      </c>
      <c r="C127" s="71"/>
      <c r="D127" s="368">
        <v>0</v>
      </c>
      <c r="E127" s="368">
        <f t="shared" si="2"/>
        <v>0</v>
      </c>
    </row>
    <row r="128" spans="1:7" ht="12" customHeight="1">
      <c r="A128" s="66" t="s">
        <v>496</v>
      </c>
      <c r="B128" s="206" t="s">
        <v>497</v>
      </c>
      <c r="C128" s="71"/>
      <c r="D128" s="368">
        <v>186339058</v>
      </c>
      <c r="E128" s="368">
        <f t="shared" si="2"/>
        <v>-186339058</v>
      </c>
    </row>
    <row r="129" spans="1:5" ht="12" customHeight="1">
      <c r="A129" s="66" t="s">
        <v>498</v>
      </c>
      <c r="B129" s="206" t="s">
        <v>499</v>
      </c>
      <c r="C129" s="71"/>
      <c r="D129" s="368">
        <v>0</v>
      </c>
      <c r="E129" s="368">
        <f t="shared" si="2"/>
        <v>0</v>
      </c>
    </row>
    <row r="130" spans="1:5" ht="12" customHeight="1">
      <c r="A130" s="66" t="s">
        <v>500</v>
      </c>
      <c r="B130" s="206" t="s">
        <v>479</v>
      </c>
      <c r="C130" s="71"/>
      <c r="D130" s="368">
        <v>0</v>
      </c>
      <c r="E130" s="368">
        <f t="shared" si="2"/>
        <v>0</v>
      </c>
    </row>
    <row r="131" spans="1:5" ht="12" customHeight="1">
      <c r="A131" s="66" t="s">
        <v>501</v>
      </c>
      <c r="B131" s="206" t="s">
        <v>502</v>
      </c>
      <c r="C131" s="71"/>
      <c r="D131" s="368">
        <v>0</v>
      </c>
      <c r="E131" s="368">
        <f t="shared" si="2"/>
        <v>0</v>
      </c>
    </row>
    <row r="132" spans="1:5" ht="14.25" customHeight="1" thickBot="1">
      <c r="A132" s="111" t="s">
        <v>503</v>
      </c>
      <c r="B132" s="206" t="s">
        <v>504</v>
      </c>
      <c r="C132" s="76"/>
      <c r="D132" s="368">
        <v>2184355348</v>
      </c>
      <c r="E132" s="368">
        <f t="shared" si="2"/>
        <v>-2184355348</v>
      </c>
    </row>
    <row r="133" spans="1:5" ht="12" customHeight="1" thickBot="1">
      <c r="A133" s="119" t="s">
        <v>174</v>
      </c>
      <c r="B133" s="120" t="s">
        <v>505</v>
      </c>
      <c r="C133" s="93">
        <f>+C98+C119</f>
        <v>3880140659.5744147</v>
      </c>
      <c r="D133" s="380">
        <v>5482796509</v>
      </c>
      <c r="E133" s="380">
        <f t="shared" si="2"/>
        <v>-1602655849.4255853</v>
      </c>
    </row>
    <row r="134" spans="1:5" ht="12" customHeight="1" thickBot="1">
      <c r="A134" s="62" t="s">
        <v>175</v>
      </c>
      <c r="B134" s="63" t="s">
        <v>506</v>
      </c>
      <c r="C134" s="64">
        <f>+C135+C136+C137</f>
        <v>17121455.861111112</v>
      </c>
      <c r="D134" s="366">
        <v>7469065</v>
      </c>
      <c r="E134" s="366">
        <f t="shared" si="2"/>
        <v>9652390.8611111119</v>
      </c>
    </row>
    <row r="135" spans="1:5" ht="12" customHeight="1">
      <c r="A135" s="66" t="s">
        <v>342</v>
      </c>
      <c r="B135" s="118" t="s">
        <v>507</v>
      </c>
      <c r="C135" s="71">
        <f>'3. melléklet'!D31</f>
        <v>17121455.861111112</v>
      </c>
      <c r="D135" s="368">
        <v>7469065</v>
      </c>
      <c r="E135" s="368">
        <f t="shared" si="2"/>
        <v>9652390.8611111119</v>
      </c>
    </row>
    <row r="136" spans="1:5" ht="12" customHeight="1">
      <c r="A136" s="66" t="s">
        <v>344</v>
      </c>
      <c r="B136" s="118" t="s">
        <v>508</v>
      </c>
      <c r="C136" s="71"/>
      <c r="D136" s="368">
        <v>0</v>
      </c>
      <c r="E136" s="368">
        <f t="shared" si="2"/>
        <v>0</v>
      </c>
    </row>
    <row r="137" spans="1:5" ht="12" customHeight="1" thickBot="1">
      <c r="A137" s="111" t="s">
        <v>345</v>
      </c>
      <c r="B137" s="118" t="s">
        <v>509</v>
      </c>
      <c r="C137" s="71"/>
      <c r="D137" s="368">
        <v>0</v>
      </c>
      <c r="E137" s="368">
        <f t="shared" si="2"/>
        <v>0</v>
      </c>
    </row>
    <row r="138" spans="1:5" ht="12" customHeight="1" thickBot="1">
      <c r="A138" s="62" t="s">
        <v>176</v>
      </c>
      <c r="B138" s="63" t="s">
        <v>510</v>
      </c>
      <c r="C138" s="64">
        <f>SUM(C139:C144)</f>
        <v>0</v>
      </c>
      <c r="D138" s="366">
        <v>0</v>
      </c>
      <c r="E138" s="366">
        <f t="shared" si="2"/>
        <v>0</v>
      </c>
    </row>
    <row r="139" spans="1:5" ht="12" customHeight="1">
      <c r="A139" s="66" t="s">
        <v>355</v>
      </c>
      <c r="B139" s="121" t="s">
        <v>511</v>
      </c>
      <c r="C139" s="71"/>
      <c r="D139" s="368"/>
      <c r="E139" s="368">
        <f t="shared" si="2"/>
        <v>0</v>
      </c>
    </row>
    <row r="140" spans="1:5" ht="12" customHeight="1">
      <c r="A140" s="66" t="s">
        <v>357</v>
      </c>
      <c r="B140" s="121" t="s">
        <v>512</v>
      </c>
      <c r="C140" s="71"/>
      <c r="D140" s="368"/>
      <c r="E140" s="368">
        <f t="shared" si="2"/>
        <v>0</v>
      </c>
    </row>
    <row r="141" spans="1:5" ht="12" customHeight="1">
      <c r="A141" s="66" t="s">
        <v>359</v>
      </c>
      <c r="B141" s="121" t="s">
        <v>513</v>
      </c>
      <c r="C141" s="71"/>
      <c r="D141" s="368"/>
      <c r="E141" s="368">
        <f t="shared" si="2"/>
        <v>0</v>
      </c>
    </row>
    <row r="142" spans="1:5" ht="12" customHeight="1">
      <c r="A142" s="66" t="s">
        <v>361</v>
      </c>
      <c r="B142" s="121" t="s">
        <v>514</v>
      </c>
      <c r="C142" s="71"/>
      <c r="D142" s="368"/>
      <c r="E142" s="368">
        <f t="shared" si="2"/>
        <v>0</v>
      </c>
    </row>
    <row r="143" spans="1:5" ht="12" customHeight="1">
      <c r="A143" s="66" t="s">
        <v>363</v>
      </c>
      <c r="B143" s="121" t="s">
        <v>515</v>
      </c>
      <c r="C143" s="71"/>
      <c r="D143" s="368"/>
      <c r="E143" s="368">
        <f t="shared" si="2"/>
        <v>0</v>
      </c>
    </row>
    <row r="144" spans="1:5" ht="12" customHeight="1" thickBot="1">
      <c r="A144" s="113" t="s">
        <v>365</v>
      </c>
      <c r="B144" s="122" t="s">
        <v>516</v>
      </c>
      <c r="C144" s="79"/>
      <c r="D144" s="368"/>
      <c r="E144" s="368">
        <f t="shared" si="2"/>
        <v>0</v>
      </c>
    </row>
    <row r="145" spans="1:7" ht="12" customHeight="1" thickBot="1">
      <c r="A145" s="62" t="s">
        <v>177</v>
      </c>
      <c r="B145" s="63" t="s">
        <v>517</v>
      </c>
      <c r="C145" s="64">
        <f>+C146+C147+C148+C149</f>
        <v>40868059</v>
      </c>
      <c r="D145" s="366">
        <v>31426346</v>
      </c>
      <c r="E145" s="366">
        <f t="shared" si="2"/>
        <v>9441713</v>
      </c>
    </row>
    <row r="146" spans="1:7" ht="12" customHeight="1">
      <c r="A146" s="66" t="s">
        <v>378</v>
      </c>
      <c r="B146" s="121" t="s">
        <v>518</v>
      </c>
      <c r="C146" s="71"/>
      <c r="D146" s="368">
        <v>0</v>
      </c>
      <c r="E146" s="368">
        <f t="shared" si="2"/>
        <v>0</v>
      </c>
    </row>
    <row r="147" spans="1:7" ht="12" customHeight="1">
      <c r="A147" s="66" t="s">
        <v>380</v>
      </c>
      <c r="B147" s="121" t="s">
        <v>519</v>
      </c>
      <c r="C147" s="71">
        <f>'3. melléklet'!D34</f>
        <v>40868059</v>
      </c>
      <c r="D147" s="368">
        <v>31426346</v>
      </c>
      <c r="E147" s="368">
        <f t="shared" si="2"/>
        <v>9441713</v>
      </c>
    </row>
    <row r="148" spans="1:7" ht="12" customHeight="1">
      <c r="A148" s="66" t="s">
        <v>382</v>
      </c>
      <c r="B148" s="121" t="s">
        <v>293</v>
      </c>
      <c r="C148" s="71"/>
      <c r="D148" s="368">
        <v>0</v>
      </c>
      <c r="E148" s="368">
        <f t="shared" si="2"/>
        <v>0</v>
      </c>
    </row>
    <row r="149" spans="1:7" ht="12" customHeight="1" thickBot="1">
      <c r="A149" s="111" t="s">
        <v>384</v>
      </c>
      <c r="B149" s="123" t="s">
        <v>299</v>
      </c>
      <c r="C149" s="71"/>
      <c r="D149" s="368">
        <v>0</v>
      </c>
      <c r="E149" s="368">
        <f t="shared" si="2"/>
        <v>0</v>
      </c>
    </row>
    <row r="150" spans="1:7" ht="12" customHeight="1" thickBot="1">
      <c r="A150" s="62" t="s">
        <v>178</v>
      </c>
      <c r="B150" s="63" t="s">
        <v>520</v>
      </c>
      <c r="C150" s="124">
        <f>SUM(C151:C155)</f>
        <v>0</v>
      </c>
      <c r="D150" s="208">
        <v>0</v>
      </c>
      <c r="E150" s="208">
        <f t="shared" si="2"/>
        <v>0</v>
      </c>
    </row>
    <row r="151" spans="1:7" ht="12" customHeight="1">
      <c r="A151" s="66" t="s">
        <v>390</v>
      </c>
      <c r="B151" s="121" t="s">
        <v>521</v>
      </c>
      <c r="C151" s="71"/>
      <c r="D151" s="368">
        <v>0</v>
      </c>
      <c r="E151" s="368">
        <f t="shared" si="2"/>
        <v>0</v>
      </c>
    </row>
    <row r="152" spans="1:7" ht="12" customHeight="1">
      <c r="A152" s="66" t="s">
        <v>392</v>
      </c>
      <c r="B152" s="121" t="s">
        <v>522</v>
      </c>
      <c r="C152" s="71"/>
      <c r="D152" s="368">
        <v>0</v>
      </c>
      <c r="E152" s="368">
        <f t="shared" si="2"/>
        <v>0</v>
      </c>
    </row>
    <row r="153" spans="1:7" ht="12" customHeight="1">
      <c r="A153" s="66" t="s">
        <v>394</v>
      </c>
      <c r="B153" s="121" t="s">
        <v>523</v>
      </c>
      <c r="C153" s="71"/>
      <c r="D153" s="368">
        <v>0</v>
      </c>
      <c r="E153" s="368">
        <f t="shared" si="2"/>
        <v>0</v>
      </c>
    </row>
    <row r="154" spans="1:7" ht="12" customHeight="1">
      <c r="A154" s="66" t="s">
        <v>396</v>
      </c>
      <c r="B154" s="121" t="s">
        <v>524</v>
      </c>
      <c r="C154" s="71"/>
      <c r="D154" s="368">
        <v>0</v>
      </c>
      <c r="E154" s="368">
        <f t="shared" si="2"/>
        <v>0</v>
      </c>
    </row>
    <row r="155" spans="1:7" ht="12" customHeight="1" thickBot="1">
      <c r="A155" s="66" t="s">
        <v>525</v>
      </c>
      <c r="B155" s="121" t="s">
        <v>526</v>
      </c>
      <c r="C155" s="71"/>
      <c r="D155" s="368">
        <v>0</v>
      </c>
      <c r="E155" s="368">
        <f t="shared" si="2"/>
        <v>0</v>
      </c>
    </row>
    <row r="156" spans="1:7" ht="12" customHeight="1" thickBot="1">
      <c r="A156" s="62" t="s">
        <v>179</v>
      </c>
      <c r="B156" s="63" t="s">
        <v>527</v>
      </c>
      <c r="C156" s="125"/>
      <c r="D156" s="209"/>
      <c r="E156" s="209">
        <f t="shared" si="2"/>
        <v>0</v>
      </c>
    </row>
    <row r="157" spans="1:7" ht="12" customHeight="1" thickBot="1">
      <c r="A157" s="62" t="s">
        <v>180</v>
      </c>
      <c r="B157" s="63" t="s">
        <v>294</v>
      </c>
      <c r="C157" s="125"/>
      <c r="D157" s="209"/>
      <c r="E157" s="209">
        <f t="shared" si="2"/>
        <v>0</v>
      </c>
    </row>
    <row r="158" spans="1:7" ht="15.2" customHeight="1" thickBot="1">
      <c r="A158" s="119" t="s">
        <v>181</v>
      </c>
      <c r="B158" s="120" t="s">
        <v>528</v>
      </c>
      <c r="C158" s="227">
        <f>+C134+C138+C145+C150+C156+C157</f>
        <v>57989514.861111112</v>
      </c>
      <c r="D158" s="228">
        <v>38895411</v>
      </c>
      <c r="E158" s="228">
        <f t="shared" si="2"/>
        <v>19094103.861111112</v>
      </c>
      <c r="F158" s="1122"/>
    </row>
    <row r="159" spans="1:7" s="65" customFormat="1" ht="12.95" customHeight="1" thickBot="1">
      <c r="A159" s="127" t="s">
        <v>182</v>
      </c>
      <c r="B159" s="128" t="s">
        <v>529</v>
      </c>
      <c r="C159" s="229">
        <f>+C133+C158</f>
        <v>3938130174.4355259</v>
      </c>
      <c r="D159" s="230">
        <v>5521691920</v>
      </c>
      <c r="E159" s="230">
        <f t="shared" si="2"/>
        <v>-1583561745.5644741</v>
      </c>
      <c r="F159" s="1120">
        <f>C159-'3. melléklet'!D37</f>
        <v>0</v>
      </c>
      <c r="G159" s="57"/>
    </row>
    <row r="160" spans="1:7" s="360" customFormat="1">
      <c r="C160" s="375"/>
      <c r="D160" s="414"/>
      <c r="E160" s="414"/>
      <c r="F160" s="1119"/>
      <c r="G160" s="361"/>
    </row>
    <row r="161" spans="1:7" s="360" customFormat="1" ht="15.75">
      <c r="A161" s="1208" t="s">
        <v>530</v>
      </c>
      <c r="B161" s="1208"/>
      <c r="C161" s="1208"/>
      <c r="D161" s="414"/>
      <c r="E161" s="414"/>
      <c r="F161" s="1119"/>
      <c r="G161" s="361"/>
    </row>
    <row r="162" spans="1:7" ht="15.2" customHeight="1" thickBot="1">
      <c r="A162" s="1209"/>
      <c r="B162" s="1209"/>
      <c r="C162" s="129"/>
      <c r="D162" s="493"/>
      <c r="E162" s="493"/>
    </row>
    <row r="163" spans="1:7" ht="25.5" customHeight="1" thickBot="1">
      <c r="A163" s="62">
        <v>1</v>
      </c>
      <c r="B163" s="130" t="s">
        <v>531</v>
      </c>
      <c r="C163" s="131">
        <f>+C67-C133</f>
        <v>-832457596.60900211</v>
      </c>
      <c r="D163" s="376">
        <f>+D67-D133</f>
        <v>-1157131867</v>
      </c>
      <c r="E163" s="376">
        <f>C163-D163</f>
        <v>324674270.39099789</v>
      </c>
    </row>
    <row r="164" spans="1:7" ht="32.450000000000003" customHeight="1" thickBot="1">
      <c r="A164" s="370" t="s">
        <v>173</v>
      </c>
      <c r="B164" s="371" t="s">
        <v>555</v>
      </c>
      <c r="C164" s="372">
        <f>+C91-C158</f>
        <v>832457596.13888884</v>
      </c>
      <c r="D164" s="372">
        <f>+D91-D158</f>
        <v>1157131867</v>
      </c>
      <c r="E164" s="362">
        <f>C164-D164</f>
        <v>-324674270.86111116</v>
      </c>
    </row>
    <row r="165" spans="1:7">
      <c r="A165" s="1123" t="s">
        <v>1055</v>
      </c>
      <c r="B165" s="1124" t="s">
        <v>1056</v>
      </c>
      <c r="C165" s="1125">
        <f>C163+C164</f>
        <v>-0.47011327743530273</v>
      </c>
      <c r="D165" s="1125">
        <f>D163+D164</f>
        <v>0</v>
      </c>
      <c r="E165" s="372">
        <f>E163+E164</f>
        <v>-0.47011327743530273</v>
      </c>
    </row>
  </sheetData>
  <mergeCells count="14">
    <mergeCell ref="A6:B6"/>
    <mergeCell ref="A161:C161"/>
    <mergeCell ref="A162:B162"/>
    <mergeCell ref="A7:A8"/>
    <mergeCell ref="B7:B8"/>
    <mergeCell ref="A93:C93"/>
    <mergeCell ref="A94:B94"/>
    <mergeCell ref="A95:A96"/>
    <mergeCell ref="B95:B96"/>
    <mergeCell ref="B1:C1"/>
    <mergeCell ref="A2:C2"/>
    <mergeCell ref="A3:C3"/>
    <mergeCell ref="A4:C4"/>
    <mergeCell ref="A5:C5"/>
  </mergeCells>
  <pageMargins left="0.19685039370078741" right="0.11811023622047245" top="0.35433070866141736" bottom="0.55118110236220474" header="0.31496062992125984" footer="0.31496062992125984"/>
  <pageSetup paperSize="9" fitToHeight="0" orientation="landscape" r:id="rId1"/>
  <headerFooter>
    <oddHeader>&amp;RRáckeve Város 2020 évi költségvetés melléklete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36"/>
  <sheetViews>
    <sheetView workbookViewId="0">
      <selection activeCell="C3" sqref="C3"/>
    </sheetView>
  </sheetViews>
  <sheetFormatPr defaultColWidth="10.85546875" defaultRowHeight="12.75"/>
  <cols>
    <col min="1" max="1" width="6.140625" style="2" customWidth="1"/>
    <col min="2" max="2" width="47.42578125" style="2" customWidth="1"/>
    <col min="3" max="3" width="24" style="438" customWidth="1"/>
    <col min="4" max="6" width="12.7109375" style="2" customWidth="1"/>
    <col min="7" max="7" width="14.140625" style="2" customWidth="1"/>
    <col min="8" max="8" width="14.42578125" style="2" customWidth="1"/>
    <col min="9" max="16384" width="10.85546875" style="2"/>
  </cols>
  <sheetData>
    <row r="2" spans="1:9" s="1" customFormat="1" ht="24" customHeight="1">
      <c r="B2" s="1234" t="s">
        <v>1076</v>
      </c>
      <c r="C2" s="1234"/>
      <c r="G2" s="1239"/>
      <c r="H2" s="1240"/>
    </row>
    <row r="3" spans="1:9" s="1" customFormat="1">
      <c r="B3" s="27"/>
      <c r="C3" s="1128" t="s">
        <v>1715</v>
      </c>
      <c r="G3" s="1239"/>
      <c r="H3" s="1240"/>
    </row>
    <row r="4" spans="1:9" ht="13.5" thickBot="1">
      <c r="B4" s="12"/>
      <c r="C4" s="1129"/>
      <c r="F4" s="1"/>
      <c r="G4" s="1239"/>
      <c r="H4" s="1240"/>
      <c r="I4" s="1"/>
    </row>
    <row r="5" spans="1:9" ht="27.75" customHeight="1" thickBot="1">
      <c r="A5" s="1237" t="s">
        <v>533</v>
      </c>
      <c r="B5" s="1238"/>
      <c r="C5" s="1130">
        <v>2020</v>
      </c>
      <c r="F5" s="1"/>
      <c r="G5" s="1239"/>
      <c r="H5" s="1240"/>
      <c r="I5" s="1"/>
    </row>
    <row r="6" spans="1:9" ht="17.25" customHeight="1" thickBot="1">
      <c r="A6" s="2" t="s">
        <v>287</v>
      </c>
      <c r="B6" s="32" t="s">
        <v>268</v>
      </c>
      <c r="C6" s="1131" t="s">
        <v>288</v>
      </c>
      <c r="F6" s="1"/>
      <c r="G6" s="1239"/>
      <c r="H6" s="1240"/>
      <c r="I6" s="1"/>
    </row>
    <row r="7" spans="1:9" ht="26.25" thickBot="1">
      <c r="A7" s="39" t="s">
        <v>544</v>
      </c>
      <c r="B7" s="41" t="s">
        <v>546</v>
      </c>
      <c r="C7" s="40">
        <f>SUM(C8:C11)</f>
        <v>23898497.965412691</v>
      </c>
    </row>
    <row r="8" spans="1:9">
      <c r="A8" s="33"/>
      <c r="B8" s="29" t="s">
        <v>165</v>
      </c>
      <c r="C8" s="845">
        <v>8794233</v>
      </c>
      <c r="F8" s="1"/>
      <c r="G8" s="1239"/>
      <c r="H8" s="1240"/>
      <c r="I8" s="1"/>
    </row>
    <row r="9" spans="1:9">
      <c r="A9" s="33"/>
      <c r="B9" s="29"/>
      <c r="C9" s="36"/>
      <c r="F9" s="1"/>
      <c r="G9" s="1239"/>
      <c r="H9" s="1240"/>
      <c r="I9" s="1"/>
    </row>
    <row r="10" spans="1:9">
      <c r="A10" s="33"/>
      <c r="B10" s="29"/>
      <c r="C10" s="36"/>
      <c r="F10" s="1"/>
      <c r="G10" s="1239"/>
      <c r="H10" s="1240"/>
      <c r="I10" s="1"/>
    </row>
    <row r="11" spans="1:9" ht="13.5" thickBot="1">
      <c r="A11" s="33"/>
      <c r="B11" s="29" t="s">
        <v>125</v>
      </c>
      <c r="C11" s="625">
        <v>15104264.965412689</v>
      </c>
      <c r="F11" s="1"/>
      <c r="G11" s="1239"/>
      <c r="H11" s="1240"/>
      <c r="I11" s="1"/>
    </row>
    <row r="12" spans="1:9" s="12" customFormat="1" ht="18" customHeight="1" thickBot="1">
      <c r="A12" s="39" t="s">
        <v>545</v>
      </c>
      <c r="B12" s="39" t="s">
        <v>543</v>
      </c>
      <c r="C12" s="40">
        <f>SUM(C13:C17)</f>
        <v>0</v>
      </c>
      <c r="F12" s="34"/>
      <c r="G12" s="1241"/>
      <c r="H12" s="1242"/>
      <c r="I12" s="34"/>
    </row>
    <row r="13" spans="1:9">
      <c r="A13" s="33"/>
      <c r="B13" s="37"/>
      <c r="C13" s="38"/>
      <c r="F13" s="1"/>
      <c r="G13" s="1239"/>
      <c r="H13" s="1240"/>
      <c r="I13" s="1"/>
    </row>
    <row r="14" spans="1:9">
      <c r="A14" s="33"/>
      <c r="B14" s="29"/>
      <c r="C14" s="36"/>
      <c r="F14" s="1"/>
      <c r="G14" s="1239"/>
      <c r="H14" s="1240"/>
      <c r="I14" s="1"/>
    </row>
    <row r="15" spans="1:9">
      <c r="A15" s="33"/>
      <c r="B15" s="29"/>
      <c r="C15" s="36"/>
      <c r="F15" s="1"/>
      <c r="G15" s="1239"/>
      <c r="H15" s="1240"/>
      <c r="I15" s="1"/>
    </row>
    <row r="16" spans="1:9">
      <c r="A16" s="33"/>
      <c r="B16" s="29"/>
      <c r="C16" s="36"/>
      <c r="F16" s="1"/>
      <c r="G16" s="8"/>
      <c r="H16" s="9"/>
      <c r="I16" s="1"/>
    </row>
    <row r="17" spans="1:9" ht="13.5" thickBot="1">
      <c r="A17" s="33"/>
      <c r="B17" s="29"/>
      <c r="C17" s="36">
        <v>0</v>
      </c>
      <c r="F17" s="1"/>
      <c r="G17" s="1239"/>
      <c r="H17" s="1240"/>
      <c r="I17" s="1"/>
    </row>
    <row r="18" spans="1:9" s="12" customFormat="1" ht="26.25" customHeight="1" thickBot="1">
      <c r="A18" s="39" t="s">
        <v>115</v>
      </c>
      <c r="B18" s="41" t="s">
        <v>548</v>
      </c>
      <c r="C18" s="40">
        <f>SUM(C19:C26)</f>
        <v>706746293</v>
      </c>
      <c r="D18" s="46"/>
      <c r="F18" s="34"/>
      <c r="G18" s="1241"/>
      <c r="H18" s="1242"/>
      <c r="I18" s="34"/>
    </row>
    <row r="19" spans="1:9" ht="15">
      <c r="A19" s="33"/>
      <c r="B19" s="30" t="s">
        <v>684</v>
      </c>
      <c r="C19" s="318">
        <v>67535078</v>
      </c>
      <c r="E19" s="47"/>
      <c r="F19" s="1"/>
      <c r="G19" s="225"/>
      <c r="H19" s="226"/>
      <c r="I19" s="1"/>
    </row>
    <row r="20" spans="1:9">
      <c r="A20" s="33"/>
      <c r="B20" s="30"/>
      <c r="C20" s="319"/>
      <c r="E20" s="47"/>
      <c r="F20" s="1"/>
      <c r="G20" s="225"/>
      <c r="H20" s="226"/>
      <c r="I20" s="1"/>
    </row>
    <row r="21" spans="1:9" ht="15">
      <c r="A21" s="33"/>
      <c r="B21" s="30" t="s">
        <v>685</v>
      </c>
      <c r="C21" s="318">
        <v>49999365</v>
      </c>
      <c r="E21" s="47"/>
      <c r="F21" s="1"/>
      <c r="G21" s="225"/>
      <c r="H21" s="226"/>
      <c r="I21" s="1"/>
    </row>
    <row r="22" spans="1:9">
      <c r="A22" s="33"/>
      <c r="B22" s="29" t="s">
        <v>1480</v>
      </c>
      <c r="C22" s="36">
        <v>24504985</v>
      </c>
      <c r="F22" s="1"/>
      <c r="G22" s="1239"/>
      <c r="H22" s="1240"/>
      <c r="I22" s="1"/>
    </row>
    <row r="23" spans="1:9" s="28" customFormat="1" ht="15">
      <c r="A23" s="43"/>
      <c r="B23" s="30" t="s">
        <v>944</v>
      </c>
      <c r="C23" s="318">
        <v>11664092</v>
      </c>
      <c r="D23" s="2"/>
      <c r="E23" s="48"/>
      <c r="F23" s="1"/>
      <c r="G23" s="1239"/>
      <c r="H23" s="1240"/>
      <c r="I23" s="1"/>
    </row>
    <row r="24" spans="1:9">
      <c r="A24" s="33"/>
      <c r="B24" s="29" t="s">
        <v>163</v>
      </c>
      <c r="C24" s="5">
        <v>0</v>
      </c>
      <c r="F24" s="1"/>
      <c r="G24" s="1239"/>
      <c r="H24" s="1240"/>
      <c r="I24" s="1"/>
    </row>
    <row r="25" spans="1:9">
      <c r="A25" s="33"/>
      <c r="B25" s="29"/>
      <c r="C25" s="5"/>
      <c r="E25" s="3"/>
      <c r="F25" s="1"/>
      <c r="G25" s="1239"/>
      <c r="H25" s="1240"/>
      <c r="I25" s="1"/>
    </row>
    <row r="26" spans="1:9" ht="13.5" thickBot="1">
      <c r="A26" s="42"/>
      <c r="B26" s="29" t="s">
        <v>160</v>
      </c>
      <c r="C26" s="7">
        <f>'4.beruházás'!D8</f>
        <v>553042773</v>
      </c>
      <c r="D26" s="438"/>
      <c r="E26" s="54"/>
      <c r="F26" s="50"/>
      <c r="G26" s="1239"/>
      <c r="H26" s="1240"/>
      <c r="I26" s="1"/>
    </row>
    <row r="27" spans="1:9" s="12" customFormat="1" ht="18" customHeight="1" thickTop="1" thickBot="1">
      <c r="A27" s="39" t="s">
        <v>117</v>
      </c>
      <c r="B27" s="39" t="s">
        <v>547</v>
      </c>
      <c r="C27" s="40">
        <f>SUM(C28:C29)</f>
        <v>60459000</v>
      </c>
      <c r="D27" s="46"/>
      <c r="E27" s="21"/>
      <c r="F27" s="51"/>
      <c r="G27" s="1241"/>
      <c r="H27" s="1242"/>
      <c r="I27" s="34"/>
    </row>
    <row r="28" spans="1:9" s="28" customFormat="1">
      <c r="A28" s="44"/>
      <c r="B28" s="31" t="s">
        <v>4</v>
      </c>
      <c r="C28" s="6">
        <f>58500000-14041000+16000000</f>
        <v>60459000</v>
      </c>
      <c r="D28" s="317"/>
      <c r="E28" s="49"/>
      <c r="F28" s="52"/>
      <c r="G28" s="1239"/>
      <c r="H28" s="1240"/>
      <c r="I28" s="1"/>
    </row>
    <row r="29" spans="1:9">
      <c r="A29" s="42"/>
      <c r="B29" s="29"/>
      <c r="C29" s="5"/>
      <c r="E29" s="49"/>
      <c r="F29" s="50"/>
      <c r="G29" s="1239"/>
      <c r="H29" s="1240"/>
      <c r="I29" s="1"/>
    </row>
    <row r="30" spans="1:9">
      <c r="E30" s="49"/>
      <c r="F30" s="49"/>
    </row>
    <row r="31" spans="1:9">
      <c r="E31" s="49"/>
      <c r="F31" s="49"/>
    </row>
    <row r="32" spans="1:9">
      <c r="E32" s="53"/>
      <c r="F32" s="53"/>
    </row>
    <row r="33" spans="5:6">
      <c r="E33" s="49"/>
      <c r="F33" s="49"/>
    </row>
    <row r="34" spans="5:6">
      <c r="E34" s="49"/>
      <c r="F34" s="49"/>
    </row>
    <row r="35" spans="5:6">
      <c r="E35" s="54"/>
      <c r="F35" s="49"/>
    </row>
    <row r="36" spans="5:6">
      <c r="E36" s="52"/>
      <c r="F36" s="49"/>
    </row>
  </sheetData>
  <mergeCells count="25">
    <mergeCell ref="G27:H27"/>
    <mergeCell ref="G29:H29"/>
    <mergeCell ref="G28:H28"/>
    <mergeCell ref="G23:H23"/>
    <mergeCell ref="G24:H24"/>
    <mergeCell ref="G25:H25"/>
    <mergeCell ref="G26:H26"/>
    <mergeCell ref="G9:H9"/>
    <mergeCell ref="G11:H11"/>
    <mergeCell ref="G22:H22"/>
    <mergeCell ref="G13:H13"/>
    <mergeCell ref="G14:H14"/>
    <mergeCell ref="G15:H15"/>
    <mergeCell ref="G17:H17"/>
    <mergeCell ref="G18:H18"/>
    <mergeCell ref="G10:H10"/>
    <mergeCell ref="G12:H12"/>
    <mergeCell ref="A5:B5"/>
    <mergeCell ref="G2:H2"/>
    <mergeCell ref="B2:C2"/>
    <mergeCell ref="G8:H8"/>
    <mergeCell ref="G3:H3"/>
    <mergeCell ref="G4:H4"/>
    <mergeCell ref="G5:H5"/>
    <mergeCell ref="G6:H6"/>
  </mergeCells>
  <phoneticPr fontId="10" type="noConversion"/>
  <pageMargins left="0.19685039370078741" right="0.11811023622047245" top="0.35433070866141736" bottom="0.55118110236220474" header="0.31496062992125984" footer="0.31496062992125984"/>
  <pageSetup paperSize="9" fitToHeight="0" orientation="landscape" r:id="rId1"/>
  <headerFooter>
    <oddHeader>&amp;RRáckeve Város 2020 évi költségvetés melléklete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5"/>
  <sheetViews>
    <sheetView zoomScaleNormal="100" workbookViewId="0">
      <selection activeCell="D11" sqref="D11"/>
    </sheetView>
  </sheetViews>
  <sheetFormatPr defaultRowHeight="12.75"/>
  <cols>
    <col min="1" max="1" width="5.7109375" style="951" customWidth="1"/>
    <col min="2" max="2" width="3.42578125" style="956" customWidth="1"/>
    <col min="3" max="3" width="36.7109375" style="1001" customWidth="1"/>
    <col min="4" max="5" width="13.140625" style="956" customWidth="1"/>
    <col min="6" max="9" width="13.140625" style="958" customWidth="1"/>
    <col min="10" max="10" width="13.140625" style="956" customWidth="1"/>
    <col min="11" max="12" width="13.140625" style="958" customWidth="1"/>
    <col min="13" max="14" width="13.140625" style="956" customWidth="1"/>
    <col min="15" max="15" width="4" style="951" customWidth="1"/>
    <col min="16" max="24" width="9.140625" style="1002"/>
    <col min="25" max="25" width="9.140625" style="951"/>
    <col min="26" max="26" width="9.42578125" style="951" bestFit="1" customWidth="1"/>
    <col min="27" max="16384" width="9.140625" style="951"/>
  </cols>
  <sheetData>
    <row r="1" spans="1:24">
      <c r="B1" s="952"/>
      <c r="C1" s="953"/>
      <c r="D1" s="952"/>
      <c r="E1" s="952"/>
      <c r="F1" s="954"/>
      <c r="G1" s="954"/>
      <c r="H1" s="954"/>
      <c r="I1" s="954"/>
      <c r="J1" s="952"/>
      <c r="K1" s="954"/>
      <c r="L1" s="954"/>
      <c r="M1" s="952"/>
      <c r="N1" s="952"/>
      <c r="P1" s="951"/>
      <c r="Q1" s="951"/>
      <c r="R1" s="951"/>
      <c r="S1" s="951"/>
      <c r="T1" s="951"/>
      <c r="U1" s="951"/>
      <c r="V1" s="951"/>
      <c r="W1" s="951"/>
      <c r="X1" s="951"/>
    </row>
    <row r="2" spans="1:24" ht="15" customHeight="1">
      <c r="B2" s="1132" t="s">
        <v>1716</v>
      </c>
      <c r="C2" s="1132"/>
      <c r="D2" s="1132"/>
      <c r="E2" s="1115"/>
      <c r="F2" s="1115"/>
      <c r="G2" s="955"/>
      <c r="H2" s="955"/>
      <c r="I2" s="955"/>
      <c r="J2" s="955"/>
      <c r="K2" s="955"/>
      <c r="L2" s="955"/>
      <c r="M2" s="955"/>
      <c r="N2" s="955"/>
      <c r="P2" s="951"/>
      <c r="Q2" s="951"/>
      <c r="R2" s="951"/>
      <c r="S2" s="951"/>
      <c r="T2" s="951"/>
      <c r="U2" s="951"/>
      <c r="V2" s="951"/>
      <c r="W2" s="951"/>
      <c r="X2" s="951"/>
    </row>
    <row r="3" spans="1:24" ht="13.5" thickBot="1">
      <c r="C3" s="957"/>
      <c r="N3" s="1128" t="s">
        <v>1627</v>
      </c>
      <c r="P3" s="951"/>
      <c r="Q3" s="951"/>
      <c r="R3" s="951"/>
      <c r="S3" s="951"/>
      <c r="T3" s="951"/>
      <c r="U3" s="951"/>
      <c r="V3" s="951"/>
      <c r="W3" s="951"/>
      <c r="X3" s="951"/>
    </row>
    <row r="4" spans="1:24" s="962" customFormat="1" ht="54.75" customHeight="1" thickBot="1">
      <c r="A4" s="959"/>
      <c r="B4" s="1243" t="s">
        <v>171</v>
      </c>
      <c r="C4" s="1244" t="s">
        <v>556</v>
      </c>
      <c r="D4" s="960" t="s">
        <v>275</v>
      </c>
      <c r="E4" s="960" t="s">
        <v>273</v>
      </c>
      <c r="F4" s="960" t="s">
        <v>119</v>
      </c>
      <c r="G4" s="960" t="s">
        <v>169</v>
      </c>
      <c r="H4" s="960" t="s">
        <v>120</v>
      </c>
      <c r="I4" s="960" t="s">
        <v>168</v>
      </c>
      <c r="J4" s="960" t="s">
        <v>121</v>
      </c>
      <c r="K4" s="960" t="s">
        <v>274</v>
      </c>
      <c r="L4" s="960" t="s">
        <v>122</v>
      </c>
      <c r="M4" s="960" t="s">
        <v>123</v>
      </c>
      <c r="N4" s="960" t="s">
        <v>124</v>
      </c>
      <c r="O4" s="961"/>
    </row>
    <row r="5" spans="1:24" s="965" customFormat="1" ht="37.5" customHeight="1" thickBot="1">
      <c r="A5" s="963"/>
      <c r="B5" s="1243"/>
      <c r="C5" s="1245"/>
      <c r="D5" s="964" t="s">
        <v>270</v>
      </c>
      <c r="E5" s="964" t="s">
        <v>270</v>
      </c>
      <c r="F5" s="964" t="s">
        <v>270</v>
      </c>
      <c r="G5" s="964" t="s">
        <v>270</v>
      </c>
      <c r="H5" s="964" t="s">
        <v>270</v>
      </c>
      <c r="I5" s="964" t="s">
        <v>270</v>
      </c>
      <c r="J5" s="964" t="s">
        <v>270</v>
      </c>
      <c r="K5" s="964" t="s">
        <v>270</v>
      </c>
      <c r="L5" s="964" t="s">
        <v>270</v>
      </c>
      <c r="M5" s="964" t="s">
        <v>270</v>
      </c>
      <c r="N5" s="964" t="s">
        <v>270</v>
      </c>
      <c r="O5" s="963"/>
    </row>
    <row r="6" spans="1:24" s="965" customFormat="1" ht="13.5" customHeight="1" thickBot="1">
      <c r="A6" s="963"/>
      <c r="B6" s="964" t="s">
        <v>287</v>
      </c>
      <c r="C6" s="964" t="s">
        <v>268</v>
      </c>
      <c r="D6" s="966" t="s">
        <v>288</v>
      </c>
      <c r="E6" s="966" t="s">
        <v>288</v>
      </c>
      <c r="F6" s="966" t="s">
        <v>288</v>
      </c>
      <c r="G6" s="966" t="s">
        <v>288</v>
      </c>
      <c r="H6" s="966" t="s">
        <v>288</v>
      </c>
      <c r="I6" s="966" t="s">
        <v>288</v>
      </c>
      <c r="J6" s="966" t="s">
        <v>288</v>
      </c>
      <c r="K6" s="966" t="s">
        <v>288</v>
      </c>
      <c r="L6" s="966" t="s">
        <v>288</v>
      </c>
      <c r="M6" s="966" t="s">
        <v>288</v>
      </c>
      <c r="N6" s="966" t="s">
        <v>288</v>
      </c>
      <c r="O6" s="963"/>
    </row>
    <row r="7" spans="1:24" s="962" customFormat="1" ht="15.75" customHeight="1">
      <c r="B7" s="967" t="s">
        <v>172</v>
      </c>
      <c r="C7" s="968" t="s">
        <v>557</v>
      </c>
      <c r="D7" s="969">
        <f t="shared" ref="D7:D29" si="0">E7+F7+G7+H7+I7+J7+K7+L7+M7+N7</f>
        <v>983392540</v>
      </c>
      <c r="E7" s="970">
        <f>'3a önkormányzat részletezése'!H38</f>
        <v>48273611</v>
      </c>
      <c r="F7" s="969">
        <f>Munka1!AY27</f>
        <v>155461600</v>
      </c>
      <c r="G7" s="969">
        <f>Munka1!BB27</f>
        <v>99141849</v>
      </c>
      <c r="H7" s="969">
        <f>Munka1!AG27</f>
        <v>108721707</v>
      </c>
      <c r="I7" s="969">
        <f>Munka1!AP27</f>
        <v>259210003</v>
      </c>
      <c r="J7" s="970">
        <f>Munka1!CR27</f>
        <v>30210697</v>
      </c>
      <c r="K7" s="969">
        <f>Munka1!AJ27</f>
        <v>19375952</v>
      </c>
      <c r="L7" s="969">
        <f>Munka1!AM27</f>
        <v>22365002</v>
      </c>
      <c r="M7" s="970">
        <f>Munka1!BK27</f>
        <v>176533583</v>
      </c>
      <c r="N7" s="970">
        <v>64098536</v>
      </c>
    </row>
    <row r="8" spans="1:24" s="962" customFormat="1" ht="24" customHeight="1">
      <c r="B8" s="971" t="s">
        <v>173</v>
      </c>
      <c r="C8" s="972" t="s">
        <v>558</v>
      </c>
      <c r="D8" s="969">
        <f t="shared" si="0"/>
        <v>184289834.5</v>
      </c>
      <c r="E8" s="973">
        <f>'3a önkormányzat részletezése'!I38</f>
        <v>9128041.5</v>
      </c>
      <c r="F8" s="974">
        <f>Munka1!AY28</f>
        <v>29841845</v>
      </c>
      <c r="G8" s="974">
        <f>Munka1!BB28</f>
        <v>18385032</v>
      </c>
      <c r="H8" s="969">
        <f>Munka1!AG28</f>
        <v>20176722</v>
      </c>
      <c r="I8" s="969">
        <f>Munka1!AP28</f>
        <v>49600696</v>
      </c>
      <c r="J8" s="970">
        <f>Munka1!CR28</f>
        <v>5586467</v>
      </c>
      <c r="K8" s="969">
        <f>Munka1!AJ28</f>
        <v>3434592</v>
      </c>
      <c r="L8" s="969">
        <f>Munka1!AM28</f>
        <v>4002375</v>
      </c>
      <c r="M8" s="973">
        <f>Munka1!BK28</f>
        <v>32657255</v>
      </c>
      <c r="N8" s="973">
        <v>11476809</v>
      </c>
    </row>
    <row r="9" spans="1:24" s="962" customFormat="1" ht="15.75" customHeight="1">
      <c r="B9" s="971" t="s">
        <v>174</v>
      </c>
      <c r="C9" s="972" t="s">
        <v>559</v>
      </c>
      <c r="D9" s="969">
        <f t="shared" si="0"/>
        <v>661367710.23000002</v>
      </c>
      <c r="E9" s="973">
        <f>'3a önkormányzat részletezése'!J38</f>
        <v>197954302</v>
      </c>
      <c r="F9" s="974">
        <f>Munka1!AY53</f>
        <v>36173777.829999998</v>
      </c>
      <c r="G9" s="974">
        <f>Munka1!BB53</f>
        <v>199853885</v>
      </c>
      <c r="H9" s="974">
        <f>Munka1!AG53</f>
        <v>22298882</v>
      </c>
      <c r="I9" s="974">
        <f>Munka1!AP53</f>
        <v>25676750</v>
      </c>
      <c r="J9" s="973">
        <f>Munka1!CT53</f>
        <v>38553758.399999999</v>
      </c>
      <c r="K9" s="974">
        <f>Munka1!AJ53</f>
        <v>16010260</v>
      </c>
      <c r="L9" s="974">
        <f>Munka1!AM53</f>
        <v>13299485</v>
      </c>
      <c r="M9" s="973">
        <f>Munka1!BK53</f>
        <v>109461769</v>
      </c>
      <c r="N9" s="973">
        <v>2084841</v>
      </c>
    </row>
    <row r="10" spans="1:24" s="962" customFormat="1" ht="15.75" customHeight="1">
      <c r="B10" s="971" t="s">
        <v>175</v>
      </c>
      <c r="C10" s="972" t="s">
        <v>560</v>
      </c>
      <c r="D10" s="969">
        <f t="shared" si="0"/>
        <v>13000000</v>
      </c>
      <c r="E10" s="973">
        <f>'6. pénz.átad műk2020'!F50</f>
        <v>13000000</v>
      </c>
      <c r="F10" s="974"/>
      <c r="G10" s="974"/>
      <c r="H10" s="974"/>
      <c r="I10" s="974"/>
      <c r="J10" s="973"/>
      <c r="K10" s="974"/>
      <c r="L10" s="974"/>
      <c r="M10" s="973"/>
      <c r="N10" s="973"/>
    </row>
    <row r="11" spans="1:24" s="962" customFormat="1" ht="15.75" customHeight="1">
      <c r="B11" s="975" t="s">
        <v>176</v>
      </c>
      <c r="C11" s="976" t="s">
        <v>561</v>
      </c>
      <c r="D11" s="970">
        <f t="shared" si="0"/>
        <v>0</v>
      </c>
      <c r="E11" s="973"/>
      <c r="F11" s="974"/>
      <c r="G11" s="974"/>
      <c r="H11" s="974"/>
      <c r="I11" s="974"/>
      <c r="J11" s="973"/>
      <c r="K11" s="974"/>
      <c r="L11" s="974"/>
      <c r="M11" s="973"/>
      <c r="N11" s="973"/>
    </row>
    <row r="12" spans="1:24" s="962" customFormat="1" ht="24" customHeight="1">
      <c r="B12" s="975" t="s">
        <v>177</v>
      </c>
      <c r="C12" s="976" t="s">
        <v>562</v>
      </c>
      <c r="D12" s="970">
        <f t="shared" si="0"/>
        <v>0</v>
      </c>
      <c r="E12" s="973"/>
      <c r="F12" s="974"/>
      <c r="G12" s="974"/>
      <c r="H12" s="974"/>
      <c r="I12" s="974"/>
      <c r="J12" s="973"/>
      <c r="K12" s="974"/>
      <c r="L12" s="974"/>
      <c r="M12" s="973"/>
      <c r="N12" s="973"/>
    </row>
    <row r="13" spans="1:24" s="962" customFormat="1" ht="24" customHeight="1">
      <c r="B13" s="975" t="s">
        <v>178</v>
      </c>
      <c r="C13" s="976" t="s">
        <v>563</v>
      </c>
      <c r="D13" s="970">
        <f t="shared" si="0"/>
        <v>32000000</v>
      </c>
      <c r="E13" s="973">
        <f>'6. pénz.átad műk2020'!F20</f>
        <v>32000000</v>
      </c>
      <c r="F13" s="974"/>
      <c r="G13" s="974"/>
      <c r="H13" s="974"/>
      <c r="I13" s="974"/>
      <c r="J13" s="974"/>
      <c r="K13" s="974"/>
      <c r="L13" s="974"/>
      <c r="M13" s="974"/>
      <c r="N13" s="974"/>
    </row>
    <row r="14" spans="1:24" s="962" customFormat="1" ht="24" customHeight="1">
      <c r="B14" s="975" t="s">
        <v>179</v>
      </c>
      <c r="C14" s="976" t="s">
        <v>564</v>
      </c>
      <c r="D14" s="970">
        <f t="shared" si="0"/>
        <v>32000000</v>
      </c>
      <c r="E14" s="973"/>
      <c r="F14" s="974"/>
      <c r="G14" s="974"/>
      <c r="H14" s="974"/>
      <c r="I14" s="974"/>
      <c r="J14" s="973"/>
      <c r="K14" s="974"/>
      <c r="L14" s="974"/>
      <c r="M14" s="973"/>
      <c r="N14" s="973">
        <v>32000000</v>
      </c>
    </row>
    <row r="15" spans="1:24" s="962" customFormat="1" ht="24" customHeight="1">
      <c r="B15" s="975" t="s">
        <v>180</v>
      </c>
      <c r="C15" s="976" t="s">
        <v>565</v>
      </c>
      <c r="D15" s="970">
        <f t="shared" si="0"/>
        <v>260102566.34441459</v>
      </c>
      <c r="E15" s="973">
        <f>+'6. pénz.átad műk2020'!F18+'6. pénz.átad műk2020'!F13+'6. pénz.átad műk2020'!F54+'6. pénz.átad műk2020'!F56</f>
        <v>192663415.34441459</v>
      </c>
      <c r="F15" s="974"/>
      <c r="G15" s="974"/>
      <c r="H15" s="974"/>
      <c r="I15" s="974"/>
      <c r="J15" s="973"/>
      <c r="K15" s="974"/>
      <c r="L15" s="974"/>
      <c r="M15" s="973">
        <f>Munka1!BK71</f>
        <v>67439151</v>
      </c>
      <c r="N15" s="973"/>
    </row>
    <row r="16" spans="1:24" s="962" customFormat="1" ht="24" customHeight="1">
      <c r="B16" s="975" t="s">
        <v>181</v>
      </c>
      <c r="C16" s="976" t="s">
        <v>566</v>
      </c>
      <c r="D16" s="970">
        <f t="shared" si="0"/>
        <v>0</v>
      </c>
      <c r="E16" s="974"/>
      <c r="F16" s="974"/>
      <c r="G16" s="974"/>
      <c r="H16" s="974"/>
      <c r="I16" s="974"/>
      <c r="J16" s="974"/>
      <c r="K16" s="974"/>
      <c r="L16" s="974"/>
      <c r="M16" s="974"/>
      <c r="N16" s="974"/>
    </row>
    <row r="17" spans="2:24" s="962" customFormat="1" ht="24" customHeight="1">
      <c r="B17" s="975" t="s">
        <v>182</v>
      </c>
      <c r="C17" s="976" t="s">
        <v>567</v>
      </c>
      <c r="D17" s="970">
        <f t="shared" si="0"/>
        <v>0</v>
      </c>
      <c r="E17" s="973"/>
      <c r="F17" s="974"/>
      <c r="G17" s="974"/>
      <c r="H17" s="974"/>
      <c r="I17" s="974"/>
      <c r="J17" s="973"/>
      <c r="K17" s="974"/>
      <c r="L17" s="974"/>
      <c r="M17" s="973"/>
      <c r="N17" s="973"/>
    </row>
    <row r="18" spans="2:24" s="962" customFormat="1" ht="15.75" customHeight="1">
      <c r="B18" s="975" t="s">
        <v>183</v>
      </c>
      <c r="C18" s="976" t="s">
        <v>568</v>
      </c>
      <c r="D18" s="970">
        <f t="shared" si="0"/>
        <v>0</v>
      </c>
      <c r="E18" s="973"/>
      <c r="F18" s="974"/>
      <c r="G18" s="974"/>
      <c r="H18" s="974"/>
      <c r="I18" s="974"/>
      <c r="J18" s="973"/>
      <c r="K18" s="974"/>
      <c r="L18" s="974"/>
      <c r="M18" s="973"/>
      <c r="N18" s="973"/>
    </row>
    <row r="19" spans="2:24" s="962" customFormat="1" ht="15.75" customHeight="1">
      <c r="B19" s="975" t="s">
        <v>184</v>
      </c>
      <c r="C19" s="976" t="s">
        <v>569</v>
      </c>
      <c r="D19" s="970">
        <f t="shared" si="0"/>
        <v>0</v>
      </c>
      <c r="E19" s="973"/>
      <c r="F19" s="974"/>
      <c r="G19" s="974"/>
      <c r="H19" s="974"/>
      <c r="I19" s="974"/>
      <c r="J19" s="973"/>
      <c r="K19" s="974"/>
      <c r="L19" s="974"/>
      <c r="M19" s="973"/>
      <c r="N19" s="973"/>
    </row>
    <row r="20" spans="2:24" s="962" customFormat="1" ht="26.25" customHeight="1">
      <c r="B20" s="975" t="s">
        <v>185</v>
      </c>
      <c r="C20" s="976" t="s">
        <v>570</v>
      </c>
      <c r="D20" s="970">
        <f t="shared" si="0"/>
        <v>57128586</v>
      </c>
      <c r="E20" s="973">
        <f>'6. pénz.átad műk2020'!F7+'6. pénz.átad műk2020'!F8+'6. pénz.átad műk2020'!F9+'6. pénz.átad műk2020'!F10+'6. pénz.átad műk2020'!F11+'6. pénz.átad műk2020'!F14+'6. pénz.átad műk2020'!F15+'6. pénz.átad műk2020'!F16+'6. pénz.átad műk2020'!F19+'6. pénz.átad műk2020'!F21+'6. pénz.átad műk2020'!F22+'6. pénz.átad műk2020'!F38+'6. pénz.átad műk2020'!F23+'6. pénz.átad műk2020'!F55</f>
        <v>57128586</v>
      </c>
      <c r="F20" s="974"/>
      <c r="G20" s="974"/>
      <c r="H20" s="974"/>
      <c r="I20" s="974"/>
      <c r="J20" s="973"/>
      <c r="K20" s="974"/>
      <c r="L20" s="974"/>
      <c r="M20" s="973"/>
      <c r="N20" s="973"/>
    </row>
    <row r="21" spans="2:24" s="962" customFormat="1" ht="15.75" customHeight="1">
      <c r="B21" s="975" t="s">
        <v>186</v>
      </c>
      <c r="C21" s="976" t="s">
        <v>571</v>
      </c>
      <c r="D21" s="970">
        <f t="shared" si="0"/>
        <v>122252241</v>
      </c>
      <c r="E21" s="973">
        <f>'3.c. tartalék'!F12+'3.c. tartalék'!F16</f>
        <v>122252241</v>
      </c>
      <c r="F21" s="974"/>
      <c r="G21" s="974"/>
      <c r="H21" s="974"/>
      <c r="I21" s="974"/>
      <c r="J21" s="973"/>
      <c r="K21" s="974"/>
      <c r="L21" s="974"/>
      <c r="M21" s="973"/>
      <c r="N21" s="973"/>
    </row>
    <row r="22" spans="2:24" s="962" customFormat="1" ht="18.75" customHeight="1" thickBot="1">
      <c r="B22" s="977" t="s">
        <v>187</v>
      </c>
      <c r="C22" s="978" t="s">
        <v>572</v>
      </c>
      <c r="D22" s="979">
        <f t="shared" si="0"/>
        <v>503483393.34441459</v>
      </c>
      <c r="E22" s="973">
        <f t="shared" ref="E22:N22" si="1">SUM(E11:E21)</f>
        <v>404044242.34441459</v>
      </c>
      <c r="F22" s="974">
        <f t="shared" si="1"/>
        <v>0</v>
      </c>
      <c r="G22" s="974">
        <f t="shared" si="1"/>
        <v>0</v>
      </c>
      <c r="H22" s="974">
        <f t="shared" si="1"/>
        <v>0</v>
      </c>
      <c r="I22" s="974">
        <f t="shared" si="1"/>
        <v>0</v>
      </c>
      <c r="J22" s="974">
        <f t="shared" si="1"/>
        <v>0</v>
      </c>
      <c r="K22" s="974">
        <f t="shared" si="1"/>
        <v>0</v>
      </c>
      <c r="L22" s="974">
        <f t="shared" si="1"/>
        <v>0</v>
      </c>
      <c r="M22" s="974">
        <f t="shared" si="1"/>
        <v>67439151</v>
      </c>
      <c r="N22" s="974">
        <f t="shared" si="1"/>
        <v>32000000</v>
      </c>
    </row>
    <row r="23" spans="2:24" s="962" customFormat="1" ht="24" customHeight="1" thickBot="1">
      <c r="B23" s="980" t="s">
        <v>188</v>
      </c>
      <c r="C23" s="981" t="s">
        <v>573</v>
      </c>
      <c r="D23" s="982">
        <f t="shared" si="0"/>
        <v>2345533478.0744147</v>
      </c>
      <c r="E23" s="974">
        <f t="shared" ref="E23:N23" si="2">E7+E8+E9+E10+E22</f>
        <v>672400196.84441459</v>
      </c>
      <c r="F23" s="974">
        <f t="shared" si="2"/>
        <v>221477222.82999998</v>
      </c>
      <c r="G23" s="974">
        <f t="shared" si="2"/>
        <v>317380766</v>
      </c>
      <c r="H23" s="974">
        <f t="shared" si="2"/>
        <v>151197311</v>
      </c>
      <c r="I23" s="974">
        <f t="shared" si="2"/>
        <v>334487449</v>
      </c>
      <c r="J23" s="973">
        <f t="shared" si="2"/>
        <v>74350922.400000006</v>
      </c>
      <c r="K23" s="974">
        <f t="shared" si="2"/>
        <v>38820804</v>
      </c>
      <c r="L23" s="974">
        <f t="shared" si="2"/>
        <v>39666862</v>
      </c>
      <c r="M23" s="973">
        <f t="shared" si="2"/>
        <v>386091758</v>
      </c>
      <c r="N23" s="974">
        <f t="shared" si="2"/>
        <v>109660186</v>
      </c>
    </row>
    <row r="24" spans="2:24" s="962" customFormat="1" ht="16.5" customHeight="1">
      <c r="B24" s="983" t="s">
        <v>189</v>
      </c>
      <c r="C24" s="984" t="s">
        <v>574</v>
      </c>
      <c r="D24" s="970">
        <f t="shared" si="0"/>
        <v>1411528234.5</v>
      </c>
      <c r="E24" s="973">
        <f>'4.beruházás'!D47</f>
        <v>1360956444.5</v>
      </c>
      <c r="F24" s="974">
        <f>Munka1!AY87</f>
        <v>5276000</v>
      </c>
      <c r="G24" s="974">
        <f>Munka1!BB87</f>
        <v>5651500</v>
      </c>
      <c r="H24" s="974">
        <f>Munka1!AG87</f>
        <v>2250002</v>
      </c>
      <c r="I24" s="974">
        <f>Munka1!AP87</f>
        <v>4700270</v>
      </c>
      <c r="J24" s="973">
        <f>Munka1!CR87</f>
        <v>3401427</v>
      </c>
      <c r="K24" s="974">
        <f>Munka1!AJ87</f>
        <v>635000</v>
      </c>
      <c r="L24" s="974">
        <v>2290500</v>
      </c>
      <c r="M24" s="973">
        <f>Munka1!BK87</f>
        <v>26367091</v>
      </c>
      <c r="N24" s="973"/>
    </row>
    <row r="25" spans="2:24" s="962" customFormat="1" ht="17.25" customHeight="1">
      <c r="B25" s="975" t="s">
        <v>190</v>
      </c>
      <c r="C25" s="976" t="s">
        <v>575</v>
      </c>
      <c r="D25" s="970">
        <f t="shared" si="0"/>
        <v>66578947</v>
      </c>
      <c r="E25" s="973">
        <f>'5.felújítás'!F33</f>
        <v>66578947</v>
      </c>
      <c r="F25" s="974"/>
      <c r="G25" s="974"/>
      <c r="H25" s="974"/>
      <c r="I25" s="974"/>
      <c r="J25" s="973"/>
      <c r="K25" s="974"/>
      <c r="L25" s="974"/>
      <c r="M25" s="973"/>
      <c r="N25" s="973"/>
    </row>
    <row r="26" spans="2:24" s="962" customFormat="1" ht="27" customHeight="1">
      <c r="B26" s="975" t="s">
        <v>191</v>
      </c>
      <c r="C26" s="976" t="s">
        <v>576</v>
      </c>
      <c r="D26" s="970">
        <f t="shared" si="0"/>
        <v>5000000</v>
      </c>
      <c r="E26" s="973">
        <v>5000000</v>
      </c>
      <c r="F26" s="974"/>
      <c r="G26" s="974"/>
      <c r="H26" s="974"/>
      <c r="I26" s="974"/>
      <c r="J26" s="973"/>
      <c r="K26" s="974"/>
      <c r="L26" s="974"/>
      <c r="M26" s="973"/>
      <c r="N26" s="973"/>
    </row>
    <row r="27" spans="2:24" s="962" customFormat="1" ht="22.5" customHeight="1">
      <c r="B27" s="975" t="s">
        <v>192</v>
      </c>
      <c r="C27" s="976" t="s">
        <v>577</v>
      </c>
      <c r="D27" s="970">
        <f t="shared" si="0"/>
        <v>51500000</v>
      </c>
      <c r="E27" s="973">
        <f>'4.beruházás'!D59+'4.beruházás'!D57</f>
        <v>51500000</v>
      </c>
      <c r="F27" s="974"/>
      <c r="G27" s="974"/>
      <c r="H27" s="974"/>
      <c r="I27" s="974"/>
      <c r="J27" s="973"/>
      <c r="K27" s="974"/>
      <c r="L27" s="974"/>
      <c r="M27" s="973"/>
      <c r="N27" s="973"/>
    </row>
    <row r="28" spans="2:24" s="962" customFormat="1" ht="18" customHeight="1" thickBot="1">
      <c r="B28" s="985" t="s">
        <v>193</v>
      </c>
      <c r="C28" s="986" t="s">
        <v>578</v>
      </c>
      <c r="D28" s="979">
        <f t="shared" si="0"/>
        <v>56500000</v>
      </c>
      <c r="E28" s="973">
        <f>E26+E27</f>
        <v>56500000</v>
      </c>
      <c r="F28" s="974"/>
      <c r="G28" s="974"/>
      <c r="H28" s="974"/>
      <c r="I28" s="974"/>
      <c r="J28" s="973"/>
      <c r="K28" s="974"/>
      <c r="L28" s="974"/>
      <c r="M28" s="973">
        <f>M26+M27</f>
        <v>0</v>
      </c>
      <c r="N28" s="973"/>
    </row>
    <row r="29" spans="2:24" s="962" customFormat="1" ht="19.5" customHeight="1" thickBot="1">
      <c r="B29" s="987" t="s">
        <v>194</v>
      </c>
      <c r="C29" s="988" t="s">
        <v>579</v>
      </c>
      <c r="D29" s="989">
        <f t="shared" si="0"/>
        <v>1534607181.5</v>
      </c>
      <c r="E29" s="990">
        <f>SUM(E24+E25+E28)</f>
        <v>1484035391.5</v>
      </c>
      <c r="F29" s="991">
        <f t="shared" ref="F29:L29" si="3">SUM(F24:F28)</f>
        <v>5276000</v>
      </c>
      <c r="G29" s="991">
        <f t="shared" si="3"/>
        <v>5651500</v>
      </c>
      <c r="H29" s="991">
        <f t="shared" si="3"/>
        <v>2250002</v>
      </c>
      <c r="I29" s="991">
        <f t="shared" si="3"/>
        <v>4700270</v>
      </c>
      <c r="J29" s="990">
        <f t="shared" si="3"/>
        <v>3401427</v>
      </c>
      <c r="K29" s="991">
        <f t="shared" si="3"/>
        <v>635000</v>
      </c>
      <c r="L29" s="991">
        <f t="shared" si="3"/>
        <v>2290500</v>
      </c>
      <c r="M29" s="990">
        <f>SUM(M24+M25+M28)</f>
        <v>26367091</v>
      </c>
      <c r="N29" s="990">
        <f>SUM(N24:N28)</f>
        <v>0</v>
      </c>
    </row>
    <row r="30" spans="2:24" s="962" customFormat="1" ht="18.75" customHeight="1" thickBot="1">
      <c r="B30" s="992" t="s">
        <v>195</v>
      </c>
      <c r="C30" s="993" t="s">
        <v>580</v>
      </c>
      <c r="D30" s="989">
        <f t="shared" ref="D30:N30" si="4">D23+D29</f>
        <v>3880140659.5744147</v>
      </c>
      <c r="E30" s="989">
        <f t="shared" si="4"/>
        <v>2156435588.3444147</v>
      </c>
      <c r="F30" s="982">
        <f t="shared" si="4"/>
        <v>226753222.82999998</v>
      </c>
      <c r="G30" s="982">
        <f t="shared" si="4"/>
        <v>323032266</v>
      </c>
      <c r="H30" s="982">
        <f t="shared" si="4"/>
        <v>153447313</v>
      </c>
      <c r="I30" s="982">
        <f t="shared" si="4"/>
        <v>339187719</v>
      </c>
      <c r="J30" s="989">
        <f t="shared" si="4"/>
        <v>77752349.400000006</v>
      </c>
      <c r="K30" s="982">
        <f t="shared" si="4"/>
        <v>39455804</v>
      </c>
      <c r="L30" s="982">
        <f t="shared" si="4"/>
        <v>41957362</v>
      </c>
      <c r="M30" s="989">
        <f t="shared" si="4"/>
        <v>412458849</v>
      </c>
      <c r="N30" s="989">
        <f t="shared" si="4"/>
        <v>109660186</v>
      </c>
    </row>
    <row r="31" spans="2:24" s="962" customFormat="1" ht="25.5" customHeight="1">
      <c r="B31" s="983" t="s">
        <v>196</v>
      </c>
      <c r="C31" s="994" t="s">
        <v>507</v>
      </c>
      <c r="D31" s="970">
        <f>E31+F31+G31+H31+I31+J31+K31+L31+M31+N31</f>
        <v>17121455.861111112</v>
      </c>
      <c r="E31" s="970">
        <f>'12. többéves'!H67</f>
        <v>17121455.861111112</v>
      </c>
      <c r="F31" s="969"/>
      <c r="G31" s="969"/>
      <c r="H31" s="969"/>
      <c r="I31" s="969"/>
      <c r="J31" s="970"/>
      <c r="K31" s="969"/>
      <c r="L31" s="969"/>
      <c r="M31" s="970"/>
      <c r="N31" s="970"/>
    </row>
    <row r="32" spans="2:24" ht="24">
      <c r="B32" s="975" t="s">
        <v>197</v>
      </c>
      <c r="C32" s="995" t="s">
        <v>508</v>
      </c>
      <c r="D32" s="970">
        <f>E32+F32+G32+H32+I32+J32+K32+L32+M32+N32</f>
        <v>0</v>
      </c>
      <c r="E32" s="973"/>
      <c r="F32" s="974"/>
      <c r="G32" s="974"/>
      <c r="H32" s="974"/>
      <c r="I32" s="974"/>
      <c r="J32" s="973"/>
      <c r="K32" s="974"/>
      <c r="L32" s="974"/>
      <c r="M32" s="973"/>
      <c r="N32" s="973"/>
      <c r="P32" s="951"/>
      <c r="Q32" s="951"/>
      <c r="R32" s="951"/>
      <c r="S32" s="951"/>
      <c r="T32" s="951"/>
      <c r="U32" s="951"/>
      <c r="V32" s="951"/>
      <c r="W32" s="951"/>
      <c r="X32" s="951"/>
    </row>
    <row r="33" spans="2:24" ht="15.75" customHeight="1">
      <c r="B33" s="975" t="s">
        <v>198</v>
      </c>
      <c r="C33" s="996" t="s">
        <v>581</v>
      </c>
      <c r="D33" s="970">
        <f>E33+F33+G33+H33+I33+J33+K33+L33+M33+N33</f>
        <v>17121455.861111112</v>
      </c>
      <c r="E33" s="973">
        <f t="shared" ref="E33:N33" si="5">E31+E32</f>
        <v>17121455.861111112</v>
      </c>
      <c r="F33" s="974">
        <f t="shared" si="5"/>
        <v>0</v>
      </c>
      <c r="G33" s="974">
        <f t="shared" si="5"/>
        <v>0</v>
      </c>
      <c r="H33" s="974">
        <f t="shared" si="5"/>
        <v>0</v>
      </c>
      <c r="I33" s="974">
        <f t="shared" si="5"/>
        <v>0</v>
      </c>
      <c r="J33" s="973">
        <f t="shared" si="5"/>
        <v>0</v>
      </c>
      <c r="K33" s="974">
        <f t="shared" si="5"/>
        <v>0</v>
      </c>
      <c r="L33" s="974">
        <f t="shared" si="5"/>
        <v>0</v>
      </c>
      <c r="M33" s="973">
        <f t="shared" si="5"/>
        <v>0</v>
      </c>
      <c r="N33" s="973">
        <f t="shared" si="5"/>
        <v>0</v>
      </c>
      <c r="P33" s="951"/>
      <c r="Q33" s="951"/>
      <c r="R33" s="951"/>
      <c r="S33" s="951"/>
      <c r="T33" s="951"/>
      <c r="U33" s="951"/>
      <c r="V33" s="951"/>
      <c r="W33" s="951"/>
      <c r="X33" s="951"/>
    </row>
    <row r="34" spans="2:24" ht="24">
      <c r="B34" s="975" t="s">
        <v>199</v>
      </c>
      <c r="C34" s="997" t="s">
        <v>519</v>
      </c>
      <c r="D34" s="970">
        <f>E34+F34+G34+H34+I34+J34+K34+L34+M34+N34</f>
        <v>40868059</v>
      </c>
      <c r="E34" s="973">
        <v>40868059</v>
      </c>
      <c r="F34" s="974"/>
      <c r="G34" s="974"/>
      <c r="H34" s="974"/>
      <c r="I34" s="974"/>
      <c r="J34" s="973"/>
      <c r="K34" s="974"/>
      <c r="L34" s="974"/>
      <c r="M34" s="973"/>
      <c r="N34" s="973"/>
      <c r="P34" s="951"/>
      <c r="Q34" s="951"/>
      <c r="R34" s="951"/>
      <c r="S34" s="951"/>
      <c r="T34" s="951"/>
      <c r="U34" s="951"/>
      <c r="V34" s="951"/>
      <c r="W34" s="951"/>
      <c r="X34" s="951"/>
    </row>
    <row r="35" spans="2:24" ht="17.25" customHeight="1" thickBot="1">
      <c r="B35" s="975" t="s">
        <v>200</v>
      </c>
      <c r="C35" s="997" t="s">
        <v>293</v>
      </c>
      <c r="D35" s="970">
        <f>E35+F35+G35+H35+I35+J35+K35+L35+M35+N35</f>
        <v>0</v>
      </c>
      <c r="E35" s="973"/>
      <c r="F35" s="974"/>
      <c r="G35" s="974"/>
      <c r="H35" s="974"/>
      <c r="I35" s="974"/>
      <c r="J35" s="973"/>
      <c r="K35" s="974"/>
      <c r="L35" s="974"/>
      <c r="M35" s="973"/>
      <c r="N35" s="973"/>
      <c r="P35" s="951"/>
      <c r="Q35" s="951"/>
      <c r="R35" s="951"/>
      <c r="S35" s="951"/>
      <c r="T35" s="951"/>
      <c r="U35" s="951"/>
      <c r="V35" s="951"/>
      <c r="W35" s="951"/>
      <c r="X35" s="951"/>
    </row>
    <row r="36" spans="2:24" ht="19.5" customHeight="1" thickBot="1">
      <c r="B36" s="992" t="s">
        <v>201</v>
      </c>
      <c r="C36" s="993" t="s">
        <v>582</v>
      </c>
      <c r="D36" s="989">
        <f t="shared" ref="D36:N36" si="6">D33+D34+D35</f>
        <v>57989514.861111112</v>
      </c>
      <c r="E36" s="989">
        <f t="shared" si="6"/>
        <v>57989514.861111112</v>
      </c>
      <c r="F36" s="982">
        <f t="shared" si="6"/>
        <v>0</v>
      </c>
      <c r="G36" s="982">
        <f t="shared" si="6"/>
        <v>0</v>
      </c>
      <c r="H36" s="982">
        <f t="shared" si="6"/>
        <v>0</v>
      </c>
      <c r="I36" s="982">
        <f t="shared" si="6"/>
        <v>0</v>
      </c>
      <c r="J36" s="989">
        <f t="shared" si="6"/>
        <v>0</v>
      </c>
      <c r="K36" s="982">
        <f t="shared" si="6"/>
        <v>0</v>
      </c>
      <c r="L36" s="982">
        <f t="shared" si="6"/>
        <v>0</v>
      </c>
      <c r="M36" s="989">
        <f t="shared" si="6"/>
        <v>0</v>
      </c>
      <c r="N36" s="989">
        <f t="shared" si="6"/>
        <v>0</v>
      </c>
      <c r="P36" s="951"/>
      <c r="Q36" s="951"/>
      <c r="R36" s="951"/>
      <c r="S36" s="951"/>
      <c r="T36" s="951"/>
      <c r="U36" s="951"/>
      <c r="V36" s="951"/>
      <c r="W36" s="951"/>
      <c r="X36" s="951"/>
    </row>
    <row r="37" spans="2:24" ht="18" customHeight="1" thickBot="1">
      <c r="B37" s="992" t="s">
        <v>202</v>
      </c>
      <c r="C37" s="993" t="s">
        <v>583</v>
      </c>
      <c r="D37" s="989">
        <f t="shared" ref="D37:N37" si="7">D30+D36</f>
        <v>3938130174.4355259</v>
      </c>
      <c r="E37" s="982">
        <f t="shared" si="7"/>
        <v>2214425103.2055259</v>
      </c>
      <c r="F37" s="982">
        <f t="shared" si="7"/>
        <v>226753222.82999998</v>
      </c>
      <c r="G37" s="982">
        <f t="shared" si="7"/>
        <v>323032266</v>
      </c>
      <c r="H37" s="982">
        <f t="shared" si="7"/>
        <v>153447313</v>
      </c>
      <c r="I37" s="982">
        <f t="shared" si="7"/>
        <v>339187719</v>
      </c>
      <c r="J37" s="982">
        <f t="shared" si="7"/>
        <v>77752349.400000006</v>
      </c>
      <c r="K37" s="982">
        <f t="shared" si="7"/>
        <v>39455804</v>
      </c>
      <c r="L37" s="982">
        <f t="shared" si="7"/>
        <v>41957362</v>
      </c>
      <c r="M37" s="982">
        <f t="shared" si="7"/>
        <v>412458849</v>
      </c>
      <c r="N37" s="982">
        <f t="shared" si="7"/>
        <v>109660186</v>
      </c>
      <c r="P37" s="951"/>
      <c r="Q37" s="951"/>
      <c r="R37" s="951"/>
      <c r="S37" s="951"/>
      <c r="T37" s="951"/>
      <c r="U37" s="951"/>
      <c r="V37" s="951"/>
      <c r="W37" s="951"/>
      <c r="X37" s="951"/>
    </row>
    <row r="38" spans="2:24" thickBot="1">
      <c r="B38" s="951"/>
      <c r="C38" s="951"/>
      <c r="D38" s="951"/>
      <c r="E38" s="951"/>
      <c r="F38" s="998">
        <f>F37-Munka1!AY103</f>
        <v>0</v>
      </c>
      <c r="G38" s="998">
        <f>Munka1!BB103-G37</f>
        <v>0</v>
      </c>
      <c r="H38" s="998">
        <f>H37-Munka1!AG104</f>
        <v>0</v>
      </c>
      <c r="I38" s="998">
        <f>I37-Munka1!AR104</f>
        <v>0</v>
      </c>
      <c r="J38" s="999">
        <f>J37-Munka1!CR103</f>
        <v>0.40000000596046448</v>
      </c>
      <c r="K38" s="998">
        <f>K37-Munka1!AJ104</f>
        <v>0</v>
      </c>
      <c r="L38" s="998">
        <f>L37-Munka1!AM104</f>
        <v>0</v>
      </c>
      <c r="M38" s="999">
        <f>M37-Munka1!BK103</f>
        <v>0</v>
      </c>
      <c r="N38" s="999">
        <f>N37-Munka1!BH103</f>
        <v>0</v>
      </c>
      <c r="P38" s="951"/>
      <c r="Q38" s="951"/>
      <c r="R38" s="951"/>
      <c r="S38" s="951"/>
      <c r="T38" s="951"/>
      <c r="U38" s="951"/>
      <c r="V38" s="951"/>
      <c r="W38" s="951"/>
      <c r="X38" s="951"/>
    </row>
    <row r="39" spans="2:24" ht="17.25" customHeight="1" thickBot="1">
      <c r="B39" s="951"/>
      <c r="C39" s="951"/>
      <c r="D39" s="951"/>
      <c r="E39" s="982"/>
      <c r="F39" s="1000"/>
      <c r="G39" s="1000"/>
      <c r="H39" s="1000"/>
      <c r="I39" s="1000"/>
      <c r="J39" s="951"/>
      <c r="K39" s="1000"/>
      <c r="L39" s="1000"/>
      <c r="M39" s="951"/>
      <c r="N39" s="951"/>
      <c r="P39" s="951"/>
      <c r="Q39" s="951"/>
      <c r="R39" s="951"/>
      <c r="S39" s="951"/>
      <c r="T39" s="951"/>
      <c r="U39" s="951"/>
      <c r="V39" s="951"/>
      <c r="W39" s="951"/>
      <c r="X39" s="951"/>
    </row>
    <row r="40" spans="2:24" ht="12">
      <c r="B40" s="951"/>
      <c r="C40" s="951"/>
      <c r="D40" s="951"/>
      <c r="E40" s="951"/>
      <c r="F40" s="1000"/>
      <c r="G40" s="1000"/>
      <c r="H40" s="1000"/>
      <c r="I40" s="1000"/>
      <c r="J40" s="951"/>
      <c r="K40" s="1000"/>
      <c r="L40" s="1000"/>
      <c r="M40" s="951"/>
      <c r="N40" s="951"/>
      <c r="P40" s="951"/>
      <c r="Q40" s="951"/>
      <c r="R40" s="951"/>
      <c r="S40" s="951"/>
      <c r="T40" s="951"/>
      <c r="U40" s="951"/>
      <c r="V40" s="951"/>
      <c r="W40" s="951"/>
      <c r="X40" s="951"/>
    </row>
    <row r="41" spans="2:24" ht="12">
      <c r="B41" s="951"/>
      <c r="C41" s="951"/>
      <c r="D41" s="999"/>
      <c r="E41" s="951"/>
      <c r="F41" s="1000"/>
      <c r="G41" s="1000"/>
      <c r="H41" s="1000"/>
      <c r="I41" s="1000"/>
      <c r="J41" s="951"/>
      <c r="K41" s="1000"/>
      <c r="L41" s="1000"/>
      <c r="M41" s="951"/>
      <c r="N41" s="999"/>
      <c r="P41" s="951"/>
      <c r="Q41" s="951"/>
      <c r="R41" s="951"/>
      <c r="S41" s="951"/>
      <c r="T41" s="951"/>
      <c r="U41" s="951"/>
      <c r="V41" s="951"/>
      <c r="W41" s="951"/>
      <c r="X41" s="951"/>
    </row>
    <row r="42" spans="2:24" ht="12">
      <c r="B42" s="951"/>
      <c r="C42" s="951"/>
      <c r="D42" s="951"/>
      <c r="E42" s="999"/>
      <c r="F42" s="1000"/>
      <c r="G42" s="1000"/>
      <c r="H42" s="1000"/>
      <c r="I42" s="1000"/>
      <c r="J42" s="951"/>
      <c r="K42" s="1000"/>
      <c r="L42" s="1000"/>
      <c r="M42" s="951"/>
      <c r="N42" s="951"/>
      <c r="P42" s="951"/>
      <c r="Q42" s="951"/>
      <c r="R42" s="951"/>
      <c r="S42" s="951"/>
      <c r="T42" s="951"/>
      <c r="U42" s="951"/>
      <c r="V42" s="951"/>
      <c r="W42" s="951"/>
      <c r="X42" s="951"/>
    </row>
    <row r="43" spans="2:24" ht="12">
      <c r="B43" s="951"/>
      <c r="C43" s="951"/>
      <c r="D43" s="951"/>
      <c r="E43" s="999"/>
      <c r="F43" s="1000"/>
      <c r="G43" s="1000"/>
      <c r="H43" s="1000"/>
      <c r="I43" s="1000"/>
      <c r="J43" s="951"/>
      <c r="K43" s="1000"/>
      <c r="L43" s="1000"/>
      <c r="M43" s="951"/>
      <c r="N43" s="951"/>
      <c r="P43" s="951"/>
      <c r="Q43" s="951"/>
      <c r="R43" s="951"/>
      <c r="S43" s="951"/>
      <c r="T43" s="951"/>
      <c r="U43" s="951"/>
      <c r="V43" s="951"/>
      <c r="W43" s="951"/>
      <c r="X43" s="951"/>
    </row>
    <row r="44" spans="2:24" ht="12">
      <c r="B44" s="951"/>
      <c r="C44" s="951"/>
      <c r="D44" s="951"/>
      <c r="E44" s="951"/>
      <c r="F44" s="1000"/>
      <c r="G44" s="1000"/>
      <c r="H44" s="1000"/>
      <c r="I44" s="1000"/>
      <c r="J44" s="951"/>
      <c r="K44" s="1000"/>
      <c r="L44" s="1000"/>
      <c r="M44" s="951"/>
      <c r="N44" s="951"/>
      <c r="P44" s="951"/>
      <c r="Q44" s="951"/>
      <c r="R44" s="951"/>
      <c r="S44" s="951"/>
      <c r="T44" s="951"/>
      <c r="U44" s="951"/>
      <c r="V44" s="951"/>
      <c r="W44" s="951"/>
      <c r="X44" s="951"/>
    </row>
    <row r="45" spans="2:24" ht="12">
      <c r="B45" s="951"/>
      <c r="C45" s="951"/>
      <c r="D45" s="951"/>
      <c r="E45" s="999"/>
      <c r="F45" s="1000"/>
      <c r="G45" s="1000"/>
      <c r="H45" s="1000"/>
      <c r="I45" s="1000"/>
      <c r="J45" s="951"/>
      <c r="K45" s="1000"/>
      <c r="L45" s="1000"/>
      <c r="M45" s="951"/>
      <c r="N45" s="951"/>
      <c r="P45" s="951"/>
      <c r="Q45" s="951"/>
      <c r="R45" s="951"/>
      <c r="S45" s="951"/>
      <c r="T45" s="951"/>
      <c r="U45" s="951"/>
      <c r="V45" s="951"/>
      <c r="W45" s="951"/>
      <c r="X45" s="951"/>
    </row>
    <row r="46" spans="2:24" ht="12">
      <c r="P46" s="951"/>
      <c r="Q46" s="951"/>
      <c r="R46" s="951"/>
      <c r="S46" s="951"/>
      <c r="T46" s="951"/>
      <c r="U46" s="951"/>
      <c r="V46" s="951"/>
      <c r="W46" s="951"/>
      <c r="X46" s="951"/>
    </row>
    <row r="47" spans="2:24" ht="12">
      <c r="P47" s="951"/>
      <c r="Q47" s="951"/>
      <c r="R47" s="951"/>
      <c r="S47" s="951"/>
      <c r="T47" s="951"/>
      <c r="U47" s="951"/>
      <c r="V47" s="951"/>
      <c r="W47" s="951"/>
      <c r="X47" s="951"/>
    </row>
    <row r="48" spans="2:24" ht="12">
      <c r="P48" s="951"/>
      <c r="Q48" s="951"/>
      <c r="R48" s="951"/>
      <c r="S48" s="951"/>
      <c r="T48" s="951"/>
      <c r="U48" s="951"/>
      <c r="V48" s="951"/>
      <c r="W48" s="951"/>
      <c r="X48" s="951"/>
    </row>
    <row r="49" spans="2:24" ht="12">
      <c r="B49" s="951"/>
      <c r="C49" s="951"/>
      <c r="D49" s="951"/>
      <c r="E49" s="951"/>
      <c r="F49" s="1000"/>
      <c r="G49" s="1000"/>
      <c r="H49" s="1000"/>
      <c r="I49" s="1000"/>
      <c r="J49" s="951"/>
      <c r="K49" s="1000"/>
      <c r="L49" s="1000"/>
      <c r="M49" s="951"/>
      <c r="N49" s="951"/>
      <c r="P49" s="951"/>
      <c r="Q49" s="951"/>
      <c r="R49" s="951"/>
      <c r="S49" s="951"/>
      <c r="T49" s="951"/>
      <c r="U49" s="951"/>
      <c r="V49" s="951"/>
      <c r="W49" s="951"/>
      <c r="X49" s="951"/>
    </row>
    <row r="50" spans="2:24" ht="12">
      <c r="B50" s="951"/>
      <c r="C50" s="951"/>
      <c r="D50" s="951"/>
      <c r="E50" s="951"/>
      <c r="F50" s="1000"/>
      <c r="G50" s="1000"/>
      <c r="H50" s="1000"/>
      <c r="I50" s="1000"/>
      <c r="J50" s="951"/>
      <c r="K50" s="1000"/>
      <c r="L50" s="1000"/>
      <c r="M50" s="951"/>
      <c r="N50" s="951"/>
      <c r="P50" s="951"/>
      <c r="Q50" s="951"/>
      <c r="R50" s="951"/>
      <c r="S50" s="951"/>
      <c r="T50" s="951"/>
      <c r="U50" s="951"/>
      <c r="V50" s="951"/>
      <c r="W50" s="951"/>
      <c r="X50" s="951"/>
    </row>
    <row r="51" spans="2:24" ht="12">
      <c r="B51" s="951"/>
      <c r="C51" s="951"/>
      <c r="D51" s="951"/>
      <c r="E51" s="951"/>
      <c r="F51" s="1000"/>
      <c r="G51" s="1000"/>
      <c r="H51" s="1000"/>
      <c r="I51" s="1000"/>
      <c r="J51" s="951"/>
      <c r="K51" s="1000"/>
      <c r="L51" s="1000"/>
      <c r="M51" s="951"/>
      <c r="N51" s="951"/>
      <c r="P51" s="951"/>
      <c r="Q51" s="951"/>
      <c r="R51" s="951"/>
      <c r="S51" s="951"/>
      <c r="T51" s="951"/>
      <c r="U51" s="951"/>
      <c r="V51" s="951"/>
      <c r="W51" s="951"/>
      <c r="X51" s="951"/>
    </row>
    <row r="52" spans="2:24" ht="12">
      <c r="B52" s="951"/>
      <c r="C52" s="951"/>
      <c r="D52" s="951"/>
      <c r="E52" s="951"/>
      <c r="F52" s="1000"/>
      <c r="G52" s="1000"/>
      <c r="H52" s="1000"/>
      <c r="I52" s="1000"/>
      <c r="J52" s="951"/>
      <c r="K52" s="1000"/>
      <c r="L52" s="1000"/>
      <c r="M52" s="951"/>
      <c r="N52" s="951"/>
      <c r="P52" s="951"/>
      <c r="Q52" s="951"/>
      <c r="R52" s="951"/>
      <c r="S52" s="951"/>
      <c r="T52" s="951"/>
      <c r="U52" s="951"/>
      <c r="V52" s="951"/>
      <c r="W52" s="951"/>
      <c r="X52" s="951"/>
    </row>
    <row r="53" spans="2:24" ht="12">
      <c r="B53" s="951"/>
      <c r="C53" s="951"/>
      <c r="D53" s="951"/>
      <c r="E53" s="951"/>
      <c r="F53" s="1000"/>
      <c r="G53" s="1000"/>
      <c r="H53" s="1000"/>
      <c r="I53" s="1000"/>
      <c r="J53" s="951"/>
      <c r="K53" s="1000"/>
      <c r="L53" s="1000"/>
      <c r="M53" s="951"/>
      <c r="N53" s="951"/>
      <c r="P53" s="951"/>
      <c r="Q53" s="951"/>
      <c r="R53" s="951"/>
      <c r="S53" s="951"/>
      <c r="T53" s="951"/>
      <c r="U53" s="951"/>
      <c r="V53" s="951"/>
      <c r="W53" s="951"/>
      <c r="X53" s="951"/>
    </row>
    <row r="54" spans="2:24" ht="12">
      <c r="B54" s="951"/>
      <c r="C54" s="951"/>
      <c r="D54" s="951"/>
      <c r="E54" s="951"/>
      <c r="F54" s="1000"/>
      <c r="G54" s="1000"/>
      <c r="H54" s="1000"/>
      <c r="I54" s="1000"/>
      <c r="J54" s="951"/>
      <c r="K54" s="1000"/>
      <c r="L54" s="1000"/>
      <c r="M54" s="951"/>
      <c r="N54" s="951"/>
      <c r="P54" s="951"/>
      <c r="Q54" s="951"/>
      <c r="R54" s="951"/>
      <c r="S54" s="951"/>
      <c r="T54" s="951"/>
      <c r="U54" s="951"/>
      <c r="V54" s="951"/>
      <c r="W54" s="951"/>
      <c r="X54" s="951"/>
    </row>
    <row r="55" spans="2:24" ht="12">
      <c r="B55" s="951"/>
      <c r="C55" s="951"/>
      <c r="D55" s="951"/>
      <c r="E55" s="951"/>
      <c r="F55" s="1000"/>
      <c r="G55" s="1000"/>
      <c r="H55" s="1000"/>
      <c r="I55" s="1000"/>
      <c r="J55" s="951"/>
      <c r="K55" s="1000"/>
      <c r="L55" s="1000"/>
      <c r="M55" s="951"/>
      <c r="N55" s="951"/>
      <c r="P55" s="951"/>
      <c r="Q55" s="951"/>
      <c r="R55" s="951"/>
      <c r="S55" s="951"/>
      <c r="T55" s="951"/>
      <c r="U55" s="951"/>
      <c r="V55" s="951"/>
      <c r="W55" s="951"/>
      <c r="X55" s="951"/>
    </row>
  </sheetData>
  <mergeCells count="2">
    <mergeCell ref="B4:B5"/>
    <mergeCell ref="C4:C5"/>
  </mergeCells>
  <conditionalFormatting sqref="C46:C50 C53:C89">
    <cfRule type="cellIs" dxfId="83" priority="201" stopIfTrue="1" operator="equal">
      <formula>#REF!</formula>
    </cfRule>
  </conditionalFormatting>
  <conditionalFormatting sqref="E9:E30 D46:N50 D53:N89">
    <cfRule type="cellIs" dxfId="82" priority="212" stopIfTrue="1" operator="equal">
      <formula>#REF!</formula>
    </cfRule>
  </conditionalFormatting>
  <conditionalFormatting sqref="E7:E8">
    <cfRule type="cellIs" dxfId="81" priority="211" stopIfTrue="1" operator="equal">
      <formula>#REF!</formula>
    </cfRule>
  </conditionalFormatting>
  <conditionalFormatting sqref="E31:E33">
    <cfRule type="cellIs" dxfId="80" priority="200" stopIfTrue="1" operator="equal">
      <formula>#REF!</formula>
    </cfRule>
  </conditionalFormatting>
  <conditionalFormatting sqref="E34:E35">
    <cfRule type="cellIs" dxfId="79" priority="199" stopIfTrue="1" operator="equal">
      <formula>#REF!</formula>
    </cfRule>
  </conditionalFormatting>
  <conditionalFormatting sqref="E36">
    <cfRule type="cellIs" dxfId="78" priority="198" stopIfTrue="1" operator="equal">
      <formula>#REF!</formula>
    </cfRule>
  </conditionalFormatting>
  <conditionalFormatting sqref="E37">
    <cfRule type="cellIs" dxfId="77" priority="196" stopIfTrue="1" operator="equal">
      <formula>#REF!</formula>
    </cfRule>
  </conditionalFormatting>
  <conditionalFormatting sqref="F9:F21 F23:F30">
    <cfRule type="cellIs" dxfId="76" priority="194" stopIfTrue="1" operator="equal">
      <formula>#REF!</formula>
    </cfRule>
  </conditionalFormatting>
  <conditionalFormatting sqref="F7:F8">
    <cfRule type="cellIs" dxfId="75" priority="193" stopIfTrue="1" operator="equal">
      <formula>#REF!</formula>
    </cfRule>
  </conditionalFormatting>
  <conditionalFormatting sqref="F31:F33">
    <cfRule type="cellIs" dxfId="74" priority="182" stopIfTrue="1" operator="equal">
      <formula>#REF!</formula>
    </cfRule>
  </conditionalFormatting>
  <conditionalFormatting sqref="F34:F35">
    <cfRule type="cellIs" dxfId="73" priority="181" stopIfTrue="1" operator="equal">
      <formula>#REF!</formula>
    </cfRule>
  </conditionalFormatting>
  <conditionalFormatting sqref="F36">
    <cfRule type="cellIs" dxfId="72" priority="180" stopIfTrue="1" operator="equal">
      <formula>#REF!</formula>
    </cfRule>
  </conditionalFormatting>
  <conditionalFormatting sqref="F37">
    <cfRule type="cellIs" dxfId="71" priority="178" stopIfTrue="1" operator="equal">
      <formula>#REF!</formula>
    </cfRule>
  </conditionalFormatting>
  <conditionalFormatting sqref="G9:G30">
    <cfRule type="cellIs" dxfId="70" priority="176" stopIfTrue="1" operator="equal">
      <formula>#REF!</formula>
    </cfRule>
  </conditionalFormatting>
  <conditionalFormatting sqref="G7:G8">
    <cfRule type="cellIs" dxfId="69" priority="175" stopIfTrue="1" operator="equal">
      <formula>#REF!</formula>
    </cfRule>
  </conditionalFormatting>
  <conditionalFormatting sqref="G31:G33">
    <cfRule type="cellIs" dxfId="68" priority="164" stopIfTrue="1" operator="equal">
      <formula>#REF!</formula>
    </cfRule>
  </conditionalFormatting>
  <conditionalFormatting sqref="G34:G35">
    <cfRule type="cellIs" dxfId="67" priority="163" stopIfTrue="1" operator="equal">
      <formula>#REF!</formula>
    </cfRule>
  </conditionalFormatting>
  <conditionalFormatting sqref="G36">
    <cfRule type="cellIs" dxfId="66" priority="162" stopIfTrue="1" operator="equal">
      <formula>#REF!</formula>
    </cfRule>
  </conditionalFormatting>
  <conditionalFormatting sqref="H9:H30">
    <cfRule type="cellIs" dxfId="65" priority="158" stopIfTrue="1" operator="equal">
      <formula>#REF!</formula>
    </cfRule>
  </conditionalFormatting>
  <conditionalFormatting sqref="H7:H8">
    <cfRule type="cellIs" dxfId="64" priority="157" stopIfTrue="1" operator="equal">
      <formula>#REF!</formula>
    </cfRule>
  </conditionalFormatting>
  <conditionalFormatting sqref="H31:H33">
    <cfRule type="cellIs" dxfId="63" priority="146" stopIfTrue="1" operator="equal">
      <formula>#REF!</formula>
    </cfRule>
  </conditionalFormatting>
  <conditionalFormatting sqref="H34:H35">
    <cfRule type="cellIs" dxfId="62" priority="145" stopIfTrue="1" operator="equal">
      <formula>#REF!</formula>
    </cfRule>
  </conditionalFormatting>
  <conditionalFormatting sqref="H36">
    <cfRule type="cellIs" dxfId="61" priority="144" stopIfTrue="1" operator="equal">
      <formula>#REF!</formula>
    </cfRule>
  </conditionalFormatting>
  <conditionalFormatting sqref="I9:I30">
    <cfRule type="cellIs" dxfId="60" priority="140" stopIfTrue="1" operator="equal">
      <formula>#REF!</formula>
    </cfRule>
  </conditionalFormatting>
  <conditionalFormatting sqref="I7:I8">
    <cfRule type="cellIs" dxfId="59" priority="139" stopIfTrue="1" operator="equal">
      <formula>#REF!</formula>
    </cfRule>
  </conditionalFormatting>
  <conditionalFormatting sqref="I31:I33">
    <cfRule type="cellIs" dxfId="58" priority="128" stopIfTrue="1" operator="equal">
      <formula>#REF!</formula>
    </cfRule>
  </conditionalFormatting>
  <conditionalFormatting sqref="I34:I35">
    <cfRule type="cellIs" dxfId="57" priority="127" stopIfTrue="1" operator="equal">
      <formula>#REF!</formula>
    </cfRule>
  </conditionalFormatting>
  <conditionalFormatting sqref="I36">
    <cfRule type="cellIs" dxfId="56" priority="126" stopIfTrue="1" operator="equal">
      <formula>#REF!</formula>
    </cfRule>
  </conditionalFormatting>
  <conditionalFormatting sqref="J9:J30">
    <cfRule type="cellIs" dxfId="55" priority="122" stopIfTrue="1" operator="equal">
      <formula>#REF!</formula>
    </cfRule>
  </conditionalFormatting>
  <conditionalFormatting sqref="J7:J8">
    <cfRule type="cellIs" dxfId="54" priority="121" stopIfTrue="1" operator="equal">
      <formula>#REF!</formula>
    </cfRule>
  </conditionalFormatting>
  <conditionalFormatting sqref="J31:J33">
    <cfRule type="cellIs" dxfId="53" priority="110" stopIfTrue="1" operator="equal">
      <formula>#REF!</formula>
    </cfRule>
  </conditionalFormatting>
  <conditionalFormatting sqref="J34:J35">
    <cfRule type="cellIs" dxfId="52" priority="109" stopIfTrue="1" operator="equal">
      <formula>#REF!</formula>
    </cfRule>
  </conditionalFormatting>
  <conditionalFormatting sqref="J36">
    <cfRule type="cellIs" dxfId="51" priority="108" stopIfTrue="1" operator="equal">
      <formula>#REF!</formula>
    </cfRule>
  </conditionalFormatting>
  <conditionalFormatting sqref="K9:K30">
    <cfRule type="cellIs" dxfId="50" priority="104" stopIfTrue="1" operator="equal">
      <formula>#REF!</formula>
    </cfRule>
  </conditionalFormatting>
  <conditionalFormatting sqref="K7:K8">
    <cfRule type="cellIs" dxfId="49" priority="103" stopIfTrue="1" operator="equal">
      <formula>#REF!</formula>
    </cfRule>
  </conditionalFormatting>
  <conditionalFormatting sqref="K31:K33">
    <cfRule type="cellIs" dxfId="48" priority="92" stopIfTrue="1" operator="equal">
      <formula>#REF!</formula>
    </cfRule>
  </conditionalFormatting>
  <conditionalFormatting sqref="K34:K35">
    <cfRule type="cellIs" dxfId="47" priority="91" stopIfTrue="1" operator="equal">
      <formula>#REF!</formula>
    </cfRule>
  </conditionalFormatting>
  <conditionalFormatting sqref="K36">
    <cfRule type="cellIs" dxfId="46" priority="90" stopIfTrue="1" operator="equal">
      <formula>#REF!</formula>
    </cfRule>
  </conditionalFormatting>
  <conditionalFormatting sqref="L9:L30">
    <cfRule type="cellIs" dxfId="45" priority="86" stopIfTrue="1" operator="equal">
      <formula>#REF!</formula>
    </cfRule>
  </conditionalFormatting>
  <conditionalFormatting sqref="L7:L8">
    <cfRule type="cellIs" dxfId="44" priority="85" stopIfTrue="1" operator="equal">
      <formula>#REF!</formula>
    </cfRule>
  </conditionalFormatting>
  <conditionalFormatting sqref="L31:L33">
    <cfRule type="cellIs" dxfId="43" priority="74" stopIfTrue="1" operator="equal">
      <formula>#REF!</formula>
    </cfRule>
  </conditionalFormatting>
  <conditionalFormatting sqref="L34:L35">
    <cfRule type="cellIs" dxfId="42" priority="73" stopIfTrue="1" operator="equal">
      <formula>#REF!</formula>
    </cfRule>
  </conditionalFormatting>
  <conditionalFormatting sqref="L36">
    <cfRule type="cellIs" dxfId="41" priority="72" stopIfTrue="1" operator="equal">
      <formula>#REF!</formula>
    </cfRule>
  </conditionalFormatting>
  <conditionalFormatting sqref="M9:M30">
    <cfRule type="cellIs" dxfId="40" priority="68" stopIfTrue="1" operator="equal">
      <formula>#REF!</formula>
    </cfRule>
  </conditionalFormatting>
  <conditionalFormatting sqref="M7:M8">
    <cfRule type="cellIs" dxfId="39" priority="67" stopIfTrue="1" operator="equal">
      <formula>#REF!</formula>
    </cfRule>
  </conditionalFormatting>
  <conditionalFormatting sqref="M31:M33">
    <cfRule type="cellIs" dxfId="38" priority="56" stopIfTrue="1" operator="equal">
      <formula>#REF!</formula>
    </cfRule>
  </conditionalFormatting>
  <conditionalFormatting sqref="M34:M35">
    <cfRule type="cellIs" dxfId="37" priority="55" stopIfTrue="1" operator="equal">
      <formula>#REF!</formula>
    </cfRule>
  </conditionalFormatting>
  <conditionalFormatting sqref="M36">
    <cfRule type="cellIs" dxfId="36" priority="54" stopIfTrue="1" operator="equal">
      <formula>#REF!</formula>
    </cfRule>
  </conditionalFormatting>
  <conditionalFormatting sqref="N9:N30">
    <cfRule type="cellIs" dxfId="35" priority="50" stopIfTrue="1" operator="equal">
      <formula>#REF!</formula>
    </cfRule>
  </conditionalFormatting>
  <conditionalFormatting sqref="N7:N8">
    <cfRule type="cellIs" dxfId="34" priority="49" stopIfTrue="1" operator="equal">
      <formula>#REF!</formula>
    </cfRule>
  </conditionalFormatting>
  <conditionalFormatting sqref="N31:N33">
    <cfRule type="cellIs" dxfId="33" priority="38" stopIfTrue="1" operator="equal">
      <formula>#REF!</formula>
    </cfRule>
  </conditionalFormatting>
  <conditionalFormatting sqref="N34:N35">
    <cfRule type="cellIs" dxfId="32" priority="37" stopIfTrue="1" operator="equal">
      <formula>#REF!</formula>
    </cfRule>
  </conditionalFormatting>
  <conditionalFormatting sqref="N36">
    <cfRule type="cellIs" dxfId="31" priority="36" stopIfTrue="1" operator="equal">
      <formula>#REF!</formula>
    </cfRule>
  </conditionalFormatting>
  <conditionalFormatting sqref="C29:C30">
    <cfRule type="cellIs" dxfId="30" priority="21" stopIfTrue="1" operator="equal">
      <formula>#REF!</formula>
    </cfRule>
  </conditionalFormatting>
  <conditionalFormatting sqref="D30">
    <cfRule type="cellIs" dxfId="29" priority="32" stopIfTrue="1" operator="equal">
      <formula>#REF!</formula>
    </cfRule>
  </conditionalFormatting>
  <conditionalFormatting sqref="D7:D29">
    <cfRule type="cellIs" dxfId="28" priority="31" stopIfTrue="1" operator="equal">
      <formula>#REF!</formula>
    </cfRule>
  </conditionalFormatting>
  <conditionalFormatting sqref="C7:C8">
    <cfRule type="cellIs" dxfId="27" priority="30" stopIfTrue="1" operator="equal">
      <formula>#REF!</formula>
    </cfRule>
  </conditionalFormatting>
  <conditionalFormatting sqref="C9">
    <cfRule type="cellIs" dxfId="26" priority="29" stopIfTrue="1" operator="equal">
      <formula>#REF!</formula>
    </cfRule>
  </conditionalFormatting>
  <conditionalFormatting sqref="C10">
    <cfRule type="cellIs" dxfId="25" priority="28" stopIfTrue="1" operator="equal">
      <formula>#REF!</formula>
    </cfRule>
  </conditionalFormatting>
  <conditionalFormatting sqref="C11:C23">
    <cfRule type="cellIs" dxfId="24" priority="27" stopIfTrue="1" operator="equal">
      <formula>#REF!</formula>
    </cfRule>
  </conditionalFormatting>
  <conditionalFormatting sqref="C24">
    <cfRule type="cellIs" dxfId="23" priority="26" stopIfTrue="1" operator="equal">
      <formula>#REF!</formula>
    </cfRule>
  </conditionalFormatting>
  <conditionalFormatting sqref="C25">
    <cfRule type="cellIs" dxfId="22" priority="25" stopIfTrue="1" operator="equal">
      <formula>#REF!</formula>
    </cfRule>
  </conditionalFormatting>
  <conditionalFormatting sqref="C26">
    <cfRule type="cellIs" dxfId="21" priority="24" stopIfTrue="1" operator="equal">
      <formula>#REF!</formula>
    </cfRule>
  </conditionalFormatting>
  <conditionalFormatting sqref="C27">
    <cfRule type="cellIs" dxfId="20" priority="23" stopIfTrue="1" operator="equal">
      <formula>#REF!</formula>
    </cfRule>
  </conditionalFormatting>
  <conditionalFormatting sqref="C28">
    <cfRule type="cellIs" dxfId="19" priority="22" stopIfTrue="1" operator="equal">
      <formula>#REF!</formula>
    </cfRule>
  </conditionalFormatting>
  <conditionalFormatting sqref="C36">
    <cfRule type="cellIs" dxfId="18" priority="19" stopIfTrue="1" operator="equal">
      <formula>#REF!</formula>
    </cfRule>
  </conditionalFormatting>
  <conditionalFormatting sqref="D36">
    <cfRule type="cellIs" dxfId="17" priority="20" stopIfTrue="1" operator="equal">
      <formula>#REF!</formula>
    </cfRule>
  </conditionalFormatting>
  <conditionalFormatting sqref="C37">
    <cfRule type="cellIs" dxfId="16" priority="17" stopIfTrue="1" operator="equal">
      <formula>#REF!</formula>
    </cfRule>
  </conditionalFormatting>
  <conditionalFormatting sqref="D37">
    <cfRule type="cellIs" dxfId="15" priority="18" stopIfTrue="1" operator="equal">
      <formula>#REF!</formula>
    </cfRule>
  </conditionalFormatting>
  <conditionalFormatting sqref="D31:D35">
    <cfRule type="cellIs" dxfId="14" priority="16" stopIfTrue="1" operator="equal">
      <formula>#REF!</formula>
    </cfRule>
  </conditionalFormatting>
  <conditionalFormatting sqref="E39">
    <cfRule type="cellIs" dxfId="13" priority="13" stopIfTrue="1" operator="equal">
      <formula>#REF!</formula>
    </cfRule>
  </conditionalFormatting>
  <conditionalFormatting sqref="G37">
    <cfRule type="cellIs" dxfId="12" priority="11" stopIfTrue="1" operator="equal">
      <formula>#REF!</formula>
    </cfRule>
  </conditionalFormatting>
  <conditionalFormatting sqref="H37">
    <cfRule type="cellIs" dxfId="11" priority="10" stopIfTrue="1" operator="equal">
      <formula>#REF!</formula>
    </cfRule>
  </conditionalFormatting>
  <conditionalFormatting sqref="I37">
    <cfRule type="cellIs" dxfId="10" priority="9" stopIfTrue="1" operator="equal">
      <formula>#REF!</formula>
    </cfRule>
  </conditionalFormatting>
  <conditionalFormatting sqref="J37">
    <cfRule type="cellIs" dxfId="9" priority="8" stopIfTrue="1" operator="equal">
      <formula>#REF!</formula>
    </cfRule>
  </conditionalFormatting>
  <conditionalFormatting sqref="K37">
    <cfRule type="cellIs" dxfId="8" priority="7" stopIfTrue="1" operator="equal">
      <formula>#REF!</formula>
    </cfRule>
  </conditionalFormatting>
  <conditionalFormatting sqref="L37">
    <cfRule type="cellIs" dxfId="7" priority="6" stopIfTrue="1" operator="equal">
      <formula>#REF!</formula>
    </cfRule>
  </conditionalFormatting>
  <conditionalFormatting sqref="M37">
    <cfRule type="cellIs" dxfId="6" priority="5" stopIfTrue="1" operator="equal">
      <formula>#REF!</formula>
    </cfRule>
  </conditionalFormatting>
  <conditionalFormatting sqref="N37">
    <cfRule type="cellIs" dxfId="5" priority="4" stopIfTrue="1" operator="equal">
      <formula>#REF!</formula>
    </cfRule>
  </conditionalFormatting>
  <conditionalFormatting sqref="C51:C52">
    <cfRule type="cellIs" dxfId="4" priority="2" stopIfTrue="1" operator="equal">
      <formula>#REF!</formula>
    </cfRule>
  </conditionalFormatting>
  <conditionalFormatting sqref="D51:N52">
    <cfRule type="cellIs" dxfId="3" priority="3" stopIfTrue="1" operator="equal">
      <formula>#REF!</formula>
    </cfRule>
  </conditionalFormatting>
  <conditionalFormatting sqref="F22">
    <cfRule type="cellIs" dxfId="2" priority="1" stopIfTrue="1" operator="equal">
      <formula>#REF!</formula>
    </cfRule>
  </conditionalFormatting>
  <pageMargins left="0.23622047244094491" right="0.23622047244094491" top="0.74803149606299213" bottom="0.74803149606299213" header="0.31496062992125984" footer="0.31496062992125984"/>
  <pageSetup paperSize="9" scale="75" fitToHeight="0" orientation="landscape" r:id="rId1"/>
  <headerFooter>
    <oddHeader>&amp;RRáckeve Város 2020 évi költségvetés melléklete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T218"/>
  <sheetViews>
    <sheetView topLeftCell="CL1" workbookViewId="0">
      <selection activeCell="CT11" sqref="CT11"/>
    </sheetView>
  </sheetViews>
  <sheetFormatPr defaultRowHeight="12.75"/>
  <cols>
    <col min="1" max="28" width="2.140625" customWidth="1"/>
    <col min="29" max="32" width="1.85546875" customWidth="1"/>
    <col min="33" max="33" width="9.5703125" bestFit="1" customWidth="1"/>
    <col min="35" max="35" width="10.140625" bestFit="1" customWidth="1"/>
    <col min="36" max="36" width="9.5703125" bestFit="1" customWidth="1"/>
    <col min="38" max="38" width="10.140625" bestFit="1" customWidth="1"/>
    <col min="39" max="39" width="9.5703125" bestFit="1" customWidth="1"/>
    <col min="41" max="41" width="10.140625" bestFit="1" customWidth="1"/>
    <col min="42" max="42" width="9.5703125" bestFit="1" customWidth="1"/>
    <col min="44" max="44" width="10.140625" bestFit="1" customWidth="1"/>
    <col min="45" max="45" width="9.5703125" bestFit="1" customWidth="1"/>
    <col min="46" max="46" width="9.28515625" bestFit="1" customWidth="1"/>
    <col min="47" max="47" width="10.140625" bestFit="1" customWidth="1"/>
    <col min="51" max="51" width="9.5703125" bestFit="1" customWidth="1"/>
    <col min="54" max="54" width="10.85546875" bestFit="1" customWidth="1"/>
    <col min="55" max="55" width="9.85546875" bestFit="1" customWidth="1"/>
    <col min="56" max="56" width="10.85546875" bestFit="1" customWidth="1"/>
    <col min="57" max="57" width="12.28515625" bestFit="1" customWidth="1"/>
    <col min="58" max="58" width="9.85546875" bestFit="1" customWidth="1"/>
    <col min="59" max="59" width="10.85546875" bestFit="1" customWidth="1"/>
  </cols>
  <sheetData>
    <row r="1" spans="1:98">
      <c r="A1" s="518" t="s">
        <v>120</v>
      </c>
      <c r="B1" s="519"/>
      <c r="C1" s="519"/>
      <c r="D1" s="519"/>
      <c r="E1" s="519"/>
      <c r="F1" s="519"/>
      <c r="G1" s="519"/>
      <c r="H1" s="519"/>
      <c r="I1" s="519"/>
      <c r="J1" s="519"/>
      <c r="K1" s="519"/>
      <c r="L1" s="519"/>
      <c r="M1" s="519"/>
      <c r="N1" s="519"/>
      <c r="O1" s="519"/>
      <c r="P1" s="519"/>
      <c r="Q1" s="519"/>
      <c r="R1" s="519"/>
      <c r="S1" s="519"/>
      <c r="T1" s="519"/>
      <c r="U1" s="519"/>
      <c r="V1" s="519"/>
      <c r="W1" s="519"/>
      <c r="X1" s="519"/>
      <c r="Y1" s="519"/>
      <c r="Z1" s="519"/>
      <c r="AA1" s="519"/>
      <c r="AB1" s="519"/>
      <c r="AC1" s="519"/>
      <c r="AD1" s="519"/>
      <c r="AE1" s="519"/>
      <c r="AF1" s="519"/>
      <c r="AG1" s="519"/>
      <c r="AH1" s="519"/>
      <c r="AI1" s="519"/>
      <c r="AJ1" s="519"/>
      <c r="AK1" s="519"/>
      <c r="AL1" s="519"/>
      <c r="AM1" s="519"/>
      <c r="AN1" s="519"/>
      <c r="AO1" s="519"/>
      <c r="AP1" s="519"/>
      <c r="AQ1" s="519"/>
      <c r="AR1" s="519"/>
      <c r="AS1" s="519"/>
      <c r="AT1" s="519"/>
      <c r="AU1" s="519"/>
      <c r="AV1" s="519"/>
      <c r="AW1" s="519"/>
      <c r="AX1" s="519"/>
      <c r="AY1" s="519"/>
      <c r="AZ1" s="519"/>
      <c r="BA1" s="519"/>
      <c r="BL1" t="s">
        <v>121</v>
      </c>
    </row>
    <row r="2" spans="1:98">
      <c r="A2" s="520"/>
      <c r="B2" s="520"/>
      <c r="C2" s="521"/>
      <c r="D2" s="521"/>
      <c r="E2" s="521"/>
      <c r="F2" s="521"/>
      <c r="G2" s="521"/>
      <c r="H2" s="521"/>
      <c r="I2" s="521"/>
      <c r="J2" s="521"/>
      <c r="K2" s="521"/>
      <c r="L2" s="521"/>
      <c r="M2" s="521"/>
      <c r="N2" s="521"/>
      <c r="O2" s="521"/>
      <c r="P2" s="521"/>
      <c r="Q2" s="521"/>
      <c r="R2" s="521"/>
      <c r="S2" s="521"/>
      <c r="T2" s="521"/>
      <c r="U2" s="521"/>
      <c r="V2" s="521"/>
      <c r="W2" s="521"/>
      <c r="X2" s="521"/>
      <c r="Y2" s="521"/>
      <c r="Z2" s="521"/>
      <c r="AA2" s="521"/>
      <c r="AB2" s="522" t="s">
        <v>1084</v>
      </c>
      <c r="AC2" s="1246">
        <v>2020</v>
      </c>
      <c r="AD2" s="1246"/>
      <c r="AE2" s="1246"/>
      <c r="AF2" s="1246"/>
      <c r="AG2" s="523"/>
      <c r="AH2" s="519"/>
      <c r="AI2" s="519"/>
      <c r="AJ2" s="523"/>
      <c r="AK2" s="519"/>
      <c r="AL2" s="519"/>
      <c r="AM2" s="523"/>
      <c r="AN2" s="519"/>
      <c r="AO2" s="519"/>
      <c r="AP2" s="523"/>
      <c r="AQ2" s="519"/>
      <c r="AR2" s="519"/>
      <c r="AS2" s="523"/>
      <c r="AT2" s="519"/>
      <c r="AU2" s="519"/>
      <c r="AV2" s="523"/>
      <c r="AW2" s="519"/>
      <c r="AX2" s="519"/>
      <c r="AY2" s="523"/>
      <c r="AZ2" s="519"/>
      <c r="BA2" s="519"/>
      <c r="CM2" t="s">
        <v>1084</v>
      </c>
      <c r="CN2">
        <v>2020</v>
      </c>
    </row>
    <row r="3" spans="1:98" ht="13.5" thickBot="1">
      <c r="A3" s="1247"/>
      <c r="B3" s="1248"/>
      <c r="C3" s="1248"/>
      <c r="D3" s="1248"/>
      <c r="E3" s="1248"/>
      <c r="F3" s="1248"/>
      <c r="G3" s="1248"/>
      <c r="H3" s="1248"/>
      <c r="I3" s="1248"/>
      <c r="J3" s="1248"/>
      <c r="K3" s="1248"/>
      <c r="L3" s="1248"/>
      <c r="M3" s="1248"/>
      <c r="N3" s="1248"/>
      <c r="O3" s="1248"/>
      <c r="P3" s="1248"/>
      <c r="Q3" s="1248"/>
      <c r="R3" s="1248"/>
      <c r="S3" s="1248"/>
      <c r="T3" s="1248"/>
      <c r="U3" s="1248"/>
      <c r="V3" s="1248"/>
      <c r="W3" s="1248"/>
      <c r="X3" s="1248"/>
      <c r="Y3" s="1248"/>
      <c r="Z3" s="1248"/>
      <c r="AA3" s="1248"/>
      <c r="AB3" s="1248"/>
      <c r="AC3" s="1248"/>
      <c r="AD3" s="1248"/>
      <c r="AE3" s="1248"/>
      <c r="AF3" s="1248"/>
      <c r="AG3" s="519"/>
      <c r="AH3" s="519"/>
      <c r="AI3" s="519"/>
      <c r="AJ3" s="519"/>
      <c r="AK3" s="519"/>
      <c r="AL3" s="519"/>
      <c r="AM3" s="519"/>
      <c r="AN3" s="519"/>
      <c r="AO3" s="519"/>
      <c r="AP3" s="519"/>
      <c r="AQ3" s="519"/>
      <c r="AR3" s="519"/>
      <c r="AS3" s="519"/>
      <c r="AT3" s="519"/>
      <c r="AU3" s="519"/>
      <c r="AV3" s="519"/>
      <c r="AW3" s="519"/>
      <c r="AX3" s="519"/>
      <c r="AY3" s="519"/>
      <c r="AZ3" s="519"/>
      <c r="BA3" s="519"/>
    </row>
    <row r="4" spans="1:98" ht="33.75" customHeight="1">
      <c r="A4" s="1249" t="s">
        <v>1085</v>
      </c>
      <c r="B4" s="1249"/>
      <c r="C4" s="1252" t="s">
        <v>1086</v>
      </c>
      <c r="D4" s="1252"/>
      <c r="E4" s="1252"/>
      <c r="F4" s="1252"/>
      <c r="G4" s="1252"/>
      <c r="H4" s="1252"/>
      <c r="I4" s="1252"/>
      <c r="J4" s="1252"/>
      <c r="K4" s="1252"/>
      <c r="L4" s="1252"/>
      <c r="M4" s="1252"/>
      <c r="N4" s="1252"/>
      <c r="O4" s="1252"/>
      <c r="P4" s="1252"/>
      <c r="Q4" s="1252"/>
      <c r="R4" s="1252"/>
      <c r="S4" s="1252"/>
      <c r="T4" s="1252"/>
      <c r="U4" s="1252"/>
      <c r="V4" s="1252"/>
      <c r="W4" s="1252"/>
      <c r="X4" s="1252"/>
      <c r="Y4" s="1252"/>
      <c r="Z4" s="1252"/>
      <c r="AA4" s="1252"/>
      <c r="AB4" s="1252"/>
      <c r="AC4" s="1255" t="s">
        <v>1087</v>
      </c>
      <c r="AD4" s="1255"/>
      <c r="AE4" s="1255"/>
      <c r="AF4" s="1256"/>
      <c r="AG4" s="1261" t="s">
        <v>1088</v>
      </c>
      <c r="AH4" s="1262"/>
      <c r="AI4" s="1263"/>
      <c r="AJ4" s="1261" t="s">
        <v>993</v>
      </c>
      <c r="AK4" s="1262"/>
      <c r="AL4" s="1263"/>
      <c r="AM4" s="1261" t="s">
        <v>598</v>
      </c>
      <c r="AN4" s="1262"/>
      <c r="AO4" s="1263"/>
      <c r="AP4" s="1261" t="s">
        <v>1089</v>
      </c>
      <c r="AQ4" s="1262"/>
      <c r="AR4" s="1263"/>
      <c r="AS4" s="1261" t="s">
        <v>1090</v>
      </c>
      <c r="AT4" s="1262"/>
      <c r="AU4" s="1263"/>
      <c r="AV4" s="1261" t="s">
        <v>1091</v>
      </c>
      <c r="AW4" s="1262"/>
      <c r="AX4" s="1263"/>
      <c r="AY4" s="1261" t="s">
        <v>1092</v>
      </c>
      <c r="AZ4" s="524"/>
      <c r="BA4" s="524"/>
      <c r="BB4" s="1261" t="s">
        <v>1093</v>
      </c>
      <c r="BC4" s="1262"/>
      <c r="BD4" s="1263"/>
      <c r="BE4" s="1261" t="s">
        <v>943</v>
      </c>
      <c r="BF4" s="1262"/>
      <c r="BG4" s="1263"/>
      <c r="BH4" t="s">
        <v>1476</v>
      </c>
      <c r="BK4" t="s">
        <v>1477</v>
      </c>
      <c r="BL4" t="s">
        <v>1085</v>
      </c>
      <c r="BN4" t="s">
        <v>1086</v>
      </c>
      <c r="CN4" t="s">
        <v>1087</v>
      </c>
      <c r="CR4" t="s">
        <v>1298</v>
      </c>
    </row>
    <row r="5" spans="1:98" ht="15" customHeight="1">
      <c r="A5" s="1250"/>
      <c r="B5" s="1250"/>
      <c r="C5" s="1253"/>
      <c r="D5" s="1253"/>
      <c r="E5" s="1253"/>
      <c r="F5" s="1253"/>
      <c r="G5" s="1253"/>
      <c r="H5" s="1253"/>
      <c r="I5" s="1253"/>
      <c r="J5" s="1253"/>
      <c r="K5" s="1253"/>
      <c r="L5" s="1253"/>
      <c r="M5" s="1253"/>
      <c r="N5" s="1253"/>
      <c r="O5" s="1253"/>
      <c r="P5" s="1253"/>
      <c r="Q5" s="1253"/>
      <c r="R5" s="1253"/>
      <c r="S5" s="1253"/>
      <c r="T5" s="1253"/>
      <c r="U5" s="1253"/>
      <c r="V5" s="1253"/>
      <c r="W5" s="1253"/>
      <c r="X5" s="1253"/>
      <c r="Y5" s="1253"/>
      <c r="Z5" s="1253"/>
      <c r="AA5" s="1253"/>
      <c r="AB5" s="1253"/>
      <c r="AC5" s="1257"/>
      <c r="AD5" s="1257"/>
      <c r="AE5" s="1257"/>
      <c r="AF5" s="1258"/>
      <c r="AG5" s="1264"/>
      <c r="AH5" s="1265"/>
      <c r="AI5" s="1266"/>
      <c r="AJ5" s="1264"/>
      <c r="AK5" s="1265"/>
      <c r="AL5" s="1266"/>
      <c r="AM5" s="1264"/>
      <c r="AN5" s="1265"/>
      <c r="AO5" s="1266"/>
      <c r="AP5" s="1264"/>
      <c r="AQ5" s="1265"/>
      <c r="AR5" s="1266"/>
      <c r="AS5" s="1264"/>
      <c r="AT5" s="1265"/>
      <c r="AU5" s="1266"/>
      <c r="AV5" s="1264"/>
      <c r="AW5" s="1265"/>
      <c r="AX5" s="1266"/>
      <c r="AY5" s="1265"/>
      <c r="AZ5" s="525"/>
      <c r="BA5" s="525"/>
      <c r="BB5" s="1264"/>
      <c r="BC5" s="1265"/>
      <c r="BD5" s="1266"/>
      <c r="BE5" s="1264"/>
      <c r="BF5" s="1265"/>
      <c r="BG5" s="1266"/>
    </row>
    <row r="6" spans="1:98" ht="45">
      <c r="A6" s="1251"/>
      <c r="B6" s="1251"/>
      <c r="C6" s="1254"/>
      <c r="D6" s="1254"/>
      <c r="E6" s="1254"/>
      <c r="F6" s="1254"/>
      <c r="G6" s="1254"/>
      <c r="H6" s="1254"/>
      <c r="I6" s="1254"/>
      <c r="J6" s="1254"/>
      <c r="K6" s="1254"/>
      <c r="L6" s="1254"/>
      <c r="M6" s="1254"/>
      <c r="N6" s="1254"/>
      <c r="O6" s="1254"/>
      <c r="P6" s="1254"/>
      <c r="Q6" s="1254"/>
      <c r="R6" s="1254"/>
      <c r="S6" s="1254"/>
      <c r="T6" s="1254"/>
      <c r="U6" s="1254"/>
      <c r="V6" s="1254"/>
      <c r="W6" s="1254"/>
      <c r="X6" s="1254"/>
      <c r="Y6" s="1254"/>
      <c r="Z6" s="1254"/>
      <c r="AA6" s="1254"/>
      <c r="AB6" s="1254"/>
      <c r="AC6" s="1259"/>
      <c r="AD6" s="1259"/>
      <c r="AE6" s="1259"/>
      <c r="AF6" s="1260"/>
      <c r="AG6" s="526" t="s">
        <v>1094</v>
      </c>
      <c r="AH6" s="527" t="s">
        <v>1095</v>
      </c>
      <c r="AI6" s="528" t="s">
        <v>1096</v>
      </c>
      <c r="AJ6" s="526" t="s">
        <v>1094</v>
      </c>
      <c r="AK6" s="527" t="s">
        <v>1095</v>
      </c>
      <c r="AL6" s="528" t="s">
        <v>1096</v>
      </c>
      <c r="AM6" s="526" t="s">
        <v>1094</v>
      </c>
      <c r="AN6" s="527" t="s">
        <v>1095</v>
      </c>
      <c r="AO6" s="528" t="s">
        <v>1096</v>
      </c>
      <c r="AP6" s="526" t="s">
        <v>1094</v>
      </c>
      <c r="AQ6" s="527" t="s">
        <v>1095</v>
      </c>
      <c r="AR6" s="528" t="s">
        <v>1096</v>
      </c>
      <c r="AS6" s="526" t="s">
        <v>1094</v>
      </c>
      <c r="AT6" s="527" t="s">
        <v>1095</v>
      </c>
      <c r="AU6" s="528" t="s">
        <v>1096</v>
      </c>
      <c r="AV6" s="526" t="s">
        <v>1094</v>
      </c>
      <c r="AW6" s="527" t="s">
        <v>1095</v>
      </c>
      <c r="AX6" s="528" t="s">
        <v>1096</v>
      </c>
      <c r="AY6" s="526"/>
      <c r="AZ6" s="529"/>
      <c r="BA6" s="529"/>
      <c r="CR6" t="s">
        <v>1094</v>
      </c>
      <c r="CS6" t="s">
        <v>1095</v>
      </c>
      <c r="CT6" t="s">
        <v>1096</v>
      </c>
    </row>
    <row r="7" spans="1:98">
      <c r="A7" s="1267" t="s">
        <v>172</v>
      </c>
      <c r="B7" s="1268"/>
      <c r="C7" s="1269" t="s">
        <v>173</v>
      </c>
      <c r="D7" s="1270"/>
      <c r="E7" s="1270"/>
      <c r="F7" s="1270"/>
      <c r="G7" s="1270"/>
      <c r="H7" s="1270"/>
      <c r="I7" s="1270"/>
      <c r="J7" s="1270"/>
      <c r="K7" s="1270"/>
      <c r="L7" s="1270"/>
      <c r="M7" s="1270"/>
      <c r="N7" s="1270"/>
      <c r="O7" s="1270"/>
      <c r="P7" s="1270"/>
      <c r="Q7" s="1270"/>
      <c r="R7" s="1270"/>
      <c r="S7" s="1270"/>
      <c r="T7" s="1270"/>
      <c r="U7" s="1270"/>
      <c r="V7" s="1270"/>
      <c r="W7" s="1270"/>
      <c r="X7" s="1270"/>
      <c r="Y7" s="1270"/>
      <c r="Z7" s="1270"/>
      <c r="AA7" s="1270"/>
      <c r="AB7" s="1270"/>
      <c r="AC7" s="1269" t="s">
        <v>174</v>
      </c>
      <c r="AD7" s="1270"/>
      <c r="AE7" s="1270"/>
      <c r="AF7" s="1271"/>
      <c r="AG7" s="530"/>
      <c r="AH7" s="530"/>
      <c r="AI7" s="531"/>
      <c r="AJ7" s="530"/>
      <c r="AK7" s="530"/>
      <c r="AL7" s="531"/>
      <c r="AM7" s="530"/>
      <c r="AN7" s="530"/>
      <c r="AO7" s="531"/>
      <c r="AP7" s="530"/>
      <c r="AQ7" s="530"/>
      <c r="AR7" s="531"/>
      <c r="AS7" s="530"/>
      <c r="AT7" s="530"/>
      <c r="AU7" s="531"/>
      <c r="AV7" s="530"/>
      <c r="AW7" s="530"/>
      <c r="AX7" s="531"/>
      <c r="AY7" s="530"/>
      <c r="AZ7" s="532"/>
      <c r="BA7" s="532"/>
      <c r="BL7" t="s">
        <v>172</v>
      </c>
      <c r="BN7" t="s">
        <v>173</v>
      </c>
      <c r="CN7" t="s">
        <v>174</v>
      </c>
    </row>
    <row r="8" spans="1:98">
      <c r="A8" s="533"/>
      <c r="B8" s="534"/>
      <c r="C8" s="535" t="s">
        <v>1097</v>
      </c>
      <c r="D8" s="536"/>
      <c r="E8" s="536"/>
      <c r="F8" s="536"/>
      <c r="G8" s="536"/>
      <c r="H8" s="536"/>
      <c r="I8" s="536"/>
      <c r="J8" s="536"/>
      <c r="K8" s="536"/>
      <c r="L8" s="536"/>
      <c r="M8" s="536"/>
      <c r="N8" s="536"/>
      <c r="O8" s="536"/>
      <c r="P8" s="536"/>
      <c r="Q8" s="536"/>
      <c r="R8" s="536"/>
      <c r="S8" s="536"/>
      <c r="T8" s="536"/>
      <c r="U8" s="536"/>
      <c r="V8" s="536"/>
      <c r="W8" s="536"/>
      <c r="X8" s="536"/>
      <c r="Y8" s="536"/>
      <c r="Z8" s="536"/>
      <c r="AA8" s="536"/>
      <c r="AB8" s="536"/>
      <c r="AC8" s="537"/>
      <c r="AD8" s="538"/>
      <c r="AE8" s="538"/>
      <c r="AF8" s="539"/>
      <c r="AG8" s="540"/>
      <c r="AH8" s="540"/>
      <c r="AI8" s="541"/>
      <c r="AJ8" s="540"/>
      <c r="AK8" s="540"/>
      <c r="AL8" s="541"/>
      <c r="AM8" s="540"/>
      <c r="AN8" s="540"/>
      <c r="AO8" s="541"/>
      <c r="AP8" s="540"/>
      <c r="AQ8" s="540"/>
      <c r="AR8" s="541"/>
      <c r="AS8" s="540"/>
      <c r="AT8" s="540"/>
      <c r="AU8" s="541"/>
      <c r="AV8" s="540"/>
      <c r="AW8" s="540"/>
      <c r="AX8" s="541"/>
      <c r="AY8" s="540"/>
      <c r="AZ8" s="542"/>
      <c r="BA8" s="542"/>
      <c r="BN8" t="s">
        <v>1097</v>
      </c>
    </row>
    <row r="9" spans="1:98">
      <c r="A9" s="1272" t="s">
        <v>1098</v>
      </c>
      <c r="B9" s="1273"/>
      <c r="C9" s="1274" t="s">
        <v>1099</v>
      </c>
      <c r="D9" s="1275"/>
      <c r="E9" s="1275"/>
      <c r="F9" s="1275"/>
      <c r="G9" s="1275"/>
      <c r="H9" s="1275"/>
      <c r="I9" s="1275"/>
      <c r="J9" s="1275"/>
      <c r="K9" s="1275"/>
      <c r="L9" s="1275"/>
      <c r="M9" s="1275"/>
      <c r="N9" s="1275"/>
      <c r="O9" s="1275"/>
      <c r="P9" s="1275"/>
      <c r="Q9" s="1275"/>
      <c r="R9" s="1275"/>
      <c r="S9" s="1275"/>
      <c r="T9" s="1275"/>
      <c r="U9" s="1275"/>
      <c r="V9" s="1275"/>
      <c r="W9" s="1275"/>
      <c r="X9" s="1275"/>
      <c r="Y9" s="1275"/>
      <c r="Z9" s="1275"/>
      <c r="AA9" s="1275"/>
      <c r="AB9" s="1275"/>
      <c r="AC9" s="1276" t="s">
        <v>1100</v>
      </c>
      <c r="AD9" s="1277"/>
      <c r="AE9" s="1277"/>
      <c r="AF9" s="1278"/>
      <c r="AG9" s="543">
        <v>102466171</v>
      </c>
      <c r="AH9" s="544"/>
      <c r="AI9" s="545">
        <f>AG9</f>
        <v>102466171</v>
      </c>
      <c r="AJ9" s="543">
        <v>16999672</v>
      </c>
      <c r="AK9" s="544"/>
      <c r="AL9" s="545">
        <f>AJ9</f>
        <v>16999672</v>
      </c>
      <c r="AM9" s="543">
        <v>20954687</v>
      </c>
      <c r="AN9" s="544"/>
      <c r="AO9" s="545">
        <f>AM9</f>
        <v>20954687</v>
      </c>
      <c r="AP9" s="543">
        <v>245449854</v>
      </c>
      <c r="AQ9" s="544"/>
      <c r="AR9" s="545">
        <f>AP9</f>
        <v>245449854</v>
      </c>
      <c r="AS9" s="543">
        <v>55978799</v>
      </c>
      <c r="AT9" s="544"/>
      <c r="AU9" s="545">
        <f>AS9</f>
        <v>55978799</v>
      </c>
      <c r="AV9" s="543">
        <v>35897395</v>
      </c>
      <c r="AW9" s="544"/>
      <c r="AX9" s="545">
        <v>35897395</v>
      </c>
      <c r="AY9" s="543">
        <v>133010000</v>
      </c>
      <c r="AZ9" s="546"/>
      <c r="BA9" s="546"/>
      <c r="BB9" s="420">
        <f>AS9+AV9</f>
        <v>91876194</v>
      </c>
      <c r="BC9" s="420">
        <f t="shared" ref="BC9:BD24" si="0">AT9+AW9</f>
        <v>0</v>
      </c>
      <c r="BD9" s="420">
        <f t="shared" si="0"/>
        <v>91876194</v>
      </c>
      <c r="BE9" s="420">
        <f>AG9+AJ9+AM9+AP9+BB9+AY9</f>
        <v>610756578</v>
      </c>
      <c r="BF9" s="420">
        <f t="shared" ref="BF9:BG24" si="1">AH9+AK9+AN9+AQ9+BC9+AZ9</f>
        <v>0</v>
      </c>
      <c r="BG9" s="420">
        <f t="shared" si="1"/>
        <v>477746578</v>
      </c>
      <c r="BH9">
        <v>59031019</v>
      </c>
      <c r="BK9">
        <v>159160159</v>
      </c>
      <c r="BL9" t="s">
        <v>1098</v>
      </c>
      <c r="BN9" t="s">
        <v>1099</v>
      </c>
      <c r="CN9" t="s">
        <v>1100</v>
      </c>
      <c r="CR9">
        <v>22982274</v>
      </c>
      <c r="CT9">
        <v>22982274</v>
      </c>
    </row>
    <row r="10" spans="1:98">
      <c r="A10" s="1272" t="s">
        <v>1101</v>
      </c>
      <c r="B10" s="1273"/>
      <c r="C10" s="1274" t="s">
        <v>1102</v>
      </c>
      <c r="D10" s="1275"/>
      <c r="E10" s="1275"/>
      <c r="F10" s="1275"/>
      <c r="G10" s="1275"/>
      <c r="H10" s="1275"/>
      <c r="I10" s="1275"/>
      <c r="J10" s="1275"/>
      <c r="K10" s="1275"/>
      <c r="L10" s="1275"/>
      <c r="M10" s="1275"/>
      <c r="N10" s="1275"/>
      <c r="O10" s="1275"/>
      <c r="P10" s="1275"/>
      <c r="Q10" s="1275"/>
      <c r="R10" s="1275"/>
      <c r="S10" s="1275"/>
      <c r="T10" s="1275"/>
      <c r="U10" s="1275"/>
      <c r="V10" s="1275"/>
      <c r="W10" s="1275"/>
      <c r="X10" s="1275"/>
      <c r="Y10" s="1275"/>
      <c r="Z10" s="1275"/>
      <c r="AA10" s="1275"/>
      <c r="AB10" s="1275"/>
      <c r="AC10" s="1281" t="s">
        <v>1103</v>
      </c>
      <c r="AD10" s="1281"/>
      <c r="AE10" s="1281"/>
      <c r="AF10" s="1281"/>
      <c r="AG10" s="543">
        <v>0</v>
      </c>
      <c r="AH10" s="544"/>
      <c r="AI10" s="545">
        <f t="shared" ref="AI10:AI21" si="2">AG10</f>
        <v>0</v>
      </c>
      <c r="AJ10" s="543">
        <v>0</v>
      </c>
      <c r="AK10" s="544"/>
      <c r="AL10" s="545">
        <f t="shared" ref="AL10:AL21" si="3">AJ10</f>
        <v>0</v>
      </c>
      <c r="AM10" s="543">
        <v>0</v>
      </c>
      <c r="AN10" s="544"/>
      <c r="AO10" s="545">
        <f t="shared" ref="AO10:AO21" si="4">AM10</f>
        <v>0</v>
      </c>
      <c r="AP10" s="543">
        <v>0</v>
      </c>
      <c r="AQ10" s="544"/>
      <c r="AR10" s="545">
        <f t="shared" ref="AR10:AR21" si="5">AP10</f>
        <v>0</v>
      </c>
      <c r="AS10" s="543">
        <v>0</v>
      </c>
      <c r="AT10" s="544"/>
      <c r="AU10" s="545">
        <f t="shared" ref="AU10:AU21" si="6">AS10</f>
        <v>0</v>
      </c>
      <c r="AV10" s="543">
        <v>0</v>
      </c>
      <c r="AW10" s="544"/>
      <c r="AX10" s="545">
        <v>0</v>
      </c>
      <c r="AY10" s="543"/>
      <c r="AZ10" s="546"/>
      <c r="BA10" s="546"/>
      <c r="BB10" s="420">
        <f t="shared" ref="BB10:BD73" si="7">AS10+AV10</f>
        <v>0</v>
      </c>
      <c r="BC10" s="420">
        <f t="shared" si="0"/>
        <v>0</v>
      </c>
      <c r="BD10" s="420">
        <f t="shared" si="0"/>
        <v>0</v>
      </c>
      <c r="BE10" s="420">
        <f t="shared" ref="BE10:BG73" si="8">AG10+AJ10+AM10+AP10+BB10+AY10</f>
        <v>0</v>
      </c>
      <c r="BF10" s="420">
        <f t="shared" si="1"/>
        <v>0</v>
      </c>
      <c r="BG10" s="420">
        <f t="shared" si="1"/>
        <v>0</v>
      </c>
      <c r="BH10">
        <v>0</v>
      </c>
      <c r="BK10">
        <v>0</v>
      </c>
      <c r="BL10" t="s">
        <v>1101</v>
      </c>
      <c r="BN10" t="s">
        <v>1102</v>
      </c>
      <c r="CN10" t="s">
        <v>1103</v>
      </c>
      <c r="CR10">
        <v>0</v>
      </c>
      <c r="CT10">
        <v>0</v>
      </c>
    </row>
    <row r="11" spans="1:98">
      <c r="A11" s="1272" t="s">
        <v>1104</v>
      </c>
      <c r="B11" s="1273"/>
      <c r="C11" s="1274" t="s">
        <v>1105</v>
      </c>
      <c r="D11" s="1275"/>
      <c r="E11" s="1275"/>
      <c r="F11" s="1275"/>
      <c r="G11" s="1275"/>
      <c r="H11" s="1275"/>
      <c r="I11" s="1275"/>
      <c r="J11" s="1275"/>
      <c r="K11" s="1275"/>
      <c r="L11" s="1275"/>
      <c r="M11" s="1275"/>
      <c r="N11" s="1275"/>
      <c r="O11" s="1275"/>
      <c r="P11" s="1275"/>
      <c r="Q11" s="1275"/>
      <c r="R11" s="1275"/>
      <c r="S11" s="1275"/>
      <c r="T11" s="1275"/>
      <c r="U11" s="1275"/>
      <c r="V11" s="1275"/>
      <c r="W11" s="1275"/>
      <c r="X11" s="1275"/>
      <c r="Y11" s="1275"/>
      <c r="Z11" s="1275"/>
      <c r="AA11" s="1275"/>
      <c r="AB11" s="1275"/>
      <c r="AC11" s="1281" t="s">
        <v>1106</v>
      </c>
      <c r="AD11" s="1281"/>
      <c r="AE11" s="1281"/>
      <c r="AF11" s="1281"/>
      <c r="AG11" s="543">
        <v>0</v>
      </c>
      <c r="AH11" s="544"/>
      <c r="AI11" s="545">
        <f t="shared" si="2"/>
        <v>0</v>
      </c>
      <c r="AJ11" s="543">
        <v>0</v>
      </c>
      <c r="AK11" s="544"/>
      <c r="AL11" s="545">
        <f t="shared" si="3"/>
        <v>0</v>
      </c>
      <c r="AM11" s="543">
        <v>0</v>
      </c>
      <c r="AN11" s="544"/>
      <c r="AO11" s="545">
        <f t="shared" si="4"/>
        <v>0</v>
      </c>
      <c r="AP11" s="543">
        <v>0</v>
      </c>
      <c r="AQ11" s="544"/>
      <c r="AR11" s="545">
        <f t="shared" si="5"/>
        <v>0</v>
      </c>
      <c r="AS11" s="543">
        <v>0</v>
      </c>
      <c r="AT11" s="544"/>
      <c r="AU11" s="545">
        <f t="shared" si="6"/>
        <v>0</v>
      </c>
      <c r="AV11" s="543">
        <v>0</v>
      </c>
      <c r="AW11" s="544"/>
      <c r="AX11" s="545">
        <v>0</v>
      </c>
      <c r="AY11" s="543">
        <v>2000000</v>
      </c>
      <c r="AZ11" s="546"/>
      <c r="BA11" s="546"/>
      <c r="BB11" s="420">
        <f t="shared" si="7"/>
        <v>0</v>
      </c>
      <c r="BC11" s="420">
        <f t="shared" si="0"/>
        <v>0</v>
      </c>
      <c r="BD11" s="420">
        <f t="shared" si="0"/>
        <v>0</v>
      </c>
      <c r="BE11" s="420">
        <f t="shared" si="8"/>
        <v>2000000</v>
      </c>
      <c r="BF11" s="420">
        <f t="shared" si="1"/>
        <v>0</v>
      </c>
      <c r="BG11" s="420">
        <f t="shared" si="1"/>
        <v>0</v>
      </c>
      <c r="BH11">
        <v>218985</v>
      </c>
      <c r="BK11">
        <v>2782396</v>
      </c>
      <c r="BL11" t="s">
        <v>1104</v>
      </c>
      <c r="BN11" t="s">
        <v>1105</v>
      </c>
      <c r="CN11" t="s">
        <v>1106</v>
      </c>
      <c r="CR11">
        <v>0</v>
      </c>
      <c r="CT11">
        <v>0</v>
      </c>
    </row>
    <row r="12" spans="1:98">
      <c r="A12" s="1272" t="s">
        <v>1107</v>
      </c>
      <c r="B12" s="1273"/>
      <c r="C12" s="1279" t="s">
        <v>1108</v>
      </c>
      <c r="D12" s="1280"/>
      <c r="E12" s="1280"/>
      <c r="F12" s="1280"/>
      <c r="G12" s="1280"/>
      <c r="H12" s="1280"/>
      <c r="I12" s="1280"/>
      <c r="J12" s="1280"/>
      <c r="K12" s="1280"/>
      <c r="L12" s="1280"/>
      <c r="M12" s="1280"/>
      <c r="N12" s="1280"/>
      <c r="O12" s="1280"/>
      <c r="P12" s="1280"/>
      <c r="Q12" s="1280"/>
      <c r="R12" s="1280"/>
      <c r="S12" s="1280"/>
      <c r="T12" s="1280"/>
      <c r="U12" s="1280"/>
      <c r="V12" s="1280"/>
      <c r="W12" s="1280"/>
      <c r="X12" s="1280"/>
      <c r="Y12" s="1280"/>
      <c r="Z12" s="1280"/>
      <c r="AA12" s="1280"/>
      <c r="AB12" s="1280"/>
      <c r="AC12" s="1281" t="s">
        <v>1109</v>
      </c>
      <c r="AD12" s="1281"/>
      <c r="AE12" s="1281"/>
      <c r="AF12" s="1281"/>
      <c r="AG12" s="543">
        <v>92000</v>
      </c>
      <c r="AH12" s="544"/>
      <c r="AI12" s="545">
        <f t="shared" si="2"/>
        <v>92000</v>
      </c>
      <c r="AJ12" s="543">
        <v>180000</v>
      </c>
      <c r="AK12" s="544"/>
      <c r="AL12" s="545">
        <f t="shared" si="3"/>
        <v>180000</v>
      </c>
      <c r="AM12" s="543">
        <v>172000</v>
      </c>
      <c r="AN12" s="544"/>
      <c r="AO12" s="545">
        <f t="shared" si="4"/>
        <v>172000</v>
      </c>
      <c r="AP12" s="543">
        <v>539958</v>
      </c>
      <c r="AQ12" s="544"/>
      <c r="AR12" s="545">
        <f t="shared" si="5"/>
        <v>539958</v>
      </c>
      <c r="AS12" s="543">
        <v>700000</v>
      </c>
      <c r="AT12" s="544"/>
      <c r="AU12" s="545">
        <f t="shared" si="6"/>
        <v>700000</v>
      </c>
      <c r="AV12" s="543">
        <v>702500</v>
      </c>
      <c r="AW12" s="544"/>
      <c r="AX12" s="545">
        <v>702500</v>
      </c>
      <c r="AY12" s="543">
        <v>1000000</v>
      </c>
      <c r="AZ12" s="546"/>
      <c r="BA12" s="546"/>
      <c r="BB12" s="420">
        <f t="shared" si="7"/>
        <v>1402500</v>
      </c>
      <c r="BC12" s="420">
        <f t="shared" si="0"/>
        <v>0</v>
      </c>
      <c r="BD12" s="420">
        <f t="shared" si="0"/>
        <v>1402500</v>
      </c>
      <c r="BE12" s="420">
        <f t="shared" si="8"/>
        <v>3386458</v>
      </c>
      <c r="BF12" s="420">
        <f t="shared" si="1"/>
        <v>0</v>
      </c>
      <c r="BG12" s="420">
        <f t="shared" si="1"/>
        <v>2386458</v>
      </c>
      <c r="BH12">
        <v>0</v>
      </c>
      <c r="BK12">
        <v>560850</v>
      </c>
      <c r="BL12" t="s">
        <v>1107</v>
      </c>
      <c r="BN12" t="s">
        <v>1108</v>
      </c>
      <c r="CN12" t="s">
        <v>1109</v>
      </c>
      <c r="CR12">
        <v>1000000</v>
      </c>
      <c r="CT12">
        <v>1000000</v>
      </c>
    </row>
    <row r="13" spans="1:98">
      <c r="A13" s="1272" t="s">
        <v>1110</v>
      </c>
      <c r="B13" s="1273"/>
      <c r="C13" s="1279" t="s">
        <v>1111</v>
      </c>
      <c r="D13" s="1280"/>
      <c r="E13" s="1280"/>
      <c r="F13" s="1280"/>
      <c r="G13" s="1280"/>
      <c r="H13" s="1280"/>
      <c r="I13" s="1280"/>
      <c r="J13" s="1280"/>
      <c r="K13" s="1280"/>
      <c r="L13" s="1280"/>
      <c r="M13" s="1280"/>
      <c r="N13" s="1280"/>
      <c r="O13" s="1280"/>
      <c r="P13" s="1280"/>
      <c r="Q13" s="1280"/>
      <c r="R13" s="1280"/>
      <c r="S13" s="1280"/>
      <c r="T13" s="1280"/>
      <c r="U13" s="1280"/>
      <c r="V13" s="1280"/>
      <c r="W13" s="1280"/>
      <c r="X13" s="1280"/>
      <c r="Y13" s="1280"/>
      <c r="Z13" s="1280"/>
      <c r="AA13" s="1280"/>
      <c r="AB13" s="1280"/>
      <c r="AC13" s="1281" t="s">
        <v>1112</v>
      </c>
      <c r="AD13" s="1281"/>
      <c r="AE13" s="1281"/>
      <c r="AF13" s="1281"/>
      <c r="AG13" s="543">
        <v>0</v>
      </c>
      <c r="AH13" s="544"/>
      <c r="AI13" s="545">
        <f t="shared" si="2"/>
        <v>0</v>
      </c>
      <c r="AJ13" s="543">
        <v>0</v>
      </c>
      <c r="AK13" s="544"/>
      <c r="AL13" s="545">
        <f t="shared" si="3"/>
        <v>0</v>
      </c>
      <c r="AM13" s="543">
        <v>0</v>
      </c>
      <c r="AN13" s="544"/>
      <c r="AO13" s="545">
        <f t="shared" si="4"/>
        <v>0</v>
      </c>
      <c r="AP13" s="543">
        <v>0</v>
      </c>
      <c r="AQ13" s="544"/>
      <c r="AR13" s="545">
        <f t="shared" si="5"/>
        <v>0</v>
      </c>
      <c r="AS13" s="543">
        <v>0</v>
      </c>
      <c r="AT13" s="544"/>
      <c r="AU13" s="545">
        <f t="shared" si="6"/>
        <v>0</v>
      </c>
      <c r="AV13" s="543">
        <v>0</v>
      </c>
      <c r="AW13" s="544"/>
      <c r="AX13" s="545">
        <v>0</v>
      </c>
      <c r="AY13" s="543"/>
      <c r="AZ13" s="546"/>
      <c r="BA13" s="546"/>
      <c r="BB13" s="420">
        <f t="shared" si="7"/>
        <v>0</v>
      </c>
      <c r="BC13" s="420">
        <f t="shared" si="0"/>
        <v>0</v>
      </c>
      <c r="BD13" s="420">
        <f t="shared" si="0"/>
        <v>0</v>
      </c>
      <c r="BE13" s="420">
        <f t="shared" si="8"/>
        <v>0</v>
      </c>
      <c r="BF13" s="420">
        <f t="shared" si="1"/>
        <v>0</v>
      </c>
      <c r="BG13" s="420">
        <f t="shared" si="1"/>
        <v>0</v>
      </c>
      <c r="BH13">
        <v>0</v>
      </c>
      <c r="BK13">
        <v>0</v>
      </c>
      <c r="BL13" t="s">
        <v>1110</v>
      </c>
      <c r="BN13" t="s">
        <v>1111</v>
      </c>
      <c r="CN13" t="s">
        <v>1112</v>
      </c>
      <c r="CR13">
        <v>0</v>
      </c>
      <c r="CT13">
        <v>0</v>
      </c>
    </row>
    <row r="14" spans="1:98">
      <c r="A14" s="1272" t="s">
        <v>1113</v>
      </c>
      <c r="B14" s="1273"/>
      <c r="C14" s="1279" t="s">
        <v>1114</v>
      </c>
      <c r="D14" s="1280"/>
      <c r="E14" s="1280"/>
      <c r="F14" s="1280"/>
      <c r="G14" s="1280"/>
      <c r="H14" s="1280"/>
      <c r="I14" s="1280"/>
      <c r="J14" s="1280"/>
      <c r="K14" s="1280"/>
      <c r="L14" s="1280"/>
      <c r="M14" s="1280"/>
      <c r="N14" s="1280"/>
      <c r="O14" s="1280"/>
      <c r="P14" s="1280"/>
      <c r="Q14" s="1280"/>
      <c r="R14" s="1280"/>
      <c r="S14" s="1280"/>
      <c r="T14" s="1280"/>
      <c r="U14" s="1280"/>
      <c r="V14" s="1280"/>
      <c r="W14" s="1280"/>
      <c r="X14" s="1280"/>
      <c r="Y14" s="1280"/>
      <c r="Z14" s="1280"/>
      <c r="AA14" s="1280"/>
      <c r="AB14" s="1280"/>
      <c r="AC14" s="1281" t="s">
        <v>1115</v>
      </c>
      <c r="AD14" s="1281"/>
      <c r="AE14" s="1281"/>
      <c r="AF14" s="1281"/>
      <c r="AG14" s="543">
        <v>1373514</v>
      </c>
      <c r="AH14" s="544"/>
      <c r="AI14" s="545">
        <f t="shared" si="2"/>
        <v>1373514</v>
      </c>
      <c r="AJ14" s="543">
        <v>0</v>
      </c>
      <c r="AK14" s="544"/>
      <c r="AL14" s="545">
        <f t="shared" si="3"/>
        <v>0</v>
      </c>
      <c r="AM14" s="543">
        <v>0</v>
      </c>
      <c r="AN14" s="544"/>
      <c r="AO14" s="545">
        <f t="shared" si="4"/>
        <v>0</v>
      </c>
      <c r="AP14" s="543">
        <v>4800095</v>
      </c>
      <c r="AQ14" s="544"/>
      <c r="AR14" s="545">
        <f t="shared" si="5"/>
        <v>4800095</v>
      </c>
      <c r="AS14" s="543">
        <v>0</v>
      </c>
      <c r="AT14" s="544"/>
      <c r="AU14" s="545">
        <f t="shared" si="6"/>
        <v>0</v>
      </c>
      <c r="AV14" s="543">
        <v>890200</v>
      </c>
      <c r="AW14" s="544"/>
      <c r="AX14" s="545">
        <v>890200</v>
      </c>
      <c r="AY14" s="543">
        <v>1800000</v>
      </c>
      <c r="AZ14" s="546"/>
      <c r="BA14" s="546"/>
      <c r="BB14" s="420">
        <f t="shared" si="7"/>
        <v>890200</v>
      </c>
      <c r="BC14" s="420">
        <f t="shared" si="0"/>
        <v>0</v>
      </c>
      <c r="BD14" s="420">
        <f t="shared" si="0"/>
        <v>890200</v>
      </c>
      <c r="BE14" s="420">
        <f t="shared" si="8"/>
        <v>8863809</v>
      </c>
      <c r="BF14" s="420">
        <f t="shared" si="1"/>
        <v>0</v>
      </c>
      <c r="BG14" s="420">
        <f t="shared" si="1"/>
        <v>7063809</v>
      </c>
      <c r="BH14">
        <v>1070190</v>
      </c>
      <c r="BK14">
        <v>3410258</v>
      </c>
      <c r="BL14" t="s">
        <v>1113</v>
      </c>
      <c r="BN14" t="s">
        <v>1114</v>
      </c>
      <c r="CN14" t="s">
        <v>1115</v>
      </c>
      <c r="CR14">
        <v>0</v>
      </c>
      <c r="CT14">
        <v>0</v>
      </c>
    </row>
    <row r="15" spans="1:98">
      <c r="A15" s="1272" t="s">
        <v>1116</v>
      </c>
      <c r="B15" s="1273"/>
      <c r="C15" s="1279" t="s">
        <v>1117</v>
      </c>
      <c r="D15" s="1280"/>
      <c r="E15" s="1280"/>
      <c r="F15" s="1280"/>
      <c r="G15" s="1280"/>
      <c r="H15" s="1280"/>
      <c r="I15" s="1280"/>
      <c r="J15" s="1280"/>
      <c r="K15" s="1280"/>
      <c r="L15" s="1280"/>
      <c r="M15" s="1280"/>
      <c r="N15" s="1280"/>
      <c r="O15" s="1280"/>
      <c r="P15" s="1280"/>
      <c r="Q15" s="1280"/>
      <c r="R15" s="1280"/>
      <c r="S15" s="1280"/>
      <c r="T15" s="1280"/>
      <c r="U15" s="1280"/>
      <c r="V15" s="1280"/>
      <c r="W15" s="1280"/>
      <c r="X15" s="1280"/>
      <c r="Y15" s="1280"/>
      <c r="Z15" s="1280"/>
      <c r="AA15" s="1280"/>
      <c r="AB15" s="1280"/>
      <c r="AC15" s="1281" t="s">
        <v>1118</v>
      </c>
      <c r="AD15" s="1281"/>
      <c r="AE15" s="1281"/>
      <c r="AF15" s="1281"/>
      <c r="AG15" s="543">
        <v>1356000</v>
      </c>
      <c r="AH15" s="544"/>
      <c r="AI15" s="545">
        <f t="shared" si="2"/>
        <v>1356000</v>
      </c>
      <c r="AJ15" s="543">
        <v>288000</v>
      </c>
      <c r="AK15" s="544"/>
      <c r="AL15" s="545">
        <f t="shared" si="3"/>
        <v>288000</v>
      </c>
      <c r="AM15" s="543">
        <v>312000</v>
      </c>
      <c r="AN15" s="544"/>
      <c r="AO15" s="545">
        <f t="shared" si="4"/>
        <v>312000</v>
      </c>
      <c r="AP15" s="543">
        <v>3456000</v>
      </c>
      <c r="AQ15" s="544"/>
      <c r="AR15" s="545">
        <f t="shared" si="5"/>
        <v>3456000</v>
      </c>
      <c r="AS15" s="543">
        <v>984000</v>
      </c>
      <c r="AT15" s="544"/>
      <c r="AU15" s="545">
        <f t="shared" si="6"/>
        <v>984000</v>
      </c>
      <c r="AV15" s="543">
        <v>540000</v>
      </c>
      <c r="AW15" s="544"/>
      <c r="AX15" s="545">
        <v>540000</v>
      </c>
      <c r="AY15" s="543">
        <v>4907100</v>
      </c>
      <c r="AZ15" s="546"/>
      <c r="BA15" s="546"/>
      <c r="BB15" s="420">
        <f t="shared" si="7"/>
        <v>1524000</v>
      </c>
      <c r="BC15" s="420">
        <f t="shared" si="0"/>
        <v>0</v>
      </c>
      <c r="BD15" s="420">
        <f t="shared" si="0"/>
        <v>1524000</v>
      </c>
      <c r="BE15" s="420">
        <f t="shared" si="8"/>
        <v>11843100</v>
      </c>
      <c r="BF15" s="420">
        <f t="shared" si="1"/>
        <v>0</v>
      </c>
      <c r="BG15" s="420">
        <f t="shared" si="1"/>
        <v>6936000</v>
      </c>
      <c r="BH15">
        <v>2716848</v>
      </c>
      <c r="BK15">
        <v>5735568</v>
      </c>
      <c r="BL15" t="s">
        <v>1116</v>
      </c>
      <c r="BN15" t="s">
        <v>1117</v>
      </c>
      <c r="CN15" t="s">
        <v>1118</v>
      </c>
      <c r="CR15">
        <v>370000</v>
      </c>
      <c r="CT15">
        <v>370000</v>
      </c>
    </row>
    <row r="16" spans="1:98">
      <c r="A16" s="1272" t="s">
        <v>1119</v>
      </c>
      <c r="B16" s="1273"/>
      <c r="C16" s="1279" t="s">
        <v>1120</v>
      </c>
      <c r="D16" s="1280"/>
      <c r="E16" s="1280"/>
      <c r="F16" s="1280"/>
      <c r="G16" s="1280"/>
      <c r="H16" s="1280"/>
      <c r="I16" s="1280"/>
      <c r="J16" s="1280"/>
      <c r="K16" s="1280"/>
      <c r="L16" s="1280"/>
      <c r="M16" s="1280"/>
      <c r="N16" s="1280"/>
      <c r="O16" s="1280"/>
      <c r="P16" s="1280"/>
      <c r="Q16" s="1280"/>
      <c r="R16" s="1280"/>
      <c r="S16" s="1280"/>
      <c r="T16" s="1280"/>
      <c r="U16" s="1280"/>
      <c r="V16" s="1280"/>
      <c r="W16" s="1280"/>
      <c r="X16" s="1280"/>
      <c r="Y16" s="1280"/>
      <c r="Z16" s="1280"/>
      <c r="AA16" s="1280"/>
      <c r="AB16" s="1280"/>
      <c r="AC16" s="1282" t="s">
        <v>1121</v>
      </c>
      <c r="AD16" s="1283"/>
      <c r="AE16" s="1283"/>
      <c r="AF16" s="1284"/>
      <c r="AG16" s="543">
        <v>0</v>
      </c>
      <c r="AH16" s="544"/>
      <c r="AI16" s="545">
        <f t="shared" si="2"/>
        <v>0</v>
      </c>
      <c r="AJ16" s="543">
        <v>0</v>
      </c>
      <c r="AK16" s="544"/>
      <c r="AL16" s="545">
        <f t="shared" si="3"/>
        <v>0</v>
      </c>
      <c r="AM16" s="543">
        <v>0</v>
      </c>
      <c r="AN16" s="544"/>
      <c r="AO16" s="545">
        <f t="shared" si="4"/>
        <v>0</v>
      </c>
      <c r="AP16" s="543">
        <v>0</v>
      </c>
      <c r="AQ16" s="544"/>
      <c r="AR16" s="545">
        <f t="shared" si="5"/>
        <v>0</v>
      </c>
      <c r="AS16" s="543">
        <v>0</v>
      </c>
      <c r="AT16" s="544"/>
      <c r="AU16" s="545">
        <f t="shared" si="6"/>
        <v>0</v>
      </c>
      <c r="AV16" s="543">
        <v>0</v>
      </c>
      <c r="AW16" s="544"/>
      <c r="AX16" s="545">
        <v>0</v>
      </c>
      <c r="AY16" s="543"/>
      <c r="AZ16" s="546"/>
      <c r="BA16" s="546"/>
      <c r="BB16" s="420">
        <f t="shared" si="7"/>
        <v>0</v>
      </c>
      <c r="BC16" s="420">
        <f t="shared" si="0"/>
        <v>0</v>
      </c>
      <c r="BD16" s="420">
        <f t="shared" si="0"/>
        <v>0</v>
      </c>
      <c r="BE16" s="420">
        <f t="shared" si="8"/>
        <v>0</v>
      </c>
      <c r="BF16" s="420">
        <f t="shared" si="1"/>
        <v>0</v>
      </c>
      <c r="BG16" s="420">
        <f t="shared" si="1"/>
        <v>0</v>
      </c>
      <c r="BH16">
        <v>0</v>
      </c>
      <c r="BK16">
        <v>0</v>
      </c>
      <c r="BL16" t="s">
        <v>1119</v>
      </c>
      <c r="BN16" t="s">
        <v>1120</v>
      </c>
      <c r="CN16" t="s">
        <v>1121</v>
      </c>
      <c r="CR16">
        <v>0</v>
      </c>
      <c r="CT16">
        <v>0</v>
      </c>
    </row>
    <row r="17" spans="1:98">
      <c r="A17" s="1272" t="s">
        <v>1122</v>
      </c>
      <c r="B17" s="1273"/>
      <c r="C17" s="1285" t="s">
        <v>1123</v>
      </c>
      <c r="D17" s="1286"/>
      <c r="E17" s="1286"/>
      <c r="F17" s="1286"/>
      <c r="G17" s="1286"/>
      <c r="H17" s="1286"/>
      <c r="I17" s="1286"/>
      <c r="J17" s="1286"/>
      <c r="K17" s="1286"/>
      <c r="L17" s="1286"/>
      <c r="M17" s="1286"/>
      <c r="N17" s="1286"/>
      <c r="O17" s="1286"/>
      <c r="P17" s="1286"/>
      <c r="Q17" s="1286"/>
      <c r="R17" s="1286"/>
      <c r="S17" s="1286"/>
      <c r="T17" s="1286"/>
      <c r="U17" s="1286"/>
      <c r="V17" s="1286"/>
      <c r="W17" s="1286"/>
      <c r="X17" s="1286"/>
      <c r="Y17" s="1286"/>
      <c r="Z17" s="1286"/>
      <c r="AA17" s="1286"/>
      <c r="AB17" s="1286"/>
      <c r="AC17" s="1281" t="s">
        <v>1124</v>
      </c>
      <c r="AD17" s="1281"/>
      <c r="AE17" s="1281"/>
      <c r="AF17" s="1281"/>
      <c r="AG17" s="543">
        <v>728717</v>
      </c>
      <c r="AH17" s="544"/>
      <c r="AI17" s="545">
        <f t="shared" si="2"/>
        <v>728717</v>
      </c>
      <c r="AJ17" s="543">
        <v>0</v>
      </c>
      <c r="AK17" s="544"/>
      <c r="AL17" s="545">
        <f t="shared" si="3"/>
        <v>0</v>
      </c>
      <c r="AM17" s="543">
        <v>0</v>
      </c>
      <c r="AN17" s="544"/>
      <c r="AO17" s="545">
        <f t="shared" si="4"/>
        <v>0</v>
      </c>
      <c r="AP17" s="543">
        <v>682600</v>
      </c>
      <c r="AQ17" s="544"/>
      <c r="AR17" s="545">
        <f t="shared" si="5"/>
        <v>682600</v>
      </c>
      <c r="AS17" s="543">
        <v>382580</v>
      </c>
      <c r="AT17" s="544"/>
      <c r="AU17" s="545">
        <f t="shared" si="6"/>
        <v>382580</v>
      </c>
      <c r="AV17" s="543">
        <v>316800</v>
      </c>
      <c r="AW17" s="544"/>
      <c r="AX17" s="545">
        <v>316800</v>
      </c>
      <c r="AY17" s="543">
        <v>1000000</v>
      </c>
      <c r="AZ17" s="546"/>
      <c r="BA17" s="546"/>
      <c r="BB17" s="420">
        <f t="shared" si="7"/>
        <v>699380</v>
      </c>
      <c r="BC17" s="420">
        <f t="shared" si="0"/>
        <v>0</v>
      </c>
      <c r="BD17" s="420">
        <f t="shared" si="0"/>
        <v>699380</v>
      </c>
      <c r="BE17" s="420">
        <f t="shared" si="8"/>
        <v>3110697</v>
      </c>
      <c r="BF17" s="420">
        <f t="shared" si="1"/>
        <v>0</v>
      </c>
      <c r="BG17" s="420">
        <f t="shared" si="1"/>
        <v>2110697</v>
      </c>
      <c r="BH17">
        <v>761640</v>
      </c>
      <c r="BK17">
        <v>3112780</v>
      </c>
      <c r="BL17" t="s">
        <v>1122</v>
      </c>
      <c r="BN17" t="s">
        <v>1123</v>
      </c>
      <c r="CN17" t="s">
        <v>1124</v>
      </c>
      <c r="CR17">
        <v>297000</v>
      </c>
      <c r="CT17">
        <v>297000</v>
      </c>
    </row>
    <row r="18" spans="1:98">
      <c r="A18" s="1272" t="s">
        <v>40</v>
      </c>
      <c r="B18" s="1273"/>
      <c r="C18" s="1285" t="s">
        <v>1125</v>
      </c>
      <c r="D18" s="1286"/>
      <c r="E18" s="1286"/>
      <c r="F18" s="1286"/>
      <c r="G18" s="1286"/>
      <c r="H18" s="1286"/>
      <c r="I18" s="1286"/>
      <c r="J18" s="1286"/>
      <c r="K18" s="1286"/>
      <c r="L18" s="1286"/>
      <c r="M18" s="1286"/>
      <c r="N18" s="1286"/>
      <c r="O18" s="1286"/>
      <c r="P18" s="1286"/>
      <c r="Q18" s="1286"/>
      <c r="R18" s="1286"/>
      <c r="S18" s="1286"/>
      <c r="T18" s="1286"/>
      <c r="U18" s="1286"/>
      <c r="V18" s="1286"/>
      <c r="W18" s="1286"/>
      <c r="X18" s="1286"/>
      <c r="Y18" s="1286"/>
      <c r="Z18" s="1286"/>
      <c r="AA18" s="1286"/>
      <c r="AB18" s="1286"/>
      <c r="AC18" s="1281" t="s">
        <v>1126</v>
      </c>
      <c r="AD18" s="1281"/>
      <c r="AE18" s="1281"/>
      <c r="AF18" s="1281"/>
      <c r="AG18" s="543">
        <v>523305</v>
      </c>
      <c r="AH18" s="544"/>
      <c r="AI18" s="545">
        <f t="shared" si="2"/>
        <v>523305</v>
      </c>
      <c r="AJ18" s="543">
        <v>108280</v>
      </c>
      <c r="AK18" s="544"/>
      <c r="AL18" s="545">
        <f t="shared" si="3"/>
        <v>108280</v>
      </c>
      <c r="AM18" s="543">
        <v>126315</v>
      </c>
      <c r="AN18" s="544"/>
      <c r="AO18" s="545">
        <f t="shared" si="4"/>
        <v>126315</v>
      </c>
      <c r="AP18" s="543">
        <v>1371496</v>
      </c>
      <c r="AQ18" s="544"/>
      <c r="AR18" s="545">
        <f t="shared" si="5"/>
        <v>1371496</v>
      </c>
      <c r="AS18" s="543">
        <v>378945</v>
      </c>
      <c r="AT18" s="544"/>
      <c r="AU18" s="545">
        <f t="shared" si="6"/>
        <v>378945</v>
      </c>
      <c r="AV18" s="543">
        <v>252630</v>
      </c>
      <c r="AW18" s="544"/>
      <c r="AX18" s="545">
        <v>252630</v>
      </c>
      <c r="AY18" s="543">
        <v>2644500</v>
      </c>
      <c r="AZ18" s="546"/>
      <c r="BA18" s="546"/>
      <c r="BB18" s="420">
        <f t="shared" si="7"/>
        <v>631575</v>
      </c>
      <c r="BC18" s="420">
        <f t="shared" si="0"/>
        <v>0</v>
      </c>
      <c r="BD18" s="420">
        <f t="shared" si="0"/>
        <v>631575</v>
      </c>
      <c r="BE18" s="420">
        <f t="shared" si="8"/>
        <v>5405471</v>
      </c>
      <c r="BF18" s="420">
        <f t="shared" si="1"/>
        <v>0</v>
      </c>
      <c r="BG18" s="420">
        <f t="shared" si="1"/>
        <v>2760971</v>
      </c>
      <c r="BH18">
        <v>299854</v>
      </c>
      <c r="BK18">
        <v>456000</v>
      </c>
      <c r="BL18" t="s">
        <v>40</v>
      </c>
      <c r="BN18" t="s">
        <v>1125</v>
      </c>
      <c r="CN18" t="s">
        <v>1126</v>
      </c>
      <c r="CR18">
        <v>144360</v>
      </c>
      <c r="CT18">
        <v>144360</v>
      </c>
    </row>
    <row r="19" spans="1:98">
      <c r="A19" s="1272" t="s">
        <v>42</v>
      </c>
      <c r="B19" s="1273"/>
      <c r="C19" s="1285" t="s">
        <v>1127</v>
      </c>
      <c r="D19" s="1286"/>
      <c r="E19" s="1286"/>
      <c r="F19" s="1286"/>
      <c r="G19" s="1286"/>
      <c r="H19" s="1286"/>
      <c r="I19" s="1286"/>
      <c r="J19" s="1286"/>
      <c r="K19" s="1286"/>
      <c r="L19" s="1286"/>
      <c r="M19" s="1286"/>
      <c r="N19" s="1286"/>
      <c r="O19" s="1286"/>
      <c r="P19" s="1286"/>
      <c r="Q19" s="1286"/>
      <c r="R19" s="1286"/>
      <c r="S19" s="1286"/>
      <c r="T19" s="1286"/>
      <c r="U19" s="1286"/>
      <c r="V19" s="1286"/>
      <c r="W19" s="1286"/>
      <c r="X19" s="1286"/>
      <c r="Y19" s="1286"/>
      <c r="Z19" s="1286"/>
      <c r="AA19" s="1286"/>
      <c r="AB19" s="1286"/>
      <c r="AC19" s="1281" t="s">
        <v>1128</v>
      </c>
      <c r="AD19" s="1281"/>
      <c r="AE19" s="1281"/>
      <c r="AF19" s="1281"/>
      <c r="AG19" s="543">
        <v>0</v>
      </c>
      <c r="AH19" s="544"/>
      <c r="AI19" s="545">
        <f t="shared" si="2"/>
        <v>0</v>
      </c>
      <c r="AJ19" s="543">
        <v>0</v>
      </c>
      <c r="AK19" s="544"/>
      <c r="AL19" s="545">
        <f t="shared" si="3"/>
        <v>0</v>
      </c>
      <c r="AM19" s="543">
        <v>0</v>
      </c>
      <c r="AN19" s="544"/>
      <c r="AO19" s="545">
        <f t="shared" si="4"/>
        <v>0</v>
      </c>
      <c r="AP19" s="543">
        <v>0</v>
      </c>
      <c r="AQ19" s="544"/>
      <c r="AR19" s="545">
        <f t="shared" si="5"/>
        <v>0</v>
      </c>
      <c r="AS19" s="543">
        <v>0</v>
      </c>
      <c r="AT19" s="544"/>
      <c r="AU19" s="545">
        <f t="shared" si="6"/>
        <v>0</v>
      </c>
      <c r="AV19" s="543">
        <v>0</v>
      </c>
      <c r="AW19" s="544"/>
      <c r="AX19" s="545">
        <v>0</v>
      </c>
      <c r="AY19" s="543"/>
      <c r="AZ19" s="546"/>
      <c r="BA19" s="546"/>
      <c r="BB19" s="420">
        <f t="shared" si="7"/>
        <v>0</v>
      </c>
      <c r="BC19" s="420">
        <f t="shared" si="0"/>
        <v>0</v>
      </c>
      <c r="BD19" s="420">
        <f t="shared" si="0"/>
        <v>0</v>
      </c>
      <c r="BE19" s="420">
        <f t="shared" si="8"/>
        <v>0</v>
      </c>
      <c r="BF19" s="420">
        <f t="shared" si="1"/>
        <v>0</v>
      </c>
      <c r="BG19" s="420">
        <f t="shared" si="1"/>
        <v>0</v>
      </c>
      <c r="BH19">
        <v>0</v>
      </c>
      <c r="BK19">
        <v>0</v>
      </c>
      <c r="BL19" t="s">
        <v>42</v>
      </c>
      <c r="BN19" t="s">
        <v>1127</v>
      </c>
      <c r="CN19" t="s">
        <v>1128</v>
      </c>
      <c r="CR19">
        <v>0</v>
      </c>
      <c r="CT19">
        <v>0</v>
      </c>
    </row>
    <row r="20" spans="1:98">
      <c r="A20" s="1272" t="s">
        <v>44</v>
      </c>
      <c r="B20" s="1273"/>
      <c r="C20" s="1285" t="s">
        <v>1129</v>
      </c>
      <c r="D20" s="1286"/>
      <c r="E20" s="1286"/>
      <c r="F20" s="1286"/>
      <c r="G20" s="1286"/>
      <c r="H20" s="1286"/>
      <c r="I20" s="1286"/>
      <c r="J20" s="1286"/>
      <c r="K20" s="1286"/>
      <c r="L20" s="1286"/>
      <c r="M20" s="1286"/>
      <c r="N20" s="1286"/>
      <c r="O20" s="1286"/>
      <c r="P20" s="1286"/>
      <c r="Q20" s="1286"/>
      <c r="R20" s="1286"/>
      <c r="S20" s="1286"/>
      <c r="T20" s="1286"/>
      <c r="U20" s="1286"/>
      <c r="V20" s="1286"/>
      <c r="W20" s="1286"/>
      <c r="X20" s="1286"/>
      <c r="Y20" s="1286"/>
      <c r="Z20" s="1286"/>
      <c r="AA20" s="1286"/>
      <c r="AB20" s="1286"/>
      <c r="AC20" s="1281" t="s">
        <v>1130</v>
      </c>
      <c r="AD20" s="1281"/>
      <c r="AE20" s="1281"/>
      <c r="AF20" s="1281"/>
      <c r="AG20" s="543">
        <v>0</v>
      </c>
      <c r="AH20" s="544"/>
      <c r="AI20" s="545">
        <f t="shared" si="2"/>
        <v>0</v>
      </c>
      <c r="AJ20" s="543">
        <v>0</v>
      </c>
      <c r="AK20" s="544"/>
      <c r="AL20" s="545">
        <f t="shared" si="3"/>
        <v>0</v>
      </c>
      <c r="AM20" s="543">
        <v>0</v>
      </c>
      <c r="AN20" s="544"/>
      <c r="AO20" s="545">
        <f t="shared" si="4"/>
        <v>0</v>
      </c>
      <c r="AP20" s="543">
        <v>0</v>
      </c>
      <c r="AQ20" s="544"/>
      <c r="AR20" s="545">
        <f t="shared" si="5"/>
        <v>0</v>
      </c>
      <c r="AS20" s="543">
        <v>0</v>
      </c>
      <c r="AT20" s="544"/>
      <c r="AU20" s="545">
        <f t="shared" si="6"/>
        <v>0</v>
      </c>
      <c r="AV20" s="543">
        <v>0</v>
      </c>
      <c r="AW20" s="544"/>
      <c r="AX20" s="545">
        <v>0</v>
      </c>
      <c r="AY20" s="543">
        <v>100000</v>
      </c>
      <c r="AZ20" s="546"/>
      <c r="BA20" s="546"/>
      <c r="BB20" s="420">
        <f t="shared" si="7"/>
        <v>0</v>
      </c>
      <c r="BC20" s="420">
        <f t="shared" si="0"/>
        <v>0</v>
      </c>
      <c r="BD20" s="420">
        <f t="shared" si="0"/>
        <v>0</v>
      </c>
      <c r="BE20" s="420">
        <f t="shared" si="8"/>
        <v>100000</v>
      </c>
      <c r="BF20" s="420">
        <f t="shared" si="1"/>
        <v>0</v>
      </c>
      <c r="BG20" s="420">
        <f t="shared" si="1"/>
        <v>0</v>
      </c>
      <c r="BH20">
        <v>0</v>
      </c>
      <c r="BK20">
        <v>0</v>
      </c>
      <c r="BL20" t="s">
        <v>44</v>
      </c>
      <c r="BN20" t="s">
        <v>1129</v>
      </c>
      <c r="CN20" t="s">
        <v>1130</v>
      </c>
      <c r="CR20">
        <v>0</v>
      </c>
      <c r="CT20">
        <v>0</v>
      </c>
    </row>
    <row r="21" spans="1:98">
      <c r="A21" s="1272" t="s">
        <v>46</v>
      </c>
      <c r="B21" s="1273"/>
      <c r="C21" s="1285" t="s">
        <v>1131</v>
      </c>
      <c r="D21" s="1286"/>
      <c r="E21" s="1286"/>
      <c r="F21" s="1286"/>
      <c r="G21" s="1286"/>
      <c r="H21" s="1286"/>
      <c r="I21" s="1286"/>
      <c r="J21" s="1286"/>
      <c r="K21" s="1286"/>
      <c r="L21" s="1286"/>
      <c r="M21" s="1286"/>
      <c r="N21" s="1286"/>
      <c r="O21" s="1286"/>
      <c r="P21" s="1286"/>
      <c r="Q21" s="1286"/>
      <c r="R21" s="1286"/>
      <c r="S21" s="1286"/>
      <c r="T21" s="1286"/>
      <c r="U21" s="1286"/>
      <c r="V21" s="1286"/>
      <c r="W21" s="1286"/>
      <c r="X21" s="1286"/>
      <c r="Y21" s="1286"/>
      <c r="Z21" s="1286"/>
      <c r="AA21" s="1286"/>
      <c r="AB21" s="1286"/>
      <c r="AC21" s="1281" t="s">
        <v>1132</v>
      </c>
      <c r="AD21" s="1281"/>
      <c r="AE21" s="1281"/>
      <c r="AF21" s="1281"/>
      <c r="AG21" s="543">
        <v>210000</v>
      </c>
      <c r="AH21" s="544"/>
      <c r="AI21" s="545">
        <f t="shared" si="2"/>
        <v>210000</v>
      </c>
      <c r="AJ21" s="543">
        <v>50000</v>
      </c>
      <c r="AK21" s="544"/>
      <c r="AL21" s="545">
        <f t="shared" si="3"/>
        <v>50000</v>
      </c>
      <c r="AM21" s="543">
        <v>0</v>
      </c>
      <c r="AN21" s="544"/>
      <c r="AO21" s="545">
        <f t="shared" si="4"/>
        <v>0</v>
      </c>
      <c r="AP21" s="543">
        <v>0</v>
      </c>
      <c r="AQ21" s="544"/>
      <c r="AR21" s="545">
        <f t="shared" si="5"/>
        <v>0</v>
      </c>
      <c r="AS21" s="543">
        <v>0</v>
      </c>
      <c r="AT21" s="544"/>
      <c r="AU21" s="545">
        <f t="shared" si="6"/>
        <v>0</v>
      </c>
      <c r="AV21" s="543">
        <v>0</v>
      </c>
      <c r="AW21" s="544"/>
      <c r="AX21" s="545">
        <v>0</v>
      </c>
      <c r="AY21" s="543">
        <v>5000000</v>
      </c>
      <c r="AZ21" s="546"/>
      <c r="BA21" s="546"/>
      <c r="BB21" s="420">
        <f t="shared" si="7"/>
        <v>0</v>
      </c>
      <c r="BC21" s="420">
        <f t="shared" si="0"/>
        <v>0</v>
      </c>
      <c r="BD21" s="420">
        <f t="shared" si="0"/>
        <v>0</v>
      </c>
      <c r="BE21" s="420">
        <f t="shared" si="8"/>
        <v>5260000</v>
      </c>
      <c r="BF21" s="420">
        <f t="shared" si="1"/>
        <v>0</v>
      </c>
      <c r="BG21" s="420">
        <f t="shared" si="1"/>
        <v>260000</v>
      </c>
      <c r="BH21">
        <v>0</v>
      </c>
      <c r="BK21">
        <v>0</v>
      </c>
      <c r="BL21" t="s">
        <v>46</v>
      </c>
      <c r="BN21" t="s">
        <v>1131</v>
      </c>
      <c r="CN21" t="s">
        <v>1132</v>
      </c>
      <c r="CR21">
        <v>0</v>
      </c>
      <c r="CT21">
        <v>0</v>
      </c>
    </row>
    <row r="22" spans="1:98">
      <c r="A22" s="1289" t="s">
        <v>50</v>
      </c>
      <c r="B22" s="1290"/>
      <c r="C22" s="1291" t="s">
        <v>1133</v>
      </c>
      <c r="D22" s="1292"/>
      <c r="E22" s="1292"/>
      <c r="F22" s="1292"/>
      <c r="G22" s="1292"/>
      <c r="H22" s="1292"/>
      <c r="I22" s="1292"/>
      <c r="J22" s="1292"/>
      <c r="K22" s="1292"/>
      <c r="L22" s="1292"/>
      <c r="M22" s="1292"/>
      <c r="N22" s="1292"/>
      <c r="O22" s="1292"/>
      <c r="P22" s="1292"/>
      <c r="Q22" s="1292"/>
      <c r="R22" s="1292"/>
      <c r="S22" s="1292"/>
      <c r="T22" s="1292"/>
      <c r="U22" s="1292"/>
      <c r="V22" s="1292"/>
      <c r="W22" s="1292"/>
      <c r="X22" s="1292"/>
      <c r="Y22" s="1292"/>
      <c r="Z22" s="1292"/>
      <c r="AA22" s="1292"/>
      <c r="AB22" s="1292"/>
      <c r="AC22" s="1293" t="s">
        <v>1134</v>
      </c>
      <c r="AD22" s="1293"/>
      <c r="AE22" s="1293"/>
      <c r="AF22" s="1293"/>
      <c r="AG22" s="547">
        <f>SUM(AG9:AG21)</f>
        <v>106749707</v>
      </c>
      <c r="AH22" s="548"/>
      <c r="AI22" s="549">
        <f>SUM(AI9:AI21)</f>
        <v>106749707</v>
      </c>
      <c r="AJ22" s="547">
        <f>SUM(AJ9:AJ21)</f>
        <v>17625952</v>
      </c>
      <c r="AK22" s="548"/>
      <c r="AL22" s="549">
        <f>SUM(AL9:AL21)</f>
        <v>17625952</v>
      </c>
      <c r="AM22" s="547">
        <f>SUM(AM9:AM21)</f>
        <v>21565002</v>
      </c>
      <c r="AN22" s="548"/>
      <c r="AO22" s="549">
        <f>SUM(AO9:AO21)</f>
        <v>21565002</v>
      </c>
      <c r="AP22" s="547">
        <f>SUM(AP9:AP21)</f>
        <v>256300003</v>
      </c>
      <c r="AQ22" s="548"/>
      <c r="AR22" s="549">
        <f>SUM(AR9:AR21)</f>
        <v>256300003</v>
      </c>
      <c r="AS22" s="547">
        <f>SUM(AS9:AS21)</f>
        <v>58424324</v>
      </c>
      <c r="AT22" s="548"/>
      <c r="AU22" s="549">
        <f>SUM(AU9:AU21)</f>
        <v>58424324</v>
      </c>
      <c r="AV22" s="547">
        <v>38599525</v>
      </c>
      <c r="AW22" s="548"/>
      <c r="AX22" s="549">
        <v>38599525</v>
      </c>
      <c r="AY22" s="547">
        <v>151461600</v>
      </c>
      <c r="AZ22" s="550"/>
      <c r="BA22" s="550"/>
      <c r="BB22" s="420">
        <f t="shared" si="7"/>
        <v>97023849</v>
      </c>
      <c r="BC22" s="420">
        <f t="shared" si="0"/>
        <v>0</v>
      </c>
      <c r="BD22" s="420">
        <f t="shared" si="0"/>
        <v>97023849</v>
      </c>
      <c r="BE22" s="420">
        <f t="shared" si="8"/>
        <v>650726113</v>
      </c>
      <c r="BF22" s="420">
        <f t="shared" si="1"/>
        <v>0</v>
      </c>
      <c r="BG22" s="420">
        <f t="shared" si="1"/>
        <v>499264513</v>
      </c>
      <c r="BH22">
        <v>64098536</v>
      </c>
      <c r="BK22">
        <v>175218011</v>
      </c>
      <c r="BL22" t="s">
        <v>50</v>
      </c>
      <c r="BN22" t="s">
        <v>1133</v>
      </c>
      <c r="CN22" t="s">
        <v>1134</v>
      </c>
      <c r="CR22">
        <v>24793634</v>
      </c>
      <c r="CT22">
        <v>24793634</v>
      </c>
    </row>
    <row r="23" spans="1:98">
      <c r="A23" s="1272" t="s">
        <v>52</v>
      </c>
      <c r="B23" s="1273"/>
      <c r="C23" s="1285" t="s">
        <v>1135</v>
      </c>
      <c r="D23" s="1286"/>
      <c r="E23" s="1286"/>
      <c r="F23" s="1286"/>
      <c r="G23" s="1286"/>
      <c r="H23" s="1286"/>
      <c r="I23" s="1286"/>
      <c r="J23" s="1286"/>
      <c r="K23" s="1286"/>
      <c r="L23" s="1286"/>
      <c r="M23" s="1286"/>
      <c r="N23" s="1286"/>
      <c r="O23" s="1286"/>
      <c r="P23" s="1286"/>
      <c r="Q23" s="1286"/>
      <c r="R23" s="1286"/>
      <c r="S23" s="1286"/>
      <c r="T23" s="1286"/>
      <c r="U23" s="1286"/>
      <c r="V23" s="1286"/>
      <c r="W23" s="1286"/>
      <c r="X23" s="1286"/>
      <c r="Y23" s="1286"/>
      <c r="Z23" s="1286"/>
      <c r="AA23" s="1286"/>
      <c r="AB23" s="1286"/>
      <c r="AC23" s="1281" t="s">
        <v>1136</v>
      </c>
      <c r="AD23" s="1281"/>
      <c r="AE23" s="1281"/>
      <c r="AF23" s="1281"/>
      <c r="AG23" s="543">
        <v>0</v>
      </c>
      <c r="AH23" s="544"/>
      <c r="AI23" s="545">
        <f>AG23</f>
        <v>0</v>
      </c>
      <c r="AJ23" s="543">
        <v>0</v>
      </c>
      <c r="AK23" s="544"/>
      <c r="AL23" s="545">
        <f>AJ23</f>
        <v>0</v>
      </c>
      <c r="AM23" s="543">
        <v>0</v>
      </c>
      <c r="AN23" s="544"/>
      <c r="AO23" s="545">
        <f>AM23</f>
        <v>0</v>
      </c>
      <c r="AP23" s="543">
        <v>0</v>
      </c>
      <c r="AQ23" s="544"/>
      <c r="AR23" s="545">
        <f>AP23</f>
        <v>0</v>
      </c>
      <c r="AS23" s="543">
        <v>0</v>
      </c>
      <c r="AT23" s="544"/>
      <c r="AU23" s="545">
        <f>AS23</f>
        <v>0</v>
      </c>
      <c r="AV23" s="543">
        <v>0</v>
      </c>
      <c r="AW23" s="544"/>
      <c r="AX23" s="545">
        <v>0</v>
      </c>
      <c r="AY23" s="543"/>
      <c r="AZ23" s="546"/>
      <c r="BA23" s="546"/>
      <c r="BB23" s="420">
        <f t="shared" si="7"/>
        <v>0</v>
      </c>
      <c r="BC23" s="420">
        <f t="shared" si="0"/>
        <v>0</v>
      </c>
      <c r="BD23" s="420">
        <f t="shared" si="0"/>
        <v>0</v>
      </c>
      <c r="BE23" s="420">
        <f t="shared" si="8"/>
        <v>0</v>
      </c>
      <c r="BF23" s="420">
        <f t="shared" si="1"/>
        <v>0</v>
      </c>
      <c r="BG23" s="420">
        <f t="shared" si="1"/>
        <v>0</v>
      </c>
      <c r="BH23">
        <v>0</v>
      </c>
      <c r="BK23">
        <v>0</v>
      </c>
      <c r="BL23" t="s">
        <v>52</v>
      </c>
      <c r="BN23" t="s">
        <v>1135</v>
      </c>
      <c r="CN23" t="s">
        <v>1136</v>
      </c>
      <c r="CR23">
        <v>0</v>
      </c>
      <c r="CT23">
        <v>0</v>
      </c>
    </row>
    <row r="24" spans="1:98">
      <c r="A24" s="1272" t="s">
        <v>56</v>
      </c>
      <c r="B24" s="1273"/>
      <c r="C24" s="1285" t="s">
        <v>1137</v>
      </c>
      <c r="D24" s="1286"/>
      <c r="E24" s="1286"/>
      <c r="F24" s="1286"/>
      <c r="G24" s="1286"/>
      <c r="H24" s="1286"/>
      <c r="I24" s="1286"/>
      <c r="J24" s="1286"/>
      <c r="K24" s="1286"/>
      <c r="L24" s="1286"/>
      <c r="M24" s="1286"/>
      <c r="N24" s="1286"/>
      <c r="O24" s="1286"/>
      <c r="P24" s="1286"/>
      <c r="Q24" s="1286"/>
      <c r="R24" s="1286"/>
      <c r="S24" s="1286"/>
      <c r="T24" s="1286"/>
      <c r="U24" s="1286"/>
      <c r="V24" s="1286"/>
      <c r="W24" s="1286"/>
      <c r="X24" s="1286"/>
      <c r="Y24" s="1286"/>
      <c r="Z24" s="1286"/>
      <c r="AA24" s="1286"/>
      <c r="AB24" s="1286"/>
      <c r="AC24" s="1281" t="s">
        <v>1138</v>
      </c>
      <c r="AD24" s="1281"/>
      <c r="AE24" s="1281"/>
      <c r="AF24" s="1281"/>
      <c r="AG24" s="543">
        <v>1872000</v>
      </c>
      <c r="AH24" s="544"/>
      <c r="AI24" s="545">
        <f>AG24</f>
        <v>1872000</v>
      </c>
      <c r="AJ24" s="543">
        <v>1450000</v>
      </c>
      <c r="AK24" s="544"/>
      <c r="AL24" s="545">
        <f>AJ24</f>
        <v>1450000</v>
      </c>
      <c r="AM24" s="543">
        <v>600000</v>
      </c>
      <c r="AN24" s="544"/>
      <c r="AO24" s="545">
        <f>AM24</f>
        <v>600000</v>
      </c>
      <c r="AP24" s="543">
        <v>2910000</v>
      </c>
      <c r="AQ24" s="544"/>
      <c r="AR24" s="545">
        <f>AP24</f>
        <v>2910000</v>
      </c>
      <c r="AS24" s="543">
        <v>1718000</v>
      </c>
      <c r="AT24" s="544"/>
      <c r="AU24" s="545">
        <f>AS24</f>
        <v>1718000</v>
      </c>
      <c r="AV24" s="543">
        <v>400000</v>
      </c>
      <c r="AW24" s="544"/>
      <c r="AX24" s="545">
        <v>400000</v>
      </c>
      <c r="AY24" s="543">
        <v>3500000</v>
      </c>
      <c r="AZ24" s="546"/>
      <c r="BA24" s="546"/>
      <c r="BB24" s="420">
        <f t="shared" si="7"/>
        <v>2118000</v>
      </c>
      <c r="BC24" s="420">
        <f t="shared" si="0"/>
        <v>0</v>
      </c>
      <c r="BD24" s="420">
        <f t="shared" si="0"/>
        <v>2118000</v>
      </c>
      <c r="BE24" s="420">
        <f t="shared" si="8"/>
        <v>12450000</v>
      </c>
      <c r="BF24" s="420">
        <f t="shared" si="1"/>
        <v>0</v>
      </c>
      <c r="BG24" s="420">
        <f t="shared" si="1"/>
        <v>8950000</v>
      </c>
      <c r="BH24">
        <v>0</v>
      </c>
      <c r="BK24">
        <v>1315572</v>
      </c>
      <c r="BL24" t="s">
        <v>56</v>
      </c>
      <c r="BN24" t="s">
        <v>1137</v>
      </c>
      <c r="CN24" t="s">
        <v>1138</v>
      </c>
      <c r="CR24">
        <v>3997063</v>
      </c>
      <c r="CT24">
        <v>3997063</v>
      </c>
    </row>
    <row r="25" spans="1:98">
      <c r="A25" s="1272" t="s">
        <v>58</v>
      </c>
      <c r="B25" s="1273"/>
      <c r="C25" s="1287" t="s">
        <v>1139</v>
      </c>
      <c r="D25" s="1288"/>
      <c r="E25" s="1288"/>
      <c r="F25" s="1288"/>
      <c r="G25" s="1288"/>
      <c r="H25" s="1288"/>
      <c r="I25" s="1288"/>
      <c r="J25" s="1288"/>
      <c r="K25" s="1288"/>
      <c r="L25" s="1288"/>
      <c r="M25" s="1288"/>
      <c r="N25" s="1288"/>
      <c r="O25" s="1288"/>
      <c r="P25" s="1288"/>
      <c r="Q25" s="1288"/>
      <c r="R25" s="1288"/>
      <c r="S25" s="1288"/>
      <c r="T25" s="1288"/>
      <c r="U25" s="1288"/>
      <c r="V25" s="1288"/>
      <c r="W25" s="1288"/>
      <c r="X25" s="1288"/>
      <c r="Y25" s="1288"/>
      <c r="Z25" s="1288"/>
      <c r="AA25" s="1288"/>
      <c r="AB25" s="1288"/>
      <c r="AC25" s="1281" t="s">
        <v>1140</v>
      </c>
      <c r="AD25" s="1281"/>
      <c r="AE25" s="1281"/>
      <c r="AF25" s="1281"/>
      <c r="AG25" s="543">
        <v>100000</v>
      </c>
      <c r="AH25" s="544"/>
      <c r="AI25" s="545">
        <f>AG25</f>
        <v>100000</v>
      </c>
      <c r="AJ25" s="543">
        <v>300000</v>
      </c>
      <c r="AK25" s="544"/>
      <c r="AL25" s="545">
        <f>AJ25</f>
        <v>300000</v>
      </c>
      <c r="AM25" s="543">
        <v>200000</v>
      </c>
      <c r="AN25" s="544"/>
      <c r="AO25" s="545">
        <f>AM25</f>
        <v>200000</v>
      </c>
      <c r="AP25" s="543">
        <v>0</v>
      </c>
      <c r="AQ25" s="544"/>
      <c r="AR25" s="545">
        <f>AP25</f>
        <v>0</v>
      </c>
      <c r="AS25" s="543">
        <v>0</v>
      </c>
      <c r="AT25" s="544"/>
      <c r="AU25" s="545">
        <f>AS25</f>
        <v>0</v>
      </c>
      <c r="AV25" s="543">
        <v>0</v>
      </c>
      <c r="AW25" s="544"/>
      <c r="AX25" s="545">
        <v>0</v>
      </c>
      <c r="AY25" s="543">
        <v>500000</v>
      </c>
      <c r="AZ25" s="546"/>
      <c r="BA25" s="546"/>
      <c r="BB25" s="420">
        <f t="shared" si="7"/>
        <v>0</v>
      </c>
      <c r="BC25" s="420">
        <f t="shared" si="7"/>
        <v>0</v>
      </c>
      <c r="BD25" s="420">
        <f t="shared" si="7"/>
        <v>0</v>
      </c>
      <c r="BE25" s="420">
        <f t="shared" si="8"/>
        <v>1100000</v>
      </c>
      <c r="BF25" s="420">
        <f t="shared" si="8"/>
        <v>0</v>
      </c>
      <c r="BG25" s="420">
        <f t="shared" si="8"/>
        <v>600000</v>
      </c>
      <c r="BH25">
        <v>0</v>
      </c>
      <c r="BK25">
        <v>0</v>
      </c>
      <c r="BL25" t="s">
        <v>58</v>
      </c>
      <c r="BN25" t="s">
        <v>1139</v>
      </c>
      <c r="CN25" t="s">
        <v>1140</v>
      </c>
      <c r="CR25">
        <v>1420000</v>
      </c>
      <c r="CT25">
        <v>1420000</v>
      </c>
    </row>
    <row r="26" spans="1:98">
      <c r="A26" s="1289" t="s">
        <v>62</v>
      </c>
      <c r="B26" s="1290"/>
      <c r="C26" s="1294" t="s">
        <v>1141</v>
      </c>
      <c r="D26" s="1295"/>
      <c r="E26" s="1295"/>
      <c r="F26" s="1295"/>
      <c r="G26" s="1295"/>
      <c r="H26" s="1295"/>
      <c r="I26" s="1295"/>
      <c r="J26" s="1295"/>
      <c r="K26" s="1295"/>
      <c r="L26" s="1295"/>
      <c r="M26" s="1295"/>
      <c r="N26" s="1295"/>
      <c r="O26" s="1295"/>
      <c r="P26" s="1295"/>
      <c r="Q26" s="1295"/>
      <c r="R26" s="1295"/>
      <c r="S26" s="1295"/>
      <c r="T26" s="1295"/>
      <c r="U26" s="1295"/>
      <c r="V26" s="1295"/>
      <c r="W26" s="1295"/>
      <c r="X26" s="1295"/>
      <c r="Y26" s="1295"/>
      <c r="Z26" s="1295"/>
      <c r="AA26" s="1295"/>
      <c r="AB26" s="1295"/>
      <c r="AC26" s="1293" t="s">
        <v>1142</v>
      </c>
      <c r="AD26" s="1293"/>
      <c r="AE26" s="1293"/>
      <c r="AF26" s="1293"/>
      <c r="AG26" s="547">
        <f>SUM(AG23:AG25)</f>
        <v>1972000</v>
      </c>
      <c r="AH26" s="548"/>
      <c r="AI26" s="549">
        <f>SUM(AI23:AI25)</f>
        <v>1972000</v>
      </c>
      <c r="AJ26" s="547">
        <f>SUM(AJ23:AJ25)</f>
        <v>1750000</v>
      </c>
      <c r="AK26" s="548"/>
      <c r="AL26" s="549">
        <f>SUM(AL23:AL25)</f>
        <v>1750000</v>
      </c>
      <c r="AM26" s="547">
        <f>SUM(AM23:AM25)</f>
        <v>800000</v>
      </c>
      <c r="AN26" s="548"/>
      <c r="AO26" s="549">
        <f>SUM(AO23:AO25)</f>
        <v>800000</v>
      </c>
      <c r="AP26" s="547">
        <f>SUM(AP23:AP25)</f>
        <v>2910000</v>
      </c>
      <c r="AQ26" s="548"/>
      <c r="AR26" s="549">
        <f>SUM(AR23:AR25)</f>
        <v>2910000</v>
      </c>
      <c r="AS26" s="547">
        <f>SUM(AS23:AS25)</f>
        <v>1718000</v>
      </c>
      <c r="AT26" s="548"/>
      <c r="AU26" s="549">
        <f>SUM(AU23:AU25)</f>
        <v>1718000</v>
      </c>
      <c r="AV26" s="547">
        <v>400000</v>
      </c>
      <c r="AW26" s="548"/>
      <c r="AX26" s="549">
        <v>400000</v>
      </c>
      <c r="AY26" s="547">
        <v>4000000</v>
      </c>
      <c r="AZ26" s="550"/>
      <c r="BA26" s="550"/>
      <c r="BB26" s="420">
        <f t="shared" si="7"/>
        <v>2118000</v>
      </c>
      <c r="BC26" s="420">
        <f t="shared" si="7"/>
        <v>0</v>
      </c>
      <c r="BD26" s="420">
        <f t="shared" si="7"/>
        <v>2118000</v>
      </c>
      <c r="BE26" s="420">
        <f t="shared" si="8"/>
        <v>13550000</v>
      </c>
      <c r="BF26" s="420">
        <f t="shared" si="8"/>
        <v>0</v>
      </c>
      <c r="BG26" s="420">
        <f t="shared" si="8"/>
        <v>9550000</v>
      </c>
      <c r="BH26">
        <v>0</v>
      </c>
      <c r="BK26">
        <v>1315572</v>
      </c>
      <c r="BL26" t="s">
        <v>62</v>
      </c>
      <c r="BN26" t="s">
        <v>1141</v>
      </c>
      <c r="CN26" t="s">
        <v>1142</v>
      </c>
      <c r="CR26">
        <v>5417063</v>
      </c>
      <c r="CT26">
        <v>5417063</v>
      </c>
    </row>
    <row r="27" spans="1:98">
      <c r="A27" s="1289" t="s">
        <v>64</v>
      </c>
      <c r="B27" s="1290"/>
      <c r="C27" s="1291" t="s">
        <v>1143</v>
      </c>
      <c r="D27" s="1292"/>
      <c r="E27" s="1292"/>
      <c r="F27" s="1292"/>
      <c r="G27" s="1292"/>
      <c r="H27" s="1292"/>
      <c r="I27" s="1292"/>
      <c r="J27" s="1292"/>
      <c r="K27" s="1292"/>
      <c r="L27" s="1292"/>
      <c r="M27" s="1292"/>
      <c r="N27" s="1292"/>
      <c r="O27" s="1292"/>
      <c r="P27" s="1292"/>
      <c r="Q27" s="1292"/>
      <c r="R27" s="1292"/>
      <c r="S27" s="1292"/>
      <c r="T27" s="1292"/>
      <c r="U27" s="1292"/>
      <c r="V27" s="1292"/>
      <c r="W27" s="1292"/>
      <c r="X27" s="1292"/>
      <c r="Y27" s="1292"/>
      <c r="Z27" s="1292"/>
      <c r="AA27" s="1292"/>
      <c r="AB27" s="1292"/>
      <c r="AC27" s="1296" t="s">
        <v>1144</v>
      </c>
      <c r="AD27" s="1296"/>
      <c r="AE27" s="1296"/>
      <c r="AF27" s="1296"/>
      <c r="AG27" s="547">
        <f>AG22+AG26</f>
        <v>108721707</v>
      </c>
      <c r="AH27" s="548"/>
      <c r="AI27" s="549">
        <f>AI22+AI26</f>
        <v>108721707</v>
      </c>
      <c r="AJ27" s="547">
        <f>AJ22+AJ26</f>
        <v>19375952</v>
      </c>
      <c r="AK27" s="548"/>
      <c r="AL27" s="549">
        <f>AL22+AL26</f>
        <v>19375952</v>
      </c>
      <c r="AM27" s="547">
        <f>AM22+AM26</f>
        <v>22365002</v>
      </c>
      <c r="AN27" s="548"/>
      <c r="AO27" s="549">
        <f>AO22+AO26</f>
        <v>22365002</v>
      </c>
      <c r="AP27" s="547">
        <f>AP22+AP26</f>
        <v>259210003</v>
      </c>
      <c r="AQ27" s="548"/>
      <c r="AR27" s="549">
        <f>AR22+AR26</f>
        <v>259210003</v>
      </c>
      <c r="AS27" s="547">
        <f>AS22+AS26</f>
        <v>60142324</v>
      </c>
      <c r="AT27" s="548"/>
      <c r="AU27" s="549">
        <f>AU22+AU26</f>
        <v>60142324</v>
      </c>
      <c r="AV27" s="547">
        <v>38999525</v>
      </c>
      <c r="AW27" s="548"/>
      <c r="AX27" s="549">
        <v>38999525</v>
      </c>
      <c r="AY27" s="547">
        <v>155461600</v>
      </c>
      <c r="AZ27" s="550"/>
      <c r="BA27" s="550"/>
      <c r="BB27" s="420">
        <f t="shared" si="7"/>
        <v>99141849</v>
      </c>
      <c r="BC27" s="420">
        <f t="shared" si="7"/>
        <v>0</v>
      </c>
      <c r="BD27" s="420">
        <f t="shared" si="7"/>
        <v>99141849</v>
      </c>
      <c r="BE27" s="420">
        <f t="shared" si="8"/>
        <v>664276113</v>
      </c>
      <c r="BF27" s="420">
        <f t="shared" si="8"/>
        <v>0</v>
      </c>
      <c r="BG27" s="420">
        <f t="shared" si="8"/>
        <v>508814513</v>
      </c>
      <c r="BH27">
        <v>64098536</v>
      </c>
      <c r="BK27">
        <v>176533583</v>
      </c>
      <c r="BL27" t="s">
        <v>64</v>
      </c>
      <c r="BN27" t="s">
        <v>1143</v>
      </c>
      <c r="CN27" t="s">
        <v>1144</v>
      </c>
      <c r="CR27">
        <v>30210697</v>
      </c>
      <c r="CT27">
        <v>30210697</v>
      </c>
    </row>
    <row r="28" spans="1:98">
      <c r="A28" s="1289" t="s">
        <v>66</v>
      </c>
      <c r="B28" s="1290"/>
      <c r="C28" s="1294" t="s">
        <v>1145</v>
      </c>
      <c r="D28" s="1295"/>
      <c r="E28" s="1295"/>
      <c r="F28" s="1295"/>
      <c r="G28" s="1295"/>
      <c r="H28" s="1295"/>
      <c r="I28" s="1295"/>
      <c r="J28" s="1295"/>
      <c r="K28" s="1295"/>
      <c r="L28" s="1295"/>
      <c r="M28" s="1295"/>
      <c r="N28" s="1295"/>
      <c r="O28" s="1295"/>
      <c r="P28" s="1295"/>
      <c r="Q28" s="1295"/>
      <c r="R28" s="1295"/>
      <c r="S28" s="1295"/>
      <c r="T28" s="1295"/>
      <c r="U28" s="1295"/>
      <c r="V28" s="1295"/>
      <c r="W28" s="1295"/>
      <c r="X28" s="1295"/>
      <c r="Y28" s="1295"/>
      <c r="Z28" s="1295"/>
      <c r="AA28" s="1295"/>
      <c r="AB28" s="1295"/>
      <c r="AC28" s="1296" t="s">
        <v>1146</v>
      </c>
      <c r="AD28" s="1296"/>
      <c r="AE28" s="1296"/>
      <c r="AF28" s="1296"/>
      <c r="AG28" s="551">
        <v>20176722</v>
      </c>
      <c r="AH28" s="552"/>
      <c r="AI28" s="553">
        <f>AG28</f>
        <v>20176722</v>
      </c>
      <c r="AJ28" s="551">
        <v>3434592</v>
      </c>
      <c r="AK28" s="552"/>
      <c r="AL28" s="553">
        <f>AJ28</f>
        <v>3434592</v>
      </c>
      <c r="AM28" s="551">
        <v>4002375</v>
      </c>
      <c r="AN28" s="552"/>
      <c r="AO28" s="553">
        <f>AM28</f>
        <v>4002375</v>
      </c>
      <c r="AP28" s="551">
        <v>49600696</v>
      </c>
      <c r="AQ28" s="552"/>
      <c r="AR28" s="553">
        <f>AP28</f>
        <v>49600696</v>
      </c>
      <c r="AS28" s="551">
        <v>10605555</v>
      </c>
      <c r="AT28" s="552"/>
      <c r="AU28" s="553">
        <f>AS28</f>
        <v>10605555</v>
      </c>
      <c r="AV28" s="551">
        <v>7779477</v>
      </c>
      <c r="AW28" s="552"/>
      <c r="AX28" s="553">
        <v>7779477</v>
      </c>
      <c r="AY28" s="551">
        <v>29841845</v>
      </c>
      <c r="AZ28" s="550"/>
      <c r="BA28" s="550"/>
      <c r="BB28" s="420">
        <f t="shared" si="7"/>
        <v>18385032</v>
      </c>
      <c r="BC28" s="420">
        <f t="shared" si="7"/>
        <v>0</v>
      </c>
      <c r="BD28" s="420">
        <f t="shared" si="7"/>
        <v>18385032</v>
      </c>
      <c r="BE28" s="420">
        <f t="shared" si="8"/>
        <v>125441262</v>
      </c>
      <c r="BF28" s="420">
        <f t="shared" si="8"/>
        <v>0</v>
      </c>
      <c r="BG28" s="420">
        <f t="shared" si="8"/>
        <v>95599417</v>
      </c>
      <c r="BH28">
        <v>11476809</v>
      </c>
      <c r="BK28">
        <v>32657255</v>
      </c>
      <c r="BL28" t="s">
        <v>66</v>
      </c>
      <c r="BN28" t="s">
        <v>1145</v>
      </c>
      <c r="CN28" t="s">
        <v>1146</v>
      </c>
      <c r="CR28">
        <v>5586467</v>
      </c>
      <c r="CT28">
        <v>5586467</v>
      </c>
    </row>
    <row r="29" spans="1:98">
      <c r="A29" s="1272" t="s">
        <v>68</v>
      </c>
      <c r="B29" s="1273"/>
      <c r="C29" s="1285" t="s">
        <v>1147</v>
      </c>
      <c r="D29" s="1286"/>
      <c r="E29" s="1286"/>
      <c r="F29" s="1286"/>
      <c r="G29" s="1286"/>
      <c r="H29" s="1286"/>
      <c r="I29" s="1286"/>
      <c r="J29" s="1286"/>
      <c r="K29" s="1286"/>
      <c r="L29" s="1286"/>
      <c r="M29" s="1286"/>
      <c r="N29" s="1286"/>
      <c r="O29" s="1286"/>
      <c r="P29" s="1286"/>
      <c r="Q29" s="1286"/>
      <c r="R29" s="1286"/>
      <c r="S29" s="1286"/>
      <c r="T29" s="1286"/>
      <c r="U29" s="1286"/>
      <c r="V29" s="1286"/>
      <c r="W29" s="1286"/>
      <c r="X29" s="1286"/>
      <c r="Y29" s="1286"/>
      <c r="Z29" s="1286"/>
      <c r="AA29" s="1286"/>
      <c r="AB29" s="1286"/>
      <c r="AC29" s="1281" t="s">
        <v>1148</v>
      </c>
      <c r="AD29" s="1281"/>
      <c r="AE29" s="1281"/>
      <c r="AF29" s="1281"/>
      <c r="AG29" s="543">
        <v>355000</v>
      </c>
      <c r="AH29" s="543">
        <f>AG29*0.27</f>
        <v>95850</v>
      </c>
      <c r="AI29" s="545">
        <f>AG29+AH29</f>
        <v>450850</v>
      </c>
      <c r="AJ29" s="543">
        <v>3650000</v>
      </c>
      <c r="AK29" s="543">
        <f>(650000*0.27)+(3000000*0.05)</f>
        <v>325500</v>
      </c>
      <c r="AL29" s="545">
        <f>AJ29+AK29</f>
        <v>3975500</v>
      </c>
      <c r="AM29" s="543">
        <v>750000</v>
      </c>
      <c r="AN29" s="543">
        <f>AM29*0.27</f>
        <v>202500</v>
      </c>
      <c r="AO29" s="545">
        <f>AM29+AN29</f>
        <v>952500</v>
      </c>
      <c r="AP29" s="543">
        <v>1500000</v>
      </c>
      <c r="AQ29" s="543">
        <f>AP29*0.27</f>
        <v>405000</v>
      </c>
      <c r="AR29" s="545">
        <f>AP29+AQ29</f>
        <v>1905000</v>
      </c>
      <c r="AS29" s="543">
        <v>20000</v>
      </c>
      <c r="AT29" s="543">
        <f>AS29*0.27</f>
        <v>5400</v>
      </c>
      <c r="AU29" s="545">
        <f>AS29+AT29</f>
        <v>25400</v>
      </c>
      <c r="AV29" s="543">
        <v>50000</v>
      </c>
      <c r="AW29" s="543">
        <v>13500</v>
      </c>
      <c r="AX29" s="545">
        <v>63500</v>
      </c>
      <c r="AY29" s="543">
        <v>50000</v>
      </c>
      <c r="AZ29" s="546"/>
      <c r="BA29" s="546"/>
      <c r="BB29" s="420">
        <f t="shared" si="7"/>
        <v>70000</v>
      </c>
      <c r="BC29" s="420">
        <f t="shared" si="7"/>
        <v>18900</v>
      </c>
      <c r="BD29" s="420">
        <f t="shared" si="7"/>
        <v>88900</v>
      </c>
      <c r="BE29" s="420">
        <f t="shared" si="8"/>
        <v>6375000</v>
      </c>
      <c r="BF29" s="420">
        <f t="shared" si="8"/>
        <v>1047750</v>
      </c>
      <c r="BG29" s="420">
        <f t="shared" si="8"/>
        <v>7372750</v>
      </c>
      <c r="BH29">
        <v>0</v>
      </c>
      <c r="BK29">
        <v>19389965</v>
      </c>
      <c r="BL29" t="s">
        <v>68</v>
      </c>
      <c r="BN29" t="s">
        <v>1147</v>
      </c>
      <c r="CN29" t="s">
        <v>1148</v>
      </c>
      <c r="CR29">
        <v>355590</v>
      </c>
      <c r="CS29">
        <v>96009.3</v>
      </c>
      <c r="CT29">
        <v>451599.3</v>
      </c>
    </row>
    <row r="30" spans="1:98">
      <c r="A30" s="1272" t="s">
        <v>711</v>
      </c>
      <c r="B30" s="1273"/>
      <c r="C30" s="1285" t="s">
        <v>1149</v>
      </c>
      <c r="D30" s="1286"/>
      <c r="E30" s="1286"/>
      <c r="F30" s="1286"/>
      <c r="G30" s="1286"/>
      <c r="H30" s="1286"/>
      <c r="I30" s="1286"/>
      <c r="J30" s="1286"/>
      <c r="K30" s="1286"/>
      <c r="L30" s="1286"/>
      <c r="M30" s="1286"/>
      <c r="N30" s="1286"/>
      <c r="O30" s="1286"/>
      <c r="P30" s="1286"/>
      <c r="Q30" s="1286"/>
      <c r="R30" s="1286"/>
      <c r="S30" s="1286"/>
      <c r="T30" s="1286"/>
      <c r="U30" s="1286"/>
      <c r="V30" s="1286"/>
      <c r="W30" s="1286"/>
      <c r="X30" s="1286"/>
      <c r="Y30" s="1286"/>
      <c r="Z30" s="1286"/>
      <c r="AA30" s="1286"/>
      <c r="AB30" s="1286"/>
      <c r="AC30" s="1281" t="s">
        <v>1150</v>
      </c>
      <c r="AD30" s="1281"/>
      <c r="AE30" s="1281"/>
      <c r="AF30" s="1281"/>
      <c r="AG30" s="543">
        <v>9665560</v>
      </c>
      <c r="AH30" s="543">
        <f>(2656000*0.27)+(7009560*0.1283961)-452</f>
        <v>1616668.1667160001</v>
      </c>
      <c r="AI30" s="545">
        <f>AG30+AH30</f>
        <v>11282228.166716</v>
      </c>
      <c r="AJ30" s="543">
        <v>844200</v>
      </c>
      <c r="AK30" s="543">
        <f>AJ30*0.27-24</f>
        <v>227910.00000000003</v>
      </c>
      <c r="AL30" s="545">
        <f>AJ30+AK30</f>
        <v>1072110</v>
      </c>
      <c r="AM30" s="543">
        <v>950000</v>
      </c>
      <c r="AN30" s="543">
        <f>AM30*0.27</f>
        <v>256500.00000000003</v>
      </c>
      <c r="AO30" s="545">
        <f>AM30+AN30</f>
        <v>1206500</v>
      </c>
      <c r="AP30" s="543">
        <v>3090000</v>
      </c>
      <c r="AQ30" s="543">
        <f>AP30*0.27</f>
        <v>834300</v>
      </c>
      <c r="AR30" s="545">
        <f>AP30+AQ30</f>
        <v>3924300</v>
      </c>
      <c r="AS30" s="543">
        <v>123078469</v>
      </c>
      <c r="AT30" s="543">
        <f>(20000+120000+557800+470000+150000+3300000)*0.27+(118460669*0.19000008)</f>
        <v>23754342.586853519</v>
      </c>
      <c r="AU30" s="545">
        <f>AS30+AT30</f>
        <v>146832811.5868535</v>
      </c>
      <c r="AV30" s="543">
        <v>1678800</v>
      </c>
      <c r="AW30" s="543">
        <v>453276</v>
      </c>
      <c r="AX30" s="545">
        <v>2132076</v>
      </c>
      <c r="AY30" s="543">
        <v>2353000</v>
      </c>
      <c r="AZ30" s="546"/>
      <c r="BA30" s="546"/>
      <c r="BB30" s="420">
        <f t="shared" si="7"/>
        <v>124757269</v>
      </c>
      <c r="BC30" s="420">
        <f t="shared" si="7"/>
        <v>24207618.586853519</v>
      </c>
      <c r="BD30" s="420">
        <f t="shared" si="7"/>
        <v>148964887.5868535</v>
      </c>
      <c r="BE30" s="420">
        <f t="shared" si="8"/>
        <v>141660029</v>
      </c>
      <c r="BF30" s="420">
        <f t="shared" si="8"/>
        <v>27142996.753569521</v>
      </c>
      <c r="BG30" s="420">
        <f t="shared" si="8"/>
        <v>166450025.75356951</v>
      </c>
      <c r="BH30">
        <v>373175</v>
      </c>
      <c r="BK30">
        <v>4089707</v>
      </c>
      <c r="BL30" t="s">
        <v>711</v>
      </c>
      <c r="BN30" t="s">
        <v>1149</v>
      </c>
      <c r="CN30" t="s">
        <v>1150</v>
      </c>
      <c r="CR30">
        <v>1359550</v>
      </c>
      <c r="CS30">
        <v>367078.5</v>
      </c>
      <c r="CT30">
        <v>1726628.5</v>
      </c>
    </row>
    <row r="31" spans="1:98">
      <c r="A31" s="1272" t="s">
        <v>714</v>
      </c>
      <c r="B31" s="1273"/>
      <c r="C31" s="1285" t="s">
        <v>1151</v>
      </c>
      <c r="D31" s="1286"/>
      <c r="E31" s="1286"/>
      <c r="F31" s="1286"/>
      <c r="G31" s="1286"/>
      <c r="H31" s="1286"/>
      <c r="I31" s="1286"/>
      <c r="J31" s="1286"/>
      <c r="K31" s="1286"/>
      <c r="L31" s="1286"/>
      <c r="M31" s="1286"/>
      <c r="N31" s="1286"/>
      <c r="O31" s="1286"/>
      <c r="P31" s="1286"/>
      <c r="Q31" s="1286"/>
      <c r="R31" s="1286"/>
      <c r="S31" s="1286"/>
      <c r="T31" s="1286"/>
      <c r="U31" s="1286"/>
      <c r="V31" s="1286"/>
      <c r="W31" s="1286"/>
      <c r="X31" s="1286"/>
      <c r="Y31" s="1286"/>
      <c r="Z31" s="1286"/>
      <c r="AA31" s="1286"/>
      <c r="AB31" s="1286"/>
      <c r="AC31" s="1281" t="s">
        <v>1152</v>
      </c>
      <c r="AD31" s="1281"/>
      <c r="AE31" s="1281"/>
      <c r="AF31" s="1281"/>
      <c r="AG31" s="543">
        <v>0</v>
      </c>
      <c r="AH31" s="543">
        <v>0</v>
      </c>
      <c r="AI31" s="545">
        <f>AG31+AH31</f>
        <v>0</v>
      </c>
      <c r="AJ31" s="543">
        <v>0</v>
      </c>
      <c r="AK31" s="543">
        <v>0</v>
      </c>
      <c r="AL31" s="545">
        <f>AJ31+AK31</f>
        <v>0</v>
      </c>
      <c r="AM31" s="543">
        <v>0</v>
      </c>
      <c r="AN31" s="543">
        <v>0</v>
      </c>
      <c r="AO31" s="545">
        <f>AM31+AN31</f>
        <v>0</v>
      </c>
      <c r="AP31" s="543">
        <v>0</v>
      </c>
      <c r="AQ31" s="543">
        <v>0</v>
      </c>
      <c r="AR31" s="545">
        <f>AP31+AQ31</f>
        <v>0</v>
      </c>
      <c r="AS31" s="543">
        <v>0</v>
      </c>
      <c r="AT31" s="543">
        <v>0</v>
      </c>
      <c r="AU31" s="545">
        <f>AS31+AT31</f>
        <v>0</v>
      </c>
      <c r="AV31" s="543">
        <v>0</v>
      </c>
      <c r="AW31" s="543">
        <v>0</v>
      </c>
      <c r="AX31" s="545">
        <v>0</v>
      </c>
      <c r="AY31" s="543"/>
      <c r="AZ31" s="546"/>
      <c r="BA31" s="546"/>
      <c r="BB31" s="420">
        <f t="shared" si="7"/>
        <v>0</v>
      </c>
      <c r="BC31" s="420">
        <f t="shared" si="7"/>
        <v>0</v>
      </c>
      <c r="BD31" s="420">
        <f t="shared" si="7"/>
        <v>0</v>
      </c>
      <c r="BE31" s="420">
        <f t="shared" si="8"/>
        <v>0</v>
      </c>
      <c r="BF31" s="420">
        <f t="shared" si="8"/>
        <v>0</v>
      </c>
      <c r="BG31" s="420">
        <f t="shared" si="8"/>
        <v>0</v>
      </c>
      <c r="BH31">
        <v>0</v>
      </c>
      <c r="BK31">
        <v>0</v>
      </c>
      <c r="BL31" t="s">
        <v>714</v>
      </c>
      <c r="BN31" t="s">
        <v>1151</v>
      </c>
      <c r="CN31" t="s">
        <v>1152</v>
      </c>
      <c r="CR31">
        <v>0</v>
      </c>
      <c r="CS31">
        <v>0</v>
      </c>
      <c r="CT31">
        <v>0</v>
      </c>
    </row>
    <row r="32" spans="1:98">
      <c r="A32" s="1289" t="s">
        <v>717</v>
      </c>
      <c r="B32" s="1290"/>
      <c r="C32" s="1294" t="s">
        <v>1153</v>
      </c>
      <c r="D32" s="1295"/>
      <c r="E32" s="1295"/>
      <c r="F32" s="1295"/>
      <c r="G32" s="1295"/>
      <c r="H32" s="1295"/>
      <c r="I32" s="1295"/>
      <c r="J32" s="1295"/>
      <c r="K32" s="1295"/>
      <c r="L32" s="1295"/>
      <c r="M32" s="1295"/>
      <c r="N32" s="1295"/>
      <c r="O32" s="1295"/>
      <c r="P32" s="1295"/>
      <c r="Q32" s="1295"/>
      <c r="R32" s="1295"/>
      <c r="S32" s="1295"/>
      <c r="T32" s="1295"/>
      <c r="U32" s="1295"/>
      <c r="V32" s="1295"/>
      <c r="W32" s="1295"/>
      <c r="X32" s="1295"/>
      <c r="Y32" s="1295"/>
      <c r="Z32" s="1295"/>
      <c r="AA32" s="1295"/>
      <c r="AB32" s="1295"/>
      <c r="AC32" s="1293" t="s">
        <v>1154</v>
      </c>
      <c r="AD32" s="1293"/>
      <c r="AE32" s="1293"/>
      <c r="AF32" s="1293"/>
      <c r="AG32" s="547">
        <f t="shared" ref="AG32:AU32" si="9">SUM(AG29:AG31)</f>
        <v>10020560</v>
      </c>
      <c r="AH32" s="547">
        <f t="shared" si="9"/>
        <v>1712518.1667160001</v>
      </c>
      <c r="AI32" s="549">
        <f t="shared" si="9"/>
        <v>11733078.166716</v>
      </c>
      <c r="AJ32" s="547">
        <f t="shared" si="9"/>
        <v>4494200</v>
      </c>
      <c r="AK32" s="547">
        <f t="shared" si="9"/>
        <v>553410</v>
      </c>
      <c r="AL32" s="549">
        <f t="shared" si="9"/>
        <v>5047610</v>
      </c>
      <c r="AM32" s="547">
        <f t="shared" si="9"/>
        <v>1700000</v>
      </c>
      <c r="AN32" s="547">
        <f t="shared" si="9"/>
        <v>459000</v>
      </c>
      <c r="AO32" s="549">
        <f t="shared" si="9"/>
        <v>2159000</v>
      </c>
      <c r="AP32" s="547">
        <f t="shared" si="9"/>
        <v>4590000</v>
      </c>
      <c r="AQ32" s="547">
        <f t="shared" si="9"/>
        <v>1239300</v>
      </c>
      <c r="AR32" s="549">
        <f t="shared" si="9"/>
        <v>5829300</v>
      </c>
      <c r="AS32" s="547">
        <f t="shared" si="9"/>
        <v>123098469</v>
      </c>
      <c r="AT32" s="547">
        <f t="shared" si="9"/>
        <v>23759742.586853519</v>
      </c>
      <c r="AU32" s="549">
        <f t="shared" si="9"/>
        <v>146858211.5868535</v>
      </c>
      <c r="AV32" s="547">
        <v>1728800</v>
      </c>
      <c r="AW32" s="547">
        <v>466776</v>
      </c>
      <c r="AX32" s="549">
        <v>2195576</v>
      </c>
      <c r="AY32" s="547">
        <v>2403000</v>
      </c>
      <c r="AZ32" s="550"/>
      <c r="BA32" s="550"/>
      <c r="BB32" s="420">
        <f t="shared" si="7"/>
        <v>124827269</v>
      </c>
      <c r="BC32" s="420">
        <f t="shared" si="7"/>
        <v>24226518.586853519</v>
      </c>
      <c r="BD32" s="420">
        <f t="shared" si="7"/>
        <v>149053787.5868535</v>
      </c>
      <c r="BE32" s="420">
        <f t="shared" si="8"/>
        <v>148035029</v>
      </c>
      <c r="BF32" s="420">
        <f t="shared" si="8"/>
        <v>28190746.753569521</v>
      </c>
      <c r="BG32" s="420">
        <f t="shared" si="8"/>
        <v>173822775.75356951</v>
      </c>
      <c r="BH32">
        <v>373175</v>
      </c>
      <c r="BK32">
        <v>23479672</v>
      </c>
      <c r="BL32" t="s">
        <v>717</v>
      </c>
      <c r="BN32" t="s">
        <v>1153</v>
      </c>
      <c r="CN32" t="s">
        <v>1154</v>
      </c>
      <c r="CR32">
        <v>1715140</v>
      </c>
      <c r="CS32">
        <v>463087.8</v>
      </c>
      <c r="CT32">
        <v>2178227.7999999998</v>
      </c>
    </row>
    <row r="33" spans="1:98">
      <c r="A33" s="1272" t="s">
        <v>721</v>
      </c>
      <c r="B33" s="1273"/>
      <c r="C33" s="1285" t="s">
        <v>1155</v>
      </c>
      <c r="D33" s="1286"/>
      <c r="E33" s="1286"/>
      <c r="F33" s="1286"/>
      <c r="G33" s="1286"/>
      <c r="H33" s="1286"/>
      <c r="I33" s="1286"/>
      <c r="J33" s="1286"/>
      <c r="K33" s="1286"/>
      <c r="L33" s="1286"/>
      <c r="M33" s="1286"/>
      <c r="N33" s="1286"/>
      <c r="O33" s="1286"/>
      <c r="P33" s="1286"/>
      <c r="Q33" s="1286"/>
      <c r="R33" s="1286"/>
      <c r="S33" s="1286"/>
      <c r="T33" s="1286"/>
      <c r="U33" s="1286"/>
      <c r="V33" s="1286"/>
      <c r="W33" s="1286"/>
      <c r="X33" s="1286"/>
      <c r="Y33" s="1286"/>
      <c r="Z33" s="1286"/>
      <c r="AA33" s="1286"/>
      <c r="AB33" s="1286"/>
      <c r="AC33" s="1281" t="s">
        <v>1156</v>
      </c>
      <c r="AD33" s="1281"/>
      <c r="AE33" s="1281"/>
      <c r="AF33" s="1281"/>
      <c r="AG33" s="543">
        <v>0</v>
      </c>
      <c r="AH33" s="543">
        <f>AG33*0.27</f>
        <v>0</v>
      </c>
      <c r="AI33" s="545">
        <f>AG33+AH33</f>
        <v>0</v>
      </c>
      <c r="AJ33" s="543">
        <v>150000</v>
      </c>
      <c r="AK33" s="543">
        <f>AJ33*0.27</f>
        <v>40500</v>
      </c>
      <c r="AL33" s="545">
        <f>AJ33+AK33</f>
        <v>190500</v>
      </c>
      <c r="AM33" s="543">
        <v>120000</v>
      </c>
      <c r="AN33" s="543">
        <f>AM33*0.27</f>
        <v>32400.000000000004</v>
      </c>
      <c r="AO33" s="545">
        <f>AM33+AN33</f>
        <v>152400</v>
      </c>
      <c r="AP33" s="543">
        <v>100000</v>
      </c>
      <c r="AQ33" s="543">
        <f>AP33*0.27</f>
        <v>27000</v>
      </c>
      <c r="AR33" s="545">
        <f>AP33+AQ33</f>
        <v>127000</v>
      </c>
      <c r="AS33" s="543">
        <v>60000</v>
      </c>
      <c r="AT33" s="543">
        <f>AS33*0.27</f>
        <v>16200.000000000002</v>
      </c>
      <c r="AU33" s="545">
        <f>AS33+AT33</f>
        <v>76200</v>
      </c>
      <c r="AV33" s="543">
        <v>1420000</v>
      </c>
      <c r="AW33" s="543">
        <v>383400</v>
      </c>
      <c r="AX33" s="545">
        <v>1803400</v>
      </c>
      <c r="AY33" s="543">
        <v>5640200</v>
      </c>
      <c r="AZ33" s="546"/>
      <c r="BA33" s="546"/>
      <c r="BB33" s="420">
        <f t="shared" si="7"/>
        <v>1480000</v>
      </c>
      <c r="BC33" s="420">
        <f t="shared" si="7"/>
        <v>399600</v>
      </c>
      <c r="BD33" s="420">
        <f t="shared" si="7"/>
        <v>1879600</v>
      </c>
      <c r="BE33" s="420">
        <f t="shared" si="8"/>
        <v>7490200</v>
      </c>
      <c r="BF33" s="420">
        <f t="shared" si="8"/>
        <v>499500</v>
      </c>
      <c r="BG33" s="420">
        <f t="shared" si="8"/>
        <v>2349500</v>
      </c>
      <c r="BH33">
        <v>42189</v>
      </c>
      <c r="BK33">
        <v>5815509</v>
      </c>
      <c r="BL33" t="s">
        <v>721</v>
      </c>
      <c r="BN33" t="s">
        <v>1155</v>
      </c>
      <c r="CN33" t="s">
        <v>1156</v>
      </c>
      <c r="CR33">
        <v>135100</v>
      </c>
      <c r="CS33">
        <v>36477</v>
      </c>
      <c r="CT33">
        <v>171577</v>
      </c>
    </row>
    <row r="34" spans="1:98">
      <c r="A34" s="1272" t="s">
        <v>725</v>
      </c>
      <c r="B34" s="1273"/>
      <c r="C34" s="1285" t="s">
        <v>1157</v>
      </c>
      <c r="D34" s="1286"/>
      <c r="E34" s="1286"/>
      <c r="F34" s="1286"/>
      <c r="G34" s="1286"/>
      <c r="H34" s="1286"/>
      <c r="I34" s="1286"/>
      <c r="J34" s="1286"/>
      <c r="K34" s="1286"/>
      <c r="L34" s="1286"/>
      <c r="M34" s="1286"/>
      <c r="N34" s="1286"/>
      <c r="O34" s="1286"/>
      <c r="P34" s="1286"/>
      <c r="Q34" s="1286"/>
      <c r="R34" s="1286"/>
      <c r="S34" s="1286"/>
      <c r="T34" s="1286"/>
      <c r="U34" s="1286"/>
      <c r="V34" s="1286"/>
      <c r="W34" s="1286"/>
      <c r="X34" s="1286"/>
      <c r="Y34" s="1286"/>
      <c r="Z34" s="1286"/>
      <c r="AA34" s="1286"/>
      <c r="AB34" s="1286"/>
      <c r="AC34" s="1281" t="s">
        <v>1158</v>
      </c>
      <c r="AD34" s="1281"/>
      <c r="AE34" s="1281"/>
      <c r="AF34" s="1281"/>
      <c r="AG34" s="543">
        <v>150000</v>
      </c>
      <c r="AH34" s="543">
        <f>AG34*0.27</f>
        <v>40500</v>
      </c>
      <c r="AI34" s="545">
        <f>AG34+AH34</f>
        <v>190500</v>
      </c>
      <c r="AJ34" s="543">
        <v>120000</v>
      </c>
      <c r="AK34" s="543">
        <f>AJ34*0.27</f>
        <v>32400.000000000004</v>
      </c>
      <c r="AL34" s="545">
        <f>AJ34+AK34</f>
        <v>152400</v>
      </c>
      <c r="AM34" s="543">
        <v>145000</v>
      </c>
      <c r="AN34" s="543">
        <f>AM34*0.27</f>
        <v>39150</v>
      </c>
      <c r="AO34" s="545">
        <f>AM34+AN34</f>
        <v>184150</v>
      </c>
      <c r="AP34" s="543">
        <v>580000</v>
      </c>
      <c r="AQ34" s="543">
        <f>AP34*0.27</f>
        <v>156600</v>
      </c>
      <c r="AR34" s="545">
        <f>AP34+AQ34</f>
        <v>736600</v>
      </c>
      <c r="AS34" s="543">
        <v>12000</v>
      </c>
      <c r="AT34" s="543">
        <f>AS34*0.27</f>
        <v>3240</v>
      </c>
      <c r="AU34" s="545">
        <f>AS34+AT34</f>
        <v>15240</v>
      </c>
      <c r="AV34" s="543">
        <v>160000</v>
      </c>
      <c r="AW34" s="543">
        <v>43200</v>
      </c>
      <c r="AX34" s="545">
        <v>203200</v>
      </c>
      <c r="AY34" s="543">
        <v>970000</v>
      </c>
      <c r="AZ34" s="546"/>
      <c r="BA34" s="546"/>
      <c r="BB34" s="420">
        <f t="shared" si="7"/>
        <v>172000</v>
      </c>
      <c r="BC34" s="420">
        <f t="shared" si="7"/>
        <v>46440</v>
      </c>
      <c r="BD34" s="420">
        <f t="shared" si="7"/>
        <v>218440</v>
      </c>
      <c r="BE34" s="420">
        <f t="shared" si="8"/>
        <v>2137000</v>
      </c>
      <c r="BF34" s="420">
        <f t="shared" si="8"/>
        <v>315090</v>
      </c>
      <c r="BG34" s="420">
        <f t="shared" si="8"/>
        <v>1482090</v>
      </c>
      <c r="BH34">
        <v>184195</v>
      </c>
      <c r="BK34">
        <v>249032</v>
      </c>
      <c r="BL34" t="s">
        <v>725</v>
      </c>
      <c r="BN34" t="s">
        <v>1157</v>
      </c>
      <c r="CN34" t="s">
        <v>1158</v>
      </c>
      <c r="CR34">
        <v>325000</v>
      </c>
      <c r="CS34">
        <v>87750</v>
      </c>
      <c r="CT34">
        <v>412750</v>
      </c>
    </row>
    <row r="35" spans="1:98">
      <c r="A35" s="1289" t="s">
        <v>70</v>
      </c>
      <c r="B35" s="1290"/>
      <c r="C35" s="1294" t="s">
        <v>1159</v>
      </c>
      <c r="D35" s="1295"/>
      <c r="E35" s="1295"/>
      <c r="F35" s="1295"/>
      <c r="G35" s="1295"/>
      <c r="H35" s="1295"/>
      <c r="I35" s="1295"/>
      <c r="J35" s="1295"/>
      <c r="K35" s="1295"/>
      <c r="L35" s="1295"/>
      <c r="M35" s="1295"/>
      <c r="N35" s="1295"/>
      <c r="O35" s="1295"/>
      <c r="P35" s="1295"/>
      <c r="Q35" s="1295"/>
      <c r="R35" s="1295"/>
      <c r="S35" s="1295"/>
      <c r="T35" s="1295"/>
      <c r="U35" s="1295"/>
      <c r="V35" s="1295"/>
      <c r="W35" s="1295"/>
      <c r="X35" s="1295"/>
      <c r="Y35" s="1295"/>
      <c r="Z35" s="1295"/>
      <c r="AA35" s="1295"/>
      <c r="AB35" s="1295"/>
      <c r="AC35" s="1293" t="s">
        <v>1160</v>
      </c>
      <c r="AD35" s="1293"/>
      <c r="AE35" s="1293"/>
      <c r="AF35" s="1293"/>
      <c r="AG35" s="547">
        <f t="shared" ref="AG35:AU35" si="10">SUM(AG33:AG34)</f>
        <v>150000</v>
      </c>
      <c r="AH35" s="547">
        <f t="shared" si="10"/>
        <v>40500</v>
      </c>
      <c r="AI35" s="547">
        <f t="shared" si="10"/>
        <v>190500</v>
      </c>
      <c r="AJ35" s="547">
        <f t="shared" si="10"/>
        <v>270000</v>
      </c>
      <c r="AK35" s="547">
        <f t="shared" si="10"/>
        <v>72900</v>
      </c>
      <c r="AL35" s="547">
        <f t="shared" si="10"/>
        <v>342900</v>
      </c>
      <c r="AM35" s="547">
        <f t="shared" si="10"/>
        <v>265000</v>
      </c>
      <c r="AN35" s="547">
        <f t="shared" si="10"/>
        <v>71550</v>
      </c>
      <c r="AO35" s="547">
        <f t="shared" si="10"/>
        <v>336550</v>
      </c>
      <c r="AP35" s="547">
        <f t="shared" si="10"/>
        <v>680000</v>
      </c>
      <c r="AQ35" s="547">
        <f t="shared" si="10"/>
        <v>183600</v>
      </c>
      <c r="AR35" s="547">
        <f t="shared" si="10"/>
        <v>863600</v>
      </c>
      <c r="AS35" s="547">
        <f t="shared" si="10"/>
        <v>72000</v>
      </c>
      <c r="AT35" s="547">
        <f t="shared" si="10"/>
        <v>19440</v>
      </c>
      <c r="AU35" s="547">
        <f t="shared" si="10"/>
        <v>91440</v>
      </c>
      <c r="AV35" s="547">
        <v>1580000</v>
      </c>
      <c r="AW35" s="547">
        <v>426600</v>
      </c>
      <c r="AX35" s="547">
        <v>2006600</v>
      </c>
      <c r="AY35" s="547">
        <v>6610200</v>
      </c>
      <c r="AZ35" s="550"/>
      <c r="BA35" s="550"/>
      <c r="BB35" s="420">
        <f t="shared" si="7"/>
        <v>1652000</v>
      </c>
      <c r="BC35" s="420">
        <f t="shared" si="7"/>
        <v>446040</v>
      </c>
      <c r="BD35" s="420">
        <f t="shared" si="7"/>
        <v>2098040</v>
      </c>
      <c r="BE35" s="420">
        <f t="shared" si="8"/>
        <v>9627200</v>
      </c>
      <c r="BF35" s="420">
        <f t="shared" si="8"/>
        <v>814590</v>
      </c>
      <c r="BG35" s="420">
        <f t="shared" si="8"/>
        <v>3831590</v>
      </c>
      <c r="BH35">
        <v>226384</v>
      </c>
      <c r="BK35">
        <v>6064541</v>
      </c>
      <c r="BL35" t="s">
        <v>70</v>
      </c>
      <c r="BN35" t="s">
        <v>1159</v>
      </c>
      <c r="CN35" t="s">
        <v>1160</v>
      </c>
      <c r="CR35">
        <v>460100</v>
      </c>
      <c r="CS35">
        <v>124227</v>
      </c>
      <c r="CT35">
        <v>584327</v>
      </c>
    </row>
    <row r="36" spans="1:98">
      <c r="A36" s="1272" t="s">
        <v>73</v>
      </c>
      <c r="B36" s="1273"/>
      <c r="C36" s="1285" t="s">
        <v>1161</v>
      </c>
      <c r="D36" s="1286"/>
      <c r="E36" s="1286"/>
      <c r="F36" s="1286"/>
      <c r="G36" s="1286"/>
      <c r="H36" s="1286"/>
      <c r="I36" s="1286"/>
      <c r="J36" s="1286"/>
      <c r="K36" s="1286"/>
      <c r="L36" s="1286"/>
      <c r="M36" s="1286"/>
      <c r="N36" s="1286"/>
      <c r="O36" s="1286"/>
      <c r="P36" s="1286"/>
      <c r="Q36" s="1286"/>
      <c r="R36" s="1286"/>
      <c r="S36" s="1286"/>
      <c r="T36" s="1286"/>
      <c r="U36" s="1286"/>
      <c r="V36" s="1286"/>
      <c r="W36" s="1286"/>
      <c r="X36" s="1286"/>
      <c r="Y36" s="1286"/>
      <c r="Z36" s="1286"/>
      <c r="AA36" s="1286"/>
      <c r="AB36" s="1286"/>
      <c r="AC36" s="1281" t="s">
        <v>1162</v>
      </c>
      <c r="AD36" s="1281"/>
      <c r="AE36" s="1281"/>
      <c r="AF36" s="1281"/>
      <c r="AG36" s="543">
        <v>4970000</v>
      </c>
      <c r="AH36" s="543">
        <f>AG36*0.27</f>
        <v>1341900</v>
      </c>
      <c r="AI36" s="545">
        <f>AG36+AH36</f>
        <v>6311900</v>
      </c>
      <c r="AJ36" s="543">
        <v>2040000</v>
      </c>
      <c r="AK36" s="543">
        <f>AJ36*0.27</f>
        <v>550800</v>
      </c>
      <c r="AL36" s="545">
        <f>AJ36+AK36</f>
        <v>2590800</v>
      </c>
      <c r="AM36" s="543">
        <v>2310000</v>
      </c>
      <c r="AN36" s="543">
        <f>AM36*0.27+2</f>
        <v>623702</v>
      </c>
      <c r="AO36" s="545">
        <f>AM36+AN36</f>
        <v>2933702</v>
      </c>
      <c r="AP36" s="543">
        <v>7880000</v>
      </c>
      <c r="AQ36" s="543">
        <f>AP36*0.27</f>
        <v>2127600</v>
      </c>
      <c r="AR36" s="545">
        <f>AP36+AQ36</f>
        <v>10007600</v>
      </c>
      <c r="AS36" s="543">
        <v>3600000</v>
      </c>
      <c r="AT36" s="543">
        <f t="shared" ref="AT36:AT41" si="11">AS36*0.27</f>
        <v>972000.00000000012</v>
      </c>
      <c r="AU36" s="545">
        <f>AS36+AT36</f>
        <v>4572000</v>
      </c>
      <c r="AV36" s="543">
        <v>5002000</v>
      </c>
      <c r="AW36" s="543">
        <v>1350540</v>
      </c>
      <c r="AX36" s="545">
        <v>6352540</v>
      </c>
      <c r="AY36" s="543">
        <v>2500000</v>
      </c>
      <c r="AZ36" s="546"/>
      <c r="BA36" s="546"/>
      <c r="BB36" s="420">
        <f t="shared" si="7"/>
        <v>8602000</v>
      </c>
      <c r="BC36" s="420">
        <f t="shared" si="7"/>
        <v>2322540</v>
      </c>
      <c r="BD36" s="420">
        <f t="shared" si="7"/>
        <v>10924540</v>
      </c>
      <c r="BE36" s="420">
        <f t="shared" si="8"/>
        <v>28302000</v>
      </c>
      <c r="BF36" s="420">
        <f t="shared" si="8"/>
        <v>6966542</v>
      </c>
      <c r="BG36" s="420">
        <f t="shared" si="8"/>
        <v>32768542</v>
      </c>
      <c r="BH36">
        <v>695400</v>
      </c>
      <c r="BK36">
        <v>5843828</v>
      </c>
      <c r="BL36" t="s">
        <v>73</v>
      </c>
      <c r="BN36" t="s">
        <v>1161</v>
      </c>
      <c r="CN36" t="s">
        <v>1162</v>
      </c>
      <c r="CR36">
        <v>2690000</v>
      </c>
      <c r="CS36">
        <v>726300</v>
      </c>
      <c r="CT36">
        <v>3416300</v>
      </c>
    </row>
    <row r="37" spans="1:98">
      <c r="A37" s="1272" t="s">
        <v>74</v>
      </c>
      <c r="B37" s="1273"/>
      <c r="C37" s="1285" t="s">
        <v>1163</v>
      </c>
      <c r="D37" s="1286"/>
      <c r="E37" s="1286"/>
      <c r="F37" s="1286"/>
      <c r="G37" s="1286"/>
      <c r="H37" s="1286"/>
      <c r="I37" s="1286"/>
      <c r="J37" s="1286"/>
      <c r="K37" s="1286"/>
      <c r="L37" s="1286"/>
      <c r="M37" s="1286"/>
      <c r="N37" s="1286"/>
      <c r="O37" s="1286"/>
      <c r="P37" s="1286"/>
      <c r="Q37" s="1286"/>
      <c r="R37" s="1286"/>
      <c r="S37" s="1286"/>
      <c r="T37" s="1286"/>
      <c r="U37" s="1286"/>
      <c r="V37" s="1286"/>
      <c r="W37" s="1286"/>
      <c r="X37" s="1286"/>
      <c r="Y37" s="1286"/>
      <c r="Z37" s="1286"/>
      <c r="AA37" s="1286"/>
      <c r="AB37" s="1286"/>
      <c r="AC37" s="1281" t="s">
        <v>1164</v>
      </c>
      <c r="AD37" s="1281"/>
      <c r="AE37" s="1281"/>
      <c r="AF37" s="1281"/>
      <c r="AG37" s="543">
        <v>0</v>
      </c>
      <c r="AH37" s="543">
        <f>AG37*0.27</f>
        <v>0</v>
      </c>
      <c r="AI37" s="545">
        <f t="shared" ref="AI37:AI42" si="12">AG37+AH37</f>
        <v>0</v>
      </c>
      <c r="AJ37" s="543">
        <v>600000</v>
      </c>
      <c r="AK37" s="543">
        <f>AJ37*0.27</f>
        <v>162000</v>
      </c>
      <c r="AL37" s="545">
        <f t="shared" ref="AL37:AL42" si="13">AJ37+AK37</f>
        <v>762000</v>
      </c>
      <c r="AM37" s="543">
        <v>100000</v>
      </c>
      <c r="AN37" s="543">
        <f>AM37*0.27</f>
        <v>27000</v>
      </c>
      <c r="AO37" s="545">
        <f t="shared" ref="AO37:AO42" si="14">AM37+AN37</f>
        <v>127000</v>
      </c>
      <c r="AP37" s="543">
        <v>0</v>
      </c>
      <c r="AQ37" s="543">
        <f>AP37*0.27</f>
        <v>0</v>
      </c>
      <c r="AR37" s="545">
        <f t="shared" ref="AR37:AR42" si="15">AP37+AQ37</f>
        <v>0</v>
      </c>
      <c r="AS37" s="543">
        <v>1983872</v>
      </c>
      <c r="AT37" s="543">
        <f t="shared" si="11"/>
        <v>535645.44000000006</v>
      </c>
      <c r="AU37" s="545">
        <f t="shared" ref="AU37:AU42" si="16">AS37+AT37</f>
        <v>2519517.44</v>
      </c>
      <c r="AV37" s="543">
        <v>0</v>
      </c>
      <c r="AW37" s="543">
        <v>0</v>
      </c>
      <c r="AX37" s="545">
        <v>0</v>
      </c>
      <c r="AY37" s="543"/>
      <c r="AZ37" s="546"/>
      <c r="BA37" s="546"/>
      <c r="BB37" s="420">
        <f t="shared" si="7"/>
        <v>1983872</v>
      </c>
      <c r="BC37" s="420">
        <f t="shared" si="7"/>
        <v>535645.44000000006</v>
      </c>
      <c r="BD37" s="420">
        <f t="shared" si="7"/>
        <v>2519517.44</v>
      </c>
      <c r="BE37" s="420">
        <f t="shared" si="8"/>
        <v>2683872</v>
      </c>
      <c r="BF37" s="420">
        <f t="shared" si="8"/>
        <v>724645.44000000006</v>
      </c>
      <c r="BG37" s="420">
        <f t="shared" si="8"/>
        <v>3408517.44</v>
      </c>
      <c r="BH37">
        <v>0</v>
      </c>
      <c r="BK37">
        <v>0</v>
      </c>
      <c r="BL37" t="s">
        <v>74</v>
      </c>
      <c r="BN37" t="s">
        <v>1163</v>
      </c>
      <c r="CN37" t="s">
        <v>1164</v>
      </c>
      <c r="CR37">
        <v>0</v>
      </c>
      <c r="CS37">
        <v>0</v>
      </c>
      <c r="CT37">
        <v>0</v>
      </c>
    </row>
    <row r="38" spans="1:98">
      <c r="A38" s="1272" t="s">
        <v>75</v>
      </c>
      <c r="B38" s="1273"/>
      <c r="C38" s="1285" t="s">
        <v>1165</v>
      </c>
      <c r="D38" s="1286"/>
      <c r="E38" s="1286"/>
      <c r="F38" s="1286"/>
      <c r="G38" s="1286"/>
      <c r="H38" s="1286"/>
      <c r="I38" s="1286"/>
      <c r="J38" s="1286"/>
      <c r="K38" s="1286"/>
      <c r="L38" s="1286"/>
      <c r="M38" s="1286"/>
      <c r="N38" s="1286"/>
      <c r="O38" s="1286"/>
      <c r="P38" s="1286"/>
      <c r="Q38" s="1286"/>
      <c r="R38" s="1286"/>
      <c r="S38" s="1286"/>
      <c r="T38" s="1286"/>
      <c r="U38" s="1286"/>
      <c r="V38" s="1286"/>
      <c r="W38" s="1286"/>
      <c r="X38" s="1286"/>
      <c r="Y38" s="1286"/>
      <c r="Z38" s="1286"/>
      <c r="AA38" s="1286"/>
      <c r="AB38" s="1286"/>
      <c r="AC38" s="1281" t="s">
        <v>1166</v>
      </c>
      <c r="AD38" s="1281"/>
      <c r="AE38" s="1281"/>
      <c r="AF38" s="1281"/>
      <c r="AG38" s="543">
        <v>0</v>
      </c>
      <c r="AH38" s="543">
        <f>AG38*0.27</f>
        <v>0</v>
      </c>
      <c r="AI38" s="545">
        <f t="shared" si="12"/>
        <v>0</v>
      </c>
      <c r="AJ38" s="543">
        <v>0</v>
      </c>
      <c r="AK38" s="543">
        <f>AJ38*0.27</f>
        <v>0</v>
      </c>
      <c r="AL38" s="545">
        <f t="shared" si="13"/>
        <v>0</v>
      </c>
      <c r="AM38" s="543">
        <v>1629920</v>
      </c>
      <c r="AN38" s="543">
        <f>AM38*0.27</f>
        <v>440078.4</v>
      </c>
      <c r="AO38" s="545">
        <f t="shared" si="14"/>
        <v>2069998.4</v>
      </c>
      <c r="AP38" s="543">
        <v>536000</v>
      </c>
      <c r="AQ38" s="543">
        <f>AP38*0.27</f>
        <v>144720</v>
      </c>
      <c r="AR38" s="545">
        <f t="shared" si="15"/>
        <v>680720</v>
      </c>
      <c r="AS38" s="543">
        <v>0</v>
      </c>
      <c r="AT38" s="543">
        <f t="shared" si="11"/>
        <v>0</v>
      </c>
      <c r="AU38" s="545">
        <f t="shared" si="16"/>
        <v>0</v>
      </c>
      <c r="AV38" s="543">
        <v>0</v>
      </c>
      <c r="AW38" s="543">
        <v>0</v>
      </c>
      <c r="AX38" s="545">
        <v>0</v>
      </c>
      <c r="AY38" s="543">
        <v>630000</v>
      </c>
      <c r="AZ38" s="546"/>
      <c r="BA38" s="546"/>
      <c r="BB38" s="420">
        <f t="shared" si="7"/>
        <v>0</v>
      </c>
      <c r="BC38" s="420">
        <f t="shared" si="7"/>
        <v>0</v>
      </c>
      <c r="BD38" s="420">
        <f t="shared" si="7"/>
        <v>0</v>
      </c>
      <c r="BE38" s="420">
        <f t="shared" si="8"/>
        <v>2795920</v>
      </c>
      <c r="BF38" s="420">
        <f t="shared" si="8"/>
        <v>584798.4</v>
      </c>
      <c r="BG38" s="420">
        <f t="shared" si="8"/>
        <v>2750718.4</v>
      </c>
      <c r="BH38">
        <v>0</v>
      </c>
      <c r="BK38">
        <v>862629</v>
      </c>
      <c r="BL38" t="s">
        <v>75</v>
      </c>
      <c r="BN38" t="s">
        <v>1165</v>
      </c>
      <c r="CN38" t="s">
        <v>1166</v>
      </c>
      <c r="CR38">
        <v>642250</v>
      </c>
      <c r="CS38">
        <v>170032.5</v>
      </c>
      <c r="CT38">
        <v>812282.5</v>
      </c>
    </row>
    <row r="39" spans="1:98">
      <c r="A39" s="1272" t="s">
        <v>734</v>
      </c>
      <c r="B39" s="1273"/>
      <c r="C39" s="1285" t="s">
        <v>1167</v>
      </c>
      <c r="D39" s="1286"/>
      <c r="E39" s="1286"/>
      <c r="F39" s="1286"/>
      <c r="G39" s="1286"/>
      <c r="H39" s="1286"/>
      <c r="I39" s="1286"/>
      <c r="J39" s="1286"/>
      <c r="K39" s="1286"/>
      <c r="L39" s="1286"/>
      <c r="M39" s="1286"/>
      <c r="N39" s="1286"/>
      <c r="O39" s="1286"/>
      <c r="P39" s="1286"/>
      <c r="Q39" s="1286"/>
      <c r="R39" s="1286"/>
      <c r="S39" s="1286"/>
      <c r="T39" s="1286"/>
      <c r="U39" s="1286"/>
      <c r="V39" s="1286"/>
      <c r="W39" s="1286"/>
      <c r="X39" s="1286"/>
      <c r="Y39" s="1286"/>
      <c r="Z39" s="1286"/>
      <c r="AA39" s="1286"/>
      <c r="AB39" s="1286"/>
      <c r="AC39" s="1281" t="s">
        <v>1168</v>
      </c>
      <c r="AD39" s="1281"/>
      <c r="AE39" s="1281"/>
      <c r="AF39" s="1281"/>
      <c r="AG39" s="543">
        <v>850000</v>
      </c>
      <c r="AH39" s="543">
        <f>AG39*0.27</f>
        <v>229500.00000000003</v>
      </c>
      <c r="AI39" s="545">
        <f t="shared" si="12"/>
        <v>1079500</v>
      </c>
      <c r="AJ39" s="543">
        <v>300000</v>
      </c>
      <c r="AK39" s="543">
        <f>AJ39*0.27</f>
        <v>81000</v>
      </c>
      <c r="AL39" s="545">
        <f t="shared" si="13"/>
        <v>381000</v>
      </c>
      <c r="AM39" s="543">
        <v>344500</v>
      </c>
      <c r="AN39" s="543">
        <f>AM39*0.27</f>
        <v>93015</v>
      </c>
      <c r="AO39" s="545">
        <f t="shared" si="14"/>
        <v>437515</v>
      </c>
      <c r="AP39" s="543">
        <v>624000</v>
      </c>
      <c r="AQ39" s="543">
        <f>AP39*0.27</f>
        <v>168480</v>
      </c>
      <c r="AR39" s="545">
        <f t="shared" si="15"/>
        <v>792480</v>
      </c>
      <c r="AS39" s="543">
        <v>1500000</v>
      </c>
      <c r="AT39" s="543">
        <f t="shared" si="11"/>
        <v>405000</v>
      </c>
      <c r="AU39" s="545">
        <f t="shared" si="16"/>
        <v>1905000</v>
      </c>
      <c r="AV39" s="543">
        <v>220000</v>
      </c>
      <c r="AW39" s="543">
        <v>59400</v>
      </c>
      <c r="AX39" s="545">
        <v>279400</v>
      </c>
      <c r="AY39" s="543">
        <v>1675200</v>
      </c>
      <c r="AZ39" s="546"/>
      <c r="BA39" s="546"/>
      <c r="BB39" s="420">
        <f t="shared" si="7"/>
        <v>1720000</v>
      </c>
      <c r="BC39" s="420">
        <f t="shared" si="7"/>
        <v>464400</v>
      </c>
      <c r="BD39" s="420">
        <f t="shared" si="7"/>
        <v>2184400</v>
      </c>
      <c r="BE39" s="420">
        <f t="shared" si="8"/>
        <v>5513700</v>
      </c>
      <c r="BF39" s="420">
        <f t="shared" si="8"/>
        <v>1036395</v>
      </c>
      <c r="BG39" s="420">
        <f t="shared" si="8"/>
        <v>4874895</v>
      </c>
      <c r="BH39">
        <v>0</v>
      </c>
      <c r="BK39">
        <v>2779921</v>
      </c>
      <c r="BL39" t="s">
        <v>734</v>
      </c>
      <c r="BN39" t="s">
        <v>1167</v>
      </c>
      <c r="CN39" t="s">
        <v>1168</v>
      </c>
      <c r="CR39">
        <v>450000</v>
      </c>
      <c r="CS39">
        <v>108000</v>
      </c>
      <c r="CT39">
        <v>558000</v>
      </c>
    </row>
    <row r="40" spans="1:98">
      <c r="A40" s="1272" t="s">
        <v>736</v>
      </c>
      <c r="B40" s="1273"/>
      <c r="C40" s="1297" t="s">
        <v>1169</v>
      </c>
      <c r="D40" s="1298"/>
      <c r="E40" s="1298"/>
      <c r="F40" s="1298"/>
      <c r="G40" s="1298"/>
      <c r="H40" s="1298"/>
      <c r="I40" s="1298"/>
      <c r="J40" s="1298"/>
      <c r="K40" s="1298"/>
      <c r="L40" s="1298"/>
      <c r="M40" s="1298"/>
      <c r="N40" s="1298"/>
      <c r="O40" s="1298"/>
      <c r="P40" s="1298"/>
      <c r="Q40" s="1298"/>
      <c r="R40" s="1298"/>
      <c r="S40" s="1298"/>
      <c r="T40" s="1298"/>
      <c r="U40" s="1298"/>
      <c r="V40" s="1298"/>
      <c r="W40" s="1298"/>
      <c r="X40" s="1298"/>
      <c r="Y40" s="1298"/>
      <c r="Z40" s="1298"/>
      <c r="AA40" s="1298"/>
      <c r="AB40" s="1298"/>
      <c r="AC40" s="1281" t="s">
        <v>1170</v>
      </c>
      <c r="AD40" s="1281"/>
      <c r="AE40" s="1281"/>
      <c r="AF40" s="1281"/>
      <c r="AG40" s="543">
        <v>0</v>
      </c>
      <c r="AH40" s="543">
        <f>AG40*0.27</f>
        <v>0</v>
      </c>
      <c r="AI40" s="545">
        <f t="shared" si="12"/>
        <v>0</v>
      </c>
      <c r="AJ40" s="543">
        <v>50000</v>
      </c>
      <c r="AK40" s="543">
        <f>AJ40*0.27</f>
        <v>13500</v>
      </c>
      <c r="AL40" s="545">
        <f t="shared" si="13"/>
        <v>63500</v>
      </c>
      <c r="AM40" s="543">
        <v>0</v>
      </c>
      <c r="AN40" s="543">
        <f>AM40*0.27</f>
        <v>0</v>
      </c>
      <c r="AO40" s="545">
        <f t="shared" si="14"/>
        <v>0</v>
      </c>
      <c r="AP40" s="543">
        <v>0</v>
      </c>
      <c r="AQ40" s="543">
        <f>AP40*0.27</f>
        <v>0</v>
      </c>
      <c r="AR40" s="545">
        <f t="shared" si="15"/>
        <v>0</v>
      </c>
      <c r="AS40" s="543">
        <v>0</v>
      </c>
      <c r="AT40" s="543">
        <f t="shared" si="11"/>
        <v>0</v>
      </c>
      <c r="AU40" s="545">
        <f t="shared" si="16"/>
        <v>0</v>
      </c>
      <c r="AV40" s="543">
        <v>18250000</v>
      </c>
      <c r="AW40" s="543">
        <v>4927500</v>
      </c>
      <c r="AX40" s="545">
        <v>23177500</v>
      </c>
      <c r="AY40" s="543">
        <v>5950000</v>
      </c>
      <c r="AZ40" s="546"/>
      <c r="BA40" s="546"/>
      <c r="BB40" s="420">
        <f t="shared" si="7"/>
        <v>18250000</v>
      </c>
      <c r="BC40" s="420">
        <f t="shared" si="7"/>
        <v>4927500</v>
      </c>
      <c r="BD40" s="420">
        <f t="shared" si="7"/>
        <v>23177500</v>
      </c>
      <c r="BE40" s="420">
        <f t="shared" si="8"/>
        <v>24250000</v>
      </c>
      <c r="BF40" s="420">
        <f t="shared" si="8"/>
        <v>4941000</v>
      </c>
      <c r="BG40" s="420">
        <f t="shared" si="8"/>
        <v>23241000</v>
      </c>
      <c r="BH40">
        <v>0</v>
      </c>
      <c r="BK40">
        <v>0</v>
      </c>
      <c r="BL40" t="s">
        <v>736</v>
      </c>
      <c r="BN40" t="s">
        <v>1169</v>
      </c>
      <c r="CN40" t="s">
        <v>1170</v>
      </c>
      <c r="CR40">
        <v>0</v>
      </c>
      <c r="CS40">
        <v>0</v>
      </c>
      <c r="CT40">
        <v>0</v>
      </c>
    </row>
    <row r="41" spans="1:98">
      <c r="A41" s="1272" t="s">
        <v>738</v>
      </c>
      <c r="B41" s="1273"/>
      <c r="C41" s="1287" t="s">
        <v>1171</v>
      </c>
      <c r="D41" s="1288"/>
      <c r="E41" s="1288"/>
      <c r="F41" s="1288"/>
      <c r="G41" s="1288"/>
      <c r="H41" s="1288"/>
      <c r="I41" s="1288"/>
      <c r="J41" s="1288"/>
      <c r="K41" s="1288"/>
      <c r="L41" s="1288"/>
      <c r="M41" s="1288"/>
      <c r="N41" s="1288"/>
      <c r="O41" s="1288"/>
      <c r="P41" s="1288"/>
      <c r="Q41" s="1288"/>
      <c r="R41" s="1288"/>
      <c r="S41" s="1288"/>
      <c r="T41" s="1288"/>
      <c r="U41" s="1288"/>
      <c r="V41" s="1288"/>
      <c r="W41" s="1288"/>
      <c r="X41" s="1288"/>
      <c r="Y41" s="1288"/>
      <c r="Z41" s="1288"/>
      <c r="AA41" s="1288"/>
      <c r="AB41" s="1288"/>
      <c r="AC41" s="1281" t="s">
        <v>1172</v>
      </c>
      <c r="AD41" s="1281"/>
      <c r="AE41" s="1281"/>
      <c r="AF41" s="1281"/>
      <c r="AG41" s="543">
        <v>1372000</v>
      </c>
      <c r="AH41" s="543">
        <v>0</v>
      </c>
      <c r="AI41" s="545">
        <f t="shared" si="12"/>
        <v>1372000</v>
      </c>
      <c r="AJ41" s="543">
        <v>5000000</v>
      </c>
      <c r="AK41" s="543">
        <f>1250000*0.27</f>
        <v>337500</v>
      </c>
      <c r="AL41" s="545">
        <f t="shared" si="13"/>
        <v>5337500</v>
      </c>
      <c r="AM41" s="543">
        <v>1543700</v>
      </c>
      <c r="AN41" s="543">
        <f>1493700*0.27</f>
        <v>403299</v>
      </c>
      <c r="AO41" s="545">
        <f t="shared" si="14"/>
        <v>1946999</v>
      </c>
      <c r="AP41" s="543">
        <v>5235000</v>
      </c>
      <c r="AQ41" s="543">
        <v>0</v>
      </c>
      <c r="AR41" s="545">
        <f t="shared" si="15"/>
        <v>5235000</v>
      </c>
      <c r="AS41" s="543">
        <v>320000</v>
      </c>
      <c r="AT41" s="543">
        <f t="shared" si="11"/>
        <v>86400</v>
      </c>
      <c r="AU41" s="545">
        <f t="shared" si="16"/>
        <v>406400</v>
      </c>
      <c r="AV41" s="543">
        <v>300000</v>
      </c>
      <c r="AW41" s="543">
        <v>81000</v>
      </c>
      <c r="AX41" s="545">
        <v>381000</v>
      </c>
      <c r="AY41" s="543">
        <v>4284029</v>
      </c>
      <c r="AZ41" s="546"/>
      <c r="BA41" s="546"/>
      <c r="BB41" s="420">
        <f t="shared" si="7"/>
        <v>620000</v>
      </c>
      <c r="BC41" s="420">
        <f t="shared" si="7"/>
        <v>167400</v>
      </c>
      <c r="BD41" s="420">
        <f t="shared" si="7"/>
        <v>787400</v>
      </c>
      <c r="BE41" s="420">
        <f t="shared" si="8"/>
        <v>18054729</v>
      </c>
      <c r="BF41" s="420">
        <f t="shared" si="8"/>
        <v>908199</v>
      </c>
      <c r="BG41" s="420">
        <f t="shared" si="8"/>
        <v>14678899</v>
      </c>
      <c r="BH41">
        <v>0</v>
      </c>
      <c r="BK41">
        <v>58544575</v>
      </c>
      <c r="BL41" t="s">
        <v>738</v>
      </c>
      <c r="BN41" t="s">
        <v>1171</v>
      </c>
      <c r="CN41" t="s">
        <v>1172</v>
      </c>
      <c r="CR41">
        <v>22963429</v>
      </c>
      <c r="CS41">
        <v>1546304.5</v>
      </c>
      <c r="CT41">
        <v>24509733.5</v>
      </c>
    </row>
    <row r="42" spans="1:98">
      <c r="A42" s="1272" t="s">
        <v>740</v>
      </c>
      <c r="B42" s="1273"/>
      <c r="C42" s="1285" t="s">
        <v>1173</v>
      </c>
      <c r="D42" s="1286"/>
      <c r="E42" s="1286"/>
      <c r="F42" s="1286"/>
      <c r="G42" s="1286"/>
      <c r="H42" s="1286"/>
      <c r="I42" s="1286"/>
      <c r="J42" s="1286"/>
      <c r="K42" s="1286"/>
      <c r="L42" s="1286"/>
      <c r="M42" s="1286"/>
      <c r="N42" s="1286"/>
      <c r="O42" s="1286"/>
      <c r="P42" s="1286"/>
      <c r="Q42" s="1286"/>
      <c r="R42" s="1286"/>
      <c r="S42" s="1286"/>
      <c r="T42" s="1286"/>
      <c r="U42" s="1286"/>
      <c r="V42" s="1286"/>
      <c r="W42" s="1286"/>
      <c r="X42" s="1286"/>
      <c r="Y42" s="1286"/>
      <c r="Z42" s="1286"/>
      <c r="AA42" s="1286"/>
      <c r="AB42" s="1286"/>
      <c r="AC42" s="1281" t="s">
        <v>1174</v>
      </c>
      <c r="AD42" s="1281"/>
      <c r="AE42" s="1281"/>
      <c r="AF42" s="1281"/>
      <c r="AG42" s="543">
        <v>1240704</v>
      </c>
      <c r="AH42" s="543">
        <f>(160000+380000)*0.27</f>
        <v>145800</v>
      </c>
      <c r="AI42" s="545">
        <f t="shared" si="12"/>
        <v>1386504</v>
      </c>
      <c r="AJ42" s="543">
        <v>465000</v>
      </c>
      <c r="AK42" s="543">
        <f>185000*0.27</f>
        <v>49950</v>
      </c>
      <c r="AL42" s="545">
        <f t="shared" si="13"/>
        <v>514950</v>
      </c>
      <c r="AM42" s="543">
        <v>772000</v>
      </c>
      <c r="AN42" s="543">
        <f>636000*0.27</f>
        <v>171720</v>
      </c>
      <c r="AO42" s="545">
        <f t="shared" si="14"/>
        <v>943720</v>
      </c>
      <c r="AP42" s="543">
        <v>1558950</v>
      </c>
      <c r="AQ42" s="543">
        <f>(100000+280000)*0.27</f>
        <v>102600</v>
      </c>
      <c r="AR42" s="545">
        <f t="shared" si="15"/>
        <v>1661550</v>
      </c>
      <c r="AS42" s="543">
        <v>3277000</v>
      </c>
      <c r="AT42" s="543">
        <f>1000000*0.27</f>
        <v>270000</v>
      </c>
      <c r="AU42" s="545">
        <f t="shared" si="16"/>
        <v>3547000</v>
      </c>
      <c r="AV42" s="543">
        <v>1010852</v>
      </c>
      <c r="AW42" s="543">
        <v>116100</v>
      </c>
      <c r="AX42" s="545">
        <v>1126952</v>
      </c>
      <c r="AY42" s="543">
        <v>5613193</v>
      </c>
      <c r="AZ42" s="546"/>
      <c r="BA42" s="546"/>
      <c r="BB42" s="420">
        <f t="shared" si="7"/>
        <v>4287852</v>
      </c>
      <c r="BC42" s="420">
        <f t="shared" si="7"/>
        <v>386100</v>
      </c>
      <c r="BD42" s="420">
        <f t="shared" si="7"/>
        <v>4673952</v>
      </c>
      <c r="BE42" s="420">
        <f t="shared" si="8"/>
        <v>13937699</v>
      </c>
      <c r="BF42" s="420">
        <f t="shared" si="8"/>
        <v>856170</v>
      </c>
      <c r="BG42" s="420">
        <f t="shared" si="8"/>
        <v>9180676</v>
      </c>
      <c r="BH42">
        <v>300000</v>
      </c>
      <c r="BK42">
        <v>3209374</v>
      </c>
      <c r="BL42" t="s">
        <v>740</v>
      </c>
      <c r="BN42" t="s">
        <v>1173</v>
      </c>
      <c r="CN42" t="s">
        <v>1174</v>
      </c>
      <c r="CR42">
        <v>2618035</v>
      </c>
      <c r="CS42">
        <v>603864.45000000007</v>
      </c>
      <c r="CT42">
        <v>3221899.45</v>
      </c>
    </row>
    <row r="43" spans="1:98">
      <c r="A43" s="1289" t="s">
        <v>76</v>
      </c>
      <c r="B43" s="1290"/>
      <c r="C43" s="1294" t="s">
        <v>1175</v>
      </c>
      <c r="D43" s="1295"/>
      <c r="E43" s="1295"/>
      <c r="F43" s="1295"/>
      <c r="G43" s="1295"/>
      <c r="H43" s="1295"/>
      <c r="I43" s="1295"/>
      <c r="J43" s="1295"/>
      <c r="K43" s="1295"/>
      <c r="L43" s="1295"/>
      <c r="M43" s="1295"/>
      <c r="N43" s="1295"/>
      <c r="O43" s="1295"/>
      <c r="P43" s="1295"/>
      <c r="Q43" s="1295"/>
      <c r="R43" s="1295"/>
      <c r="S43" s="1295"/>
      <c r="T43" s="1295"/>
      <c r="U43" s="1295"/>
      <c r="V43" s="1295"/>
      <c r="W43" s="1295"/>
      <c r="X43" s="1295"/>
      <c r="Y43" s="1295"/>
      <c r="Z43" s="1295"/>
      <c r="AA43" s="1295"/>
      <c r="AB43" s="1295"/>
      <c r="AC43" s="1293" t="s">
        <v>1176</v>
      </c>
      <c r="AD43" s="1293"/>
      <c r="AE43" s="1293"/>
      <c r="AF43" s="1293"/>
      <c r="AG43" s="547">
        <f t="shared" ref="AG43:AU43" si="17">SUM(AG36:AG42)</f>
        <v>8432704</v>
      </c>
      <c r="AH43" s="547">
        <f t="shared" si="17"/>
        <v>1717200</v>
      </c>
      <c r="AI43" s="547">
        <f t="shared" si="17"/>
        <v>10149904</v>
      </c>
      <c r="AJ43" s="547">
        <f t="shared" si="17"/>
        <v>8455000</v>
      </c>
      <c r="AK43" s="547">
        <f t="shared" si="17"/>
        <v>1194750</v>
      </c>
      <c r="AL43" s="547">
        <f t="shared" si="17"/>
        <v>9649750</v>
      </c>
      <c r="AM43" s="547">
        <f t="shared" si="17"/>
        <v>6700120</v>
      </c>
      <c r="AN43" s="547">
        <f t="shared" si="17"/>
        <v>1758814.4</v>
      </c>
      <c r="AO43" s="547">
        <f t="shared" si="17"/>
        <v>8458934.4000000004</v>
      </c>
      <c r="AP43" s="547">
        <f t="shared" si="17"/>
        <v>15833950</v>
      </c>
      <c r="AQ43" s="547">
        <f t="shared" si="17"/>
        <v>2543400</v>
      </c>
      <c r="AR43" s="547">
        <f t="shared" si="17"/>
        <v>18377350</v>
      </c>
      <c r="AS43" s="547">
        <f t="shared" si="17"/>
        <v>10680872</v>
      </c>
      <c r="AT43" s="547">
        <f t="shared" si="17"/>
        <v>2269045.4400000004</v>
      </c>
      <c r="AU43" s="547">
        <f t="shared" si="17"/>
        <v>12949917.439999999</v>
      </c>
      <c r="AV43" s="547">
        <v>24782852</v>
      </c>
      <c r="AW43" s="547">
        <v>6534540</v>
      </c>
      <c r="AX43" s="547">
        <v>31317392</v>
      </c>
      <c r="AY43" s="547">
        <v>20652422</v>
      </c>
      <c r="AZ43" s="550"/>
      <c r="BA43" s="550"/>
      <c r="BB43" s="420">
        <f t="shared" si="7"/>
        <v>35463724</v>
      </c>
      <c r="BC43" s="420">
        <f t="shared" si="7"/>
        <v>8803585.4400000013</v>
      </c>
      <c r="BD43" s="420">
        <f t="shared" si="7"/>
        <v>44267309.439999998</v>
      </c>
      <c r="BE43" s="420">
        <f t="shared" si="8"/>
        <v>95537920</v>
      </c>
      <c r="BF43" s="420">
        <f t="shared" si="8"/>
        <v>16017749.840000002</v>
      </c>
      <c r="BG43" s="420">
        <f t="shared" si="8"/>
        <v>90903247.840000004</v>
      </c>
      <c r="BH43">
        <v>995400</v>
      </c>
      <c r="BK43">
        <v>71240327</v>
      </c>
      <c r="BL43" t="s">
        <v>76</v>
      </c>
      <c r="BN43" t="s">
        <v>1175</v>
      </c>
      <c r="CN43" t="s">
        <v>1176</v>
      </c>
      <c r="CR43">
        <v>29363714</v>
      </c>
      <c r="CS43">
        <v>3154501.45</v>
      </c>
      <c r="CT43">
        <v>32518215.449999999</v>
      </c>
    </row>
    <row r="44" spans="1:98">
      <c r="A44" s="1272" t="s">
        <v>77</v>
      </c>
      <c r="B44" s="1273"/>
      <c r="C44" s="1285" t="s">
        <v>1177</v>
      </c>
      <c r="D44" s="1286"/>
      <c r="E44" s="1286"/>
      <c r="F44" s="1286"/>
      <c r="G44" s="1286"/>
      <c r="H44" s="1286"/>
      <c r="I44" s="1286"/>
      <c r="J44" s="1286"/>
      <c r="K44" s="1286"/>
      <c r="L44" s="1286"/>
      <c r="M44" s="1286"/>
      <c r="N44" s="1286"/>
      <c r="O44" s="1286"/>
      <c r="P44" s="1286"/>
      <c r="Q44" s="1286"/>
      <c r="R44" s="1286"/>
      <c r="S44" s="1286"/>
      <c r="T44" s="1286"/>
      <c r="U44" s="1286"/>
      <c r="V44" s="1286"/>
      <c r="W44" s="1286"/>
      <c r="X44" s="1286"/>
      <c r="Y44" s="1286"/>
      <c r="Z44" s="1286"/>
      <c r="AA44" s="1286"/>
      <c r="AB44" s="1286"/>
      <c r="AC44" s="1281" t="s">
        <v>1178</v>
      </c>
      <c r="AD44" s="1281"/>
      <c r="AE44" s="1281"/>
      <c r="AF44" s="1281"/>
      <c r="AG44" s="543">
        <v>40000</v>
      </c>
      <c r="AH44" s="543">
        <v>0</v>
      </c>
      <c r="AI44" s="545">
        <f>AG44+AH44</f>
        <v>40000</v>
      </c>
      <c r="AJ44" s="543">
        <v>100000</v>
      </c>
      <c r="AK44" s="543">
        <v>0</v>
      </c>
      <c r="AL44" s="545">
        <f>AJ44+AK44</f>
        <v>100000</v>
      </c>
      <c r="AM44" s="543">
        <v>600000</v>
      </c>
      <c r="AN44" s="543">
        <v>0</v>
      </c>
      <c r="AO44" s="545">
        <f>AM44+AN44</f>
        <v>600000</v>
      </c>
      <c r="AP44" s="543">
        <v>313000</v>
      </c>
      <c r="AQ44" s="543">
        <v>0</v>
      </c>
      <c r="AR44" s="545">
        <f>AP44+AQ44</f>
        <v>313000</v>
      </c>
      <c r="AS44" s="543">
        <v>20000</v>
      </c>
      <c r="AT44" s="543">
        <v>0</v>
      </c>
      <c r="AU44" s="545">
        <f>AS44+AT44</f>
        <v>20000</v>
      </c>
      <c r="AV44" s="543">
        <v>50000</v>
      </c>
      <c r="AW44" s="543">
        <v>0</v>
      </c>
      <c r="AX44" s="545">
        <v>50000</v>
      </c>
      <c r="AY44" s="543">
        <v>260000</v>
      </c>
      <c r="AZ44" s="546"/>
      <c r="BA44" s="546"/>
      <c r="BB44" s="420">
        <f t="shared" si="7"/>
        <v>70000</v>
      </c>
      <c r="BC44" s="420">
        <f t="shared" si="7"/>
        <v>0</v>
      </c>
      <c r="BD44" s="420">
        <f t="shared" si="7"/>
        <v>70000</v>
      </c>
      <c r="BE44" s="420">
        <f t="shared" si="8"/>
        <v>1383000</v>
      </c>
      <c r="BF44" s="420">
        <f t="shared" si="8"/>
        <v>0</v>
      </c>
      <c r="BG44" s="420">
        <f t="shared" si="8"/>
        <v>1123000</v>
      </c>
      <c r="BH44">
        <v>240000</v>
      </c>
      <c r="BK44">
        <v>300000</v>
      </c>
      <c r="BL44" t="s">
        <v>77</v>
      </c>
      <c r="BN44" t="s">
        <v>1177</v>
      </c>
      <c r="CN44" t="s">
        <v>1178</v>
      </c>
      <c r="CR44">
        <v>600000</v>
      </c>
      <c r="CS44">
        <v>0</v>
      </c>
      <c r="CT44">
        <v>600000</v>
      </c>
    </row>
    <row r="45" spans="1:98">
      <c r="A45" s="1272" t="s">
        <v>747</v>
      </c>
      <c r="B45" s="1273"/>
      <c r="C45" s="1285" t="s">
        <v>1179</v>
      </c>
      <c r="D45" s="1286"/>
      <c r="E45" s="1286"/>
      <c r="F45" s="1286"/>
      <c r="G45" s="1286"/>
      <c r="H45" s="1286"/>
      <c r="I45" s="1286"/>
      <c r="J45" s="1286"/>
      <c r="K45" s="1286"/>
      <c r="L45" s="1286"/>
      <c r="M45" s="1286"/>
      <c r="N45" s="1286"/>
      <c r="O45" s="1286"/>
      <c r="P45" s="1286"/>
      <c r="Q45" s="1286"/>
      <c r="R45" s="1286"/>
      <c r="S45" s="1286"/>
      <c r="T45" s="1286"/>
      <c r="U45" s="1286"/>
      <c r="V45" s="1286"/>
      <c r="W45" s="1286"/>
      <c r="X45" s="1286"/>
      <c r="Y45" s="1286"/>
      <c r="Z45" s="1286"/>
      <c r="AA45" s="1286"/>
      <c r="AB45" s="1286"/>
      <c r="AC45" s="1281" t="s">
        <v>1180</v>
      </c>
      <c r="AD45" s="1281"/>
      <c r="AE45" s="1281"/>
      <c r="AF45" s="1281"/>
      <c r="AG45" s="543">
        <v>0</v>
      </c>
      <c r="AH45" s="543">
        <f>AG45*0.27</f>
        <v>0</v>
      </c>
      <c r="AI45" s="545">
        <f>AG45+AH45</f>
        <v>0</v>
      </c>
      <c r="AJ45" s="543">
        <v>80000</v>
      </c>
      <c r="AK45" s="543">
        <f>AJ45*0.27</f>
        <v>21600</v>
      </c>
      <c r="AL45" s="545">
        <f>AJ45+AK45</f>
        <v>101600</v>
      </c>
      <c r="AM45" s="543">
        <v>827560</v>
      </c>
      <c r="AN45" s="543">
        <f>AM45*0.27-1</f>
        <v>223440.2</v>
      </c>
      <c r="AO45" s="545">
        <f>AM45+AN45</f>
        <v>1051000.2</v>
      </c>
      <c r="AP45" s="543">
        <v>30000</v>
      </c>
      <c r="AQ45" s="543">
        <v>0</v>
      </c>
      <c r="AR45" s="545">
        <f>AP45+AQ45</f>
        <v>30000</v>
      </c>
      <c r="AS45" s="543">
        <v>0</v>
      </c>
      <c r="AT45" s="543">
        <v>0</v>
      </c>
      <c r="AU45" s="545">
        <f>AS45+AT45</f>
        <v>0</v>
      </c>
      <c r="AV45" s="543">
        <v>0</v>
      </c>
      <c r="AW45" s="543">
        <v>0</v>
      </c>
      <c r="AX45" s="545">
        <v>0</v>
      </c>
      <c r="AY45" s="543"/>
      <c r="AZ45" s="546"/>
      <c r="BA45" s="546"/>
      <c r="BB45" s="420">
        <f t="shared" si="7"/>
        <v>0</v>
      </c>
      <c r="BC45" s="420">
        <f t="shared" si="7"/>
        <v>0</v>
      </c>
      <c r="BD45" s="420">
        <f t="shared" si="7"/>
        <v>0</v>
      </c>
      <c r="BE45" s="420">
        <f t="shared" si="8"/>
        <v>937560</v>
      </c>
      <c r="BF45" s="420">
        <f t="shared" si="8"/>
        <v>245040.2</v>
      </c>
      <c r="BG45" s="420">
        <f t="shared" si="8"/>
        <v>1182600.2</v>
      </c>
      <c r="BH45">
        <v>0</v>
      </c>
      <c r="BK45">
        <v>0</v>
      </c>
      <c r="BL45" t="s">
        <v>747</v>
      </c>
      <c r="BN45" t="s">
        <v>1179</v>
      </c>
      <c r="CN45" t="s">
        <v>1180</v>
      </c>
      <c r="CR45">
        <v>958375</v>
      </c>
      <c r="CS45">
        <v>258761.25000000003</v>
      </c>
      <c r="CT45">
        <v>1217136.25</v>
      </c>
    </row>
    <row r="46" spans="1:98">
      <c r="A46" s="1289" t="s">
        <v>749</v>
      </c>
      <c r="B46" s="1290"/>
      <c r="C46" s="1294" t="s">
        <v>1181</v>
      </c>
      <c r="D46" s="1295"/>
      <c r="E46" s="1295"/>
      <c r="F46" s="1295"/>
      <c r="G46" s="1295"/>
      <c r="H46" s="1295"/>
      <c r="I46" s="1295"/>
      <c r="J46" s="1295"/>
      <c r="K46" s="1295"/>
      <c r="L46" s="1295"/>
      <c r="M46" s="1295"/>
      <c r="N46" s="1295"/>
      <c r="O46" s="1295"/>
      <c r="P46" s="1295"/>
      <c r="Q46" s="1295"/>
      <c r="R46" s="1295"/>
      <c r="S46" s="1295"/>
      <c r="T46" s="1295"/>
      <c r="U46" s="1295"/>
      <c r="V46" s="1295"/>
      <c r="W46" s="1295"/>
      <c r="X46" s="1295"/>
      <c r="Y46" s="1295"/>
      <c r="Z46" s="1295"/>
      <c r="AA46" s="1295"/>
      <c r="AB46" s="1295"/>
      <c r="AC46" s="1293" t="s">
        <v>1182</v>
      </c>
      <c r="AD46" s="1293"/>
      <c r="AE46" s="1293"/>
      <c r="AF46" s="1293"/>
      <c r="AG46" s="547">
        <f>SUM(AG44:AG45)</f>
        <v>40000</v>
      </c>
      <c r="AH46" s="547">
        <f>SUM(AH44:AH45)</f>
        <v>0</v>
      </c>
      <c r="AI46" s="545">
        <f>AG46+AH46</f>
        <v>40000</v>
      </c>
      <c r="AJ46" s="547">
        <f>SUM(AJ44:AJ45)</f>
        <v>180000</v>
      </c>
      <c r="AK46" s="547">
        <f>SUM(AK44:AK45)</f>
        <v>21600</v>
      </c>
      <c r="AL46" s="545">
        <f>AJ46+AK46</f>
        <v>201600</v>
      </c>
      <c r="AM46" s="547">
        <f>SUM(AM44:AM45)</f>
        <v>1427560</v>
      </c>
      <c r="AN46" s="547">
        <f>SUM(AN44:AN45)</f>
        <v>223440.2</v>
      </c>
      <c r="AO46" s="545">
        <f>AM46+AN46</f>
        <v>1651000.2</v>
      </c>
      <c r="AP46" s="547">
        <f>SUM(AP44:AP45)</f>
        <v>343000</v>
      </c>
      <c r="AQ46" s="547">
        <v>0</v>
      </c>
      <c r="AR46" s="545">
        <f>AP46+AQ46</f>
        <v>343000</v>
      </c>
      <c r="AS46" s="547">
        <f>SUM(AS44:AS45)</f>
        <v>20000</v>
      </c>
      <c r="AT46" s="547">
        <v>0</v>
      </c>
      <c r="AU46" s="545">
        <f>AS46+AT46</f>
        <v>20000</v>
      </c>
      <c r="AV46" s="547">
        <v>50000</v>
      </c>
      <c r="AW46" s="547">
        <v>0</v>
      </c>
      <c r="AX46" s="545">
        <v>50000</v>
      </c>
      <c r="AY46" s="547">
        <v>260000</v>
      </c>
      <c r="AZ46" s="546"/>
      <c r="BA46" s="546"/>
      <c r="BB46" s="420">
        <f t="shared" si="7"/>
        <v>70000</v>
      </c>
      <c r="BC46" s="420">
        <f t="shared" si="7"/>
        <v>0</v>
      </c>
      <c r="BD46" s="420">
        <f t="shared" si="7"/>
        <v>70000</v>
      </c>
      <c r="BE46" s="420">
        <f t="shared" si="8"/>
        <v>2320560</v>
      </c>
      <c r="BF46" s="420">
        <f t="shared" si="8"/>
        <v>245040.2</v>
      </c>
      <c r="BG46" s="420">
        <f t="shared" si="8"/>
        <v>2305600.2000000002</v>
      </c>
      <c r="BH46">
        <v>240000</v>
      </c>
      <c r="BK46">
        <v>300000</v>
      </c>
      <c r="BL46" t="s">
        <v>749</v>
      </c>
      <c r="BN46" t="s">
        <v>1181</v>
      </c>
      <c r="CN46" t="s">
        <v>1182</v>
      </c>
      <c r="CR46">
        <v>1558375</v>
      </c>
      <c r="CS46">
        <v>258761.25000000003</v>
      </c>
      <c r="CT46">
        <v>1817136.25</v>
      </c>
    </row>
    <row r="47" spans="1:98">
      <c r="A47" s="1299" t="s">
        <v>752</v>
      </c>
      <c r="B47" s="1300"/>
      <c r="C47" s="1301" t="s">
        <v>1183</v>
      </c>
      <c r="D47" s="1302"/>
      <c r="E47" s="1302"/>
      <c r="F47" s="1302"/>
      <c r="G47" s="1302"/>
      <c r="H47" s="1302"/>
      <c r="I47" s="1302"/>
      <c r="J47" s="1302"/>
      <c r="K47" s="1302"/>
      <c r="L47" s="1302"/>
      <c r="M47" s="1302"/>
      <c r="N47" s="1302"/>
      <c r="O47" s="1302"/>
      <c r="P47" s="1302"/>
      <c r="Q47" s="1302"/>
      <c r="R47" s="1302"/>
      <c r="S47" s="1302"/>
      <c r="T47" s="1302"/>
      <c r="U47" s="1302"/>
      <c r="V47" s="1302"/>
      <c r="W47" s="1302"/>
      <c r="X47" s="1302"/>
      <c r="Y47" s="1302"/>
      <c r="Z47" s="1302"/>
      <c r="AA47" s="1302"/>
      <c r="AB47" s="1302"/>
      <c r="AC47" s="1281" t="s">
        <v>1184</v>
      </c>
      <c r="AD47" s="1281"/>
      <c r="AE47" s="1281"/>
      <c r="AF47" s="1281"/>
      <c r="AG47" s="554">
        <v>3475618</v>
      </c>
      <c r="AH47" s="554">
        <f>AH32+AH35+AH43+AH46</f>
        <v>3470218.1667160001</v>
      </c>
      <c r="AI47" s="555"/>
      <c r="AJ47" s="554">
        <v>1956060</v>
      </c>
      <c r="AK47" s="554">
        <f>AK32+AK35+AK43+AK46</f>
        <v>1842660</v>
      </c>
      <c r="AL47" s="555"/>
      <c r="AM47" s="554">
        <v>2566805</v>
      </c>
      <c r="AN47" s="554">
        <f>AN32+AN35+AN43+AN46</f>
        <v>2512804.6</v>
      </c>
      <c r="AO47" s="555"/>
      <c r="AP47" s="554">
        <v>3979800</v>
      </c>
      <c r="AQ47" s="554">
        <f>AQ32+AQ35+AQ43</f>
        <v>3966300</v>
      </c>
      <c r="AR47" s="555"/>
      <c r="AS47" s="554">
        <v>26107628</v>
      </c>
      <c r="AT47" s="554">
        <f>AT32+AT35+AT43</f>
        <v>26048228.02685352</v>
      </c>
      <c r="AU47" s="555"/>
      <c r="AV47" s="554">
        <v>7452864</v>
      </c>
      <c r="AW47" s="554">
        <v>7427916</v>
      </c>
      <c r="AX47" s="555"/>
      <c r="AY47" s="554">
        <v>5548155.8300000001</v>
      </c>
      <c r="AZ47" s="556"/>
      <c r="BA47" s="556"/>
      <c r="BB47" s="420">
        <f t="shared" si="7"/>
        <v>33560492</v>
      </c>
      <c r="BC47" s="420">
        <f t="shared" si="7"/>
        <v>33476144.02685352</v>
      </c>
      <c r="BD47" s="420">
        <f t="shared" si="7"/>
        <v>0</v>
      </c>
      <c r="BE47" s="420">
        <f t="shared" si="8"/>
        <v>51086930.829999998</v>
      </c>
      <c r="BF47" s="420">
        <f t="shared" si="8"/>
        <v>45268126.79356952</v>
      </c>
      <c r="BG47" s="420">
        <f t="shared" si="8"/>
        <v>0</v>
      </c>
      <c r="BH47">
        <v>248882</v>
      </c>
      <c r="BK47">
        <v>8377229</v>
      </c>
      <c r="BL47" t="s">
        <v>752</v>
      </c>
      <c r="BN47" t="s">
        <v>1183</v>
      </c>
      <c r="CN47" t="s">
        <v>1184</v>
      </c>
      <c r="CR47">
        <v>4110459</v>
      </c>
      <c r="CS47">
        <v>4000577.5</v>
      </c>
    </row>
    <row r="48" spans="1:98">
      <c r="A48" s="1272" t="s">
        <v>755</v>
      </c>
      <c r="B48" s="1273"/>
      <c r="C48" s="1285" t="s">
        <v>1185</v>
      </c>
      <c r="D48" s="1286"/>
      <c r="E48" s="1286"/>
      <c r="F48" s="1286"/>
      <c r="G48" s="1286"/>
      <c r="H48" s="1286"/>
      <c r="I48" s="1286"/>
      <c r="J48" s="1286"/>
      <c r="K48" s="1286"/>
      <c r="L48" s="1286"/>
      <c r="M48" s="1286"/>
      <c r="N48" s="1286"/>
      <c r="O48" s="1286"/>
      <c r="P48" s="1286"/>
      <c r="Q48" s="1286"/>
      <c r="R48" s="1286"/>
      <c r="S48" s="1286"/>
      <c r="T48" s="1286"/>
      <c r="U48" s="1286"/>
      <c r="V48" s="1286"/>
      <c r="W48" s="1286"/>
      <c r="X48" s="1286"/>
      <c r="Y48" s="1286"/>
      <c r="Z48" s="1286"/>
      <c r="AA48" s="1286"/>
      <c r="AB48" s="1286"/>
      <c r="AC48" s="1281" t="s">
        <v>1186</v>
      </c>
      <c r="AD48" s="1281"/>
      <c r="AE48" s="1281"/>
      <c r="AF48" s="1281"/>
      <c r="AG48" s="543">
        <v>0</v>
      </c>
      <c r="AH48" s="543">
        <v>0</v>
      </c>
      <c r="AI48" s="545">
        <f>AG48+AH48</f>
        <v>0</v>
      </c>
      <c r="AJ48" s="543">
        <v>0</v>
      </c>
      <c r="AK48" s="543">
        <v>0</v>
      </c>
      <c r="AL48" s="545">
        <f>AJ48+AK48</f>
        <v>0</v>
      </c>
      <c r="AM48" s="543">
        <v>0</v>
      </c>
      <c r="AN48" s="543">
        <v>0</v>
      </c>
      <c r="AO48" s="545">
        <f>AM48+AN48</f>
        <v>0</v>
      </c>
      <c r="AP48" s="543">
        <v>0</v>
      </c>
      <c r="AQ48" s="543">
        <v>0</v>
      </c>
      <c r="AR48" s="545">
        <f>AP48+AQ48</f>
        <v>0</v>
      </c>
      <c r="AS48" s="543">
        <v>3500000</v>
      </c>
      <c r="AT48" s="543">
        <v>0</v>
      </c>
      <c r="AU48" s="545">
        <f>AS48+AT48</f>
        <v>3500000</v>
      </c>
      <c r="AV48" s="543">
        <v>200000</v>
      </c>
      <c r="AW48" s="543">
        <v>0</v>
      </c>
      <c r="AX48" s="545">
        <v>200000</v>
      </c>
      <c r="AY48" s="543">
        <v>500000</v>
      </c>
      <c r="AZ48" s="546"/>
      <c r="BA48" s="546"/>
      <c r="BB48" s="420">
        <f t="shared" si="7"/>
        <v>3700000</v>
      </c>
      <c r="BC48" s="420">
        <f t="shared" si="7"/>
        <v>0</v>
      </c>
      <c r="BD48" s="420">
        <f t="shared" si="7"/>
        <v>3700000</v>
      </c>
      <c r="BE48" s="420">
        <f t="shared" si="8"/>
        <v>4200000</v>
      </c>
      <c r="BF48" s="420">
        <f t="shared" si="8"/>
        <v>0</v>
      </c>
      <c r="BG48" s="420">
        <f t="shared" si="8"/>
        <v>3700000</v>
      </c>
      <c r="BH48">
        <v>0</v>
      </c>
      <c r="BK48">
        <v>0</v>
      </c>
      <c r="BL48" t="s">
        <v>755</v>
      </c>
      <c r="BN48" t="s">
        <v>1185</v>
      </c>
      <c r="CN48" t="s">
        <v>1186</v>
      </c>
      <c r="CR48">
        <v>0</v>
      </c>
      <c r="CS48">
        <v>0</v>
      </c>
      <c r="CT48">
        <v>0</v>
      </c>
    </row>
    <row r="49" spans="1:98">
      <c r="A49" s="1272" t="s">
        <v>78</v>
      </c>
      <c r="B49" s="1273"/>
      <c r="C49" s="1285" t="s">
        <v>1187</v>
      </c>
      <c r="D49" s="1286"/>
      <c r="E49" s="1286"/>
      <c r="F49" s="1286"/>
      <c r="G49" s="1286"/>
      <c r="H49" s="1286"/>
      <c r="I49" s="1286"/>
      <c r="J49" s="1286"/>
      <c r="K49" s="1286"/>
      <c r="L49" s="1286"/>
      <c r="M49" s="1286"/>
      <c r="N49" s="1286"/>
      <c r="O49" s="1286"/>
      <c r="P49" s="1286"/>
      <c r="Q49" s="1286"/>
      <c r="R49" s="1286"/>
      <c r="S49" s="1286"/>
      <c r="T49" s="1286"/>
      <c r="U49" s="1286"/>
      <c r="V49" s="1286"/>
      <c r="W49" s="1286"/>
      <c r="X49" s="1286"/>
      <c r="Y49" s="1286"/>
      <c r="Z49" s="1286"/>
      <c r="AA49" s="1286"/>
      <c r="AB49" s="1286"/>
      <c r="AC49" s="1281" t="s">
        <v>1188</v>
      </c>
      <c r="AD49" s="1281"/>
      <c r="AE49" s="1281"/>
      <c r="AF49" s="1281"/>
      <c r="AG49" s="543">
        <v>0</v>
      </c>
      <c r="AH49" s="543">
        <v>0</v>
      </c>
      <c r="AI49" s="545">
        <f>AG49+AH49</f>
        <v>0</v>
      </c>
      <c r="AJ49" s="543">
        <v>35000</v>
      </c>
      <c r="AK49" s="543">
        <v>0</v>
      </c>
      <c r="AL49" s="545">
        <f>AJ49+AK49</f>
        <v>35000</v>
      </c>
      <c r="AM49" s="543">
        <v>20000</v>
      </c>
      <c r="AN49" s="543">
        <v>0</v>
      </c>
      <c r="AO49" s="545">
        <f>AM49+AN49</f>
        <v>20000</v>
      </c>
      <c r="AP49" s="543">
        <v>0</v>
      </c>
      <c r="AQ49" s="543">
        <v>0</v>
      </c>
      <c r="AR49" s="545">
        <f>AP49+AQ49</f>
        <v>0</v>
      </c>
      <c r="AS49" s="543">
        <v>10000</v>
      </c>
      <c r="AT49" s="543">
        <v>0</v>
      </c>
      <c r="AU49" s="545">
        <f>AS49+AT49</f>
        <v>10000</v>
      </c>
      <c r="AV49" s="543">
        <v>8000</v>
      </c>
      <c r="AW49" s="543">
        <v>0</v>
      </c>
      <c r="AX49" s="545">
        <v>8000</v>
      </c>
      <c r="AY49" s="543"/>
      <c r="AZ49" s="546"/>
      <c r="BA49" s="546"/>
      <c r="BB49" s="420">
        <f t="shared" si="7"/>
        <v>18000</v>
      </c>
      <c r="BC49" s="420">
        <f t="shared" si="7"/>
        <v>0</v>
      </c>
      <c r="BD49" s="420">
        <f t="shared" si="7"/>
        <v>18000</v>
      </c>
      <c r="BE49" s="420">
        <f t="shared" si="8"/>
        <v>73000</v>
      </c>
      <c r="BF49" s="420">
        <f t="shared" si="8"/>
        <v>0</v>
      </c>
      <c r="BG49" s="420">
        <f t="shared" si="8"/>
        <v>73000</v>
      </c>
      <c r="BH49">
        <v>0</v>
      </c>
      <c r="BK49">
        <v>0</v>
      </c>
      <c r="BL49" t="s">
        <v>78</v>
      </c>
      <c r="BN49" t="s">
        <v>1187</v>
      </c>
      <c r="CN49" t="s">
        <v>1188</v>
      </c>
      <c r="CR49">
        <v>0</v>
      </c>
      <c r="CS49">
        <v>0</v>
      </c>
      <c r="CT49">
        <v>0</v>
      </c>
    </row>
    <row r="50" spans="1:98">
      <c r="A50" s="1272" t="s">
        <v>760</v>
      </c>
      <c r="B50" s="1273"/>
      <c r="C50" s="1285" t="s">
        <v>1189</v>
      </c>
      <c r="D50" s="1286"/>
      <c r="E50" s="1286"/>
      <c r="F50" s="1286"/>
      <c r="G50" s="1286"/>
      <c r="H50" s="1286"/>
      <c r="I50" s="1286"/>
      <c r="J50" s="1286"/>
      <c r="K50" s="1286"/>
      <c r="L50" s="1286"/>
      <c r="M50" s="1286"/>
      <c r="N50" s="1286"/>
      <c r="O50" s="1286"/>
      <c r="P50" s="1286"/>
      <c r="Q50" s="1286"/>
      <c r="R50" s="1286"/>
      <c r="S50" s="1286"/>
      <c r="T50" s="1286"/>
      <c r="U50" s="1286"/>
      <c r="V50" s="1286"/>
      <c r="W50" s="1286"/>
      <c r="X50" s="1286"/>
      <c r="Y50" s="1286"/>
      <c r="Z50" s="1286"/>
      <c r="AA50" s="1286"/>
      <c r="AB50" s="1286"/>
      <c r="AC50" s="1281" t="s">
        <v>1190</v>
      </c>
      <c r="AD50" s="1281"/>
      <c r="AE50" s="1281"/>
      <c r="AF50" s="1281"/>
      <c r="AG50" s="543">
        <v>0</v>
      </c>
      <c r="AH50" s="543">
        <v>0</v>
      </c>
      <c r="AI50" s="545">
        <f>AG50+AH50</f>
        <v>0</v>
      </c>
      <c r="AJ50" s="543">
        <v>0</v>
      </c>
      <c r="AK50" s="543">
        <v>0</v>
      </c>
      <c r="AL50" s="545">
        <f>AJ50+AK50</f>
        <v>0</v>
      </c>
      <c r="AM50" s="543">
        <v>0</v>
      </c>
      <c r="AN50" s="543">
        <v>0</v>
      </c>
      <c r="AO50" s="545">
        <f>AM50+AN50</f>
        <v>0</v>
      </c>
      <c r="AP50" s="543">
        <v>0</v>
      </c>
      <c r="AQ50" s="543">
        <v>0</v>
      </c>
      <c r="AR50" s="545">
        <f>AP50+AQ50</f>
        <v>0</v>
      </c>
      <c r="AS50" s="543">
        <v>0</v>
      </c>
      <c r="AT50" s="543">
        <v>0</v>
      </c>
      <c r="AU50" s="545">
        <f>AS50+AT50</f>
        <v>0</v>
      </c>
      <c r="AV50" s="543">
        <v>0</v>
      </c>
      <c r="AW50" s="543">
        <v>0</v>
      </c>
      <c r="AX50" s="545">
        <v>0</v>
      </c>
      <c r="AY50" s="543"/>
      <c r="AZ50" s="546"/>
      <c r="BA50" s="546"/>
      <c r="BB50" s="420">
        <f t="shared" si="7"/>
        <v>0</v>
      </c>
      <c r="BC50" s="420">
        <f t="shared" si="7"/>
        <v>0</v>
      </c>
      <c r="BD50" s="420">
        <f t="shared" si="7"/>
        <v>0</v>
      </c>
      <c r="BE50" s="420">
        <f t="shared" si="8"/>
        <v>0</v>
      </c>
      <c r="BF50" s="420">
        <f t="shared" si="8"/>
        <v>0</v>
      </c>
      <c r="BG50" s="420">
        <f t="shared" si="8"/>
        <v>0</v>
      </c>
      <c r="BH50">
        <v>0</v>
      </c>
      <c r="BK50">
        <v>0</v>
      </c>
      <c r="BL50" t="s">
        <v>760</v>
      </c>
      <c r="BN50" t="s">
        <v>1189</v>
      </c>
      <c r="CN50" t="s">
        <v>1190</v>
      </c>
      <c r="CR50">
        <v>0</v>
      </c>
      <c r="CS50">
        <v>0</v>
      </c>
      <c r="CT50">
        <v>0</v>
      </c>
    </row>
    <row r="51" spans="1:98">
      <c r="A51" s="1272" t="s">
        <v>79</v>
      </c>
      <c r="B51" s="1273"/>
      <c r="C51" s="1285" t="s">
        <v>1191</v>
      </c>
      <c r="D51" s="1286"/>
      <c r="E51" s="1286"/>
      <c r="F51" s="1286"/>
      <c r="G51" s="1286"/>
      <c r="H51" s="1286"/>
      <c r="I51" s="1286"/>
      <c r="J51" s="1286"/>
      <c r="K51" s="1286"/>
      <c r="L51" s="1286"/>
      <c r="M51" s="1286"/>
      <c r="N51" s="1286"/>
      <c r="O51" s="1286"/>
      <c r="P51" s="1286"/>
      <c r="Q51" s="1286"/>
      <c r="R51" s="1286"/>
      <c r="S51" s="1286"/>
      <c r="T51" s="1286"/>
      <c r="U51" s="1286"/>
      <c r="V51" s="1286"/>
      <c r="W51" s="1286"/>
      <c r="X51" s="1286"/>
      <c r="Y51" s="1286"/>
      <c r="Z51" s="1286"/>
      <c r="AA51" s="1286"/>
      <c r="AB51" s="1286"/>
      <c r="AC51" s="1281" t="s">
        <v>1192</v>
      </c>
      <c r="AD51" s="1281"/>
      <c r="AE51" s="1281"/>
      <c r="AF51" s="1281"/>
      <c r="AG51" s="543">
        <v>180000</v>
      </c>
      <c r="AH51" s="543">
        <f>20000*0.27</f>
        <v>5400</v>
      </c>
      <c r="AI51" s="545">
        <f>AG51+AH51</f>
        <v>185400</v>
      </c>
      <c r="AJ51" s="543">
        <v>620000</v>
      </c>
      <c r="AK51" s="543">
        <f>420000*0.27</f>
        <v>113400.00000000001</v>
      </c>
      <c r="AL51" s="545">
        <f>AJ51+AK51</f>
        <v>733400</v>
      </c>
      <c r="AM51" s="543">
        <v>620000</v>
      </c>
      <c r="AN51" s="543">
        <f>200000*0.27</f>
        <v>54000</v>
      </c>
      <c r="AO51" s="545">
        <f>AM51+AN51</f>
        <v>674000</v>
      </c>
      <c r="AP51" s="543">
        <v>250000</v>
      </c>
      <c r="AQ51" s="543">
        <f>50000*0.27</f>
        <v>13500</v>
      </c>
      <c r="AR51" s="545">
        <f>AP51+AQ51</f>
        <v>263500</v>
      </c>
      <c r="AS51" s="543">
        <v>220000</v>
      </c>
      <c r="AT51" s="543">
        <f>AS51*0.27</f>
        <v>59400.000000000007</v>
      </c>
      <c r="AU51" s="545">
        <f>AS51+AT51</f>
        <v>279400</v>
      </c>
      <c r="AV51" s="543">
        <v>342400</v>
      </c>
      <c r="AW51" s="543">
        <v>24948</v>
      </c>
      <c r="AX51" s="545">
        <v>367348</v>
      </c>
      <c r="AY51" s="543">
        <v>200000</v>
      </c>
      <c r="AZ51" s="546"/>
      <c r="BA51" s="546"/>
      <c r="BB51" s="420">
        <f t="shared" si="7"/>
        <v>562400</v>
      </c>
      <c r="BC51" s="420">
        <f t="shared" si="7"/>
        <v>84348</v>
      </c>
      <c r="BD51" s="420">
        <f t="shared" si="7"/>
        <v>646748</v>
      </c>
      <c r="BE51" s="420">
        <f t="shared" si="8"/>
        <v>2432400</v>
      </c>
      <c r="BF51" s="420">
        <f t="shared" si="8"/>
        <v>270648</v>
      </c>
      <c r="BG51" s="420">
        <f t="shared" si="8"/>
        <v>2503048</v>
      </c>
      <c r="BH51">
        <v>1000</v>
      </c>
      <c r="BK51">
        <v>0</v>
      </c>
      <c r="BL51" t="s">
        <v>79</v>
      </c>
      <c r="BN51" t="s">
        <v>1191</v>
      </c>
      <c r="CN51" t="s">
        <v>1192</v>
      </c>
      <c r="CR51">
        <v>1345970</v>
      </c>
      <c r="CS51">
        <v>109881.90000000001</v>
      </c>
      <c r="CT51">
        <v>1455851.9</v>
      </c>
    </row>
    <row r="52" spans="1:98">
      <c r="A52" s="1289" t="s">
        <v>765</v>
      </c>
      <c r="B52" s="1290"/>
      <c r="C52" s="1294" t="s">
        <v>1193</v>
      </c>
      <c r="D52" s="1295"/>
      <c r="E52" s="1295"/>
      <c r="F52" s="1295"/>
      <c r="G52" s="1295"/>
      <c r="H52" s="1295"/>
      <c r="I52" s="1295"/>
      <c r="J52" s="1295"/>
      <c r="K52" s="1295"/>
      <c r="L52" s="1295"/>
      <c r="M52" s="1295"/>
      <c r="N52" s="1295"/>
      <c r="O52" s="1295"/>
      <c r="P52" s="1295"/>
      <c r="Q52" s="1295"/>
      <c r="R52" s="1295"/>
      <c r="S52" s="1295"/>
      <c r="T52" s="1295"/>
      <c r="U52" s="1295"/>
      <c r="V52" s="1295"/>
      <c r="W52" s="1295"/>
      <c r="X52" s="1295"/>
      <c r="Y52" s="1295"/>
      <c r="Z52" s="1295"/>
      <c r="AA52" s="1295"/>
      <c r="AB52" s="1295"/>
      <c r="AC52" s="1293" t="s">
        <v>1194</v>
      </c>
      <c r="AD52" s="1293"/>
      <c r="AE52" s="1293"/>
      <c r="AF52" s="1293"/>
      <c r="AG52" s="547">
        <f t="shared" ref="AG52:AU52" si="18">SUM(AG47:AG51)</f>
        <v>3655618</v>
      </c>
      <c r="AH52" s="547">
        <f t="shared" si="18"/>
        <v>3475618.1667160001</v>
      </c>
      <c r="AI52" s="547">
        <f t="shared" si="18"/>
        <v>185400</v>
      </c>
      <c r="AJ52" s="547">
        <f t="shared" si="18"/>
        <v>2611060</v>
      </c>
      <c r="AK52" s="547">
        <f t="shared" si="18"/>
        <v>1956060</v>
      </c>
      <c r="AL52" s="547">
        <f t="shared" si="18"/>
        <v>768400</v>
      </c>
      <c r="AM52" s="547">
        <f t="shared" si="18"/>
        <v>3206805</v>
      </c>
      <c r="AN52" s="547">
        <f t="shared" si="18"/>
        <v>2566804.6</v>
      </c>
      <c r="AO52" s="547">
        <f t="shared" si="18"/>
        <v>694000</v>
      </c>
      <c r="AP52" s="547">
        <f t="shared" si="18"/>
        <v>4229800</v>
      </c>
      <c r="AQ52" s="547">
        <f t="shared" si="18"/>
        <v>3979800</v>
      </c>
      <c r="AR52" s="547">
        <f t="shared" si="18"/>
        <v>263500</v>
      </c>
      <c r="AS52" s="547">
        <f t="shared" si="18"/>
        <v>29837628</v>
      </c>
      <c r="AT52" s="547">
        <f t="shared" si="18"/>
        <v>26107628.02685352</v>
      </c>
      <c r="AU52" s="547">
        <f t="shared" si="18"/>
        <v>3789400</v>
      </c>
      <c r="AV52" s="547">
        <v>8003264</v>
      </c>
      <c r="AW52" s="547">
        <v>7452864</v>
      </c>
      <c r="AX52" s="547">
        <v>575348</v>
      </c>
      <c r="AY52" s="547">
        <v>6248155.8300000001</v>
      </c>
      <c r="AZ52" s="550"/>
      <c r="BA52" s="550"/>
      <c r="BB52" s="420">
        <f t="shared" si="7"/>
        <v>37840892</v>
      </c>
      <c r="BC52" s="420">
        <f t="shared" si="7"/>
        <v>33560492.026853517</v>
      </c>
      <c r="BD52" s="420">
        <f t="shared" si="7"/>
        <v>4364748</v>
      </c>
      <c r="BE52" s="420">
        <f t="shared" si="8"/>
        <v>57792330.829999998</v>
      </c>
      <c r="BF52" s="420">
        <f t="shared" si="8"/>
        <v>45538774.79356952</v>
      </c>
      <c r="BG52" s="420">
        <f t="shared" si="8"/>
        <v>6276048</v>
      </c>
      <c r="BH52">
        <v>249882</v>
      </c>
      <c r="BK52">
        <v>8377229</v>
      </c>
      <c r="BL52" t="s">
        <v>765</v>
      </c>
      <c r="BN52" t="s">
        <v>1193</v>
      </c>
      <c r="CN52" t="s">
        <v>1194</v>
      </c>
      <c r="CR52">
        <v>5456429</v>
      </c>
      <c r="CS52">
        <v>4110459.4</v>
      </c>
      <c r="CT52">
        <v>1455851.9</v>
      </c>
    </row>
    <row r="53" spans="1:98">
      <c r="A53" s="1289" t="s">
        <v>768</v>
      </c>
      <c r="B53" s="1290"/>
      <c r="C53" s="1294" t="s">
        <v>1195</v>
      </c>
      <c r="D53" s="1295"/>
      <c r="E53" s="1295"/>
      <c r="F53" s="1295"/>
      <c r="G53" s="1295"/>
      <c r="H53" s="1295"/>
      <c r="I53" s="1295"/>
      <c r="J53" s="1295"/>
      <c r="K53" s="1295"/>
      <c r="L53" s="1295"/>
      <c r="M53" s="1295"/>
      <c r="N53" s="1295"/>
      <c r="O53" s="1295"/>
      <c r="P53" s="1295"/>
      <c r="Q53" s="1295"/>
      <c r="R53" s="1295"/>
      <c r="S53" s="1295"/>
      <c r="T53" s="1295"/>
      <c r="U53" s="1295"/>
      <c r="V53" s="1295"/>
      <c r="W53" s="1295"/>
      <c r="X53" s="1295"/>
      <c r="Y53" s="1295"/>
      <c r="Z53" s="1295"/>
      <c r="AA53" s="1295"/>
      <c r="AB53" s="1295"/>
      <c r="AC53" s="1296" t="s">
        <v>1196</v>
      </c>
      <c r="AD53" s="1296"/>
      <c r="AE53" s="1296"/>
      <c r="AF53" s="1296"/>
      <c r="AG53" s="547">
        <f>AG32+AG35+AG43+AG46+AG52</f>
        <v>22298882</v>
      </c>
      <c r="AH53" s="547">
        <f>AH52</f>
        <v>3475618.1667160001</v>
      </c>
      <c r="AI53" s="547">
        <f>AI32+AI35+AI43+AI46+AI52</f>
        <v>22298882.166716002</v>
      </c>
      <c r="AJ53" s="547">
        <f>AJ32+AJ35+AJ43+AJ46+AJ52</f>
        <v>16010260</v>
      </c>
      <c r="AK53" s="547">
        <f>AK52</f>
        <v>1956060</v>
      </c>
      <c r="AL53" s="547">
        <f>AL32+AL35+AL43+AL46+AL52</f>
        <v>16010260</v>
      </c>
      <c r="AM53" s="547">
        <f>AM32+AM35+AM43+AM46+AM52</f>
        <v>13299485</v>
      </c>
      <c r="AN53" s="547">
        <f>AN52</f>
        <v>2566804.6</v>
      </c>
      <c r="AO53" s="547">
        <f>AO32+AO35+AO43+AO46+AO52</f>
        <v>13299484.6</v>
      </c>
      <c r="AP53" s="547">
        <f>AP32+AP35+AP43+AP46+AP52</f>
        <v>25676750</v>
      </c>
      <c r="AQ53" s="547">
        <f>AQ52</f>
        <v>3979800</v>
      </c>
      <c r="AR53" s="547">
        <f>AR32+AR35+AR43+AR46+AR52</f>
        <v>25676750</v>
      </c>
      <c r="AS53" s="547">
        <f>AS32+AS35+AS43+AS46+AS52</f>
        <v>163708969</v>
      </c>
      <c r="AT53" s="547">
        <f>AT52</f>
        <v>26107628.02685352</v>
      </c>
      <c r="AU53" s="547">
        <f>AU32+AU35+AU43+AU46+AU52</f>
        <v>163708969.0268535</v>
      </c>
      <c r="AV53" s="547">
        <v>36144916</v>
      </c>
      <c r="AW53" s="547">
        <v>7452864</v>
      </c>
      <c r="AX53" s="547">
        <v>36144916</v>
      </c>
      <c r="AY53" s="547">
        <v>36173777.829999998</v>
      </c>
      <c r="AZ53" s="550"/>
      <c r="BA53" s="550"/>
      <c r="BB53" s="420">
        <f t="shared" si="7"/>
        <v>199853885</v>
      </c>
      <c r="BC53" s="420">
        <f t="shared" si="7"/>
        <v>33560492.026853517</v>
      </c>
      <c r="BD53" s="420">
        <f t="shared" si="7"/>
        <v>199853885.0268535</v>
      </c>
      <c r="BE53" s="420">
        <f t="shared" si="8"/>
        <v>313313039.82999998</v>
      </c>
      <c r="BF53" s="420">
        <f t="shared" si="8"/>
        <v>45538774.79356952</v>
      </c>
      <c r="BG53" s="420">
        <f t="shared" si="8"/>
        <v>277139261.79356951</v>
      </c>
      <c r="BH53">
        <v>2084841</v>
      </c>
      <c r="BK53">
        <v>109461769</v>
      </c>
      <c r="BL53" t="s">
        <v>768</v>
      </c>
      <c r="BN53" t="s">
        <v>1195</v>
      </c>
      <c r="CN53" t="s">
        <v>1196</v>
      </c>
      <c r="CR53">
        <v>38553758</v>
      </c>
      <c r="CS53">
        <v>4110459.4</v>
      </c>
      <c r="CT53">
        <v>38553758.399999999</v>
      </c>
    </row>
    <row r="54" spans="1:98">
      <c r="A54" s="1272" t="s">
        <v>770</v>
      </c>
      <c r="B54" s="1273"/>
      <c r="C54" s="1305" t="s">
        <v>1197</v>
      </c>
      <c r="D54" s="1306"/>
      <c r="E54" s="1306"/>
      <c r="F54" s="1306"/>
      <c r="G54" s="1306"/>
      <c r="H54" s="1306"/>
      <c r="I54" s="1306"/>
      <c r="J54" s="1306"/>
      <c r="K54" s="1306"/>
      <c r="L54" s="1306"/>
      <c r="M54" s="1306"/>
      <c r="N54" s="1306"/>
      <c r="O54" s="1306"/>
      <c r="P54" s="1306"/>
      <c r="Q54" s="1306"/>
      <c r="R54" s="1306"/>
      <c r="S54" s="1306"/>
      <c r="T54" s="1306"/>
      <c r="U54" s="1306"/>
      <c r="V54" s="1306"/>
      <c r="W54" s="1306"/>
      <c r="X54" s="1306"/>
      <c r="Y54" s="1306"/>
      <c r="Z54" s="1306"/>
      <c r="AA54" s="1306"/>
      <c r="AB54" s="1306"/>
      <c r="AC54" s="1281" t="s">
        <v>1198</v>
      </c>
      <c r="AD54" s="1281"/>
      <c r="AE54" s="1281"/>
      <c r="AF54" s="1281"/>
      <c r="AG54" s="543">
        <v>0</v>
      </c>
      <c r="AH54" s="543">
        <v>0</v>
      </c>
      <c r="AI54" s="545">
        <v>0</v>
      </c>
      <c r="AJ54" s="543">
        <v>0</v>
      </c>
      <c r="AK54" s="543">
        <v>0</v>
      </c>
      <c r="AL54" s="545">
        <v>0</v>
      </c>
      <c r="AM54" s="543">
        <v>0</v>
      </c>
      <c r="AN54" s="543">
        <v>0</v>
      </c>
      <c r="AO54" s="545">
        <v>0</v>
      </c>
      <c r="AP54" s="543">
        <v>0</v>
      </c>
      <c r="AQ54" s="543">
        <v>0</v>
      </c>
      <c r="AR54" s="545">
        <v>0</v>
      </c>
      <c r="AS54" s="543">
        <v>0</v>
      </c>
      <c r="AT54" s="543">
        <v>0</v>
      </c>
      <c r="AU54" s="545">
        <v>0</v>
      </c>
      <c r="AV54" s="543">
        <v>0</v>
      </c>
      <c r="AW54" s="543">
        <v>0</v>
      </c>
      <c r="AX54" s="545">
        <v>0</v>
      </c>
      <c r="AY54" s="543"/>
      <c r="AZ54" s="546"/>
      <c r="BA54" s="546"/>
      <c r="BB54" s="420">
        <f t="shared" si="7"/>
        <v>0</v>
      </c>
      <c r="BC54" s="420">
        <f t="shared" si="7"/>
        <v>0</v>
      </c>
      <c r="BD54" s="420">
        <f t="shared" si="7"/>
        <v>0</v>
      </c>
      <c r="BE54" s="420">
        <f t="shared" si="8"/>
        <v>0</v>
      </c>
      <c r="BF54" s="420">
        <f t="shared" si="8"/>
        <v>0</v>
      </c>
      <c r="BG54" s="420">
        <f t="shared" si="8"/>
        <v>0</v>
      </c>
      <c r="BH54">
        <v>0</v>
      </c>
      <c r="BK54">
        <v>0</v>
      </c>
      <c r="BL54" t="s">
        <v>770</v>
      </c>
      <c r="BN54" t="s">
        <v>1197</v>
      </c>
      <c r="CN54" t="s">
        <v>1198</v>
      </c>
      <c r="CR54">
        <v>0</v>
      </c>
      <c r="CS54">
        <v>0</v>
      </c>
      <c r="CT54">
        <v>0</v>
      </c>
    </row>
    <row r="55" spans="1:98">
      <c r="A55" s="1272" t="s">
        <v>82</v>
      </c>
      <c r="B55" s="1273"/>
      <c r="C55" s="1305" t="s">
        <v>1199</v>
      </c>
      <c r="D55" s="1306"/>
      <c r="E55" s="1306"/>
      <c r="F55" s="1306"/>
      <c r="G55" s="1306"/>
      <c r="H55" s="1306"/>
      <c r="I55" s="1306"/>
      <c r="J55" s="1306"/>
      <c r="K55" s="1306"/>
      <c r="L55" s="1306"/>
      <c r="M55" s="1306"/>
      <c r="N55" s="1306"/>
      <c r="O55" s="1306"/>
      <c r="P55" s="1306"/>
      <c r="Q55" s="1306"/>
      <c r="R55" s="1306"/>
      <c r="S55" s="1306"/>
      <c r="T55" s="1306"/>
      <c r="U55" s="1306"/>
      <c r="V55" s="1306"/>
      <c r="W55" s="1306"/>
      <c r="X55" s="1306"/>
      <c r="Y55" s="1306"/>
      <c r="Z55" s="1306"/>
      <c r="AA55" s="1306"/>
      <c r="AB55" s="1306"/>
      <c r="AC55" s="1281" t="s">
        <v>1200</v>
      </c>
      <c r="AD55" s="1281"/>
      <c r="AE55" s="1281"/>
      <c r="AF55" s="1281"/>
      <c r="AG55" s="543">
        <v>0</v>
      </c>
      <c r="AH55" s="543">
        <v>0</v>
      </c>
      <c r="AI55" s="545">
        <v>0</v>
      </c>
      <c r="AJ55" s="543">
        <v>0</v>
      </c>
      <c r="AK55" s="543">
        <v>0</v>
      </c>
      <c r="AL55" s="545">
        <v>0</v>
      </c>
      <c r="AM55" s="543">
        <v>0</v>
      </c>
      <c r="AN55" s="543">
        <v>0</v>
      </c>
      <c r="AO55" s="545">
        <v>0</v>
      </c>
      <c r="AP55" s="543">
        <v>0</v>
      </c>
      <c r="AQ55" s="543">
        <v>0</v>
      </c>
      <c r="AR55" s="545">
        <v>0</v>
      </c>
      <c r="AS55" s="543">
        <v>0</v>
      </c>
      <c r="AT55" s="543">
        <v>0</v>
      </c>
      <c r="AU55" s="545">
        <v>0</v>
      </c>
      <c r="AV55" s="543">
        <v>0</v>
      </c>
      <c r="AW55" s="543">
        <v>0</v>
      </c>
      <c r="AX55" s="545">
        <v>0</v>
      </c>
      <c r="AY55" s="543"/>
      <c r="AZ55" s="546"/>
      <c r="BA55" s="546"/>
      <c r="BB55" s="420">
        <f t="shared" si="7"/>
        <v>0</v>
      </c>
      <c r="BC55" s="420">
        <f t="shared" si="7"/>
        <v>0</v>
      </c>
      <c r="BD55" s="420">
        <f t="shared" si="7"/>
        <v>0</v>
      </c>
      <c r="BE55" s="420">
        <f t="shared" si="8"/>
        <v>0</v>
      </c>
      <c r="BF55" s="420">
        <f t="shared" si="8"/>
        <v>0</v>
      </c>
      <c r="BG55" s="420">
        <f t="shared" si="8"/>
        <v>0</v>
      </c>
      <c r="BH55">
        <v>0</v>
      </c>
      <c r="BK55">
        <v>0</v>
      </c>
      <c r="BL55" t="s">
        <v>82</v>
      </c>
      <c r="BN55" t="s">
        <v>1199</v>
      </c>
      <c r="CN55" t="s">
        <v>1200</v>
      </c>
      <c r="CR55">
        <v>0</v>
      </c>
      <c r="CS55">
        <v>0</v>
      </c>
      <c r="CT55">
        <v>0</v>
      </c>
    </row>
    <row r="56" spans="1:98">
      <c r="A56" s="1272" t="s">
        <v>773</v>
      </c>
      <c r="B56" s="1273"/>
      <c r="C56" s="1303" t="s">
        <v>1201</v>
      </c>
      <c r="D56" s="1304"/>
      <c r="E56" s="1304"/>
      <c r="F56" s="1304"/>
      <c r="G56" s="1304"/>
      <c r="H56" s="1304"/>
      <c r="I56" s="1304"/>
      <c r="J56" s="1304"/>
      <c r="K56" s="1304"/>
      <c r="L56" s="1304"/>
      <c r="M56" s="1304"/>
      <c r="N56" s="1304"/>
      <c r="O56" s="1304"/>
      <c r="P56" s="1304"/>
      <c r="Q56" s="1304"/>
      <c r="R56" s="1304"/>
      <c r="S56" s="1304"/>
      <c r="T56" s="1304"/>
      <c r="U56" s="1304"/>
      <c r="V56" s="1304"/>
      <c r="W56" s="1304"/>
      <c r="X56" s="1304"/>
      <c r="Y56" s="1304"/>
      <c r="Z56" s="1304"/>
      <c r="AA56" s="1304"/>
      <c r="AB56" s="1304"/>
      <c r="AC56" s="1281" t="s">
        <v>1202</v>
      </c>
      <c r="AD56" s="1281"/>
      <c r="AE56" s="1281"/>
      <c r="AF56" s="1281"/>
      <c r="AG56" s="543">
        <v>0</v>
      </c>
      <c r="AH56" s="543">
        <v>0</v>
      </c>
      <c r="AI56" s="545">
        <v>0</v>
      </c>
      <c r="AJ56" s="543">
        <v>0</v>
      </c>
      <c r="AK56" s="543">
        <v>0</v>
      </c>
      <c r="AL56" s="545">
        <v>0</v>
      </c>
      <c r="AM56" s="543">
        <v>0</v>
      </c>
      <c r="AN56" s="543">
        <v>0</v>
      </c>
      <c r="AO56" s="545">
        <v>0</v>
      </c>
      <c r="AP56" s="543">
        <v>0</v>
      </c>
      <c r="AQ56" s="543">
        <v>0</v>
      </c>
      <c r="AR56" s="545">
        <v>0</v>
      </c>
      <c r="AS56" s="543">
        <v>0</v>
      </c>
      <c r="AT56" s="543">
        <v>0</v>
      </c>
      <c r="AU56" s="545">
        <v>0</v>
      </c>
      <c r="AV56" s="543">
        <v>0</v>
      </c>
      <c r="AW56" s="543">
        <v>0</v>
      </c>
      <c r="AX56" s="545">
        <v>0</v>
      </c>
      <c r="AY56" s="543"/>
      <c r="AZ56" s="546"/>
      <c r="BA56" s="546"/>
      <c r="BB56" s="420">
        <f t="shared" si="7"/>
        <v>0</v>
      </c>
      <c r="BC56" s="420">
        <f t="shared" si="7"/>
        <v>0</v>
      </c>
      <c r="BD56" s="420">
        <f t="shared" si="7"/>
        <v>0</v>
      </c>
      <c r="BE56" s="420">
        <f t="shared" si="8"/>
        <v>0</v>
      </c>
      <c r="BF56" s="420">
        <f t="shared" si="8"/>
        <v>0</v>
      </c>
      <c r="BG56" s="420">
        <f t="shared" si="8"/>
        <v>0</v>
      </c>
      <c r="BH56">
        <v>0</v>
      </c>
      <c r="BK56">
        <v>0</v>
      </c>
      <c r="BL56" t="s">
        <v>773</v>
      </c>
      <c r="BN56" t="s">
        <v>1201</v>
      </c>
      <c r="CN56" t="s">
        <v>1202</v>
      </c>
      <c r="CR56">
        <v>0</v>
      </c>
      <c r="CS56">
        <v>0</v>
      </c>
      <c r="CT56">
        <v>0</v>
      </c>
    </row>
    <row r="57" spans="1:98">
      <c r="A57" s="1272" t="s">
        <v>775</v>
      </c>
      <c r="B57" s="1273"/>
      <c r="C57" s="1303" t="s">
        <v>1203</v>
      </c>
      <c r="D57" s="1304"/>
      <c r="E57" s="1304"/>
      <c r="F57" s="1304"/>
      <c r="G57" s="1304"/>
      <c r="H57" s="1304"/>
      <c r="I57" s="1304"/>
      <c r="J57" s="1304"/>
      <c r="K57" s="1304"/>
      <c r="L57" s="1304"/>
      <c r="M57" s="1304"/>
      <c r="N57" s="1304"/>
      <c r="O57" s="1304"/>
      <c r="P57" s="1304"/>
      <c r="Q57" s="1304"/>
      <c r="R57" s="1304"/>
      <c r="S57" s="1304"/>
      <c r="T57" s="1304"/>
      <c r="U57" s="1304"/>
      <c r="V57" s="1304"/>
      <c r="W57" s="1304"/>
      <c r="X57" s="1304"/>
      <c r="Y57" s="1304"/>
      <c r="Z57" s="1304"/>
      <c r="AA57" s="1304"/>
      <c r="AB57" s="1304"/>
      <c r="AC57" s="1281" t="s">
        <v>1204</v>
      </c>
      <c r="AD57" s="1281"/>
      <c r="AE57" s="1281"/>
      <c r="AF57" s="1281"/>
      <c r="AG57" s="543">
        <v>0</v>
      </c>
      <c r="AH57" s="543">
        <v>0</v>
      </c>
      <c r="AI57" s="545">
        <v>0</v>
      </c>
      <c r="AJ57" s="543">
        <v>0</v>
      </c>
      <c r="AK57" s="543">
        <v>0</v>
      </c>
      <c r="AL57" s="545">
        <v>0</v>
      </c>
      <c r="AM57" s="543">
        <v>0</v>
      </c>
      <c r="AN57" s="543">
        <v>0</v>
      </c>
      <c r="AO57" s="545">
        <v>0</v>
      </c>
      <c r="AP57" s="543">
        <v>0</v>
      </c>
      <c r="AQ57" s="543">
        <v>0</v>
      </c>
      <c r="AR57" s="545">
        <v>0</v>
      </c>
      <c r="AS57" s="543">
        <v>0</v>
      </c>
      <c r="AT57" s="543">
        <v>0</v>
      </c>
      <c r="AU57" s="545">
        <v>0</v>
      </c>
      <c r="AV57" s="543">
        <v>0</v>
      </c>
      <c r="AW57" s="543">
        <v>0</v>
      </c>
      <c r="AX57" s="545">
        <v>0</v>
      </c>
      <c r="AY57" s="543"/>
      <c r="AZ57" s="546"/>
      <c r="BA57" s="546"/>
      <c r="BB57" s="420">
        <f t="shared" si="7"/>
        <v>0</v>
      </c>
      <c r="BC57" s="420">
        <f t="shared" si="7"/>
        <v>0</v>
      </c>
      <c r="BD57" s="420">
        <f t="shared" si="7"/>
        <v>0</v>
      </c>
      <c r="BE57" s="420">
        <f t="shared" si="8"/>
        <v>0</v>
      </c>
      <c r="BF57" s="420">
        <f t="shared" si="8"/>
        <v>0</v>
      </c>
      <c r="BG57" s="420">
        <f t="shared" si="8"/>
        <v>0</v>
      </c>
      <c r="BH57">
        <v>0</v>
      </c>
      <c r="BK57">
        <v>0</v>
      </c>
      <c r="BL57" t="s">
        <v>775</v>
      </c>
      <c r="BN57" t="s">
        <v>1203</v>
      </c>
      <c r="CN57" t="s">
        <v>1204</v>
      </c>
      <c r="CR57">
        <v>0</v>
      </c>
      <c r="CS57">
        <v>0</v>
      </c>
      <c r="CT57">
        <v>0</v>
      </c>
    </row>
    <row r="58" spans="1:98">
      <c r="A58" s="1272" t="s">
        <v>777</v>
      </c>
      <c r="B58" s="1273"/>
      <c r="C58" s="1303" t="s">
        <v>1205</v>
      </c>
      <c r="D58" s="1304"/>
      <c r="E58" s="1304"/>
      <c r="F58" s="1304"/>
      <c r="G58" s="1304"/>
      <c r="H58" s="1304"/>
      <c r="I58" s="1304"/>
      <c r="J58" s="1304"/>
      <c r="K58" s="1304"/>
      <c r="L58" s="1304"/>
      <c r="M58" s="1304"/>
      <c r="N58" s="1304"/>
      <c r="O58" s="1304"/>
      <c r="P58" s="1304"/>
      <c r="Q58" s="1304"/>
      <c r="R58" s="1304"/>
      <c r="S58" s="1304"/>
      <c r="T58" s="1304"/>
      <c r="U58" s="1304"/>
      <c r="V58" s="1304"/>
      <c r="W58" s="1304"/>
      <c r="X58" s="1304"/>
      <c r="Y58" s="1304"/>
      <c r="Z58" s="1304"/>
      <c r="AA58" s="1304"/>
      <c r="AB58" s="1304"/>
      <c r="AC58" s="1281" t="s">
        <v>1206</v>
      </c>
      <c r="AD58" s="1281"/>
      <c r="AE58" s="1281"/>
      <c r="AF58" s="1281"/>
      <c r="AG58" s="543">
        <v>0</v>
      </c>
      <c r="AH58" s="543">
        <v>0</v>
      </c>
      <c r="AI58" s="545">
        <v>0</v>
      </c>
      <c r="AJ58" s="543">
        <v>0</v>
      </c>
      <c r="AK58" s="543">
        <v>0</v>
      </c>
      <c r="AL58" s="545">
        <v>0</v>
      </c>
      <c r="AM58" s="543">
        <v>0</v>
      </c>
      <c r="AN58" s="543">
        <v>0</v>
      </c>
      <c r="AO58" s="545">
        <v>0</v>
      </c>
      <c r="AP58" s="543">
        <v>0</v>
      </c>
      <c r="AQ58" s="543">
        <v>0</v>
      </c>
      <c r="AR58" s="545">
        <v>0</v>
      </c>
      <c r="AS58" s="543">
        <v>0</v>
      </c>
      <c r="AT58" s="543">
        <v>0</v>
      </c>
      <c r="AU58" s="545">
        <v>0</v>
      </c>
      <c r="AV58" s="543">
        <v>0</v>
      </c>
      <c r="AW58" s="543">
        <v>0</v>
      </c>
      <c r="AX58" s="545">
        <v>0</v>
      </c>
      <c r="AY58" s="543"/>
      <c r="AZ58" s="546"/>
      <c r="BA58" s="546"/>
      <c r="BB58" s="420">
        <f t="shared" si="7"/>
        <v>0</v>
      </c>
      <c r="BC58" s="420">
        <f t="shared" si="7"/>
        <v>0</v>
      </c>
      <c r="BD58" s="420">
        <f t="shared" si="7"/>
        <v>0</v>
      </c>
      <c r="BE58" s="420">
        <f t="shared" si="8"/>
        <v>0</v>
      </c>
      <c r="BF58" s="420">
        <f t="shared" si="8"/>
        <v>0</v>
      </c>
      <c r="BG58" s="420">
        <f t="shared" si="8"/>
        <v>0</v>
      </c>
      <c r="BH58">
        <v>0</v>
      </c>
      <c r="BK58">
        <v>0</v>
      </c>
      <c r="BL58" t="s">
        <v>777</v>
      </c>
      <c r="BN58" t="s">
        <v>1205</v>
      </c>
      <c r="CN58" t="s">
        <v>1206</v>
      </c>
      <c r="CR58">
        <v>0</v>
      </c>
      <c r="CS58">
        <v>0</v>
      </c>
      <c r="CT58">
        <v>0</v>
      </c>
    </row>
    <row r="59" spans="1:98">
      <c r="A59" s="1272" t="s">
        <v>779</v>
      </c>
      <c r="B59" s="1273"/>
      <c r="C59" s="1305" t="s">
        <v>1207</v>
      </c>
      <c r="D59" s="1306"/>
      <c r="E59" s="1306"/>
      <c r="F59" s="1306"/>
      <c r="G59" s="1306"/>
      <c r="H59" s="1306"/>
      <c r="I59" s="1306"/>
      <c r="J59" s="1306"/>
      <c r="K59" s="1306"/>
      <c r="L59" s="1306"/>
      <c r="M59" s="1306"/>
      <c r="N59" s="1306"/>
      <c r="O59" s="1306"/>
      <c r="P59" s="1306"/>
      <c r="Q59" s="1306"/>
      <c r="R59" s="1306"/>
      <c r="S59" s="1306"/>
      <c r="T59" s="1306"/>
      <c r="U59" s="1306"/>
      <c r="V59" s="1306"/>
      <c r="W59" s="1306"/>
      <c r="X59" s="1306"/>
      <c r="Y59" s="1306"/>
      <c r="Z59" s="1306"/>
      <c r="AA59" s="1306"/>
      <c r="AB59" s="1306"/>
      <c r="AC59" s="1281" t="s">
        <v>1208</v>
      </c>
      <c r="AD59" s="1281"/>
      <c r="AE59" s="1281"/>
      <c r="AF59" s="1281"/>
      <c r="AG59" s="543">
        <v>0</v>
      </c>
      <c r="AH59" s="543">
        <v>0</v>
      </c>
      <c r="AI59" s="545">
        <v>0</v>
      </c>
      <c r="AJ59" s="543">
        <v>0</v>
      </c>
      <c r="AK59" s="543">
        <v>0</v>
      </c>
      <c r="AL59" s="545">
        <v>0</v>
      </c>
      <c r="AM59" s="543">
        <v>0</v>
      </c>
      <c r="AN59" s="543">
        <v>0</v>
      </c>
      <c r="AO59" s="545">
        <v>0</v>
      </c>
      <c r="AP59" s="543">
        <v>0</v>
      </c>
      <c r="AQ59" s="543">
        <v>0</v>
      </c>
      <c r="AR59" s="545">
        <v>0</v>
      </c>
      <c r="AS59" s="543">
        <v>0</v>
      </c>
      <c r="AT59" s="543">
        <v>0</v>
      </c>
      <c r="AU59" s="545">
        <v>0</v>
      </c>
      <c r="AV59" s="543">
        <v>0</v>
      </c>
      <c r="AW59" s="543">
        <v>0</v>
      </c>
      <c r="AX59" s="545">
        <v>0</v>
      </c>
      <c r="AY59" s="543"/>
      <c r="AZ59" s="546"/>
      <c r="BA59" s="546"/>
      <c r="BB59" s="420">
        <f t="shared" si="7"/>
        <v>0</v>
      </c>
      <c r="BC59" s="420">
        <f t="shared" si="7"/>
        <v>0</v>
      </c>
      <c r="BD59" s="420">
        <f t="shared" si="7"/>
        <v>0</v>
      </c>
      <c r="BE59" s="420">
        <f t="shared" si="8"/>
        <v>0</v>
      </c>
      <c r="BF59" s="420">
        <f t="shared" si="8"/>
        <v>0</v>
      </c>
      <c r="BG59" s="420">
        <f t="shared" si="8"/>
        <v>0</v>
      </c>
      <c r="BH59">
        <v>0</v>
      </c>
      <c r="BK59">
        <v>0</v>
      </c>
      <c r="BL59" t="s">
        <v>779</v>
      </c>
      <c r="BN59" t="s">
        <v>1207</v>
      </c>
      <c r="CN59" t="s">
        <v>1208</v>
      </c>
      <c r="CR59">
        <v>0</v>
      </c>
      <c r="CS59">
        <v>0</v>
      </c>
      <c r="CT59">
        <v>0</v>
      </c>
    </row>
    <row r="60" spans="1:98">
      <c r="A60" s="1272" t="s">
        <v>781</v>
      </c>
      <c r="B60" s="1273"/>
      <c r="C60" s="1305" t="s">
        <v>1209</v>
      </c>
      <c r="D60" s="1306"/>
      <c r="E60" s="1306"/>
      <c r="F60" s="1306"/>
      <c r="G60" s="1306"/>
      <c r="H60" s="1306"/>
      <c r="I60" s="1306"/>
      <c r="J60" s="1306"/>
      <c r="K60" s="1306"/>
      <c r="L60" s="1306"/>
      <c r="M60" s="1306"/>
      <c r="N60" s="1306"/>
      <c r="O60" s="1306"/>
      <c r="P60" s="1306"/>
      <c r="Q60" s="1306"/>
      <c r="R60" s="1306"/>
      <c r="S60" s="1306"/>
      <c r="T60" s="1306"/>
      <c r="U60" s="1306"/>
      <c r="V60" s="1306"/>
      <c r="W60" s="1306"/>
      <c r="X60" s="1306"/>
      <c r="Y60" s="1306"/>
      <c r="Z60" s="1306"/>
      <c r="AA60" s="1306"/>
      <c r="AB60" s="1306"/>
      <c r="AC60" s="1281" t="s">
        <v>1210</v>
      </c>
      <c r="AD60" s="1281"/>
      <c r="AE60" s="1281"/>
      <c r="AF60" s="1281"/>
      <c r="AG60" s="543">
        <v>0</v>
      </c>
      <c r="AH60" s="543">
        <v>0</v>
      </c>
      <c r="AI60" s="545">
        <v>0</v>
      </c>
      <c r="AJ60" s="543">
        <v>0</v>
      </c>
      <c r="AK60" s="543">
        <v>0</v>
      </c>
      <c r="AL60" s="545">
        <v>0</v>
      </c>
      <c r="AM60" s="543">
        <v>0</v>
      </c>
      <c r="AN60" s="543">
        <v>0</v>
      </c>
      <c r="AO60" s="545">
        <v>0</v>
      </c>
      <c r="AP60" s="543">
        <v>0</v>
      </c>
      <c r="AQ60" s="543">
        <v>0</v>
      </c>
      <c r="AR60" s="545">
        <v>0</v>
      </c>
      <c r="AS60" s="543">
        <v>0</v>
      </c>
      <c r="AT60" s="543">
        <v>0</v>
      </c>
      <c r="AU60" s="545">
        <v>0</v>
      </c>
      <c r="AV60" s="543">
        <v>0</v>
      </c>
      <c r="AW60" s="543">
        <v>0</v>
      </c>
      <c r="AX60" s="545">
        <v>0</v>
      </c>
      <c r="AY60" s="543"/>
      <c r="AZ60" s="546"/>
      <c r="BA60" s="546"/>
      <c r="BB60" s="420">
        <f t="shared" si="7"/>
        <v>0</v>
      </c>
      <c r="BC60" s="420">
        <f t="shared" si="7"/>
        <v>0</v>
      </c>
      <c r="BD60" s="420">
        <f t="shared" si="7"/>
        <v>0</v>
      </c>
      <c r="BE60" s="420">
        <f t="shared" si="8"/>
        <v>0</v>
      </c>
      <c r="BF60" s="420">
        <f t="shared" si="8"/>
        <v>0</v>
      </c>
      <c r="BG60" s="420">
        <f t="shared" si="8"/>
        <v>0</v>
      </c>
      <c r="BH60">
        <v>0</v>
      </c>
      <c r="BK60">
        <v>0</v>
      </c>
      <c r="BL60" t="s">
        <v>781</v>
      </c>
      <c r="BN60" t="s">
        <v>1209</v>
      </c>
      <c r="CN60" t="s">
        <v>1210</v>
      </c>
      <c r="CR60">
        <v>0</v>
      </c>
      <c r="CS60">
        <v>0</v>
      </c>
      <c r="CT60">
        <v>0</v>
      </c>
    </row>
    <row r="61" spans="1:98">
      <c r="A61" s="1272" t="s">
        <v>784</v>
      </c>
      <c r="B61" s="1273"/>
      <c r="C61" s="1305" t="s">
        <v>1211</v>
      </c>
      <c r="D61" s="1306"/>
      <c r="E61" s="1306"/>
      <c r="F61" s="1306"/>
      <c r="G61" s="1306"/>
      <c r="H61" s="1306"/>
      <c r="I61" s="1306"/>
      <c r="J61" s="1306"/>
      <c r="K61" s="1306"/>
      <c r="L61" s="1306"/>
      <c r="M61" s="1306"/>
      <c r="N61" s="1306"/>
      <c r="O61" s="1306"/>
      <c r="P61" s="1306"/>
      <c r="Q61" s="1306"/>
      <c r="R61" s="1306"/>
      <c r="S61" s="1306"/>
      <c r="T61" s="1306"/>
      <c r="U61" s="1306"/>
      <c r="V61" s="1306"/>
      <c r="W61" s="1306"/>
      <c r="X61" s="1306"/>
      <c r="Y61" s="1306"/>
      <c r="Z61" s="1306"/>
      <c r="AA61" s="1306"/>
      <c r="AB61" s="1306"/>
      <c r="AC61" s="1281" t="s">
        <v>1212</v>
      </c>
      <c r="AD61" s="1281"/>
      <c r="AE61" s="1281"/>
      <c r="AF61" s="1281"/>
      <c r="AG61" s="543">
        <v>0</v>
      </c>
      <c r="AH61" s="543">
        <v>0</v>
      </c>
      <c r="AI61" s="545">
        <v>0</v>
      </c>
      <c r="AJ61" s="543">
        <v>0</v>
      </c>
      <c r="AK61" s="543">
        <v>0</v>
      </c>
      <c r="AL61" s="545">
        <v>0</v>
      </c>
      <c r="AM61" s="543">
        <v>0</v>
      </c>
      <c r="AN61" s="543">
        <v>0</v>
      </c>
      <c r="AO61" s="545">
        <v>0</v>
      </c>
      <c r="AP61" s="543">
        <v>0</v>
      </c>
      <c r="AQ61" s="543">
        <v>0</v>
      </c>
      <c r="AR61" s="545">
        <v>0</v>
      </c>
      <c r="AS61" s="543">
        <v>0</v>
      </c>
      <c r="AT61" s="543">
        <v>0</v>
      </c>
      <c r="AU61" s="545">
        <v>0</v>
      </c>
      <c r="AV61" s="543">
        <v>0</v>
      </c>
      <c r="AW61" s="543">
        <v>0</v>
      </c>
      <c r="AX61" s="545">
        <v>0</v>
      </c>
      <c r="AY61" s="543"/>
      <c r="AZ61" s="546"/>
      <c r="BA61" s="546"/>
      <c r="BB61" s="420">
        <f t="shared" si="7"/>
        <v>0</v>
      </c>
      <c r="BC61" s="420">
        <f t="shared" si="7"/>
        <v>0</v>
      </c>
      <c r="BD61" s="420">
        <f t="shared" si="7"/>
        <v>0</v>
      </c>
      <c r="BE61" s="420">
        <f t="shared" si="8"/>
        <v>0</v>
      </c>
      <c r="BF61" s="420">
        <f t="shared" si="8"/>
        <v>0</v>
      </c>
      <c r="BG61" s="420">
        <f t="shared" si="8"/>
        <v>0</v>
      </c>
      <c r="BH61">
        <v>0</v>
      </c>
      <c r="BK61">
        <v>0</v>
      </c>
      <c r="BL61" t="s">
        <v>784</v>
      </c>
      <c r="BN61" t="s">
        <v>1211</v>
      </c>
      <c r="CN61" t="s">
        <v>1212</v>
      </c>
      <c r="CR61">
        <v>0</v>
      </c>
      <c r="CS61">
        <v>0</v>
      </c>
      <c r="CT61">
        <v>0</v>
      </c>
    </row>
    <row r="62" spans="1:98">
      <c r="A62" s="1289" t="s">
        <v>786</v>
      </c>
      <c r="B62" s="1290"/>
      <c r="C62" s="1309" t="s">
        <v>1213</v>
      </c>
      <c r="D62" s="1310"/>
      <c r="E62" s="1310"/>
      <c r="F62" s="1310"/>
      <c r="G62" s="1310"/>
      <c r="H62" s="1310"/>
      <c r="I62" s="1310"/>
      <c r="J62" s="1310"/>
      <c r="K62" s="1310"/>
      <c r="L62" s="1310"/>
      <c r="M62" s="1310"/>
      <c r="N62" s="1310"/>
      <c r="O62" s="1310"/>
      <c r="P62" s="1310"/>
      <c r="Q62" s="1310"/>
      <c r="R62" s="1310"/>
      <c r="S62" s="1310"/>
      <c r="T62" s="1310"/>
      <c r="U62" s="1310"/>
      <c r="V62" s="1310"/>
      <c r="W62" s="1310"/>
      <c r="X62" s="1310"/>
      <c r="Y62" s="1310"/>
      <c r="Z62" s="1310"/>
      <c r="AA62" s="1310"/>
      <c r="AB62" s="1310"/>
      <c r="AC62" s="1296" t="s">
        <v>1214</v>
      </c>
      <c r="AD62" s="1296"/>
      <c r="AE62" s="1296"/>
      <c r="AF62" s="1296"/>
      <c r="AG62" s="547">
        <v>0</v>
      </c>
      <c r="AH62" s="547">
        <v>0</v>
      </c>
      <c r="AI62" s="549">
        <v>0</v>
      </c>
      <c r="AJ62" s="547">
        <v>0</v>
      </c>
      <c r="AK62" s="547">
        <v>0</v>
      </c>
      <c r="AL62" s="549">
        <v>0</v>
      </c>
      <c r="AM62" s="547">
        <v>0</v>
      </c>
      <c r="AN62" s="547">
        <v>0</v>
      </c>
      <c r="AO62" s="549">
        <v>0</v>
      </c>
      <c r="AP62" s="547">
        <v>0</v>
      </c>
      <c r="AQ62" s="547">
        <v>0</v>
      </c>
      <c r="AR62" s="549">
        <v>0</v>
      </c>
      <c r="AS62" s="547">
        <v>0</v>
      </c>
      <c r="AT62" s="547">
        <v>0</v>
      </c>
      <c r="AU62" s="549">
        <v>0</v>
      </c>
      <c r="AV62" s="547">
        <v>0</v>
      </c>
      <c r="AW62" s="547">
        <v>0</v>
      </c>
      <c r="AX62" s="549">
        <v>0</v>
      </c>
      <c r="AY62" s="547"/>
      <c r="AZ62" s="550"/>
      <c r="BA62" s="550"/>
      <c r="BB62" s="420">
        <f t="shared" si="7"/>
        <v>0</v>
      </c>
      <c r="BC62" s="420">
        <f t="shared" si="7"/>
        <v>0</v>
      </c>
      <c r="BD62" s="420">
        <f t="shared" si="7"/>
        <v>0</v>
      </c>
      <c r="BE62" s="420">
        <f t="shared" si="8"/>
        <v>0</v>
      </c>
      <c r="BF62" s="420">
        <f t="shared" si="8"/>
        <v>0</v>
      </c>
      <c r="BG62" s="420">
        <f t="shared" si="8"/>
        <v>0</v>
      </c>
      <c r="BH62">
        <v>0</v>
      </c>
      <c r="BK62">
        <v>0</v>
      </c>
      <c r="BL62" t="s">
        <v>786</v>
      </c>
      <c r="BN62" t="s">
        <v>1213</v>
      </c>
      <c r="CN62" t="s">
        <v>1214</v>
      </c>
      <c r="CR62">
        <v>0</v>
      </c>
      <c r="CS62">
        <v>0</v>
      </c>
      <c r="CT62">
        <v>0</v>
      </c>
    </row>
    <row r="63" spans="1:98">
      <c r="A63" s="1272" t="s">
        <v>788</v>
      </c>
      <c r="B63" s="1273"/>
      <c r="C63" s="1307" t="s">
        <v>1215</v>
      </c>
      <c r="D63" s="1308"/>
      <c r="E63" s="1308"/>
      <c r="F63" s="1308"/>
      <c r="G63" s="1308"/>
      <c r="H63" s="1308"/>
      <c r="I63" s="1308"/>
      <c r="J63" s="1308"/>
      <c r="K63" s="1308"/>
      <c r="L63" s="1308"/>
      <c r="M63" s="1308"/>
      <c r="N63" s="1308"/>
      <c r="O63" s="1308"/>
      <c r="P63" s="1308"/>
      <c r="Q63" s="1308"/>
      <c r="R63" s="1308"/>
      <c r="S63" s="1308"/>
      <c r="T63" s="1308"/>
      <c r="U63" s="1308"/>
      <c r="V63" s="1308"/>
      <c r="W63" s="1308"/>
      <c r="X63" s="1308"/>
      <c r="Y63" s="1308"/>
      <c r="Z63" s="1308"/>
      <c r="AA63" s="1308"/>
      <c r="AB63" s="1308"/>
      <c r="AC63" s="1281" t="s">
        <v>1216</v>
      </c>
      <c r="AD63" s="1281"/>
      <c r="AE63" s="1281"/>
      <c r="AF63" s="1281"/>
      <c r="AG63" s="543">
        <v>0</v>
      </c>
      <c r="AH63" s="543">
        <v>0</v>
      </c>
      <c r="AI63" s="545">
        <v>0</v>
      </c>
      <c r="AJ63" s="543">
        <v>0</v>
      </c>
      <c r="AK63" s="543">
        <v>0</v>
      </c>
      <c r="AL63" s="545">
        <v>0</v>
      </c>
      <c r="AM63" s="543">
        <v>0</v>
      </c>
      <c r="AN63" s="543">
        <v>0</v>
      </c>
      <c r="AO63" s="545">
        <v>0</v>
      </c>
      <c r="AP63" s="543">
        <v>0</v>
      </c>
      <c r="AQ63" s="543">
        <v>0</v>
      </c>
      <c r="AR63" s="545">
        <v>0</v>
      </c>
      <c r="AS63" s="543">
        <v>0</v>
      </c>
      <c r="AT63" s="543">
        <v>0</v>
      </c>
      <c r="AU63" s="545">
        <v>0</v>
      </c>
      <c r="AV63" s="543">
        <v>0</v>
      </c>
      <c r="AW63" s="543">
        <v>0</v>
      </c>
      <c r="AX63" s="545">
        <v>0</v>
      </c>
      <c r="AY63" s="543"/>
      <c r="AZ63" s="546"/>
      <c r="BA63" s="546"/>
      <c r="BB63" s="420">
        <f t="shared" si="7"/>
        <v>0</v>
      </c>
      <c r="BC63" s="420">
        <f t="shared" si="7"/>
        <v>0</v>
      </c>
      <c r="BD63" s="420">
        <f t="shared" si="7"/>
        <v>0</v>
      </c>
      <c r="BE63" s="420">
        <f t="shared" si="8"/>
        <v>0</v>
      </c>
      <c r="BF63" s="420">
        <f t="shared" si="8"/>
        <v>0</v>
      </c>
      <c r="BG63" s="420">
        <f t="shared" si="8"/>
        <v>0</v>
      </c>
      <c r="BH63">
        <v>0</v>
      </c>
      <c r="BK63">
        <v>0</v>
      </c>
      <c r="BL63" t="s">
        <v>788</v>
      </c>
      <c r="BN63" t="s">
        <v>1215</v>
      </c>
      <c r="CN63" t="s">
        <v>1216</v>
      </c>
      <c r="CR63">
        <v>0</v>
      </c>
      <c r="CS63">
        <v>0</v>
      </c>
      <c r="CT63">
        <v>0</v>
      </c>
    </row>
    <row r="64" spans="1:98">
      <c r="A64" s="1272">
        <v>56</v>
      </c>
      <c r="B64" s="1273"/>
      <c r="C64" s="1307" t="s">
        <v>1217</v>
      </c>
      <c r="D64" s="1308"/>
      <c r="E64" s="1308"/>
      <c r="F64" s="1308"/>
      <c r="G64" s="1308"/>
      <c r="H64" s="1308"/>
      <c r="I64" s="1308"/>
      <c r="J64" s="1308"/>
      <c r="K64" s="1308"/>
      <c r="L64" s="1308"/>
      <c r="M64" s="1308"/>
      <c r="N64" s="1308"/>
      <c r="O64" s="1308"/>
      <c r="P64" s="1308"/>
      <c r="Q64" s="1308"/>
      <c r="R64" s="1308"/>
      <c r="S64" s="1308"/>
      <c r="T64" s="1308"/>
      <c r="U64" s="1308"/>
      <c r="V64" s="1308"/>
      <c r="W64" s="1308"/>
      <c r="X64" s="1308"/>
      <c r="Y64" s="1308"/>
      <c r="Z64" s="1308"/>
      <c r="AA64" s="1308"/>
      <c r="AB64" s="1308"/>
      <c r="AC64" s="1281" t="s">
        <v>1218</v>
      </c>
      <c r="AD64" s="1281"/>
      <c r="AE64" s="1281"/>
      <c r="AF64" s="1281"/>
      <c r="AG64" s="543">
        <v>0</v>
      </c>
      <c r="AH64" s="543">
        <v>0</v>
      </c>
      <c r="AI64" s="545">
        <v>0</v>
      </c>
      <c r="AJ64" s="543">
        <v>0</v>
      </c>
      <c r="AK64" s="543">
        <v>0</v>
      </c>
      <c r="AL64" s="545">
        <v>0</v>
      </c>
      <c r="AM64" s="543">
        <v>0</v>
      </c>
      <c r="AN64" s="543">
        <v>0</v>
      </c>
      <c r="AO64" s="545">
        <v>0</v>
      </c>
      <c r="AP64" s="543">
        <v>0</v>
      </c>
      <c r="AQ64" s="543">
        <v>0</v>
      </c>
      <c r="AR64" s="545">
        <v>0</v>
      </c>
      <c r="AS64" s="543">
        <v>0</v>
      </c>
      <c r="AT64" s="543">
        <v>0</v>
      </c>
      <c r="AU64" s="545">
        <v>0</v>
      </c>
      <c r="AV64" s="543">
        <v>0</v>
      </c>
      <c r="AW64" s="543">
        <v>0</v>
      </c>
      <c r="AX64" s="545">
        <v>0</v>
      </c>
      <c r="AY64" s="543"/>
      <c r="AZ64" s="546"/>
      <c r="BA64" s="546"/>
      <c r="BB64" s="420">
        <f t="shared" si="7"/>
        <v>0</v>
      </c>
      <c r="BC64" s="420">
        <f t="shared" si="7"/>
        <v>0</v>
      </c>
      <c r="BD64" s="420">
        <f t="shared" si="7"/>
        <v>0</v>
      </c>
      <c r="BE64" s="420">
        <f t="shared" si="8"/>
        <v>0</v>
      </c>
      <c r="BF64" s="420">
        <f t="shared" si="8"/>
        <v>0</v>
      </c>
      <c r="BG64" s="420">
        <f t="shared" si="8"/>
        <v>0</v>
      </c>
      <c r="BH64">
        <v>0</v>
      </c>
      <c r="BK64">
        <v>0</v>
      </c>
      <c r="BL64">
        <v>56</v>
      </c>
      <c r="BN64" t="s">
        <v>1217</v>
      </c>
      <c r="CN64" t="s">
        <v>1218</v>
      </c>
      <c r="CR64">
        <v>0</v>
      </c>
      <c r="CS64">
        <v>0</v>
      </c>
      <c r="CT64">
        <v>0</v>
      </c>
    </row>
    <row r="65" spans="1:98">
      <c r="A65" s="1272">
        <v>57</v>
      </c>
      <c r="B65" s="1273"/>
      <c r="C65" s="1307" t="s">
        <v>1219</v>
      </c>
      <c r="D65" s="1308"/>
      <c r="E65" s="1308"/>
      <c r="F65" s="1308"/>
      <c r="G65" s="1308"/>
      <c r="H65" s="1308"/>
      <c r="I65" s="1308"/>
      <c r="J65" s="1308"/>
      <c r="K65" s="1308"/>
      <c r="L65" s="1308"/>
      <c r="M65" s="1308"/>
      <c r="N65" s="1308"/>
      <c r="O65" s="1308"/>
      <c r="P65" s="1308"/>
      <c r="Q65" s="1308"/>
      <c r="R65" s="1308"/>
      <c r="S65" s="1308"/>
      <c r="T65" s="1308"/>
      <c r="U65" s="1308"/>
      <c r="V65" s="1308"/>
      <c r="W65" s="1308"/>
      <c r="X65" s="1308"/>
      <c r="Y65" s="1308"/>
      <c r="Z65" s="1308"/>
      <c r="AA65" s="1308"/>
      <c r="AB65" s="1308"/>
      <c r="AC65" s="1281" t="s">
        <v>1220</v>
      </c>
      <c r="AD65" s="1281"/>
      <c r="AE65" s="1281"/>
      <c r="AF65" s="1281"/>
      <c r="AG65" s="543">
        <v>0</v>
      </c>
      <c r="AH65" s="543">
        <v>0</v>
      </c>
      <c r="AI65" s="545">
        <v>0</v>
      </c>
      <c r="AJ65" s="543">
        <v>0</v>
      </c>
      <c r="AK65" s="543">
        <v>0</v>
      </c>
      <c r="AL65" s="545">
        <v>0</v>
      </c>
      <c r="AM65" s="543">
        <v>0</v>
      </c>
      <c r="AN65" s="543">
        <v>0</v>
      </c>
      <c r="AO65" s="545">
        <v>0</v>
      </c>
      <c r="AP65" s="543">
        <v>0</v>
      </c>
      <c r="AQ65" s="543">
        <v>0</v>
      </c>
      <c r="AR65" s="545">
        <v>0</v>
      </c>
      <c r="AS65" s="543">
        <v>0</v>
      </c>
      <c r="AT65" s="543">
        <v>0</v>
      </c>
      <c r="AU65" s="545">
        <v>0</v>
      </c>
      <c r="AV65" s="543">
        <v>0</v>
      </c>
      <c r="AW65" s="543">
        <v>0</v>
      </c>
      <c r="AX65" s="545">
        <v>0</v>
      </c>
      <c r="AY65" s="543"/>
      <c r="AZ65" s="546"/>
      <c r="BA65" s="546"/>
      <c r="BB65" s="420">
        <f t="shared" si="7"/>
        <v>0</v>
      </c>
      <c r="BC65" s="420">
        <f t="shared" si="7"/>
        <v>0</v>
      </c>
      <c r="BD65" s="420">
        <f t="shared" si="7"/>
        <v>0</v>
      </c>
      <c r="BE65" s="420">
        <f t="shared" si="8"/>
        <v>0</v>
      </c>
      <c r="BF65" s="420">
        <f t="shared" si="8"/>
        <v>0</v>
      </c>
      <c r="BG65" s="420">
        <f t="shared" si="8"/>
        <v>0</v>
      </c>
      <c r="BH65">
        <v>0</v>
      </c>
      <c r="BK65">
        <v>0</v>
      </c>
      <c r="BL65">
        <v>57</v>
      </c>
      <c r="BN65" t="s">
        <v>1219</v>
      </c>
      <c r="CN65" t="s">
        <v>1220</v>
      </c>
      <c r="CR65">
        <v>0</v>
      </c>
      <c r="CS65">
        <v>0</v>
      </c>
      <c r="CT65">
        <v>0</v>
      </c>
    </row>
    <row r="66" spans="1:98">
      <c r="A66" s="1272">
        <v>58</v>
      </c>
      <c r="B66" s="1273"/>
      <c r="C66" s="1307" t="s">
        <v>1221</v>
      </c>
      <c r="D66" s="1308"/>
      <c r="E66" s="1308"/>
      <c r="F66" s="1308"/>
      <c r="G66" s="1308"/>
      <c r="H66" s="1308"/>
      <c r="I66" s="1308"/>
      <c r="J66" s="1308"/>
      <c r="K66" s="1308"/>
      <c r="L66" s="1308"/>
      <c r="M66" s="1308"/>
      <c r="N66" s="1308"/>
      <c r="O66" s="1308"/>
      <c r="P66" s="1308"/>
      <c r="Q66" s="1308"/>
      <c r="R66" s="1308"/>
      <c r="S66" s="1308"/>
      <c r="T66" s="1308"/>
      <c r="U66" s="1308"/>
      <c r="V66" s="1308"/>
      <c r="W66" s="1308"/>
      <c r="X66" s="1308"/>
      <c r="Y66" s="1308"/>
      <c r="Z66" s="1308"/>
      <c r="AA66" s="1308"/>
      <c r="AB66" s="1308"/>
      <c r="AC66" s="1281" t="s">
        <v>1222</v>
      </c>
      <c r="AD66" s="1281"/>
      <c r="AE66" s="1281"/>
      <c r="AF66" s="1281"/>
      <c r="AG66" s="543">
        <v>0</v>
      </c>
      <c r="AH66" s="543">
        <v>0</v>
      </c>
      <c r="AI66" s="545">
        <v>0</v>
      </c>
      <c r="AJ66" s="543">
        <v>0</v>
      </c>
      <c r="AK66" s="543">
        <v>0</v>
      </c>
      <c r="AL66" s="545">
        <v>0</v>
      </c>
      <c r="AM66" s="543">
        <v>0</v>
      </c>
      <c r="AN66" s="543">
        <v>0</v>
      </c>
      <c r="AO66" s="545">
        <v>0</v>
      </c>
      <c r="AP66" s="543">
        <v>0</v>
      </c>
      <c r="AQ66" s="543">
        <v>0</v>
      </c>
      <c r="AR66" s="545">
        <v>0</v>
      </c>
      <c r="AS66" s="543">
        <v>0</v>
      </c>
      <c r="AT66" s="543">
        <v>0</v>
      </c>
      <c r="AU66" s="545">
        <v>0</v>
      </c>
      <c r="AV66" s="543">
        <v>0</v>
      </c>
      <c r="AW66" s="543">
        <v>0</v>
      </c>
      <c r="AX66" s="545">
        <v>0</v>
      </c>
      <c r="AY66" s="543"/>
      <c r="AZ66" s="546"/>
      <c r="BA66" s="546"/>
      <c r="BB66" s="420">
        <f t="shared" si="7"/>
        <v>0</v>
      </c>
      <c r="BC66" s="420">
        <f t="shared" si="7"/>
        <v>0</v>
      </c>
      <c r="BD66" s="420">
        <f t="shared" si="7"/>
        <v>0</v>
      </c>
      <c r="BE66" s="420">
        <f t="shared" si="8"/>
        <v>0</v>
      </c>
      <c r="BF66" s="420">
        <f t="shared" si="8"/>
        <v>0</v>
      </c>
      <c r="BG66" s="420">
        <f t="shared" si="8"/>
        <v>0</v>
      </c>
      <c r="BH66">
        <v>0</v>
      </c>
      <c r="BK66">
        <v>0</v>
      </c>
      <c r="BL66">
        <v>58</v>
      </c>
      <c r="BN66" t="s">
        <v>1221</v>
      </c>
      <c r="CN66" t="s">
        <v>1222</v>
      </c>
      <c r="CR66">
        <v>0</v>
      </c>
      <c r="CS66">
        <v>0</v>
      </c>
      <c r="CT66">
        <v>0</v>
      </c>
    </row>
    <row r="67" spans="1:98">
      <c r="A67" s="1289">
        <v>59</v>
      </c>
      <c r="B67" s="1290"/>
      <c r="C67" s="1311" t="s">
        <v>1223</v>
      </c>
      <c r="D67" s="1312"/>
      <c r="E67" s="1312"/>
      <c r="F67" s="1312"/>
      <c r="G67" s="1312"/>
      <c r="H67" s="1312"/>
      <c r="I67" s="1312"/>
      <c r="J67" s="1312"/>
      <c r="K67" s="1312"/>
      <c r="L67" s="1312"/>
      <c r="M67" s="1312"/>
      <c r="N67" s="1312"/>
      <c r="O67" s="1312"/>
      <c r="P67" s="1312"/>
      <c r="Q67" s="1312"/>
      <c r="R67" s="1312"/>
      <c r="S67" s="1312"/>
      <c r="T67" s="1312"/>
      <c r="U67" s="1312"/>
      <c r="V67" s="1312"/>
      <c r="W67" s="1312"/>
      <c r="X67" s="1312"/>
      <c r="Y67" s="1312"/>
      <c r="Z67" s="1312"/>
      <c r="AA67" s="1312"/>
      <c r="AB67" s="1312"/>
      <c r="AC67" s="1293" t="s">
        <v>1224</v>
      </c>
      <c r="AD67" s="1293"/>
      <c r="AE67" s="1293"/>
      <c r="AF67" s="1293"/>
      <c r="AG67" s="547">
        <v>0</v>
      </c>
      <c r="AH67" s="547">
        <v>0</v>
      </c>
      <c r="AI67" s="549">
        <v>0</v>
      </c>
      <c r="AJ67" s="547">
        <v>0</v>
      </c>
      <c r="AK67" s="547">
        <v>0</v>
      </c>
      <c r="AL67" s="549">
        <v>0</v>
      </c>
      <c r="AM67" s="547">
        <v>0</v>
      </c>
      <c r="AN67" s="547">
        <v>0</v>
      </c>
      <c r="AO67" s="549">
        <v>0</v>
      </c>
      <c r="AP67" s="547">
        <v>0</v>
      </c>
      <c r="AQ67" s="547">
        <v>0</v>
      </c>
      <c r="AR67" s="549">
        <v>0</v>
      </c>
      <c r="AS67" s="547">
        <v>0</v>
      </c>
      <c r="AT67" s="547">
        <v>0</v>
      </c>
      <c r="AU67" s="549">
        <v>0</v>
      </c>
      <c r="AV67" s="547">
        <v>0</v>
      </c>
      <c r="AW67" s="547">
        <v>0</v>
      </c>
      <c r="AX67" s="549">
        <v>0</v>
      </c>
      <c r="AY67" s="547"/>
      <c r="AZ67" s="550"/>
      <c r="BA67" s="550"/>
      <c r="BB67" s="420">
        <f t="shared" si="7"/>
        <v>0</v>
      </c>
      <c r="BC67" s="420">
        <f t="shared" si="7"/>
        <v>0</v>
      </c>
      <c r="BD67" s="420">
        <f t="shared" si="7"/>
        <v>0</v>
      </c>
      <c r="BE67" s="420">
        <f t="shared" si="8"/>
        <v>0</v>
      </c>
      <c r="BF67" s="420">
        <f t="shared" si="8"/>
        <v>0</v>
      </c>
      <c r="BG67" s="420">
        <f t="shared" si="8"/>
        <v>0</v>
      </c>
      <c r="BH67">
        <v>0</v>
      </c>
      <c r="BK67">
        <v>0</v>
      </c>
      <c r="BL67">
        <v>59</v>
      </c>
      <c r="BN67" t="s">
        <v>1223</v>
      </c>
      <c r="CN67" t="s">
        <v>1224</v>
      </c>
      <c r="CR67">
        <v>0</v>
      </c>
      <c r="CS67">
        <v>0</v>
      </c>
      <c r="CT67">
        <v>0</v>
      </c>
    </row>
    <row r="68" spans="1:98">
      <c r="A68" s="1272">
        <v>60</v>
      </c>
      <c r="B68" s="1273"/>
      <c r="C68" s="1307" t="s">
        <v>1225</v>
      </c>
      <c r="D68" s="1308"/>
      <c r="E68" s="1308"/>
      <c r="F68" s="1308"/>
      <c r="G68" s="1308"/>
      <c r="H68" s="1308"/>
      <c r="I68" s="1308"/>
      <c r="J68" s="1308"/>
      <c r="K68" s="1308"/>
      <c r="L68" s="1308"/>
      <c r="M68" s="1308"/>
      <c r="N68" s="1308"/>
      <c r="O68" s="1308"/>
      <c r="P68" s="1308"/>
      <c r="Q68" s="1308"/>
      <c r="R68" s="1308"/>
      <c r="S68" s="1308"/>
      <c r="T68" s="1308"/>
      <c r="U68" s="1308"/>
      <c r="V68" s="1308"/>
      <c r="W68" s="1308"/>
      <c r="X68" s="1308"/>
      <c r="Y68" s="1308"/>
      <c r="Z68" s="1308"/>
      <c r="AA68" s="1308"/>
      <c r="AB68" s="1308"/>
      <c r="AC68" s="1281" t="s">
        <v>1226</v>
      </c>
      <c r="AD68" s="1281"/>
      <c r="AE68" s="1281"/>
      <c r="AF68" s="1281"/>
      <c r="AG68" s="543">
        <v>0</v>
      </c>
      <c r="AH68" s="543">
        <v>0</v>
      </c>
      <c r="AI68" s="545">
        <v>0</v>
      </c>
      <c r="AJ68" s="543">
        <v>0</v>
      </c>
      <c r="AK68" s="543">
        <v>0</v>
      </c>
      <c r="AL68" s="545">
        <v>0</v>
      </c>
      <c r="AM68" s="543">
        <v>0</v>
      </c>
      <c r="AN68" s="543">
        <v>0</v>
      </c>
      <c r="AO68" s="545">
        <v>0</v>
      </c>
      <c r="AP68" s="543">
        <v>0</v>
      </c>
      <c r="AQ68" s="543">
        <v>0</v>
      </c>
      <c r="AR68" s="545">
        <v>0</v>
      </c>
      <c r="AS68" s="543">
        <v>0</v>
      </c>
      <c r="AT68" s="543">
        <v>0</v>
      </c>
      <c r="AU68" s="545">
        <v>0</v>
      </c>
      <c r="AV68" s="543">
        <v>0</v>
      </c>
      <c r="AW68" s="543">
        <v>0</v>
      </c>
      <c r="AX68" s="545">
        <v>0</v>
      </c>
      <c r="AY68" s="543"/>
      <c r="AZ68" s="546"/>
      <c r="BA68" s="546"/>
      <c r="BB68" s="420">
        <f t="shared" si="7"/>
        <v>0</v>
      </c>
      <c r="BC68" s="420">
        <f t="shared" si="7"/>
        <v>0</v>
      </c>
      <c r="BD68" s="420">
        <f t="shared" si="7"/>
        <v>0</v>
      </c>
      <c r="BE68" s="420">
        <f t="shared" si="8"/>
        <v>0</v>
      </c>
      <c r="BF68" s="420">
        <f t="shared" si="8"/>
        <v>0</v>
      </c>
      <c r="BG68" s="420">
        <f t="shared" si="8"/>
        <v>0</v>
      </c>
      <c r="BH68">
        <v>0</v>
      </c>
      <c r="BK68">
        <v>0</v>
      </c>
      <c r="BL68">
        <v>60</v>
      </c>
      <c r="BN68" t="s">
        <v>1225</v>
      </c>
      <c r="CN68" t="s">
        <v>1226</v>
      </c>
      <c r="CR68">
        <v>0</v>
      </c>
      <c r="CS68">
        <v>0</v>
      </c>
      <c r="CT68">
        <v>0</v>
      </c>
    </row>
    <row r="69" spans="1:98">
      <c r="A69" s="1272">
        <v>61</v>
      </c>
      <c r="B69" s="1273"/>
      <c r="C69" s="1307" t="s">
        <v>1227</v>
      </c>
      <c r="D69" s="1308"/>
      <c r="E69" s="1308"/>
      <c r="F69" s="1308"/>
      <c r="G69" s="1308"/>
      <c r="H69" s="1308"/>
      <c r="I69" s="1308"/>
      <c r="J69" s="1308"/>
      <c r="K69" s="1308"/>
      <c r="L69" s="1308"/>
      <c r="M69" s="1308"/>
      <c r="N69" s="1308"/>
      <c r="O69" s="1308"/>
      <c r="P69" s="1308"/>
      <c r="Q69" s="1308"/>
      <c r="R69" s="1308"/>
      <c r="S69" s="1308"/>
      <c r="T69" s="1308"/>
      <c r="U69" s="1308"/>
      <c r="V69" s="1308"/>
      <c r="W69" s="1308"/>
      <c r="X69" s="1308"/>
      <c r="Y69" s="1308"/>
      <c r="Z69" s="1308"/>
      <c r="AA69" s="1308"/>
      <c r="AB69" s="1308"/>
      <c r="AC69" s="1281" t="s">
        <v>1228</v>
      </c>
      <c r="AD69" s="1281"/>
      <c r="AE69" s="1281"/>
      <c r="AF69" s="1281"/>
      <c r="AG69" s="543">
        <v>0</v>
      </c>
      <c r="AH69" s="543">
        <v>0</v>
      </c>
      <c r="AI69" s="545">
        <v>0</v>
      </c>
      <c r="AJ69" s="543">
        <v>0</v>
      </c>
      <c r="AK69" s="543">
        <v>0</v>
      </c>
      <c r="AL69" s="545">
        <v>0</v>
      </c>
      <c r="AM69" s="543">
        <v>0</v>
      </c>
      <c r="AN69" s="543">
        <v>0</v>
      </c>
      <c r="AO69" s="545">
        <v>0</v>
      </c>
      <c r="AP69" s="543">
        <v>0</v>
      </c>
      <c r="AQ69" s="543">
        <v>0</v>
      </c>
      <c r="AR69" s="545">
        <v>0</v>
      </c>
      <c r="AS69" s="543">
        <v>0</v>
      </c>
      <c r="AT69" s="543">
        <v>0</v>
      </c>
      <c r="AU69" s="545">
        <v>0</v>
      </c>
      <c r="AV69" s="543">
        <v>0</v>
      </c>
      <c r="AW69" s="543">
        <v>0</v>
      </c>
      <c r="AX69" s="545">
        <v>0</v>
      </c>
      <c r="AY69" s="543"/>
      <c r="AZ69" s="546"/>
      <c r="BA69" s="546"/>
      <c r="BB69" s="420">
        <f t="shared" si="7"/>
        <v>0</v>
      </c>
      <c r="BC69" s="420">
        <f t="shared" si="7"/>
        <v>0</v>
      </c>
      <c r="BD69" s="420">
        <f t="shared" si="7"/>
        <v>0</v>
      </c>
      <c r="BE69" s="420">
        <f t="shared" si="8"/>
        <v>0</v>
      </c>
      <c r="BF69" s="420">
        <f t="shared" si="8"/>
        <v>0</v>
      </c>
      <c r="BG69" s="420">
        <f t="shared" si="8"/>
        <v>0</v>
      </c>
      <c r="BH69">
        <v>0</v>
      </c>
      <c r="BK69">
        <v>0</v>
      </c>
      <c r="BL69">
        <v>61</v>
      </c>
      <c r="BN69" t="s">
        <v>1227</v>
      </c>
      <c r="CN69" t="s">
        <v>1228</v>
      </c>
      <c r="CR69">
        <v>0</v>
      </c>
      <c r="CS69">
        <v>0</v>
      </c>
      <c r="CT69">
        <v>0</v>
      </c>
    </row>
    <row r="70" spans="1:98">
      <c r="A70" s="1272">
        <v>62</v>
      </c>
      <c r="B70" s="1273"/>
      <c r="C70" s="1307" t="s">
        <v>1229</v>
      </c>
      <c r="D70" s="1308"/>
      <c r="E70" s="1308"/>
      <c r="F70" s="1308"/>
      <c r="G70" s="1308"/>
      <c r="H70" s="1308"/>
      <c r="I70" s="1308"/>
      <c r="J70" s="1308"/>
      <c r="K70" s="1308"/>
      <c r="L70" s="1308"/>
      <c r="M70" s="1308"/>
      <c r="N70" s="1308"/>
      <c r="O70" s="1308"/>
      <c r="P70" s="1308"/>
      <c r="Q70" s="1308"/>
      <c r="R70" s="1308"/>
      <c r="S70" s="1308"/>
      <c r="T70" s="1308"/>
      <c r="U70" s="1308"/>
      <c r="V70" s="1308"/>
      <c r="W70" s="1308"/>
      <c r="X70" s="1308"/>
      <c r="Y70" s="1308"/>
      <c r="Z70" s="1308"/>
      <c r="AA70" s="1308"/>
      <c r="AB70" s="1308"/>
      <c r="AC70" s="1281" t="s">
        <v>1230</v>
      </c>
      <c r="AD70" s="1281"/>
      <c r="AE70" s="1281"/>
      <c r="AF70" s="1281"/>
      <c r="AG70" s="543">
        <v>0</v>
      </c>
      <c r="AH70" s="543">
        <v>0</v>
      </c>
      <c r="AI70" s="545">
        <v>0</v>
      </c>
      <c r="AJ70" s="543">
        <v>0</v>
      </c>
      <c r="AK70" s="543">
        <v>0</v>
      </c>
      <c r="AL70" s="545">
        <v>0</v>
      </c>
      <c r="AM70" s="543">
        <v>0</v>
      </c>
      <c r="AN70" s="543">
        <v>0</v>
      </c>
      <c r="AO70" s="545">
        <v>0</v>
      </c>
      <c r="AP70" s="543">
        <v>0</v>
      </c>
      <c r="AQ70" s="543">
        <v>0</v>
      </c>
      <c r="AR70" s="545">
        <v>0</v>
      </c>
      <c r="AS70" s="543">
        <v>0</v>
      </c>
      <c r="AT70" s="543">
        <v>0</v>
      </c>
      <c r="AU70" s="545">
        <v>0</v>
      </c>
      <c r="AV70" s="543">
        <v>0</v>
      </c>
      <c r="AW70" s="543">
        <v>0</v>
      </c>
      <c r="AX70" s="545">
        <v>0</v>
      </c>
      <c r="AY70" s="543"/>
      <c r="AZ70" s="546"/>
      <c r="BA70" s="546"/>
      <c r="BB70" s="420">
        <f t="shared" si="7"/>
        <v>0</v>
      </c>
      <c r="BC70" s="420">
        <f t="shared" si="7"/>
        <v>0</v>
      </c>
      <c r="BD70" s="420">
        <f t="shared" si="7"/>
        <v>0</v>
      </c>
      <c r="BE70" s="420">
        <f t="shared" si="8"/>
        <v>0</v>
      </c>
      <c r="BF70" s="420">
        <f t="shared" si="8"/>
        <v>0</v>
      </c>
      <c r="BG70" s="420">
        <f t="shared" si="8"/>
        <v>0</v>
      </c>
      <c r="BH70">
        <v>32000000</v>
      </c>
      <c r="BK70">
        <v>0</v>
      </c>
      <c r="BL70">
        <v>62</v>
      </c>
      <c r="BN70" t="s">
        <v>1229</v>
      </c>
      <c r="CN70" t="s">
        <v>1230</v>
      </c>
      <c r="CR70">
        <v>0</v>
      </c>
      <c r="CS70">
        <v>0</v>
      </c>
      <c r="CT70">
        <v>0</v>
      </c>
    </row>
    <row r="71" spans="1:98">
      <c r="A71" s="1272">
        <v>63</v>
      </c>
      <c r="B71" s="1273"/>
      <c r="C71" s="1307" t="s">
        <v>1231</v>
      </c>
      <c r="D71" s="1308"/>
      <c r="E71" s="1308"/>
      <c r="F71" s="1308"/>
      <c r="G71" s="1308"/>
      <c r="H71" s="1308"/>
      <c r="I71" s="1308"/>
      <c r="J71" s="1308"/>
      <c r="K71" s="1308"/>
      <c r="L71" s="1308"/>
      <c r="M71" s="1308"/>
      <c r="N71" s="1308"/>
      <c r="O71" s="1308"/>
      <c r="P71" s="1308"/>
      <c r="Q71" s="1308"/>
      <c r="R71" s="1308"/>
      <c r="S71" s="1308"/>
      <c r="T71" s="1308"/>
      <c r="U71" s="1308"/>
      <c r="V71" s="1308"/>
      <c r="W71" s="1308"/>
      <c r="X71" s="1308"/>
      <c r="Y71" s="1308"/>
      <c r="Z71" s="1308"/>
      <c r="AA71" s="1308"/>
      <c r="AB71" s="1308"/>
      <c r="AC71" s="1281" t="s">
        <v>1232</v>
      </c>
      <c r="AD71" s="1281"/>
      <c r="AE71" s="1281"/>
      <c r="AF71" s="1281"/>
      <c r="AG71" s="543">
        <v>0</v>
      </c>
      <c r="AH71" s="543">
        <v>0</v>
      </c>
      <c r="AI71" s="545">
        <v>0</v>
      </c>
      <c r="AJ71" s="543">
        <v>0</v>
      </c>
      <c r="AK71" s="543">
        <v>0</v>
      </c>
      <c r="AL71" s="545">
        <v>0</v>
      </c>
      <c r="AM71" s="543">
        <v>0</v>
      </c>
      <c r="AN71" s="543">
        <v>0</v>
      </c>
      <c r="AO71" s="545">
        <v>0</v>
      </c>
      <c r="AP71" s="543">
        <v>0</v>
      </c>
      <c r="AQ71" s="543">
        <v>0</v>
      </c>
      <c r="AR71" s="545">
        <v>0</v>
      </c>
      <c r="AS71" s="543">
        <v>0</v>
      </c>
      <c r="AT71" s="543">
        <v>0</v>
      </c>
      <c r="AU71" s="545">
        <v>0</v>
      </c>
      <c r="AV71" s="543">
        <v>0</v>
      </c>
      <c r="AW71" s="543">
        <v>0</v>
      </c>
      <c r="AX71" s="545">
        <v>0</v>
      </c>
      <c r="AY71" s="543"/>
      <c r="AZ71" s="546"/>
      <c r="BA71" s="546"/>
      <c r="BB71" s="420">
        <f t="shared" si="7"/>
        <v>0</v>
      </c>
      <c r="BC71" s="420">
        <f t="shared" si="7"/>
        <v>0</v>
      </c>
      <c r="BD71" s="420">
        <f t="shared" si="7"/>
        <v>0</v>
      </c>
      <c r="BE71" s="420">
        <f t="shared" si="8"/>
        <v>0</v>
      </c>
      <c r="BF71" s="420">
        <f t="shared" si="8"/>
        <v>0</v>
      </c>
      <c r="BG71" s="420">
        <f t="shared" si="8"/>
        <v>0</v>
      </c>
      <c r="BH71">
        <v>0</v>
      </c>
      <c r="BK71">
        <v>67439151</v>
      </c>
      <c r="BL71">
        <v>63</v>
      </c>
      <c r="BN71" t="s">
        <v>1231</v>
      </c>
      <c r="CN71" t="s">
        <v>1232</v>
      </c>
      <c r="CR71">
        <v>0</v>
      </c>
      <c r="CS71">
        <v>0</v>
      </c>
      <c r="CT71">
        <v>0</v>
      </c>
    </row>
    <row r="72" spans="1:98">
      <c r="A72" s="1272">
        <v>64</v>
      </c>
      <c r="B72" s="1273"/>
      <c r="C72" s="1307" t="s">
        <v>1233</v>
      </c>
      <c r="D72" s="1308"/>
      <c r="E72" s="1308"/>
      <c r="F72" s="1308"/>
      <c r="G72" s="1308"/>
      <c r="H72" s="1308"/>
      <c r="I72" s="1308"/>
      <c r="J72" s="1308"/>
      <c r="K72" s="1308"/>
      <c r="L72" s="1308"/>
      <c r="M72" s="1308"/>
      <c r="N72" s="1308"/>
      <c r="O72" s="1308"/>
      <c r="P72" s="1308"/>
      <c r="Q72" s="1308"/>
      <c r="R72" s="1308"/>
      <c r="S72" s="1308"/>
      <c r="T72" s="1308"/>
      <c r="U72" s="1308"/>
      <c r="V72" s="1308"/>
      <c r="W72" s="1308"/>
      <c r="X72" s="1308"/>
      <c r="Y72" s="1308"/>
      <c r="Z72" s="1308"/>
      <c r="AA72" s="1308"/>
      <c r="AB72" s="1308"/>
      <c r="AC72" s="1281" t="s">
        <v>1234</v>
      </c>
      <c r="AD72" s="1281"/>
      <c r="AE72" s="1281"/>
      <c r="AF72" s="1281"/>
      <c r="AG72" s="543">
        <v>0</v>
      </c>
      <c r="AH72" s="543">
        <v>0</v>
      </c>
      <c r="AI72" s="545">
        <v>0</v>
      </c>
      <c r="AJ72" s="543">
        <v>0</v>
      </c>
      <c r="AK72" s="543">
        <v>0</v>
      </c>
      <c r="AL72" s="545">
        <v>0</v>
      </c>
      <c r="AM72" s="543">
        <v>0</v>
      </c>
      <c r="AN72" s="543">
        <v>0</v>
      </c>
      <c r="AO72" s="545">
        <v>0</v>
      </c>
      <c r="AP72" s="543">
        <v>0</v>
      </c>
      <c r="AQ72" s="543">
        <v>0</v>
      </c>
      <c r="AR72" s="545">
        <v>0</v>
      </c>
      <c r="AS72" s="543">
        <v>0</v>
      </c>
      <c r="AT72" s="543">
        <v>0</v>
      </c>
      <c r="AU72" s="545">
        <v>0</v>
      </c>
      <c r="AV72" s="543">
        <v>0</v>
      </c>
      <c r="AW72" s="543">
        <v>0</v>
      </c>
      <c r="AX72" s="545">
        <v>0</v>
      </c>
      <c r="AY72" s="543"/>
      <c r="AZ72" s="546"/>
      <c r="BA72" s="546"/>
      <c r="BB72" s="420">
        <f t="shared" si="7"/>
        <v>0</v>
      </c>
      <c r="BC72" s="420">
        <f t="shared" si="7"/>
        <v>0</v>
      </c>
      <c r="BD72" s="420">
        <f t="shared" si="7"/>
        <v>0</v>
      </c>
      <c r="BE72" s="420">
        <f t="shared" si="8"/>
        <v>0</v>
      </c>
      <c r="BF72" s="420">
        <f t="shared" si="8"/>
        <v>0</v>
      </c>
      <c r="BG72" s="420">
        <f t="shared" si="8"/>
        <v>0</v>
      </c>
      <c r="BH72">
        <v>0</v>
      </c>
      <c r="BK72">
        <v>0</v>
      </c>
      <c r="BL72">
        <v>64</v>
      </c>
      <c r="BN72" t="s">
        <v>1233</v>
      </c>
      <c r="CN72" t="s">
        <v>1234</v>
      </c>
      <c r="CR72">
        <v>0</v>
      </c>
      <c r="CS72">
        <v>0</v>
      </c>
      <c r="CT72">
        <v>0</v>
      </c>
    </row>
    <row r="73" spans="1:98">
      <c r="A73" s="1272">
        <v>65</v>
      </c>
      <c r="B73" s="1273"/>
      <c r="C73" s="1307" t="s">
        <v>1235</v>
      </c>
      <c r="D73" s="1308"/>
      <c r="E73" s="1308"/>
      <c r="F73" s="1308"/>
      <c r="G73" s="1308"/>
      <c r="H73" s="1308"/>
      <c r="I73" s="1308"/>
      <c r="J73" s="1308"/>
      <c r="K73" s="1308"/>
      <c r="L73" s="1308"/>
      <c r="M73" s="1308"/>
      <c r="N73" s="1308"/>
      <c r="O73" s="1308"/>
      <c r="P73" s="1308"/>
      <c r="Q73" s="1308"/>
      <c r="R73" s="1308"/>
      <c r="S73" s="1308"/>
      <c r="T73" s="1308"/>
      <c r="U73" s="1308"/>
      <c r="V73" s="1308"/>
      <c r="W73" s="1308"/>
      <c r="X73" s="1308"/>
      <c r="Y73" s="1308"/>
      <c r="Z73" s="1308"/>
      <c r="AA73" s="1308"/>
      <c r="AB73" s="1308"/>
      <c r="AC73" s="1281" t="s">
        <v>1236</v>
      </c>
      <c r="AD73" s="1281"/>
      <c r="AE73" s="1281"/>
      <c r="AF73" s="1281"/>
      <c r="AG73" s="543">
        <v>0</v>
      </c>
      <c r="AH73" s="543">
        <v>0</v>
      </c>
      <c r="AI73" s="545">
        <v>0</v>
      </c>
      <c r="AJ73" s="543">
        <v>0</v>
      </c>
      <c r="AK73" s="543">
        <v>0</v>
      </c>
      <c r="AL73" s="545">
        <v>0</v>
      </c>
      <c r="AM73" s="543">
        <v>0</v>
      </c>
      <c r="AN73" s="543">
        <v>0</v>
      </c>
      <c r="AO73" s="545">
        <v>0</v>
      </c>
      <c r="AP73" s="543">
        <v>0</v>
      </c>
      <c r="AQ73" s="543">
        <v>0</v>
      </c>
      <c r="AR73" s="545">
        <v>0</v>
      </c>
      <c r="AS73" s="543">
        <v>0</v>
      </c>
      <c r="AT73" s="543">
        <v>0</v>
      </c>
      <c r="AU73" s="545">
        <v>0</v>
      </c>
      <c r="AV73" s="543">
        <v>0</v>
      </c>
      <c r="AW73" s="543">
        <v>0</v>
      </c>
      <c r="AX73" s="545">
        <v>0</v>
      </c>
      <c r="AY73" s="543"/>
      <c r="AZ73" s="546"/>
      <c r="BA73" s="546"/>
      <c r="BB73" s="420">
        <f t="shared" si="7"/>
        <v>0</v>
      </c>
      <c r="BC73" s="420">
        <f t="shared" si="7"/>
        <v>0</v>
      </c>
      <c r="BD73" s="420">
        <f t="shared" si="7"/>
        <v>0</v>
      </c>
      <c r="BE73" s="420">
        <f t="shared" si="8"/>
        <v>0</v>
      </c>
      <c r="BF73" s="420">
        <f t="shared" si="8"/>
        <v>0</v>
      </c>
      <c r="BG73" s="420">
        <f t="shared" si="8"/>
        <v>0</v>
      </c>
      <c r="BH73">
        <v>0</v>
      </c>
      <c r="BK73">
        <v>0</v>
      </c>
      <c r="BL73">
        <v>65</v>
      </c>
      <c r="BN73" t="s">
        <v>1235</v>
      </c>
      <c r="CN73" t="s">
        <v>1236</v>
      </c>
      <c r="CR73">
        <v>0</v>
      </c>
      <c r="CS73">
        <v>0</v>
      </c>
      <c r="CT73">
        <v>0</v>
      </c>
    </row>
    <row r="74" spans="1:98">
      <c r="A74" s="1272">
        <v>66</v>
      </c>
      <c r="B74" s="1273"/>
      <c r="C74" s="1307" t="s">
        <v>1237</v>
      </c>
      <c r="D74" s="1308"/>
      <c r="E74" s="1308"/>
      <c r="F74" s="1308"/>
      <c r="G74" s="1308"/>
      <c r="H74" s="1308"/>
      <c r="I74" s="1308"/>
      <c r="J74" s="1308"/>
      <c r="K74" s="1308"/>
      <c r="L74" s="1308"/>
      <c r="M74" s="1308"/>
      <c r="N74" s="1308"/>
      <c r="O74" s="1308"/>
      <c r="P74" s="1308"/>
      <c r="Q74" s="1308"/>
      <c r="R74" s="1308"/>
      <c r="S74" s="1308"/>
      <c r="T74" s="1308"/>
      <c r="U74" s="1308"/>
      <c r="V74" s="1308"/>
      <c r="W74" s="1308"/>
      <c r="X74" s="1308"/>
      <c r="Y74" s="1308"/>
      <c r="Z74" s="1308"/>
      <c r="AA74" s="1308"/>
      <c r="AB74" s="1308"/>
      <c r="AC74" s="1281" t="s">
        <v>1238</v>
      </c>
      <c r="AD74" s="1281"/>
      <c r="AE74" s="1281"/>
      <c r="AF74" s="1281"/>
      <c r="AG74" s="543">
        <v>0</v>
      </c>
      <c r="AH74" s="543">
        <v>0</v>
      </c>
      <c r="AI74" s="545">
        <v>0</v>
      </c>
      <c r="AJ74" s="543">
        <v>0</v>
      </c>
      <c r="AK74" s="543">
        <v>0</v>
      </c>
      <c r="AL74" s="545">
        <v>0</v>
      </c>
      <c r="AM74" s="543">
        <v>0</v>
      </c>
      <c r="AN74" s="543">
        <v>0</v>
      </c>
      <c r="AO74" s="545">
        <v>0</v>
      </c>
      <c r="AP74" s="543">
        <v>0</v>
      </c>
      <c r="AQ74" s="543">
        <v>0</v>
      </c>
      <c r="AR74" s="545">
        <v>0</v>
      </c>
      <c r="AS74" s="543">
        <v>0</v>
      </c>
      <c r="AT74" s="543">
        <v>0</v>
      </c>
      <c r="AU74" s="545">
        <v>0</v>
      </c>
      <c r="AV74" s="543">
        <v>0</v>
      </c>
      <c r="AW74" s="543">
        <v>0</v>
      </c>
      <c r="AX74" s="545">
        <v>0</v>
      </c>
      <c r="AY74" s="543"/>
      <c r="AZ74" s="546"/>
      <c r="BA74" s="546"/>
      <c r="BB74" s="420">
        <f t="shared" ref="BB74:BD137" si="19">AS74+AV74</f>
        <v>0</v>
      </c>
      <c r="BC74" s="420">
        <f t="shared" si="19"/>
        <v>0</v>
      </c>
      <c r="BD74" s="420">
        <f t="shared" si="19"/>
        <v>0</v>
      </c>
      <c r="BE74" s="420">
        <f t="shared" ref="BE74:BG137" si="20">AG74+AJ74+AM74+AP74+BB74+AY74</f>
        <v>0</v>
      </c>
      <c r="BF74" s="420">
        <f t="shared" si="20"/>
        <v>0</v>
      </c>
      <c r="BG74" s="420">
        <f t="shared" si="20"/>
        <v>0</v>
      </c>
      <c r="BH74">
        <v>0</v>
      </c>
      <c r="BK74">
        <v>0</v>
      </c>
      <c r="BL74">
        <v>66</v>
      </c>
      <c r="BN74" t="s">
        <v>1237</v>
      </c>
      <c r="CN74" t="s">
        <v>1238</v>
      </c>
      <c r="CR74">
        <v>0</v>
      </c>
      <c r="CS74">
        <v>0</v>
      </c>
      <c r="CT74">
        <v>0</v>
      </c>
    </row>
    <row r="75" spans="1:98">
      <c r="A75" s="1272">
        <v>67</v>
      </c>
      <c r="B75" s="1273"/>
      <c r="C75" s="1313" t="s">
        <v>1239</v>
      </c>
      <c r="D75" s="1314"/>
      <c r="E75" s="1314"/>
      <c r="F75" s="1314"/>
      <c r="G75" s="1314"/>
      <c r="H75" s="1314"/>
      <c r="I75" s="1314"/>
      <c r="J75" s="1314"/>
      <c r="K75" s="1314"/>
      <c r="L75" s="1314"/>
      <c r="M75" s="1314"/>
      <c r="N75" s="1314"/>
      <c r="O75" s="1314"/>
      <c r="P75" s="1314"/>
      <c r="Q75" s="1314"/>
      <c r="R75" s="1314"/>
      <c r="S75" s="1314"/>
      <c r="T75" s="1314"/>
      <c r="U75" s="1314"/>
      <c r="V75" s="1314"/>
      <c r="W75" s="1314"/>
      <c r="X75" s="1314"/>
      <c r="Y75" s="1314"/>
      <c r="Z75" s="1314"/>
      <c r="AA75" s="1314"/>
      <c r="AB75" s="1314"/>
      <c r="AC75" s="1281" t="s">
        <v>1240</v>
      </c>
      <c r="AD75" s="1281"/>
      <c r="AE75" s="1281"/>
      <c r="AF75" s="1281"/>
      <c r="AG75" s="543">
        <v>0</v>
      </c>
      <c r="AH75" s="543">
        <v>0</v>
      </c>
      <c r="AI75" s="545">
        <v>0</v>
      </c>
      <c r="AJ75" s="543">
        <v>0</v>
      </c>
      <c r="AK75" s="543">
        <v>0</v>
      </c>
      <c r="AL75" s="545">
        <v>0</v>
      </c>
      <c r="AM75" s="543">
        <v>0</v>
      </c>
      <c r="AN75" s="543">
        <v>0</v>
      </c>
      <c r="AO75" s="545">
        <v>0</v>
      </c>
      <c r="AP75" s="543">
        <v>0</v>
      </c>
      <c r="AQ75" s="543">
        <v>0</v>
      </c>
      <c r="AR75" s="545">
        <v>0</v>
      </c>
      <c r="AS75" s="543">
        <v>0</v>
      </c>
      <c r="AT75" s="543">
        <v>0</v>
      </c>
      <c r="AU75" s="545">
        <v>0</v>
      </c>
      <c r="AV75" s="543">
        <v>0</v>
      </c>
      <c r="AW75" s="543">
        <v>0</v>
      </c>
      <c r="AX75" s="545">
        <v>0</v>
      </c>
      <c r="AY75" s="543"/>
      <c r="AZ75" s="546"/>
      <c r="BA75" s="546"/>
      <c r="BB75" s="420">
        <f t="shared" si="19"/>
        <v>0</v>
      </c>
      <c r="BC75" s="420">
        <f t="shared" si="19"/>
        <v>0</v>
      </c>
      <c r="BD75" s="420">
        <f t="shared" si="19"/>
        <v>0</v>
      </c>
      <c r="BE75" s="420">
        <f t="shared" si="20"/>
        <v>0</v>
      </c>
      <c r="BF75" s="420">
        <f t="shared" si="20"/>
        <v>0</v>
      </c>
      <c r="BG75" s="420">
        <f t="shared" si="20"/>
        <v>0</v>
      </c>
      <c r="BH75">
        <v>0</v>
      </c>
      <c r="BK75">
        <v>0</v>
      </c>
      <c r="BL75">
        <v>67</v>
      </c>
      <c r="BN75" t="s">
        <v>1239</v>
      </c>
      <c r="CN75" t="s">
        <v>1240</v>
      </c>
      <c r="CR75">
        <v>0</v>
      </c>
      <c r="CS75">
        <v>0</v>
      </c>
      <c r="CT75">
        <v>0</v>
      </c>
    </row>
    <row r="76" spans="1:98">
      <c r="A76" s="1272">
        <v>68</v>
      </c>
      <c r="B76" s="1273"/>
      <c r="C76" s="1307" t="s">
        <v>1241</v>
      </c>
      <c r="D76" s="1308"/>
      <c r="E76" s="1308"/>
      <c r="F76" s="1308"/>
      <c r="G76" s="1308"/>
      <c r="H76" s="1308"/>
      <c r="I76" s="1308"/>
      <c r="J76" s="1308"/>
      <c r="K76" s="1308"/>
      <c r="L76" s="1308"/>
      <c r="M76" s="1308"/>
      <c r="N76" s="1308"/>
      <c r="O76" s="1308"/>
      <c r="P76" s="1308"/>
      <c r="Q76" s="1308"/>
      <c r="R76" s="1308"/>
      <c r="S76" s="1308"/>
      <c r="T76" s="1308"/>
      <c r="U76" s="1308"/>
      <c r="V76" s="1308"/>
      <c r="W76" s="1308"/>
      <c r="X76" s="1308"/>
      <c r="Y76" s="1308"/>
      <c r="Z76" s="1308"/>
      <c r="AA76" s="1308"/>
      <c r="AB76" s="1308"/>
      <c r="AC76" s="1281" t="s">
        <v>1242</v>
      </c>
      <c r="AD76" s="1281"/>
      <c r="AE76" s="1281"/>
      <c r="AF76" s="1281"/>
      <c r="AG76" s="543">
        <v>0</v>
      </c>
      <c r="AH76" s="543">
        <v>0</v>
      </c>
      <c r="AI76" s="545">
        <v>0</v>
      </c>
      <c r="AJ76" s="543">
        <v>0</v>
      </c>
      <c r="AK76" s="543">
        <v>0</v>
      </c>
      <c r="AL76" s="545">
        <v>0</v>
      </c>
      <c r="AM76" s="543">
        <v>0</v>
      </c>
      <c r="AN76" s="543">
        <v>0</v>
      </c>
      <c r="AO76" s="545">
        <v>0</v>
      </c>
      <c r="AP76" s="543">
        <v>0</v>
      </c>
      <c r="AQ76" s="543">
        <v>0</v>
      </c>
      <c r="AR76" s="545">
        <v>0</v>
      </c>
      <c r="AS76" s="543">
        <v>0</v>
      </c>
      <c r="AT76" s="543">
        <v>0</v>
      </c>
      <c r="AU76" s="545">
        <v>0</v>
      </c>
      <c r="AV76" s="543">
        <v>0</v>
      </c>
      <c r="AW76" s="543">
        <v>0</v>
      </c>
      <c r="AX76" s="545">
        <v>0</v>
      </c>
      <c r="AY76" s="543"/>
      <c r="AZ76" s="546"/>
      <c r="BA76" s="546"/>
      <c r="BB76" s="420">
        <f t="shared" si="19"/>
        <v>0</v>
      </c>
      <c r="BC76" s="420">
        <f t="shared" si="19"/>
        <v>0</v>
      </c>
      <c r="BD76" s="420">
        <f t="shared" si="19"/>
        <v>0</v>
      </c>
      <c r="BE76" s="420">
        <f t="shared" si="20"/>
        <v>0</v>
      </c>
      <c r="BF76" s="420">
        <f t="shared" si="20"/>
        <v>0</v>
      </c>
      <c r="BG76" s="420">
        <f t="shared" si="20"/>
        <v>0</v>
      </c>
      <c r="BH76">
        <v>0</v>
      </c>
      <c r="BK76">
        <v>0</v>
      </c>
      <c r="BL76">
        <v>68</v>
      </c>
      <c r="BN76" t="s">
        <v>1241</v>
      </c>
      <c r="CN76" t="s">
        <v>1242</v>
      </c>
      <c r="CR76">
        <v>0</v>
      </c>
      <c r="CS76">
        <v>0</v>
      </c>
      <c r="CT76">
        <v>0</v>
      </c>
    </row>
    <row r="77" spans="1:98">
      <c r="A77" s="1272">
        <v>69</v>
      </c>
      <c r="B77" s="1273"/>
      <c r="C77" s="1307" t="s">
        <v>1243</v>
      </c>
      <c r="D77" s="1308"/>
      <c r="E77" s="1308"/>
      <c r="F77" s="1308"/>
      <c r="G77" s="1308"/>
      <c r="H77" s="1308"/>
      <c r="I77" s="1308"/>
      <c r="J77" s="1308"/>
      <c r="K77" s="1308"/>
      <c r="L77" s="1308"/>
      <c r="M77" s="1308"/>
      <c r="N77" s="1308"/>
      <c r="O77" s="1308"/>
      <c r="P77" s="1308"/>
      <c r="Q77" s="1308"/>
      <c r="R77" s="1308"/>
      <c r="S77" s="1308"/>
      <c r="T77" s="1308"/>
      <c r="U77" s="1308"/>
      <c r="V77" s="1308"/>
      <c r="W77" s="1308"/>
      <c r="X77" s="1308"/>
      <c r="Y77" s="1308"/>
      <c r="Z77" s="1308"/>
      <c r="AA77" s="1308"/>
      <c r="AB77" s="1308"/>
      <c r="AC77" s="1281" t="s">
        <v>1244</v>
      </c>
      <c r="AD77" s="1281"/>
      <c r="AE77" s="1281"/>
      <c r="AF77" s="1281"/>
      <c r="AG77" s="543">
        <v>0</v>
      </c>
      <c r="AH77" s="543">
        <v>0</v>
      </c>
      <c r="AI77" s="545">
        <v>0</v>
      </c>
      <c r="AJ77" s="543">
        <v>0</v>
      </c>
      <c r="AK77" s="543">
        <v>0</v>
      </c>
      <c r="AL77" s="545">
        <v>0</v>
      </c>
      <c r="AM77" s="543">
        <v>0</v>
      </c>
      <c r="AN77" s="543">
        <v>0</v>
      </c>
      <c r="AO77" s="545">
        <v>0</v>
      </c>
      <c r="AP77" s="543">
        <v>0</v>
      </c>
      <c r="AQ77" s="543">
        <v>0</v>
      </c>
      <c r="AR77" s="545">
        <v>0</v>
      </c>
      <c r="AS77" s="543">
        <v>0</v>
      </c>
      <c r="AT77" s="543">
        <v>0</v>
      </c>
      <c r="AU77" s="545">
        <v>0</v>
      </c>
      <c r="AV77" s="543">
        <v>0</v>
      </c>
      <c r="AW77" s="543">
        <v>0</v>
      </c>
      <c r="AX77" s="545">
        <v>0</v>
      </c>
      <c r="AY77" s="543"/>
      <c r="AZ77" s="546"/>
      <c r="BA77" s="546"/>
      <c r="BB77" s="420">
        <f t="shared" si="19"/>
        <v>0</v>
      </c>
      <c r="BC77" s="420">
        <f t="shared" si="19"/>
        <v>0</v>
      </c>
      <c r="BD77" s="420">
        <f t="shared" si="19"/>
        <v>0</v>
      </c>
      <c r="BE77" s="420">
        <f t="shared" si="20"/>
        <v>0</v>
      </c>
      <c r="BF77" s="420">
        <f t="shared" si="20"/>
        <v>0</v>
      </c>
      <c r="BG77" s="420">
        <f t="shared" si="20"/>
        <v>0</v>
      </c>
      <c r="BH77">
        <v>0</v>
      </c>
      <c r="BK77">
        <v>0</v>
      </c>
      <c r="BL77">
        <v>69</v>
      </c>
      <c r="BN77" t="s">
        <v>1243</v>
      </c>
      <c r="CN77" t="s">
        <v>1244</v>
      </c>
      <c r="CR77">
        <v>0</v>
      </c>
      <c r="CS77">
        <v>0</v>
      </c>
      <c r="CT77">
        <v>0</v>
      </c>
    </row>
    <row r="78" spans="1:98">
      <c r="A78" s="1272">
        <v>70</v>
      </c>
      <c r="B78" s="1273"/>
      <c r="C78" s="1313" t="s">
        <v>292</v>
      </c>
      <c r="D78" s="1314"/>
      <c r="E78" s="1314"/>
      <c r="F78" s="1314"/>
      <c r="G78" s="1314"/>
      <c r="H78" s="1314"/>
      <c r="I78" s="1314"/>
      <c r="J78" s="1314"/>
      <c r="K78" s="1314"/>
      <c r="L78" s="1314"/>
      <c r="M78" s="1314"/>
      <c r="N78" s="1314"/>
      <c r="O78" s="1314"/>
      <c r="P78" s="1314"/>
      <c r="Q78" s="1314"/>
      <c r="R78" s="1314"/>
      <c r="S78" s="1314"/>
      <c r="T78" s="1314"/>
      <c r="U78" s="1314"/>
      <c r="V78" s="1314"/>
      <c r="W78" s="1314"/>
      <c r="X78" s="1314"/>
      <c r="Y78" s="1314"/>
      <c r="Z78" s="1314"/>
      <c r="AA78" s="1314"/>
      <c r="AB78" s="1314"/>
      <c r="AC78" s="1281" t="s">
        <v>1245</v>
      </c>
      <c r="AD78" s="1281"/>
      <c r="AE78" s="1281"/>
      <c r="AF78" s="1281"/>
      <c r="AG78" s="543">
        <v>0</v>
      </c>
      <c r="AH78" s="543">
        <v>0</v>
      </c>
      <c r="AI78" s="545">
        <v>0</v>
      </c>
      <c r="AJ78" s="543">
        <v>0</v>
      </c>
      <c r="AK78" s="543">
        <v>0</v>
      </c>
      <c r="AL78" s="545">
        <v>0</v>
      </c>
      <c r="AM78" s="543">
        <v>0</v>
      </c>
      <c r="AN78" s="543">
        <v>0</v>
      </c>
      <c r="AO78" s="545">
        <v>0</v>
      </c>
      <c r="AP78" s="543">
        <v>0</v>
      </c>
      <c r="AQ78" s="543">
        <v>0</v>
      </c>
      <c r="AR78" s="545">
        <v>0</v>
      </c>
      <c r="AS78" s="543">
        <v>0</v>
      </c>
      <c r="AT78" s="543">
        <v>0</v>
      </c>
      <c r="AU78" s="545">
        <v>0</v>
      </c>
      <c r="AV78" s="543">
        <v>0</v>
      </c>
      <c r="AW78" s="543">
        <v>0</v>
      </c>
      <c r="AX78" s="545">
        <v>0</v>
      </c>
      <c r="AY78" s="543"/>
      <c r="AZ78" s="546"/>
      <c r="BA78" s="546"/>
      <c r="BB78" s="420">
        <f t="shared" si="19"/>
        <v>0</v>
      </c>
      <c r="BC78" s="420">
        <f t="shared" si="19"/>
        <v>0</v>
      </c>
      <c r="BD78" s="420">
        <f t="shared" si="19"/>
        <v>0</v>
      </c>
      <c r="BE78" s="420">
        <f t="shared" si="20"/>
        <v>0</v>
      </c>
      <c r="BF78" s="420">
        <f t="shared" si="20"/>
        <v>0</v>
      </c>
      <c r="BG78" s="420">
        <f t="shared" si="20"/>
        <v>0</v>
      </c>
      <c r="BH78">
        <v>0</v>
      </c>
      <c r="BK78">
        <v>0</v>
      </c>
      <c r="BL78">
        <v>70</v>
      </c>
      <c r="BN78" t="s">
        <v>292</v>
      </c>
      <c r="CN78" t="s">
        <v>1245</v>
      </c>
      <c r="CR78">
        <v>0</v>
      </c>
      <c r="CS78">
        <v>0</v>
      </c>
      <c r="CT78">
        <v>0</v>
      </c>
    </row>
    <row r="79" spans="1:98" ht="13.5" thickBot="1">
      <c r="A79" s="1289">
        <v>71</v>
      </c>
      <c r="B79" s="1290"/>
      <c r="C79" s="1309" t="s">
        <v>1246</v>
      </c>
      <c r="D79" s="1310"/>
      <c r="E79" s="1310"/>
      <c r="F79" s="1310"/>
      <c r="G79" s="1310"/>
      <c r="H79" s="1310"/>
      <c r="I79" s="1310"/>
      <c r="J79" s="1310"/>
      <c r="K79" s="1310"/>
      <c r="L79" s="1310"/>
      <c r="M79" s="1310"/>
      <c r="N79" s="1310"/>
      <c r="O79" s="1310"/>
      <c r="P79" s="1310"/>
      <c r="Q79" s="1310"/>
      <c r="R79" s="1310"/>
      <c r="S79" s="1310"/>
      <c r="T79" s="1310"/>
      <c r="U79" s="1310"/>
      <c r="V79" s="1310"/>
      <c r="W79" s="1310"/>
      <c r="X79" s="1310"/>
      <c r="Y79" s="1310"/>
      <c r="Z79" s="1310"/>
      <c r="AA79" s="1310"/>
      <c r="AB79" s="1310"/>
      <c r="AC79" s="1296" t="s">
        <v>1247</v>
      </c>
      <c r="AD79" s="1296"/>
      <c r="AE79" s="1296"/>
      <c r="AF79" s="1296"/>
      <c r="AG79" s="557">
        <v>0</v>
      </c>
      <c r="AH79" s="558">
        <v>0</v>
      </c>
      <c r="AI79" s="559">
        <v>0</v>
      </c>
      <c r="AJ79" s="557">
        <v>0</v>
      </c>
      <c r="AK79" s="558">
        <v>0</v>
      </c>
      <c r="AL79" s="559">
        <v>0</v>
      </c>
      <c r="AM79" s="557">
        <v>0</v>
      </c>
      <c r="AN79" s="558">
        <v>0</v>
      </c>
      <c r="AO79" s="559">
        <v>0</v>
      </c>
      <c r="AP79" s="557">
        <v>0</v>
      </c>
      <c r="AQ79" s="558">
        <v>0</v>
      </c>
      <c r="AR79" s="559">
        <v>0</v>
      </c>
      <c r="AS79" s="557">
        <v>0</v>
      </c>
      <c r="AT79" s="558">
        <v>0</v>
      </c>
      <c r="AU79" s="559">
        <v>0</v>
      </c>
      <c r="AV79" s="557">
        <v>0</v>
      </c>
      <c r="AW79" s="558">
        <v>0</v>
      </c>
      <c r="AX79" s="559">
        <v>0</v>
      </c>
      <c r="AY79" s="557"/>
      <c r="AZ79" s="550"/>
      <c r="BA79" s="550"/>
      <c r="BB79" s="420">
        <f t="shared" si="19"/>
        <v>0</v>
      </c>
      <c r="BC79" s="420">
        <f t="shared" si="19"/>
        <v>0</v>
      </c>
      <c r="BD79" s="420">
        <f t="shared" si="19"/>
        <v>0</v>
      </c>
      <c r="BE79" s="420">
        <f t="shared" si="20"/>
        <v>0</v>
      </c>
      <c r="BF79" s="420">
        <f t="shared" si="20"/>
        <v>0</v>
      </c>
      <c r="BG79" s="420">
        <f t="shared" si="20"/>
        <v>0</v>
      </c>
      <c r="BH79">
        <v>32000000</v>
      </c>
      <c r="BK79">
        <v>67439151</v>
      </c>
      <c r="BL79">
        <v>71</v>
      </c>
      <c r="BN79" t="s">
        <v>1246</v>
      </c>
      <c r="CN79" t="s">
        <v>1247</v>
      </c>
      <c r="CR79">
        <v>0</v>
      </c>
      <c r="CS79">
        <v>0</v>
      </c>
      <c r="CT79">
        <v>0</v>
      </c>
    </row>
    <row r="80" spans="1:98">
      <c r="A80" s="1272">
        <v>72</v>
      </c>
      <c r="B80" s="1273"/>
      <c r="C80" s="1315" t="s">
        <v>1248</v>
      </c>
      <c r="D80" s="1316"/>
      <c r="E80" s="1316"/>
      <c r="F80" s="1316"/>
      <c r="G80" s="1316"/>
      <c r="H80" s="1316"/>
      <c r="I80" s="1316"/>
      <c r="J80" s="1316"/>
      <c r="K80" s="1316"/>
      <c r="L80" s="1316"/>
      <c r="M80" s="1316"/>
      <c r="N80" s="1316"/>
      <c r="O80" s="1316"/>
      <c r="P80" s="1316"/>
      <c r="Q80" s="1316"/>
      <c r="R80" s="1316"/>
      <c r="S80" s="1316"/>
      <c r="T80" s="1316"/>
      <c r="U80" s="1316"/>
      <c r="V80" s="1316"/>
      <c r="W80" s="1316"/>
      <c r="X80" s="1316"/>
      <c r="Y80" s="1316"/>
      <c r="Z80" s="1316"/>
      <c r="AA80" s="1316"/>
      <c r="AB80" s="1316"/>
      <c r="AC80" s="1281" t="s">
        <v>1249</v>
      </c>
      <c r="AD80" s="1281"/>
      <c r="AE80" s="1281"/>
      <c r="AF80" s="1281"/>
      <c r="AG80" s="560">
        <v>0</v>
      </c>
      <c r="AH80" s="561">
        <v>0</v>
      </c>
      <c r="AI80" s="562">
        <v>0</v>
      </c>
      <c r="AJ80" s="560">
        <v>0</v>
      </c>
      <c r="AK80" s="561">
        <v>0</v>
      </c>
      <c r="AL80" s="562">
        <v>0</v>
      </c>
      <c r="AM80" s="560">
        <v>0</v>
      </c>
      <c r="AN80" s="561">
        <v>0</v>
      </c>
      <c r="AO80" s="562">
        <v>0</v>
      </c>
      <c r="AP80" s="560">
        <v>0</v>
      </c>
      <c r="AQ80" s="561">
        <v>0</v>
      </c>
      <c r="AR80" s="562">
        <v>0</v>
      </c>
      <c r="AS80" s="560">
        <v>0</v>
      </c>
      <c r="AT80" s="561">
        <v>0</v>
      </c>
      <c r="AU80" s="562">
        <v>0</v>
      </c>
      <c r="AV80" s="560">
        <v>0</v>
      </c>
      <c r="AW80" s="561">
        <v>0</v>
      </c>
      <c r="AX80" s="562">
        <v>0</v>
      </c>
      <c r="AY80" s="560">
        <v>0</v>
      </c>
      <c r="AZ80" s="546"/>
      <c r="BA80" s="546"/>
      <c r="BB80" s="420">
        <f t="shared" si="19"/>
        <v>0</v>
      </c>
      <c r="BC80" s="420">
        <f t="shared" si="19"/>
        <v>0</v>
      </c>
      <c r="BD80" s="420">
        <f t="shared" si="19"/>
        <v>0</v>
      </c>
      <c r="BE80" s="420">
        <f t="shared" si="20"/>
        <v>0</v>
      </c>
      <c r="BF80" s="420">
        <f t="shared" si="20"/>
        <v>0</v>
      </c>
      <c r="BG80" s="420">
        <f t="shared" si="20"/>
        <v>0</v>
      </c>
      <c r="BH80">
        <v>0</v>
      </c>
      <c r="BK80">
        <v>0</v>
      </c>
      <c r="BL80">
        <v>72</v>
      </c>
      <c r="BN80" t="s">
        <v>1248</v>
      </c>
      <c r="CN80" t="s">
        <v>1249</v>
      </c>
      <c r="CR80">
        <v>0</v>
      </c>
      <c r="CS80">
        <v>0</v>
      </c>
      <c r="CT80">
        <v>0</v>
      </c>
    </row>
    <row r="81" spans="1:98">
      <c r="A81" s="1272">
        <v>73</v>
      </c>
      <c r="B81" s="1273"/>
      <c r="C81" s="1315" t="s">
        <v>1250</v>
      </c>
      <c r="D81" s="1316"/>
      <c r="E81" s="1316"/>
      <c r="F81" s="1316"/>
      <c r="G81" s="1316"/>
      <c r="H81" s="1316"/>
      <c r="I81" s="1316"/>
      <c r="J81" s="1316"/>
      <c r="K81" s="1316"/>
      <c r="L81" s="1316"/>
      <c r="M81" s="1316"/>
      <c r="N81" s="1316"/>
      <c r="O81" s="1316"/>
      <c r="P81" s="1316"/>
      <c r="Q81" s="1316"/>
      <c r="R81" s="1316"/>
      <c r="S81" s="1316"/>
      <c r="T81" s="1316"/>
      <c r="U81" s="1316"/>
      <c r="V81" s="1316"/>
      <c r="W81" s="1316"/>
      <c r="X81" s="1316"/>
      <c r="Y81" s="1316"/>
      <c r="Z81" s="1316"/>
      <c r="AA81" s="1316"/>
      <c r="AB81" s="1316"/>
      <c r="AC81" s="1281" t="s">
        <v>1251</v>
      </c>
      <c r="AD81" s="1281"/>
      <c r="AE81" s="1281"/>
      <c r="AF81" s="1281"/>
      <c r="AG81" s="563">
        <v>0</v>
      </c>
      <c r="AH81" s="564">
        <v>0</v>
      </c>
      <c r="AI81" s="545">
        <v>0</v>
      </c>
      <c r="AJ81" s="563">
        <v>0</v>
      </c>
      <c r="AK81" s="564">
        <v>0</v>
      </c>
      <c r="AL81" s="545">
        <v>0</v>
      </c>
      <c r="AM81" s="563">
        <v>0</v>
      </c>
      <c r="AN81" s="564">
        <v>0</v>
      </c>
      <c r="AO81" s="545">
        <v>0</v>
      </c>
      <c r="AP81" s="563">
        <v>0</v>
      </c>
      <c r="AQ81" s="564">
        <v>0</v>
      </c>
      <c r="AR81" s="545">
        <v>0</v>
      </c>
      <c r="AS81" s="563">
        <v>0</v>
      </c>
      <c r="AT81" s="564">
        <v>0</v>
      </c>
      <c r="AU81" s="545">
        <v>0</v>
      </c>
      <c r="AV81" s="563">
        <v>0</v>
      </c>
      <c r="AW81" s="564">
        <v>0</v>
      </c>
      <c r="AX81" s="545">
        <v>0</v>
      </c>
      <c r="AY81" s="563"/>
      <c r="AZ81" s="546"/>
      <c r="BA81" s="546"/>
      <c r="BB81" s="420">
        <f t="shared" si="19"/>
        <v>0</v>
      </c>
      <c r="BC81" s="420">
        <f t="shared" si="19"/>
        <v>0</v>
      </c>
      <c r="BD81" s="420">
        <f t="shared" si="19"/>
        <v>0</v>
      </c>
      <c r="BE81" s="420">
        <f t="shared" si="20"/>
        <v>0</v>
      </c>
      <c r="BF81" s="420">
        <f t="shared" si="20"/>
        <v>0</v>
      </c>
      <c r="BG81" s="420">
        <f t="shared" si="20"/>
        <v>0</v>
      </c>
      <c r="BH81">
        <v>0</v>
      </c>
      <c r="BK81">
        <v>0</v>
      </c>
      <c r="BL81">
        <v>73</v>
      </c>
      <c r="BN81" t="s">
        <v>1250</v>
      </c>
      <c r="CN81" t="s">
        <v>1251</v>
      </c>
      <c r="CR81">
        <v>0</v>
      </c>
      <c r="CS81">
        <v>0</v>
      </c>
      <c r="CT81">
        <v>0</v>
      </c>
    </row>
    <row r="82" spans="1:98">
      <c r="A82" s="1272">
        <v>74</v>
      </c>
      <c r="B82" s="1273"/>
      <c r="C82" s="1315" t="s">
        <v>1252</v>
      </c>
      <c r="D82" s="1316"/>
      <c r="E82" s="1316"/>
      <c r="F82" s="1316"/>
      <c r="G82" s="1316"/>
      <c r="H82" s="1316"/>
      <c r="I82" s="1316"/>
      <c r="J82" s="1316"/>
      <c r="K82" s="1316"/>
      <c r="L82" s="1316"/>
      <c r="M82" s="1316"/>
      <c r="N82" s="1316"/>
      <c r="O82" s="1316"/>
      <c r="P82" s="1316"/>
      <c r="Q82" s="1316"/>
      <c r="R82" s="1316"/>
      <c r="S82" s="1316"/>
      <c r="T82" s="1316"/>
      <c r="U82" s="1316"/>
      <c r="V82" s="1316"/>
      <c r="W82" s="1316"/>
      <c r="X82" s="1316"/>
      <c r="Y82" s="1316"/>
      <c r="Z82" s="1316"/>
      <c r="AA82" s="1316"/>
      <c r="AB82" s="1316"/>
      <c r="AC82" s="1281" t="s">
        <v>1253</v>
      </c>
      <c r="AD82" s="1281"/>
      <c r="AE82" s="1281"/>
      <c r="AF82" s="1281"/>
      <c r="AG82" s="563">
        <v>0</v>
      </c>
      <c r="AH82" s="564">
        <v>0</v>
      </c>
      <c r="AI82" s="545">
        <v>0</v>
      </c>
      <c r="AJ82" s="563">
        <v>0</v>
      </c>
      <c r="AK82" s="564">
        <v>0</v>
      </c>
      <c r="AL82" s="545">
        <v>0</v>
      </c>
      <c r="AM82" s="563">
        <v>0</v>
      </c>
      <c r="AN82" s="564">
        <v>0</v>
      </c>
      <c r="AO82" s="545">
        <v>0</v>
      </c>
      <c r="AP82" s="563">
        <v>0</v>
      </c>
      <c r="AQ82" s="564">
        <v>0</v>
      </c>
      <c r="AR82" s="545">
        <v>0</v>
      </c>
      <c r="AS82" s="563">
        <v>0</v>
      </c>
      <c r="AT82" s="564">
        <v>0</v>
      </c>
      <c r="AU82" s="545">
        <v>0</v>
      </c>
      <c r="AV82" s="563">
        <v>0</v>
      </c>
      <c r="AW82" s="564">
        <v>0</v>
      </c>
      <c r="AX82" s="545">
        <v>0</v>
      </c>
      <c r="AY82" s="563">
        <v>2737007.874015748</v>
      </c>
      <c r="AZ82" s="546"/>
      <c r="BA82" s="546"/>
      <c r="BB82" s="420">
        <f t="shared" si="19"/>
        <v>0</v>
      </c>
      <c r="BC82" s="420">
        <f t="shared" si="19"/>
        <v>0</v>
      </c>
      <c r="BD82" s="420">
        <f t="shared" si="19"/>
        <v>0</v>
      </c>
      <c r="BE82" s="420">
        <f t="shared" si="20"/>
        <v>2737007.874015748</v>
      </c>
      <c r="BF82" s="420">
        <f t="shared" si="20"/>
        <v>0</v>
      </c>
      <c r="BG82" s="420">
        <f t="shared" si="20"/>
        <v>0</v>
      </c>
      <c r="BH82">
        <v>0</v>
      </c>
      <c r="BK82">
        <v>1075000</v>
      </c>
      <c r="BL82">
        <v>74</v>
      </c>
      <c r="BN82" t="s">
        <v>1252</v>
      </c>
      <c r="CN82" t="s">
        <v>1253</v>
      </c>
      <c r="CR82">
        <v>0</v>
      </c>
      <c r="CS82">
        <v>0</v>
      </c>
      <c r="CT82">
        <v>0</v>
      </c>
    </row>
    <row r="83" spans="1:98">
      <c r="A83" s="1272">
        <v>75</v>
      </c>
      <c r="B83" s="1273"/>
      <c r="C83" s="1315" t="s">
        <v>1254</v>
      </c>
      <c r="D83" s="1316"/>
      <c r="E83" s="1316"/>
      <c r="F83" s="1316"/>
      <c r="G83" s="1316"/>
      <c r="H83" s="1316"/>
      <c r="I83" s="1316"/>
      <c r="J83" s="1316"/>
      <c r="K83" s="1316"/>
      <c r="L83" s="1316"/>
      <c r="M83" s="1316"/>
      <c r="N83" s="1316"/>
      <c r="O83" s="1316"/>
      <c r="P83" s="1316"/>
      <c r="Q83" s="1316"/>
      <c r="R83" s="1316"/>
      <c r="S83" s="1316"/>
      <c r="T83" s="1316"/>
      <c r="U83" s="1316"/>
      <c r="V83" s="1316"/>
      <c r="W83" s="1316"/>
      <c r="X83" s="1316"/>
      <c r="Y83" s="1316"/>
      <c r="Z83" s="1316"/>
      <c r="AA83" s="1316"/>
      <c r="AB83" s="1316"/>
      <c r="AC83" s="1281" t="s">
        <v>1255</v>
      </c>
      <c r="AD83" s="1281"/>
      <c r="AE83" s="1281"/>
      <c r="AF83" s="1281"/>
      <c r="AG83" s="563">
        <v>1771655</v>
      </c>
      <c r="AH83" s="564">
        <f>AG83*0.27</f>
        <v>478346.85000000003</v>
      </c>
      <c r="AI83" s="545">
        <f>AG83+AH83</f>
        <v>2250001.85</v>
      </c>
      <c r="AJ83" s="563">
        <v>500000</v>
      </c>
      <c r="AK83" s="564">
        <f>AJ83*0.27</f>
        <v>135000</v>
      </c>
      <c r="AL83" s="545">
        <f>AJ83+AK83</f>
        <v>635000</v>
      </c>
      <c r="AM83" s="563">
        <v>1803541</v>
      </c>
      <c r="AN83" s="564">
        <f>AM83*0.27+3</f>
        <v>486959.07</v>
      </c>
      <c r="AO83" s="545">
        <f>AM83+AN83</f>
        <v>2290500.0699999998</v>
      </c>
      <c r="AP83" s="563">
        <v>3701000</v>
      </c>
      <c r="AQ83" s="564">
        <f>AP83*0.27</f>
        <v>999270.00000000012</v>
      </c>
      <c r="AR83" s="545">
        <f>AP83+AQ83</f>
        <v>4700270</v>
      </c>
      <c r="AS83" s="563">
        <v>3600000</v>
      </c>
      <c r="AT83" s="564">
        <f>AS83*0.27</f>
        <v>972000.00000000012</v>
      </c>
      <c r="AU83" s="545">
        <f>AS83+AT83</f>
        <v>4572000</v>
      </c>
      <c r="AV83" s="563">
        <v>850000</v>
      </c>
      <c r="AW83" s="564">
        <v>229500</v>
      </c>
      <c r="AX83" s="545">
        <v>1079500</v>
      </c>
      <c r="AY83" s="563">
        <v>1417322.8346456692</v>
      </c>
      <c r="AZ83" s="546"/>
      <c r="BA83" s="546"/>
      <c r="BB83" s="420">
        <f t="shared" si="19"/>
        <v>4450000</v>
      </c>
      <c r="BC83" s="420">
        <f t="shared" si="19"/>
        <v>1201500</v>
      </c>
      <c r="BD83" s="420">
        <f t="shared" si="19"/>
        <v>5651500</v>
      </c>
      <c r="BE83" s="420">
        <f t="shared" si="20"/>
        <v>13643518.83464567</v>
      </c>
      <c r="BF83" s="420">
        <f t="shared" si="20"/>
        <v>3301075.9200000004</v>
      </c>
      <c r="BG83" s="420">
        <f t="shared" si="20"/>
        <v>15527271.92</v>
      </c>
      <c r="BH83">
        <v>0</v>
      </c>
      <c r="BK83">
        <v>19686576</v>
      </c>
      <c r="BL83">
        <v>75</v>
      </c>
      <c r="BN83" t="s">
        <v>1254</v>
      </c>
      <c r="CN83" t="s">
        <v>1255</v>
      </c>
      <c r="CR83">
        <v>2678289</v>
      </c>
      <c r="CS83">
        <v>723138.03</v>
      </c>
      <c r="CT83">
        <v>3401427.0300000003</v>
      </c>
    </row>
    <row r="84" spans="1:98">
      <c r="A84" s="1272">
        <v>76</v>
      </c>
      <c r="B84" s="1273"/>
      <c r="C84" s="1287" t="s">
        <v>1256</v>
      </c>
      <c r="D84" s="1288"/>
      <c r="E84" s="1288"/>
      <c r="F84" s="1288"/>
      <c r="G84" s="1288"/>
      <c r="H84" s="1288"/>
      <c r="I84" s="1288"/>
      <c r="J84" s="1288"/>
      <c r="K84" s="1288"/>
      <c r="L84" s="1288"/>
      <c r="M84" s="1288"/>
      <c r="N84" s="1288"/>
      <c r="O84" s="1288"/>
      <c r="P84" s="1288"/>
      <c r="Q84" s="1288"/>
      <c r="R84" s="1288"/>
      <c r="S84" s="1288"/>
      <c r="T84" s="1288"/>
      <c r="U84" s="1288"/>
      <c r="V84" s="1288"/>
      <c r="W84" s="1288"/>
      <c r="X84" s="1288"/>
      <c r="Y84" s="1288"/>
      <c r="Z84" s="1288"/>
      <c r="AA84" s="1288"/>
      <c r="AB84" s="1288"/>
      <c r="AC84" s="1281" t="s">
        <v>1257</v>
      </c>
      <c r="AD84" s="1281"/>
      <c r="AE84" s="1281"/>
      <c r="AF84" s="1281"/>
      <c r="AG84" s="563">
        <v>0</v>
      </c>
      <c r="AH84" s="564">
        <v>0</v>
      </c>
      <c r="AI84" s="545">
        <v>0</v>
      </c>
      <c r="AJ84" s="563">
        <v>0</v>
      </c>
      <c r="AK84" s="564">
        <v>0</v>
      </c>
      <c r="AL84" s="545">
        <v>0</v>
      </c>
      <c r="AM84" s="563">
        <v>0</v>
      </c>
      <c r="AN84" s="564">
        <v>0</v>
      </c>
      <c r="AO84" s="545">
        <v>0</v>
      </c>
      <c r="AP84" s="563">
        <v>0</v>
      </c>
      <c r="AQ84" s="564">
        <v>0</v>
      </c>
      <c r="AR84" s="545">
        <v>0</v>
      </c>
      <c r="AS84" s="563">
        <v>0</v>
      </c>
      <c r="AT84" s="564">
        <v>0</v>
      </c>
      <c r="AU84" s="545">
        <v>0</v>
      </c>
      <c r="AV84" s="563">
        <v>0</v>
      </c>
      <c r="AW84" s="564">
        <v>0</v>
      </c>
      <c r="AX84" s="545">
        <v>0</v>
      </c>
      <c r="AY84" s="563"/>
      <c r="AZ84" s="546"/>
      <c r="BA84" s="546"/>
      <c r="BB84" s="420">
        <f t="shared" si="19"/>
        <v>0</v>
      </c>
      <c r="BC84" s="420">
        <f t="shared" si="19"/>
        <v>0</v>
      </c>
      <c r="BD84" s="420">
        <f t="shared" si="19"/>
        <v>0</v>
      </c>
      <c r="BE84" s="420">
        <f t="shared" si="20"/>
        <v>0</v>
      </c>
      <c r="BF84" s="420">
        <f t="shared" si="20"/>
        <v>0</v>
      </c>
      <c r="BG84" s="420">
        <f t="shared" si="20"/>
        <v>0</v>
      </c>
      <c r="BH84">
        <v>0</v>
      </c>
      <c r="BK84">
        <v>0</v>
      </c>
      <c r="BL84">
        <v>76</v>
      </c>
      <c r="BN84" t="s">
        <v>1256</v>
      </c>
      <c r="CN84" t="s">
        <v>1257</v>
      </c>
      <c r="CR84">
        <v>0</v>
      </c>
      <c r="CS84">
        <v>0</v>
      </c>
      <c r="CT84">
        <v>0</v>
      </c>
    </row>
    <row r="85" spans="1:98">
      <c r="A85" s="1272">
        <v>77</v>
      </c>
      <c r="B85" s="1273"/>
      <c r="C85" s="1287" t="s">
        <v>1258</v>
      </c>
      <c r="D85" s="1288"/>
      <c r="E85" s="1288"/>
      <c r="F85" s="1288"/>
      <c r="G85" s="1288"/>
      <c r="H85" s="1288"/>
      <c r="I85" s="1288"/>
      <c r="J85" s="1288"/>
      <c r="K85" s="1288"/>
      <c r="L85" s="1288"/>
      <c r="M85" s="1288"/>
      <c r="N85" s="1288"/>
      <c r="O85" s="1288"/>
      <c r="P85" s="1288"/>
      <c r="Q85" s="1288"/>
      <c r="R85" s="1288"/>
      <c r="S85" s="1288"/>
      <c r="T85" s="1288"/>
      <c r="U85" s="1288"/>
      <c r="V85" s="1288"/>
      <c r="W85" s="1288"/>
      <c r="X85" s="1288"/>
      <c r="Y85" s="1288"/>
      <c r="Z85" s="1288"/>
      <c r="AA85" s="1288"/>
      <c r="AB85" s="1288"/>
      <c r="AC85" s="1281" t="s">
        <v>1259</v>
      </c>
      <c r="AD85" s="1281"/>
      <c r="AE85" s="1281"/>
      <c r="AF85" s="1281"/>
      <c r="AG85" s="563">
        <v>0</v>
      </c>
      <c r="AH85" s="564">
        <v>0</v>
      </c>
      <c r="AI85" s="545">
        <v>0</v>
      </c>
      <c r="AJ85" s="563">
        <v>0</v>
      </c>
      <c r="AK85" s="564">
        <v>0</v>
      </c>
      <c r="AL85" s="545">
        <v>0</v>
      </c>
      <c r="AM85" s="563">
        <v>0</v>
      </c>
      <c r="AN85" s="564">
        <v>0</v>
      </c>
      <c r="AO85" s="545">
        <v>0</v>
      </c>
      <c r="AP85" s="563">
        <v>0</v>
      </c>
      <c r="AQ85" s="564">
        <v>0</v>
      </c>
      <c r="AR85" s="545">
        <v>0</v>
      </c>
      <c r="AS85" s="563">
        <v>0</v>
      </c>
      <c r="AT85" s="564">
        <v>0</v>
      </c>
      <c r="AU85" s="545">
        <v>0</v>
      </c>
      <c r="AV85" s="563">
        <v>0</v>
      </c>
      <c r="AW85" s="564">
        <v>0</v>
      </c>
      <c r="AX85" s="545">
        <v>0</v>
      </c>
      <c r="AY85" s="563"/>
      <c r="AZ85" s="546"/>
      <c r="BA85" s="546"/>
      <c r="BB85" s="420">
        <f t="shared" si="19"/>
        <v>0</v>
      </c>
      <c r="BC85" s="420">
        <f t="shared" si="19"/>
        <v>0</v>
      </c>
      <c r="BD85" s="420">
        <f t="shared" si="19"/>
        <v>0</v>
      </c>
      <c r="BE85" s="420">
        <f t="shared" si="20"/>
        <v>0</v>
      </c>
      <c r="BF85" s="420">
        <f t="shared" si="20"/>
        <v>0</v>
      </c>
      <c r="BG85" s="420">
        <f t="shared" si="20"/>
        <v>0</v>
      </c>
      <c r="BH85">
        <v>0</v>
      </c>
      <c r="BK85">
        <v>0</v>
      </c>
      <c r="BL85">
        <v>77</v>
      </c>
      <c r="BN85" t="s">
        <v>1258</v>
      </c>
      <c r="CN85" t="s">
        <v>1259</v>
      </c>
      <c r="CR85">
        <v>0</v>
      </c>
      <c r="CS85">
        <v>0</v>
      </c>
      <c r="CT85">
        <v>0</v>
      </c>
    </row>
    <row r="86" spans="1:98">
      <c r="A86" s="1272">
        <v>78</v>
      </c>
      <c r="B86" s="1273"/>
      <c r="C86" s="1287" t="s">
        <v>1260</v>
      </c>
      <c r="D86" s="1288"/>
      <c r="E86" s="1288"/>
      <c r="F86" s="1288"/>
      <c r="G86" s="1288"/>
      <c r="H86" s="1288"/>
      <c r="I86" s="1288"/>
      <c r="J86" s="1288"/>
      <c r="K86" s="1288"/>
      <c r="L86" s="1288"/>
      <c r="M86" s="1288"/>
      <c r="N86" s="1288"/>
      <c r="O86" s="1288"/>
      <c r="P86" s="1288"/>
      <c r="Q86" s="1288"/>
      <c r="R86" s="1288"/>
      <c r="S86" s="1288"/>
      <c r="T86" s="1288"/>
      <c r="U86" s="1288"/>
      <c r="V86" s="1288"/>
      <c r="W86" s="1288"/>
      <c r="X86" s="1288"/>
      <c r="Y86" s="1288"/>
      <c r="Z86" s="1288"/>
      <c r="AA86" s="1288"/>
      <c r="AB86" s="1288"/>
      <c r="AC86" s="1281" t="s">
        <v>1261</v>
      </c>
      <c r="AD86" s="1281"/>
      <c r="AE86" s="1281"/>
      <c r="AF86" s="1281"/>
      <c r="AG86" s="565">
        <v>478347</v>
      </c>
      <c r="AH86" s="566"/>
      <c r="AI86" s="555"/>
      <c r="AJ86" s="565">
        <v>135000</v>
      </c>
      <c r="AK86" s="566"/>
      <c r="AL86" s="555"/>
      <c r="AM86" s="565">
        <v>486959</v>
      </c>
      <c r="AN86" s="566"/>
      <c r="AO86" s="555"/>
      <c r="AP86" s="565">
        <v>999270</v>
      </c>
      <c r="AQ86" s="566"/>
      <c r="AR86" s="555"/>
      <c r="AS86" s="565">
        <v>972000</v>
      </c>
      <c r="AT86" s="566"/>
      <c r="AU86" s="555"/>
      <c r="AV86" s="565">
        <v>229500</v>
      </c>
      <c r="AW86" s="566"/>
      <c r="AX86" s="555"/>
      <c r="AY86" s="565">
        <v>1121669.2913385828</v>
      </c>
      <c r="AZ86" s="556"/>
      <c r="BA86" s="556"/>
      <c r="BB86" s="420">
        <f t="shared" si="19"/>
        <v>1201500</v>
      </c>
      <c r="BC86" s="420">
        <f t="shared" si="19"/>
        <v>0</v>
      </c>
      <c r="BD86" s="420">
        <f t="shared" si="19"/>
        <v>0</v>
      </c>
      <c r="BE86" s="420">
        <f t="shared" si="20"/>
        <v>4422745.2913385825</v>
      </c>
      <c r="BF86" s="420">
        <f t="shared" si="20"/>
        <v>0</v>
      </c>
      <c r="BG86" s="420">
        <f t="shared" si="20"/>
        <v>0</v>
      </c>
      <c r="BH86">
        <v>0</v>
      </c>
      <c r="BK86">
        <v>5605515</v>
      </c>
      <c r="BL86">
        <v>78</v>
      </c>
      <c r="BN86" t="s">
        <v>1260</v>
      </c>
      <c r="CN86" t="s">
        <v>1261</v>
      </c>
      <c r="CR86">
        <v>723138</v>
      </c>
    </row>
    <row r="87" spans="1:98" ht="13.5" thickBot="1">
      <c r="A87" s="1289">
        <v>79</v>
      </c>
      <c r="B87" s="1290"/>
      <c r="C87" s="1317" t="s">
        <v>1262</v>
      </c>
      <c r="D87" s="1318"/>
      <c r="E87" s="1318"/>
      <c r="F87" s="1318"/>
      <c r="G87" s="1318"/>
      <c r="H87" s="1318"/>
      <c r="I87" s="1318"/>
      <c r="J87" s="1318"/>
      <c r="K87" s="1318"/>
      <c r="L87" s="1318"/>
      <c r="M87" s="1318"/>
      <c r="N87" s="1318"/>
      <c r="O87" s="1318"/>
      <c r="P87" s="1318"/>
      <c r="Q87" s="1318"/>
      <c r="R87" s="1318"/>
      <c r="S87" s="1318"/>
      <c r="T87" s="1318"/>
      <c r="U87" s="1318"/>
      <c r="V87" s="1318"/>
      <c r="W87" s="1318"/>
      <c r="X87" s="1318"/>
      <c r="Y87" s="1318"/>
      <c r="Z87" s="1318"/>
      <c r="AA87" s="1318"/>
      <c r="AB87" s="1318"/>
      <c r="AC87" s="1296" t="s">
        <v>1263</v>
      </c>
      <c r="AD87" s="1296"/>
      <c r="AE87" s="1296"/>
      <c r="AF87" s="1296"/>
      <c r="AG87" s="567">
        <f>SUM(AG80:AG86)</f>
        <v>2250002</v>
      </c>
      <c r="AH87" s="568">
        <v>478347</v>
      </c>
      <c r="AI87" s="569">
        <f>SUM(AI80:AI86)</f>
        <v>2250001.85</v>
      </c>
      <c r="AJ87" s="567">
        <f>SUM(AJ80:AJ86)</f>
        <v>635000</v>
      </c>
      <c r="AK87" s="568">
        <v>135000</v>
      </c>
      <c r="AL87" s="569">
        <f>SUM(AL80:AL86)</f>
        <v>635000</v>
      </c>
      <c r="AM87" s="567">
        <f>SUM(AM80:AM86)</f>
        <v>2290500</v>
      </c>
      <c r="AN87" s="568">
        <v>486959</v>
      </c>
      <c r="AO87" s="569">
        <f>SUM(AO80:AO86)</f>
        <v>2290500.0699999998</v>
      </c>
      <c r="AP87" s="567">
        <f>SUM(AP80:AP86)</f>
        <v>4700270</v>
      </c>
      <c r="AQ87" s="568">
        <f>SUM(AQ80:AQ85)</f>
        <v>999270.00000000012</v>
      </c>
      <c r="AR87" s="569">
        <f>SUM(AR80:AR86)</f>
        <v>4700270</v>
      </c>
      <c r="AS87" s="567">
        <f>SUM(AS80:AS86)</f>
        <v>4572000</v>
      </c>
      <c r="AT87" s="568">
        <f>SUM(AT80:AT85)</f>
        <v>972000.00000000012</v>
      </c>
      <c r="AU87" s="569">
        <f>SUM(AU80:AU86)</f>
        <v>4572000</v>
      </c>
      <c r="AV87" s="567">
        <v>1079500</v>
      </c>
      <c r="AW87" s="568">
        <v>229500</v>
      </c>
      <c r="AX87" s="569">
        <v>1079500</v>
      </c>
      <c r="AY87" s="567">
        <v>5276000</v>
      </c>
      <c r="AZ87" s="550"/>
      <c r="BA87" s="550"/>
      <c r="BB87" s="420">
        <f t="shared" si="19"/>
        <v>5651500</v>
      </c>
      <c r="BC87" s="420">
        <f t="shared" si="19"/>
        <v>1201500</v>
      </c>
      <c r="BD87" s="420">
        <f t="shared" si="19"/>
        <v>5651500</v>
      </c>
      <c r="BE87" s="420">
        <f t="shared" si="20"/>
        <v>20803272</v>
      </c>
      <c r="BF87" s="420">
        <f t="shared" si="20"/>
        <v>3301076</v>
      </c>
      <c r="BG87" s="420">
        <f t="shared" si="20"/>
        <v>15527271.92</v>
      </c>
      <c r="BH87">
        <v>0</v>
      </c>
      <c r="BK87">
        <v>26367091</v>
      </c>
      <c r="BL87">
        <v>79</v>
      </c>
      <c r="BN87" t="s">
        <v>1262</v>
      </c>
      <c r="CN87" t="s">
        <v>1263</v>
      </c>
      <c r="CR87">
        <v>3401427</v>
      </c>
      <c r="CS87">
        <v>723138.03</v>
      </c>
      <c r="CT87">
        <v>3401427.0300000003</v>
      </c>
    </row>
    <row r="88" spans="1:98" ht="13.5" thickTop="1">
      <c r="A88" s="1272">
        <v>80</v>
      </c>
      <c r="B88" s="1273"/>
      <c r="C88" s="1305" t="s">
        <v>1264</v>
      </c>
      <c r="D88" s="1306"/>
      <c r="E88" s="1306"/>
      <c r="F88" s="1306"/>
      <c r="G88" s="1306"/>
      <c r="H88" s="1306"/>
      <c r="I88" s="1306"/>
      <c r="J88" s="1306"/>
      <c r="K88" s="1306"/>
      <c r="L88" s="1306"/>
      <c r="M88" s="1306"/>
      <c r="N88" s="1306"/>
      <c r="O88" s="1306"/>
      <c r="P88" s="1306"/>
      <c r="Q88" s="1306"/>
      <c r="R88" s="1306"/>
      <c r="S88" s="1306"/>
      <c r="T88" s="1306"/>
      <c r="U88" s="1306"/>
      <c r="V88" s="1306"/>
      <c r="W88" s="1306"/>
      <c r="X88" s="1306"/>
      <c r="Y88" s="1306"/>
      <c r="Z88" s="1306"/>
      <c r="AA88" s="1306"/>
      <c r="AB88" s="1306"/>
      <c r="AC88" s="1281" t="s">
        <v>1265</v>
      </c>
      <c r="AD88" s="1281"/>
      <c r="AE88" s="1281"/>
      <c r="AF88" s="1281"/>
      <c r="AG88" s="570">
        <v>0</v>
      </c>
      <c r="AH88" s="571">
        <v>0</v>
      </c>
      <c r="AI88" s="572">
        <v>0</v>
      </c>
      <c r="AJ88" s="570">
        <v>0</v>
      </c>
      <c r="AK88" s="571">
        <v>0</v>
      </c>
      <c r="AL88" s="572">
        <v>0</v>
      </c>
      <c r="AM88" s="570">
        <v>0</v>
      </c>
      <c r="AN88" s="571">
        <v>0</v>
      </c>
      <c r="AO88" s="572">
        <v>0</v>
      </c>
      <c r="AP88" s="570">
        <v>0</v>
      </c>
      <c r="AQ88" s="571">
        <v>0</v>
      </c>
      <c r="AR88" s="572">
        <v>0</v>
      </c>
      <c r="AS88" s="570">
        <v>0</v>
      </c>
      <c r="AT88" s="571">
        <v>0</v>
      </c>
      <c r="AU88" s="572">
        <v>0</v>
      </c>
      <c r="AV88" s="570">
        <v>0</v>
      </c>
      <c r="AW88" s="571">
        <v>0</v>
      </c>
      <c r="AX88" s="572">
        <v>0</v>
      </c>
      <c r="AY88" s="570"/>
      <c r="AZ88" s="546"/>
      <c r="BA88" s="546"/>
      <c r="BB88" s="420">
        <f t="shared" si="19"/>
        <v>0</v>
      </c>
      <c r="BC88" s="420">
        <f t="shared" si="19"/>
        <v>0</v>
      </c>
      <c r="BD88" s="420">
        <f t="shared" si="19"/>
        <v>0</v>
      </c>
      <c r="BE88" s="420">
        <f t="shared" si="20"/>
        <v>0</v>
      </c>
      <c r="BF88" s="420">
        <f t="shared" si="20"/>
        <v>0</v>
      </c>
      <c r="BG88" s="420">
        <f t="shared" si="20"/>
        <v>0</v>
      </c>
      <c r="BH88">
        <v>0</v>
      </c>
      <c r="BK88">
        <v>0</v>
      </c>
      <c r="BL88">
        <v>80</v>
      </c>
      <c r="BN88" t="s">
        <v>1264</v>
      </c>
      <c r="CN88" t="s">
        <v>1265</v>
      </c>
      <c r="CR88">
        <v>0</v>
      </c>
      <c r="CS88">
        <v>0</v>
      </c>
      <c r="CT88">
        <v>0</v>
      </c>
    </row>
    <row r="89" spans="1:98">
      <c r="A89" s="1272">
        <v>81</v>
      </c>
      <c r="B89" s="1273"/>
      <c r="C89" s="1305" t="s">
        <v>1266</v>
      </c>
      <c r="D89" s="1306"/>
      <c r="E89" s="1306"/>
      <c r="F89" s="1306"/>
      <c r="G89" s="1306"/>
      <c r="H89" s="1306"/>
      <c r="I89" s="1306"/>
      <c r="J89" s="1306"/>
      <c r="K89" s="1306"/>
      <c r="L89" s="1306"/>
      <c r="M89" s="1306"/>
      <c r="N89" s="1306"/>
      <c r="O89" s="1306"/>
      <c r="P89" s="1306"/>
      <c r="Q89" s="1306"/>
      <c r="R89" s="1306"/>
      <c r="S89" s="1306"/>
      <c r="T89" s="1306"/>
      <c r="U89" s="1306"/>
      <c r="V89" s="1306"/>
      <c r="W89" s="1306"/>
      <c r="X89" s="1306"/>
      <c r="Y89" s="1306"/>
      <c r="Z89" s="1306"/>
      <c r="AA89" s="1306"/>
      <c r="AB89" s="1306"/>
      <c r="AC89" s="1281" t="s">
        <v>1267</v>
      </c>
      <c r="AD89" s="1281"/>
      <c r="AE89" s="1281"/>
      <c r="AF89" s="1281"/>
      <c r="AG89" s="563">
        <v>0</v>
      </c>
      <c r="AH89" s="564">
        <v>0</v>
      </c>
      <c r="AI89" s="545">
        <v>0</v>
      </c>
      <c r="AJ89" s="563">
        <v>0</v>
      </c>
      <c r="AK89" s="564">
        <v>0</v>
      </c>
      <c r="AL89" s="545">
        <v>0</v>
      </c>
      <c r="AM89" s="563">
        <v>0</v>
      </c>
      <c r="AN89" s="564">
        <v>0</v>
      </c>
      <c r="AO89" s="545">
        <v>0</v>
      </c>
      <c r="AP89" s="563">
        <v>0</v>
      </c>
      <c r="AQ89" s="564">
        <v>0</v>
      </c>
      <c r="AR89" s="545">
        <v>0</v>
      </c>
      <c r="AS89" s="563">
        <v>0</v>
      </c>
      <c r="AT89" s="564">
        <v>0</v>
      </c>
      <c r="AU89" s="545">
        <v>0</v>
      </c>
      <c r="AV89" s="563">
        <v>0</v>
      </c>
      <c r="AW89" s="564">
        <v>0</v>
      </c>
      <c r="AX89" s="545">
        <v>0</v>
      </c>
      <c r="AY89" s="563"/>
      <c r="AZ89" s="546"/>
      <c r="BA89" s="546"/>
      <c r="BB89" s="420">
        <f t="shared" si="19"/>
        <v>0</v>
      </c>
      <c r="BC89" s="420">
        <f t="shared" si="19"/>
        <v>0</v>
      </c>
      <c r="BD89" s="420">
        <f t="shared" si="19"/>
        <v>0</v>
      </c>
      <c r="BE89" s="420">
        <f t="shared" si="20"/>
        <v>0</v>
      </c>
      <c r="BF89" s="420">
        <f t="shared" si="20"/>
        <v>0</v>
      </c>
      <c r="BG89" s="420">
        <f t="shared" si="20"/>
        <v>0</v>
      </c>
      <c r="BH89">
        <v>0</v>
      </c>
      <c r="BK89">
        <v>0</v>
      </c>
      <c r="BL89">
        <v>81</v>
      </c>
      <c r="BN89" t="s">
        <v>1266</v>
      </c>
      <c r="CN89" t="s">
        <v>1267</v>
      </c>
      <c r="CR89">
        <v>0</v>
      </c>
      <c r="CS89">
        <v>0</v>
      </c>
      <c r="CT89">
        <v>0</v>
      </c>
    </row>
    <row r="90" spans="1:98">
      <c r="A90" s="1272">
        <v>82</v>
      </c>
      <c r="B90" s="1273"/>
      <c r="C90" s="1305" t="s">
        <v>1268</v>
      </c>
      <c r="D90" s="1306"/>
      <c r="E90" s="1306"/>
      <c r="F90" s="1306"/>
      <c r="G90" s="1306"/>
      <c r="H90" s="1306"/>
      <c r="I90" s="1306"/>
      <c r="J90" s="1306"/>
      <c r="K90" s="1306"/>
      <c r="L90" s="1306"/>
      <c r="M90" s="1306"/>
      <c r="N90" s="1306"/>
      <c r="O90" s="1306"/>
      <c r="P90" s="1306"/>
      <c r="Q90" s="1306"/>
      <c r="R90" s="1306"/>
      <c r="S90" s="1306"/>
      <c r="T90" s="1306"/>
      <c r="U90" s="1306"/>
      <c r="V90" s="1306"/>
      <c r="W90" s="1306"/>
      <c r="X90" s="1306"/>
      <c r="Y90" s="1306"/>
      <c r="Z90" s="1306"/>
      <c r="AA90" s="1306"/>
      <c r="AB90" s="1306"/>
      <c r="AC90" s="1281" t="s">
        <v>1269</v>
      </c>
      <c r="AD90" s="1281"/>
      <c r="AE90" s="1281"/>
      <c r="AF90" s="1281"/>
      <c r="AG90" s="563">
        <v>0</v>
      </c>
      <c r="AH90" s="564">
        <v>0</v>
      </c>
      <c r="AI90" s="545">
        <v>0</v>
      </c>
      <c r="AJ90" s="563">
        <v>0</v>
      </c>
      <c r="AK90" s="564">
        <v>0</v>
      </c>
      <c r="AL90" s="545">
        <v>0</v>
      </c>
      <c r="AM90" s="563">
        <v>0</v>
      </c>
      <c r="AN90" s="564">
        <v>0</v>
      </c>
      <c r="AO90" s="545">
        <v>0</v>
      </c>
      <c r="AP90" s="563">
        <v>0</v>
      </c>
      <c r="AQ90" s="564">
        <v>0</v>
      </c>
      <c r="AR90" s="545">
        <v>0</v>
      </c>
      <c r="AS90" s="563">
        <v>0</v>
      </c>
      <c r="AT90" s="564">
        <v>0</v>
      </c>
      <c r="AU90" s="545">
        <v>0</v>
      </c>
      <c r="AV90" s="563">
        <v>0</v>
      </c>
      <c r="AW90" s="564">
        <v>0</v>
      </c>
      <c r="AX90" s="545">
        <v>0</v>
      </c>
      <c r="AY90" s="563"/>
      <c r="AZ90" s="546"/>
      <c r="BA90" s="546"/>
      <c r="BB90" s="420">
        <f t="shared" si="19"/>
        <v>0</v>
      </c>
      <c r="BC90" s="420">
        <f t="shared" si="19"/>
        <v>0</v>
      </c>
      <c r="BD90" s="420">
        <f t="shared" si="19"/>
        <v>0</v>
      </c>
      <c r="BE90" s="420">
        <f t="shared" si="20"/>
        <v>0</v>
      </c>
      <c r="BF90" s="420">
        <f t="shared" si="20"/>
        <v>0</v>
      </c>
      <c r="BG90" s="420">
        <f t="shared" si="20"/>
        <v>0</v>
      </c>
      <c r="BH90">
        <v>0</v>
      </c>
      <c r="BK90">
        <v>0</v>
      </c>
      <c r="BL90">
        <v>82</v>
      </c>
      <c r="BN90" t="s">
        <v>1268</v>
      </c>
      <c r="CN90" t="s">
        <v>1269</v>
      </c>
      <c r="CR90">
        <v>0</v>
      </c>
      <c r="CS90">
        <v>0</v>
      </c>
      <c r="CT90">
        <v>0</v>
      </c>
    </row>
    <row r="91" spans="1:98">
      <c r="A91" s="1272">
        <v>83</v>
      </c>
      <c r="B91" s="1273"/>
      <c r="C91" s="1305" t="s">
        <v>1270</v>
      </c>
      <c r="D91" s="1306"/>
      <c r="E91" s="1306"/>
      <c r="F91" s="1306"/>
      <c r="G91" s="1306"/>
      <c r="H91" s="1306"/>
      <c r="I91" s="1306"/>
      <c r="J91" s="1306"/>
      <c r="K91" s="1306"/>
      <c r="L91" s="1306"/>
      <c r="M91" s="1306"/>
      <c r="N91" s="1306"/>
      <c r="O91" s="1306"/>
      <c r="P91" s="1306"/>
      <c r="Q91" s="1306"/>
      <c r="R91" s="1306"/>
      <c r="S91" s="1306"/>
      <c r="T91" s="1306"/>
      <c r="U91" s="1306"/>
      <c r="V91" s="1306"/>
      <c r="W91" s="1306"/>
      <c r="X91" s="1306"/>
      <c r="Y91" s="1306"/>
      <c r="Z91" s="1306"/>
      <c r="AA91" s="1306"/>
      <c r="AB91" s="1306"/>
      <c r="AC91" s="1281" t="s">
        <v>1271</v>
      </c>
      <c r="AD91" s="1281"/>
      <c r="AE91" s="1281"/>
      <c r="AF91" s="1281"/>
      <c r="AG91" s="565">
        <v>0</v>
      </c>
      <c r="AH91" s="566"/>
      <c r="AI91" s="555"/>
      <c r="AJ91" s="565">
        <v>0</v>
      </c>
      <c r="AK91" s="566"/>
      <c r="AL91" s="555"/>
      <c r="AM91" s="565">
        <v>0</v>
      </c>
      <c r="AN91" s="566"/>
      <c r="AO91" s="555"/>
      <c r="AP91" s="565">
        <v>0</v>
      </c>
      <c r="AQ91" s="566"/>
      <c r="AR91" s="555"/>
      <c r="AS91" s="565">
        <v>0</v>
      </c>
      <c r="AT91" s="566"/>
      <c r="AU91" s="555"/>
      <c r="AV91" s="565">
        <v>0</v>
      </c>
      <c r="AW91" s="566"/>
      <c r="AX91" s="555"/>
      <c r="AY91" s="565"/>
      <c r="AZ91" s="556"/>
      <c r="BA91" s="556"/>
      <c r="BB91" s="420">
        <f t="shared" si="19"/>
        <v>0</v>
      </c>
      <c r="BC91" s="420">
        <f t="shared" si="19"/>
        <v>0</v>
      </c>
      <c r="BD91" s="420">
        <f t="shared" si="19"/>
        <v>0</v>
      </c>
      <c r="BE91" s="420">
        <f t="shared" si="20"/>
        <v>0</v>
      </c>
      <c r="BF91" s="420">
        <f t="shared" si="20"/>
        <v>0</v>
      </c>
      <c r="BG91" s="420">
        <f t="shared" si="20"/>
        <v>0</v>
      </c>
      <c r="BH91">
        <v>0</v>
      </c>
      <c r="BK91">
        <v>0</v>
      </c>
      <c r="BL91">
        <v>83</v>
      </c>
      <c r="BN91" t="s">
        <v>1270</v>
      </c>
      <c r="CN91" t="s">
        <v>1271</v>
      </c>
      <c r="CR91">
        <v>0</v>
      </c>
    </row>
    <row r="92" spans="1:98" ht="13.5" thickBot="1">
      <c r="A92" s="1289">
        <v>84</v>
      </c>
      <c r="B92" s="1290"/>
      <c r="C92" s="1309" t="s">
        <v>1272</v>
      </c>
      <c r="D92" s="1310"/>
      <c r="E92" s="1310"/>
      <c r="F92" s="1310"/>
      <c r="G92" s="1310"/>
      <c r="H92" s="1310"/>
      <c r="I92" s="1310"/>
      <c r="J92" s="1310"/>
      <c r="K92" s="1310"/>
      <c r="L92" s="1310"/>
      <c r="M92" s="1310"/>
      <c r="N92" s="1310"/>
      <c r="O92" s="1310"/>
      <c r="P92" s="1310"/>
      <c r="Q92" s="1310"/>
      <c r="R92" s="1310"/>
      <c r="S92" s="1310"/>
      <c r="T92" s="1310"/>
      <c r="U92" s="1310"/>
      <c r="V92" s="1310"/>
      <c r="W92" s="1310"/>
      <c r="X92" s="1310"/>
      <c r="Y92" s="1310"/>
      <c r="Z92" s="1310"/>
      <c r="AA92" s="1310"/>
      <c r="AB92" s="1310"/>
      <c r="AC92" s="1296" t="s">
        <v>1273</v>
      </c>
      <c r="AD92" s="1296"/>
      <c r="AE92" s="1296"/>
      <c r="AF92" s="1296"/>
      <c r="AG92" s="573">
        <v>0</v>
      </c>
      <c r="AH92" s="574">
        <v>0</v>
      </c>
      <c r="AI92" s="575">
        <v>0</v>
      </c>
      <c r="AJ92" s="573">
        <v>0</v>
      </c>
      <c r="AK92" s="574">
        <v>0</v>
      </c>
      <c r="AL92" s="575">
        <v>0</v>
      </c>
      <c r="AM92" s="573">
        <v>0</v>
      </c>
      <c r="AN92" s="574">
        <v>0</v>
      </c>
      <c r="AO92" s="575">
        <v>0</v>
      </c>
      <c r="AP92" s="573">
        <v>0</v>
      </c>
      <c r="AQ92" s="574">
        <v>0</v>
      </c>
      <c r="AR92" s="575">
        <v>0</v>
      </c>
      <c r="AS92" s="573">
        <v>0</v>
      </c>
      <c r="AT92" s="574">
        <v>0</v>
      </c>
      <c r="AU92" s="575">
        <v>0</v>
      </c>
      <c r="AV92" s="573">
        <v>0</v>
      </c>
      <c r="AW92" s="574">
        <v>0</v>
      </c>
      <c r="AX92" s="575">
        <v>0</v>
      </c>
      <c r="AY92" s="573"/>
      <c r="AZ92" s="550"/>
      <c r="BA92" s="550"/>
      <c r="BB92" s="420">
        <f t="shared" si="19"/>
        <v>0</v>
      </c>
      <c r="BC92" s="420">
        <f t="shared" si="19"/>
        <v>0</v>
      </c>
      <c r="BD92" s="420">
        <f t="shared" si="19"/>
        <v>0</v>
      </c>
      <c r="BE92" s="420">
        <f t="shared" si="20"/>
        <v>0</v>
      </c>
      <c r="BF92" s="420">
        <f t="shared" si="20"/>
        <v>0</v>
      </c>
      <c r="BG92" s="420">
        <f t="shared" si="20"/>
        <v>0</v>
      </c>
      <c r="BH92">
        <v>0</v>
      </c>
      <c r="BK92">
        <v>0</v>
      </c>
      <c r="BL92">
        <v>84</v>
      </c>
      <c r="BN92" t="s">
        <v>1272</v>
      </c>
      <c r="CN92" t="s">
        <v>1273</v>
      </c>
      <c r="CR92">
        <v>0</v>
      </c>
      <c r="CS92">
        <v>0</v>
      </c>
      <c r="CT92">
        <v>0</v>
      </c>
    </row>
    <row r="93" spans="1:98">
      <c r="A93" s="1272">
        <v>85</v>
      </c>
      <c r="B93" s="1273"/>
      <c r="C93" s="1305" t="s">
        <v>1274</v>
      </c>
      <c r="D93" s="1306"/>
      <c r="E93" s="1306"/>
      <c r="F93" s="1306"/>
      <c r="G93" s="1306"/>
      <c r="H93" s="1306"/>
      <c r="I93" s="1306"/>
      <c r="J93" s="1306"/>
      <c r="K93" s="1306"/>
      <c r="L93" s="1306"/>
      <c r="M93" s="1306"/>
      <c r="N93" s="1306"/>
      <c r="O93" s="1306"/>
      <c r="P93" s="1306"/>
      <c r="Q93" s="1306"/>
      <c r="R93" s="1306"/>
      <c r="S93" s="1306"/>
      <c r="T93" s="1306"/>
      <c r="U93" s="1306"/>
      <c r="V93" s="1306"/>
      <c r="W93" s="1306"/>
      <c r="X93" s="1306"/>
      <c r="Y93" s="1306"/>
      <c r="Z93" s="1306"/>
      <c r="AA93" s="1306"/>
      <c r="AB93" s="1306"/>
      <c r="AC93" s="1281" t="s">
        <v>1275</v>
      </c>
      <c r="AD93" s="1281"/>
      <c r="AE93" s="1281"/>
      <c r="AF93" s="1281"/>
      <c r="AG93" s="576">
        <v>0</v>
      </c>
      <c r="AH93" s="577"/>
      <c r="AI93" s="572">
        <v>0</v>
      </c>
      <c r="AJ93" s="576">
        <v>0</v>
      </c>
      <c r="AK93" s="577"/>
      <c r="AL93" s="572">
        <v>0</v>
      </c>
      <c r="AM93" s="576">
        <v>0</v>
      </c>
      <c r="AN93" s="577"/>
      <c r="AO93" s="572">
        <v>0</v>
      </c>
      <c r="AP93" s="576">
        <v>0</v>
      </c>
      <c r="AQ93" s="577"/>
      <c r="AR93" s="572">
        <v>0</v>
      </c>
      <c r="AS93" s="576">
        <v>0</v>
      </c>
      <c r="AT93" s="577"/>
      <c r="AU93" s="572">
        <v>0</v>
      </c>
      <c r="AV93" s="576">
        <v>0</v>
      </c>
      <c r="AW93" s="577"/>
      <c r="AX93" s="572">
        <v>0</v>
      </c>
      <c r="AY93" s="576"/>
      <c r="AZ93" s="546"/>
      <c r="BA93" s="546"/>
      <c r="BB93" s="420">
        <f t="shared" si="19"/>
        <v>0</v>
      </c>
      <c r="BC93" s="420">
        <f t="shared" si="19"/>
        <v>0</v>
      </c>
      <c r="BD93" s="420">
        <f t="shared" si="19"/>
        <v>0</v>
      </c>
      <c r="BE93" s="420">
        <f t="shared" si="20"/>
        <v>0</v>
      </c>
      <c r="BF93" s="420">
        <f t="shared" si="20"/>
        <v>0</v>
      </c>
      <c r="BG93" s="420">
        <f t="shared" si="20"/>
        <v>0</v>
      </c>
      <c r="BH93">
        <v>0</v>
      </c>
      <c r="BK93">
        <v>0</v>
      </c>
      <c r="BL93">
        <v>85</v>
      </c>
      <c r="BN93" t="s">
        <v>1274</v>
      </c>
      <c r="CN93" t="s">
        <v>1275</v>
      </c>
      <c r="CR93">
        <v>0</v>
      </c>
      <c r="CT93">
        <v>0</v>
      </c>
    </row>
    <row r="94" spans="1:98">
      <c r="A94" s="1272">
        <v>86</v>
      </c>
      <c r="B94" s="1273"/>
      <c r="C94" s="1305" t="s">
        <v>1276</v>
      </c>
      <c r="D94" s="1306"/>
      <c r="E94" s="1306"/>
      <c r="F94" s="1306"/>
      <c r="G94" s="1306"/>
      <c r="H94" s="1306"/>
      <c r="I94" s="1306"/>
      <c r="J94" s="1306"/>
      <c r="K94" s="1306"/>
      <c r="L94" s="1306"/>
      <c r="M94" s="1306"/>
      <c r="N94" s="1306"/>
      <c r="O94" s="1306"/>
      <c r="P94" s="1306"/>
      <c r="Q94" s="1306"/>
      <c r="R94" s="1306"/>
      <c r="S94" s="1306"/>
      <c r="T94" s="1306"/>
      <c r="U94" s="1306"/>
      <c r="V94" s="1306"/>
      <c r="W94" s="1306"/>
      <c r="X94" s="1306"/>
      <c r="Y94" s="1306"/>
      <c r="Z94" s="1306"/>
      <c r="AA94" s="1306"/>
      <c r="AB94" s="1306"/>
      <c r="AC94" s="1281" t="s">
        <v>1277</v>
      </c>
      <c r="AD94" s="1281"/>
      <c r="AE94" s="1281"/>
      <c r="AF94" s="1281"/>
      <c r="AG94" s="543">
        <v>0</v>
      </c>
      <c r="AH94" s="544"/>
      <c r="AI94" s="545">
        <v>0</v>
      </c>
      <c r="AJ94" s="543">
        <v>0</v>
      </c>
      <c r="AK94" s="544"/>
      <c r="AL94" s="545">
        <v>0</v>
      </c>
      <c r="AM94" s="543">
        <v>0</v>
      </c>
      <c r="AN94" s="544"/>
      <c r="AO94" s="545">
        <v>0</v>
      </c>
      <c r="AP94" s="543">
        <v>0</v>
      </c>
      <c r="AQ94" s="544"/>
      <c r="AR94" s="545">
        <v>0</v>
      </c>
      <c r="AS94" s="543">
        <v>0</v>
      </c>
      <c r="AT94" s="544"/>
      <c r="AU94" s="545">
        <v>0</v>
      </c>
      <c r="AV94" s="543">
        <v>0</v>
      </c>
      <c r="AW94" s="544"/>
      <c r="AX94" s="545">
        <v>0</v>
      </c>
      <c r="AY94" s="543"/>
      <c r="AZ94" s="546"/>
      <c r="BA94" s="546"/>
      <c r="BB94" s="420">
        <f t="shared" si="19"/>
        <v>0</v>
      </c>
      <c r="BC94" s="420">
        <f t="shared" si="19"/>
        <v>0</v>
      </c>
      <c r="BD94" s="420">
        <f t="shared" si="19"/>
        <v>0</v>
      </c>
      <c r="BE94" s="420">
        <f t="shared" si="20"/>
        <v>0</v>
      </c>
      <c r="BF94" s="420">
        <f t="shared" si="20"/>
        <v>0</v>
      </c>
      <c r="BG94" s="420">
        <f t="shared" si="20"/>
        <v>0</v>
      </c>
      <c r="BH94">
        <v>0</v>
      </c>
      <c r="BK94">
        <v>0</v>
      </c>
      <c r="BL94">
        <v>86</v>
      </c>
      <c r="BN94" t="s">
        <v>1276</v>
      </c>
      <c r="CN94" t="s">
        <v>1277</v>
      </c>
      <c r="CR94">
        <v>0</v>
      </c>
      <c r="CT94">
        <v>0</v>
      </c>
    </row>
    <row r="95" spans="1:98">
      <c r="A95" s="1272">
        <v>87</v>
      </c>
      <c r="B95" s="1273"/>
      <c r="C95" s="1305" t="s">
        <v>1278</v>
      </c>
      <c r="D95" s="1306"/>
      <c r="E95" s="1306"/>
      <c r="F95" s="1306"/>
      <c r="G95" s="1306"/>
      <c r="H95" s="1306"/>
      <c r="I95" s="1306"/>
      <c r="J95" s="1306"/>
      <c r="K95" s="1306"/>
      <c r="L95" s="1306"/>
      <c r="M95" s="1306"/>
      <c r="N95" s="1306"/>
      <c r="O95" s="1306"/>
      <c r="P95" s="1306"/>
      <c r="Q95" s="1306"/>
      <c r="R95" s="1306"/>
      <c r="S95" s="1306"/>
      <c r="T95" s="1306"/>
      <c r="U95" s="1306"/>
      <c r="V95" s="1306"/>
      <c r="W95" s="1306"/>
      <c r="X95" s="1306"/>
      <c r="Y95" s="1306"/>
      <c r="Z95" s="1306"/>
      <c r="AA95" s="1306"/>
      <c r="AB95" s="1306"/>
      <c r="AC95" s="1281" t="s">
        <v>1279</v>
      </c>
      <c r="AD95" s="1281"/>
      <c r="AE95" s="1281"/>
      <c r="AF95" s="1281"/>
      <c r="AG95" s="543">
        <v>0</v>
      </c>
      <c r="AH95" s="544"/>
      <c r="AI95" s="545">
        <v>0</v>
      </c>
      <c r="AJ95" s="543">
        <v>0</v>
      </c>
      <c r="AK95" s="544"/>
      <c r="AL95" s="545">
        <v>0</v>
      </c>
      <c r="AM95" s="543">
        <v>0</v>
      </c>
      <c r="AN95" s="544"/>
      <c r="AO95" s="545">
        <v>0</v>
      </c>
      <c r="AP95" s="543">
        <v>0</v>
      </c>
      <c r="AQ95" s="544"/>
      <c r="AR95" s="545">
        <v>0</v>
      </c>
      <c r="AS95" s="543">
        <v>0</v>
      </c>
      <c r="AT95" s="544"/>
      <c r="AU95" s="545">
        <v>0</v>
      </c>
      <c r="AV95" s="543">
        <v>0</v>
      </c>
      <c r="AW95" s="544"/>
      <c r="AX95" s="545">
        <v>0</v>
      </c>
      <c r="AY95" s="543"/>
      <c r="AZ95" s="546"/>
      <c r="BA95" s="546"/>
      <c r="BB95" s="420">
        <f t="shared" si="19"/>
        <v>0</v>
      </c>
      <c r="BC95" s="420">
        <f t="shared" si="19"/>
        <v>0</v>
      </c>
      <c r="BD95" s="420">
        <f t="shared" si="19"/>
        <v>0</v>
      </c>
      <c r="BE95" s="420">
        <f t="shared" si="20"/>
        <v>0</v>
      </c>
      <c r="BF95" s="420">
        <f t="shared" si="20"/>
        <v>0</v>
      </c>
      <c r="BG95" s="420">
        <f t="shared" si="20"/>
        <v>0</v>
      </c>
      <c r="BH95">
        <v>0</v>
      </c>
      <c r="BK95">
        <v>0</v>
      </c>
      <c r="BL95">
        <v>87</v>
      </c>
      <c r="BN95" t="s">
        <v>1278</v>
      </c>
      <c r="CN95" t="s">
        <v>1279</v>
      </c>
      <c r="CR95">
        <v>0</v>
      </c>
      <c r="CT95">
        <v>0</v>
      </c>
    </row>
    <row r="96" spans="1:98">
      <c r="A96" s="1272">
        <v>88</v>
      </c>
      <c r="B96" s="1273"/>
      <c r="C96" s="1305" t="s">
        <v>1280</v>
      </c>
      <c r="D96" s="1306"/>
      <c r="E96" s="1306"/>
      <c r="F96" s="1306"/>
      <c r="G96" s="1306"/>
      <c r="H96" s="1306"/>
      <c r="I96" s="1306"/>
      <c r="J96" s="1306"/>
      <c r="K96" s="1306"/>
      <c r="L96" s="1306"/>
      <c r="M96" s="1306"/>
      <c r="N96" s="1306"/>
      <c r="O96" s="1306"/>
      <c r="P96" s="1306"/>
      <c r="Q96" s="1306"/>
      <c r="R96" s="1306"/>
      <c r="S96" s="1306"/>
      <c r="T96" s="1306"/>
      <c r="U96" s="1306"/>
      <c r="V96" s="1306"/>
      <c r="W96" s="1306"/>
      <c r="X96" s="1306"/>
      <c r="Y96" s="1306"/>
      <c r="Z96" s="1306"/>
      <c r="AA96" s="1306"/>
      <c r="AB96" s="1306"/>
      <c r="AC96" s="1281" t="s">
        <v>1281</v>
      </c>
      <c r="AD96" s="1281"/>
      <c r="AE96" s="1281"/>
      <c r="AF96" s="1281"/>
      <c r="AG96" s="543">
        <v>0</v>
      </c>
      <c r="AH96" s="544"/>
      <c r="AI96" s="545">
        <v>0</v>
      </c>
      <c r="AJ96" s="543">
        <v>0</v>
      </c>
      <c r="AK96" s="544"/>
      <c r="AL96" s="545">
        <v>0</v>
      </c>
      <c r="AM96" s="543">
        <v>0</v>
      </c>
      <c r="AN96" s="544"/>
      <c r="AO96" s="545">
        <v>0</v>
      </c>
      <c r="AP96" s="543">
        <v>0</v>
      </c>
      <c r="AQ96" s="544"/>
      <c r="AR96" s="545">
        <v>0</v>
      </c>
      <c r="AS96" s="543">
        <v>0</v>
      </c>
      <c r="AT96" s="544"/>
      <c r="AU96" s="545">
        <v>0</v>
      </c>
      <c r="AV96" s="543">
        <v>0</v>
      </c>
      <c r="AW96" s="544"/>
      <c r="AX96" s="545">
        <v>0</v>
      </c>
      <c r="AY96" s="543"/>
      <c r="AZ96" s="546"/>
      <c r="BA96" s="546"/>
      <c r="BB96" s="420">
        <f t="shared" si="19"/>
        <v>0</v>
      </c>
      <c r="BC96" s="420">
        <f t="shared" si="19"/>
        <v>0</v>
      </c>
      <c r="BD96" s="420">
        <f t="shared" si="19"/>
        <v>0</v>
      </c>
      <c r="BE96" s="420">
        <f t="shared" si="20"/>
        <v>0</v>
      </c>
      <c r="BF96" s="420">
        <f t="shared" si="20"/>
        <v>0</v>
      </c>
      <c r="BG96" s="420">
        <f t="shared" si="20"/>
        <v>0</v>
      </c>
      <c r="BH96">
        <v>0</v>
      </c>
      <c r="BK96">
        <v>0</v>
      </c>
      <c r="BL96">
        <v>88</v>
      </c>
      <c r="BN96" t="s">
        <v>1280</v>
      </c>
      <c r="CN96" t="s">
        <v>1281</v>
      </c>
      <c r="CR96">
        <v>0</v>
      </c>
      <c r="CT96">
        <v>0</v>
      </c>
    </row>
    <row r="97" spans="1:98">
      <c r="A97" s="1272">
        <v>89</v>
      </c>
      <c r="B97" s="1273"/>
      <c r="C97" s="1305" t="s">
        <v>1282</v>
      </c>
      <c r="D97" s="1306"/>
      <c r="E97" s="1306"/>
      <c r="F97" s="1306"/>
      <c r="G97" s="1306"/>
      <c r="H97" s="1306"/>
      <c r="I97" s="1306"/>
      <c r="J97" s="1306"/>
      <c r="K97" s="1306"/>
      <c r="L97" s="1306"/>
      <c r="M97" s="1306"/>
      <c r="N97" s="1306"/>
      <c r="O97" s="1306"/>
      <c r="P97" s="1306"/>
      <c r="Q97" s="1306"/>
      <c r="R97" s="1306"/>
      <c r="S97" s="1306"/>
      <c r="T97" s="1306"/>
      <c r="U97" s="1306"/>
      <c r="V97" s="1306"/>
      <c r="W97" s="1306"/>
      <c r="X97" s="1306"/>
      <c r="Y97" s="1306"/>
      <c r="Z97" s="1306"/>
      <c r="AA97" s="1306"/>
      <c r="AB97" s="1306"/>
      <c r="AC97" s="1281" t="s">
        <v>1283</v>
      </c>
      <c r="AD97" s="1281"/>
      <c r="AE97" s="1281"/>
      <c r="AF97" s="1281"/>
      <c r="AG97" s="543">
        <v>0</v>
      </c>
      <c r="AH97" s="544"/>
      <c r="AI97" s="545">
        <v>0</v>
      </c>
      <c r="AJ97" s="543">
        <v>0</v>
      </c>
      <c r="AK97" s="544"/>
      <c r="AL97" s="545">
        <v>0</v>
      </c>
      <c r="AM97" s="543">
        <v>0</v>
      </c>
      <c r="AN97" s="544"/>
      <c r="AO97" s="545">
        <v>0</v>
      </c>
      <c r="AP97" s="543">
        <v>0</v>
      </c>
      <c r="AQ97" s="544"/>
      <c r="AR97" s="545">
        <v>0</v>
      </c>
      <c r="AS97" s="543">
        <v>0</v>
      </c>
      <c r="AT97" s="544"/>
      <c r="AU97" s="545">
        <v>0</v>
      </c>
      <c r="AV97" s="543">
        <v>0</v>
      </c>
      <c r="AW97" s="544"/>
      <c r="AX97" s="545">
        <v>0</v>
      </c>
      <c r="AY97" s="543"/>
      <c r="AZ97" s="546"/>
      <c r="BA97" s="546"/>
      <c r="BB97" s="420">
        <f t="shared" si="19"/>
        <v>0</v>
      </c>
      <c r="BC97" s="420">
        <f t="shared" si="19"/>
        <v>0</v>
      </c>
      <c r="BD97" s="420">
        <f t="shared" si="19"/>
        <v>0</v>
      </c>
      <c r="BE97" s="420">
        <f t="shared" si="20"/>
        <v>0</v>
      </c>
      <c r="BF97" s="420">
        <f t="shared" si="20"/>
        <v>0</v>
      </c>
      <c r="BG97" s="420">
        <f t="shared" si="20"/>
        <v>0</v>
      </c>
      <c r="BH97">
        <v>0</v>
      </c>
      <c r="BK97">
        <v>0</v>
      </c>
      <c r="BL97">
        <v>89</v>
      </c>
      <c r="BN97" t="s">
        <v>1282</v>
      </c>
      <c r="CN97" t="s">
        <v>1283</v>
      </c>
      <c r="CR97">
        <v>0</v>
      </c>
      <c r="CT97">
        <v>0</v>
      </c>
    </row>
    <row r="98" spans="1:98">
      <c r="A98" s="1272">
        <v>90</v>
      </c>
      <c r="B98" s="1273"/>
      <c r="C98" s="1305" t="s">
        <v>1284</v>
      </c>
      <c r="D98" s="1306"/>
      <c r="E98" s="1306"/>
      <c r="F98" s="1306"/>
      <c r="G98" s="1306"/>
      <c r="H98" s="1306"/>
      <c r="I98" s="1306"/>
      <c r="J98" s="1306"/>
      <c r="K98" s="1306"/>
      <c r="L98" s="1306"/>
      <c r="M98" s="1306"/>
      <c r="N98" s="1306"/>
      <c r="O98" s="1306"/>
      <c r="P98" s="1306"/>
      <c r="Q98" s="1306"/>
      <c r="R98" s="1306"/>
      <c r="S98" s="1306"/>
      <c r="T98" s="1306"/>
      <c r="U98" s="1306"/>
      <c r="V98" s="1306"/>
      <c r="W98" s="1306"/>
      <c r="X98" s="1306"/>
      <c r="Y98" s="1306"/>
      <c r="Z98" s="1306"/>
      <c r="AA98" s="1306"/>
      <c r="AB98" s="1306"/>
      <c r="AC98" s="1281" t="s">
        <v>1285</v>
      </c>
      <c r="AD98" s="1281"/>
      <c r="AE98" s="1281"/>
      <c r="AF98" s="1281"/>
      <c r="AG98" s="543">
        <v>0</v>
      </c>
      <c r="AH98" s="544"/>
      <c r="AI98" s="545">
        <v>0</v>
      </c>
      <c r="AJ98" s="543">
        <v>0</v>
      </c>
      <c r="AK98" s="544"/>
      <c r="AL98" s="545">
        <v>0</v>
      </c>
      <c r="AM98" s="543">
        <v>0</v>
      </c>
      <c r="AN98" s="544"/>
      <c r="AO98" s="545">
        <v>0</v>
      </c>
      <c r="AP98" s="543">
        <v>0</v>
      </c>
      <c r="AQ98" s="544"/>
      <c r="AR98" s="545">
        <v>0</v>
      </c>
      <c r="AS98" s="543">
        <v>0</v>
      </c>
      <c r="AT98" s="544"/>
      <c r="AU98" s="545">
        <v>0</v>
      </c>
      <c r="AV98" s="543">
        <v>0</v>
      </c>
      <c r="AW98" s="544"/>
      <c r="AX98" s="545">
        <v>0</v>
      </c>
      <c r="AY98" s="543"/>
      <c r="AZ98" s="546"/>
      <c r="BA98" s="546"/>
      <c r="BB98" s="420">
        <f t="shared" si="19"/>
        <v>0</v>
      </c>
      <c r="BC98" s="420">
        <f t="shared" si="19"/>
        <v>0</v>
      </c>
      <c r="BD98" s="420">
        <f t="shared" si="19"/>
        <v>0</v>
      </c>
      <c r="BE98" s="420">
        <f t="shared" si="20"/>
        <v>0</v>
      </c>
      <c r="BF98" s="420">
        <f t="shared" si="20"/>
        <v>0</v>
      </c>
      <c r="BG98" s="420">
        <f t="shared" si="20"/>
        <v>0</v>
      </c>
      <c r="BH98">
        <v>0</v>
      </c>
      <c r="BK98">
        <v>0</v>
      </c>
      <c r="BL98">
        <v>90</v>
      </c>
      <c r="BN98" t="s">
        <v>1284</v>
      </c>
      <c r="CN98" t="s">
        <v>1285</v>
      </c>
      <c r="CR98">
        <v>0</v>
      </c>
      <c r="CT98">
        <v>0</v>
      </c>
    </row>
    <row r="99" spans="1:98">
      <c r="A99" s="1272">
        <v>91</v>
      </c>
      <c r="B99" s="1273"/>
      <c r="C99" s="1305" t="s">
        <v>1286</v>
      </c>
      <c r="D99" s="1306"/>
      <c r="E99" s="1306"/>
      <c r="F99" s="1306"/>
      <c r="G99" s="1306"/>
      <c r="H99" s="1306"/>
      <c r="I99" s="1306"/>
      <c r="J99" s="1306"/>
      <c r="K99" s="1306"/>
      <c r="L99" s="1306"/>
      <c r="M99" s="1306"/>
      <c r="N99" s="1306"/>
      <c r="O99" s="1306"/>
      <c r="P99" s="1306"/>
      <c r="Q99" s="1306"/>
      <c r="R99" s="1306"/>
      <c r="S99" s="1306"/>
      <c r="T99" s="1306"/>
      <c r="U99" s="1306"/>
      <c r="V99" s="1306"/>
      <c r="W99" s="1306"/>
      <c r="X99" s="1306"/>
      <c r="Y99" s="1306"/>
      <c r="Z99" s="1306"/>
      <c r="AA99" s="1306"/>
      <c r="AB99" s="1306"/>
      <c r="AC99" s="1281" t="s">
        <v>1287</v>
      </c>
      <c r="AD99" s="1281"/>
      <c r="AE99" s="1281"/>
      <c r="AF99" s="1281"/>
      <c r="AG99" s="543">
        <v>0</v>
      </c>
      <c r="AH99" s="544"/>
      <c r="AI99" s="545">
        <v>0</v>
      </c>
      <c r="AJ99" s="543">
        <v>0</v>
      </c>
      <c r="AK99" s="544"/>
      <c r="AL99" s="545">
        <v>0</v>
      </c>
      <c r="AM99" s="543">
        <v>0</v>
      </c>
      <c r="AN99" s="544"/>
      <c r="AO99" s="545">
        <v>0</v>
      </c>
      <c r="AP99" s="543">
        <v>0</v>
      </c>
      <c r="AQ99" s="544"/>
      <c r="AR99" s="545">
        <v>0</v>
      </c>
      <c r="AS99" s="543">
        <v>0</v>
      </c>
      <c r="AT99" s="544"/>
      <c r="AU99" s="545">
        <v>0</v>
      </c>
      <c r="AV99" s="543">
        <v>0</v>
      </c>
      <c r="AW99" s="544"/>
      <c r="AX99" s="545">
        <v>0</v>
      </c>
      <c r="AY99" s="543"/>
      <c r="AZ99" s="546"/>
      <c r="BA99" s="546"/>
      <c r="BB99" s="420">
        <f t="shared" si="19"/>
        <v>0</v>
      </c>
      <c r="BC99" s="420">
        <f t="shared" si="19"/>
        <v>0</v>
      </c>
      <c r="BD99" s="420">
        <f t="shared" si="19"/>
        <v>0</v>
      </c>
      <c r="BE99" s="420">
        <f t="shared" si="20"/>
        <v>0</v>
      </c>
      <c r="BF99" s="420">
        <f t="shared" si="20"/>
        <v>0</v>
      </c>
      <c r="BG99" s="420">
        <f t="shared" si="20"/>
        <v>0</v>
      </c>
      <c r="BH99">
        <v>0</v>
      </c>
      <c r="BK99">
        <v>0</v>
      </c>
      <c r="BL99">
        <v>91</v>
      </c>
      <c r="BN99" t="s">
        <v>1286</v>
      </c>
      <c r="CN99" t="s">
        <v>1287</v>
      </c>
      <c r="CR99">
        <v>0</v>
      </c>
      <c r="CT99">
        <v>0</v>
      </c>
    </row>
    <row r="100" spans="1:98">
      <c r="A100" s="1272">
        <v>92</v>
      </c>
      <c r="B100" s="1273"/>
      <c r="C100" s="1305" t="s">
        <v>1288</v>
      </c>
      <c r="D100" s="1306"/>
      <c r="E100" s="1306"/>
      <c r="F100" s="1306"/>
      <c r="G100" s="1306"/>
      <c r="H100" s="1306"/>
      <c r="I100" s="1306"/>
      <c r="J100" s="1306"/>
      <c r="K100" s="1306"/>
      <c r="L100" s="1306"/>
      <c r="M100" s="1306"/>
      <c r="N100" s="1306"/>
      <c r="O100" s="1306"/>
      <c r="P100" s="1306"/>
      <c r="Q100" s="1306"/>
      <c r="R100" s="1306"/>
      <c r="S100" s="1306"/>
      <c r="T100" s="1306"/>
      <c r="U100" s="1306"/>
      <c r="V100" s="1306"/>
      <c r="W100" s="1306"/>
      <c r="X100" s="1306"/>
      <c r="Y100" s="1306"/>
      <c r="Z100" s="1306"/>
      <c r="AA100" s="1306"/>
      <c r="AB100" s="1306"/>
      <c r="AC100" s="1281" t="s">
        <v>1289</v>
      </c>
      <c r="AD100" s="1281"/>
      <c r="AE100" s="1281"/>
      <c r="AF100" s="1281"/>
      <c r="AG100" s="543">
        <v>0</v>
      </c>
      <c r="AH100" s="544"/>
      <c r="AI100" s="545">
        <v>0</v>
      </c>
      <c r="AJ100" s="543">
        <v>0</v>
      </c>
      <c r="AK100" s="544"/>
      <c r="AL100" s="545">
        <v>0</v>
      </c>
      <c r="AM100" s="543">
        <v>0</v>
      </c>
      <c r="AN100" s="544"/>
      <c r="AO100" s="545">
        <v>0</v>
      </c>
      <c r="AP100" s="543">
        <v>0</v>
      </c>
      <c r="AQ100" s="544"/>
      <c r="AR100" s="545">
        <v>0</v>
      </c>
      <c r="AS100" s="543">
        <v>0</v>
      </c>
      <c r="AT100" s="544"/>
      <c r="AU100" s="545">
        <v>0</v>
      </c>
      <c r="AV100" s="543">
        <v>0</v>
      </c>
      <c r="AW100" s="544"/>
      <c r="AX100" s="545">
        <v>0</v>
      </c>
      <c r="AY100" s="543"/>
      <c r="AZ100" s="546"/>
      <c r="BA100" s="546"/>
      <c r="BB100" s="420">
        <f t="shared" si="19"/>
        <v>0</v>
      </c>
      <c r="BC100" s="420">
        <f t="shared" si="19"/>
        <v>0</v>
      </c>
      <c r="BD100" s="420">
        <f t="shared" si="19"/>
        <v>0</v>
      </c>
      <c r="BE100" s="420">
        <f t="shared" si="20"/>
        <v>0</v>
      </c>
      <c r="BF100" s="420">
        <f t="shared" si="20"/>
        <v>0</v>
      </c>
      <c r="BG100" s="420">
        <f t="shared" si="20"/>
        <v>0</v>
      </c>
      <c r="BH100">
        <v>0</v>
      </c>
      <c r="BK100">
        <v>0</v>
      </c>
      <c r="BL100">
        <v>92</v>
      </c>
      <c r="BN100" t="s">
        <v>1288</v>
      </c>
      <c r="CN100" t="s">
        <v>1289</v>
      </c>
      <c r="CR100">
        <v>0</v>
      </c>
      <c r="CT100">
        <v>0</v>
      </c>
    </row>
    <row r="101" spans="1:98">
      <c r="A101" s="1272">
        <v>93</v>
      </c>
      <c r="B101" s="1273"/>
      <c r="C101" s="1305" t="s">
        <v>1290</v>
      </c>
      <c r="D101" s="1306"/>
      <c r="E101" s="1306"/>
      <c r="F101" s="1306"/>
      <c r="G101" s="1306"/>
      <c r="H101" s="1306"/>
      <c r="I101" s="1306"/>
      <c r="J101" s="1306"/>
      <c r="K101" s="1306"/>
      <c r="L101" s="1306"/>
      <c r="M101" s="1306"/>
      <c r="N101" s="1306"/>
      <c r="O101" s="1306"/>
      <c r="P101" s="1306"/>
      <c r="Q101" s="1306"/>
      <c r="R101" s="1306"/>
      <c r="S101" s="1306"/>
      <c r="T101" s="1306"/>
      <c r="U101" s="1306"/>
      <c r="V101" s="1306"/>
      <c r="W101" s="1306"/>
      <c r="X101" s="1306"/>
      <c r="Y101" s="1306"/>
      <c r="Z101" s="1306"/>
      <c r="AA101" s="1306"/>
      <c r="AB101" s="1306"/>
      <c r="AC101" s="1281" t="s">
        <v>1291</v>
      </c>
      <c r="AD101" s="1281"/>
      <c r="AE101" s="1281"/>
      <c r="AF101" s="1281"/>
      <c r="AG101" s="543">
        <v>0</v>
      </c>
      <c r="AH101" s="544"/>
      <c r="AI101" s="545">
        <v>0</v>
      </c>
      <c r="AJ101" s="543">
        <v>0</v>
      </c>
      <c r="AK101" s="544"/>
      <c r="AL101" s="545">
        <v>0</v>
      </c>
      <c r="AM101" s="543">
        <v>0</v>
      </c>
      <c r="AN101" s="544"/>
      <c r="AO101" s="545">
        <v>0</v>
      </c>
      <c r="AP101" s="543">
        <v>0</v>
      </c>
      <c r="AQ101" s="544"/>
      <c r="AR101" s="545">
        <v>0</v>
      </c>
      <c r="AS101" s="543">
        <v>0</v>
      </c>
      <c r="AT101" s="544"/>
      <c r="AU101" s="545">
        <v>0</v>
      </c>
      <c r="AV101" s="543">
        <v>0</v>
      </c>
      <c r="AW101" s="544"/>
      <c r="AX101" s="545">
        <v>0</v>
      </c>
      <c r="AY101" s="543"/>
      <c r="AZ101" s="546"/>
      <c r="BA101" s="546"/>
      <c r="BB101" s="420">
        <f t="shared" si="19"/>
        <v>0</v>
      </c>
      <c r="BC101" s="420">
        <f t="shared" si="19"/>
        <v>0</v>
      </c>
      <c r="BD101" s="420">
        <f t="shared" si="19"/>
        <v>0</v>
      </c>
      <c r="BE101" s="420">
        <f t="shared" si="20"/>
        <v>0</v>
      </c>
      <c r="BF101" s="420">
        <f t="shared" si="20"/>
        <v>0</v>
      </c>
      <c r="BG101" s="420">
        <f t="shared" si="20"/>
        <v>0</v>
      </c>
      <c r="BH101">
        <v>0</v>
      </c>
      <c r="BK101">
        <v>0</v>
      </c>
      <c r="BL101">
        <v>93</v>
      </c>
      <c r="BN101" t="s">
        <v>1290</v>
      </c>
      <c r="CN101" t="s">
        <v>1291</v>
      </c>
      <c r="CR101">
        <v>0</v>
      </c>
      <c r="CT101">
        <v>0</v>
      </c>
    </row>
    <row r="102" spans="1:98">
      <c r="A102" s="1289">
        <v>94</v>
      </c>
      <c r="B102" s="1290"/>
      <c r="C102" s="1309" t="s">
        <v>1292</v>
      </c>
      <c r="D102" s="1310"/>
      <c r="E102" s="1310"/>
      <c r="F102" s="1310"/>
      <c r="G102" s="1310"/>
      <c r="H102" s="1310"/>
      <c r="I102" s="1310"/>
      <c r="J102" s="1310"/>
      <c r="K102" s="1310"/>
      <c r="L102" s="1310"/>
      <c r="M102" s="1310"/>
      <c r="N102" s="1310"/>
      <c r="O102" s="1310"/>
      <c r="P102" s="1310"/>
      <c r="Q102" s="1310"/>
      <c r="R102" s="1310"/>
      <c r="S102" s="1310"/>
      <c r="T102" s="1310"/>
      <c r="U102" s="1310"/>
      <c r="V102" s="1310"/>
      <c r="W102" s="1310"/>
      <c r="X102" s="1310"/>
      <c r="Y102" s="1310"/>
      <c r="Z102" s="1310"/>
      <c r="AA102" s="1310"/>
      <c r="AB102" s="1310"/>
      <c r="AC102" s="1296" t="s">
        <v>1293</v>
      </c>
      <c r="AD102" s="1296"/>
      <c r="AE102" s="1296"/>
      <c r="AF102" s="1296"/>
      <c r="AG102" s="547">
        <v>0</v>
      </c>
      <c r="AH102" s="548"/>
      <c r="AI102" s="549">
        <v>0</v>
      </c>
      <c r="AJ102" s="547">
        <v>0</v>
      </c>
      <c r="AK102" s="548"/>
      <c r="AL102" s="549">
        <v>0</v>
      </c>
      <c r="AM102" s="547">
        <v>0</v>
      </c>
      <c r="AN102" s="548"/>
      <c r="AO102" s="549">
        <v>0</v>
      </c>
      <c r="AP102" s="547">
        <v>0</v>
      </c>
      <c r="AQ102" s="548"/>
      <c r="AR102" s="549">
        <v>0</v>
      </c>
      <c r="AS102" s="547">
        <v>0</v>
      </c>
      <c r="AT102" s="578"/>
      <c r="AU102" s="549">
        <v>0</v>
      </c>
      <c r="AV102" s="547">
        <v>0</v>
      </c>
      <c r="AW102" s="548"/>
      <c r="AX102" s="549">
        <v>0</v>
      </c>
      <c r="AY102" s="547"/>
      <c r="AZ102" s="550"/>
      <c r="BA102" s="550"/>
      <c r="BB102" s="420">
        <f t="shared" si="19"/>
        <v>0</v>
      </c>
      <c r="BC102" s="420">
        <f t="shared" si="19"/>
        <v>0</v>
      </c>
      <c r="BD102" s="420">
        <f t="shared" si="19"/>
        <v>0</v>
      </c>
      <c r="BE102" s="420">
        <f t="shared" si="20"/>
        <v>0</v>
      </c>
      <c r="BF102" s="420">
        <f t="shared" si="20"/>
        <v>0</v>
      </c>
      <c r="BG102" s="420">
        <f t="shared" si="20"/>
        <v>0</v>
      </c>
      <c r="BH102">
        <v>0</v>
      </c>
      <c r="BK102">
        <v>0</v>
      </c>
      <c r="BL102">
        <v>94</v>
      </c>
      <c r="BN102" t="s">
        <v>1292</v>
      </c>
      <c r="CN102" t="s">
        <v>1293</v>
      </c>
      <c r="CR102">
        <v>0</v>
      </c>
      <c r="CT102">
        <v>0</v>
      </c>
    </row>
    <row r="103" spans="1:98" ht="13.5" thickBot="1">
      <c r="A103" s="1289">
        <v>95</v>
      </c>
      <c r="B103" s="1290"/>
      <c r="C103" s="1317" t="s">
        <v>1294</v>
      </c>
      <c r="D103" s="1318"/>
      <c r="E103" s="1318"/>
      <c r="F103" s="1318"/>
      <c r="G103" s="1318"/>
      <c r="H103" s="1318"/>
      <c r="I103" s="1318"/>
      <c r="J103" s="1318"/>
      <c r="K103" s="1318"/>
      <c r="L103" s="1318"/>
      <c r="M103" s="1318"/>
      <c r="N103" s="1318"/>
      <c r="O103" s="1318"/>
      <c r="P103" s="1318"/>
      <c r="Q103" s="1318"/>
      <c r="R103" s="1318"/>
      <c r="S103" s="1318"/>
      <c r="T103" s="1318"/>
      <c r="U103" s="1318"/>
      <c r="V103" s="1318"/>
      <c r="W103" s="1318"/>
      <c r="X103" s="1318"/>
      <c r="Y103" s="1318"/>
      <c r="Z103" s="1318"/>
      <c r="AA103" s="1318"/>
      <c r="AB103" s="1318"/>
      <c r="AC103" s="1321" t="s">
        <v>1295</v>
      </c>
      <c r="AD103" s="1322"/>
      <c r="AE103" s="1322"/>
      <c r="AF103" s="1323"/>
      <c r="AG103" s="574">
        <f t="shared" ref="AG103:AP103" si="21">AG27+AG28+AG53+AG62+AG79+AG87</f>
        <v>153447313</v>
      </c>
      <c r="AH103" s="574">
        <f t="shared" si="21"/>
        <v>3953965.1667160001</v>
      </c>
      <c r="AI103" s="574">
        <f t="shared" si="21"/>
        <v>153447313.016716</v>
      </c>
      <c r="AJ103" s="574">
        <f t="shared" si="21"/>
        <v>39455804</v>
      </c>
      <c r="AK103" s="574">
        <f t="shared" si="21"/>
        <v>2091060</v>
      </c>
      <c r="AL103" s="574">
        <f t="shared" si="21"/>
        <v>39455804</v>
      </c>
      <c r="AM103" s="574">
        <f t="shared" si="21"/>
        <v>41957362</v>
      </c>
      <c r="AN103" s="574">
        <f t="shared" si="21"/>
        <v>3053763.6</v>
      </c>
      <c r="AO103" s="574">
        <f t="shared" si="21"/>
        <v>41957361.670000002</v>
      </c>
      <c r="AP103" s="574">
        <f t="shared" si="21"/>
        <v>339187719</v>
      </c>
      <c r="AQ103" s="574">
        <v>4730480</v>
      </c>
      <c r="AR103" s="574">
        <f>AR27+AR28+AR53+AR62+AR79+AR87</f>
        <v>339187719</v>
      </c>
      <c r="AS103" s="574">
        <f>AS27+AS28+AS53+AS62+AS79+AS87</f>
        <v>239028848</v>
      </c>
      <c r="AT103" s="574">
        <f>AT87+AT53</f>
        <v>27079628.02685352</v>
      </c>
      <c r="AU103" s="574">
        <f>AU27+AU28+AU53+AU62+AU79+AU87</f>
        <v>239028848.0268535</v>
      </c>
      <c r="AV103" s="574">
        <v>84003418</v>
      </c>
      <c r="AW103" s="574">
        <v>7682364</v>
      </c>
      <c r="AX103" s="574">
        <v>84003418</v>
      </c>
      <c r="AY103" s="574">
        <v>226753222.82999998</v>
      </c>
      <c r="AZ103" s="579"/>
      <c r="BA103" s="579"/>
      <c r="BB103" s="420">
        <f t="shared" si="19"/>
        <v>323032266</v>
      </c>
      <c r="BC103" s="420">
        <f t="shared" si="19"/>
        <v>34761992.026853517</v>
      </c>
      <c r="BD103" s="420">
        <f t="shared" si="19"/>
        <v>323032266.0268535</v>
      </c>
      <c r="BE103" s="420">
        <f t="shared" si="20"/>
        <v>1123833686.8299999</v>
      </c>
      <c r="BF103" s="420">
        <f t="shared" si="20"/>
        <v>48591260.79356952</v>
      </c>
      <c r="BG103" s="420">
        <f t="shared" si="20"/>
        <v>897080463.71356964</v>
      </c>
      <c r="BH103">
        <v>109660186</v>
      </c>
      <c r="BK103">
        <v>412458849</v>
      </c>
      <c r="BL103">
        <v>95</v>
      </c>
      <c r="BN103" t="s">
        <v>1294</v>
      </c>
      <c r="CN103" t="s">
        <v>1295</v>
      </c>
      <c r="CR103">
        <v>77752349</v>
      </c>
      <c r="CS103">
        <v>4833597.43</v>
      </c>
      <c r="CT103">
        <v>77752349.430000007</v>
      </c>
    </row>
    <row r="104" spans="1:98">
      <c r="A104" s="580"/>
      <c r="B104" s="580"/>
      <c r="C104" s="581"/>
      <c r="D104" s="581"/>
      <c r="E104" s="581"/>
      <c r="F104" s="581"/>
      <c r="G104" s="581"/>
      <c r="H104" s="581"/>
      <c r="I104" s="581"/>
      <c r="J104" s="581"/>
      <c r="K104" s="581"/>
      <c r="L104" s="581"/>
      <c r="M104" s="581"/>
      <c r="N104" s="581"/>
      <c r="O104" s="581"/>
      <c r="P104" s="581"/>
      <c r="Q104" s="581"/>
      <c r="R104" s="581"/>
      <c r="S104" s="581"/>
      <c r="T104" s="581"/>
      <c r="U104" s="581"/>
      <c r="V104" s="581"/>
      <c r="W104" s="581"/>
      <c r="X104" s="581"/>
      <c r="Y104" s="581"/>
      <c r="Z104" s="581"/>
      <c r="AA104" s="581"/>
      <c r="AB104" s="581"/>
      <c r="AC104" s="582"/>
      <c r="AD104" s="582"/>
      <c r="AE104" s="582"/>
      <c r="AF104" s="583" t="s">
        <v>1296</v>
      </c>
      <c r="AG104" s="584">
        <v>153447313</v>
      </c>
      <c r="AH104" s="585">
        <v>3953965</v>
      </c>
      <c r="AI104" s="585">
        <v>153447313</v>
      </c>
      <c r="AJ104" s="584">
        <v>39455804</v>
      </c>
      <c r="AK104" s="585">
        <v>2091060</v>
      </c>
      <c r="AL104" s="585">
        <v>39455804</v>
      </c>
      <c r="AM104" s="584">
        <v>41957362</v>
      </c>
      <c r="AN104" s="585">
        <v>3053764</v>
      </c>
      <c r="AO104" s="585">
        <v>41957362</v>
      </c>
      <c r="AP104" s="584">
        <v>339187719</v>
      </c>
      <c r="AQ104" s="585">
        <v>4730480</v>
      </c>
      <c r="AR104" s="585">
        <v>339187719</v>
      </c>
      <c r="AS104" s="584">
        <v>239028848</v>
      </c>
      <c r="AT104" s="585">
        <v>27079628</v>
      </c>
      <c r="AU104" s="585">
        <v>239028848</v>
      </c>
      <c r="AV104" s="585">
        <v>84003418</v>
      </c>
      <c r="AW104" s="585">
        <v>7682364</v>
      </c>
      <c r="AX104" s="585">
        <v>84585078</v>
      </c>
      <c r="AY104" s="585"/>
      <c r="AZ104" s="585"/>
      <c r="BA104" s="585"/>
      <c r="BB104" s="420">
        <f t="shared" si="19"/>
        <v>323032266</v>
      </c>
      <c r="BC104" s="420">
        <f t="shared" si="19"/>
        <v>34761992</v>
      </c>
      <c r="BD104" s="420">
        <f t="shared" si="19"/>
        <v>323613926</v>
      </c>
      <c r="BE104" s="420">
        <f t="shared" si="20"/>
        <v>897080464</v>
      </c>
      <c r="BF104" s="420">
        <f t="shared" si="20"/>
        <v>48591261</v>
      </c>
      <c r="BG104" s="420">
        <f t="shared" si="20"/>
        <v>897662124</v>
      </c>
      <c r="BH104">
        <v>0</v>
      </c>
      <c r="CQ104" t="s">
        <v>1296</v>
      </c>
      <c r="CR104">
        <v>77752349</v>
      </c>
      <c r="CS104">
        <v>4833597</v>
      </c>
      <c r="CT104">
        <v>77752349</v>
      </c>
    </row>
    <row r="105" spans="1:98" ht="13.5" thickBot="1">
      <c r="A105" s="586"/>
      <c r="B105" s="586"/>
      <c r="C105" s="587"/>
      <c r="D105" s="587"/>
      <c r="E105" s="587"/>
      <c r="F105" s="587"/>
      <c r="G105" s="587"/>
      <c r="H105" s="587"/>
      <c r="I105" s="587"/>
      <c r="J105" s="587"/>
      <c r="K105" s="587"/>
      <c r="L105" s="587"/>
      <c r="M105" s="587"/>
      <c r="N105" s="587"/>
      <c r="O105" s="587"/>
      <c r="P105" s="587"/>
      <c r="Q105" s="587"/>
      <c r="R105" s="587"/>
      <c r="S105" s="587"/>
      <c r="T105" s="587"/>
      <c r="U105" s="587"/>
      <c r="V105" s="587"/>
      <c r="W105" s="587"/>
      <c r="X105" s="587"/>
      <c r="Y105" s="587"/>
      <c r="Z105" s="587"/>
      <c r="AA105" s="587"/>
      <c r="AB105" s="587"/>
      <c r="AC105" s="588"/>
      <c r="AD105" s="588"/>
      <c r="AE105" s="588"/>
      <c r="AF105" s="588"/>
      <c r="AG105" s="523"/>
      <c r="AH105" s="523"/>
      <c r="AI105" s="523"/>
      <c r="AJ105" s="523"/>
      <c r="AK105" s="523"/>
      <c r="AL105" s="523"/>
      <c r="AM105" s="523"/>
      <c r="AN105" s="523"/>
      <c r="AO105" s="523"/>
      <c r="AP105" s="523"/>
      <c r="AQ105" s="523"/>
      <c r="AR105" s="523"/>
      <c r="AS105" s="523"/>
      <c r="AT105" s="523"/>
      <c r="AU105" s="523"/>
      <c r="AV105" s="523"/>
      <c r="AW105" s="523"/>
      <c r="AX105" s="523"/>
      <c r="AY105" s="523"/>
      <c r="AZ105" s="523"/>
      <c r="BA105" s="523"/>
      <c r="BB105" s="420">
        <f t="shared" si="19"/>
        <v>0</v>
      </c>
      <c r="BC105" s="420">
        <f t="shared" si="19"/>
        <v>0</v>
      </c>
      <c r="BD105" s="420">
        <f t="shared" si="19"/>
        <v>0</v>
      </c>
      <c r="BE105" s="420">
        <f t="shared" si="20"/>
        <v>0</v>
      </c>
      <c r="BF105" s="420">
        <f t="shared" si="20"/>
        <v>0</v>
      </c>
      <c r="BG105" s="420">
        <f t="shared" si="20"/>
        <v>0</v>
      </c>
      <c r="BH105">
        <v>0</v>
      </c>
    </row>
    <row r="106" spans="1:98">
      <c r="A106" s="586"/>
      <c r="B106" s="589"/>
      <c r="C106" s="588"/>
      <c r="D106" s="588"/>
      <c r="E106" s="588"/>
      <c r="F106" s="588"/>
      <c r="G106" s="588"/>
      <c r="H106" s="588"/>
      <c r="I106" s="588"/>
      <c r="J106" s="588"/>
      <c r="K106" s="588"/>
      <c r="L106" s="588"/>
      <c r="M106" s="588"/>
      <c r="N106" s="588"/>
      <c r="O106" s="588"/>
      <c r="P106" s="588"/>
      <c r="Q106" s="588"/>
      <c r="R106" s="588"/>
      <c r="S106" s="588"/>
      <c r="T106" s="588"/>
      <c r="U106" s="588"/>
      <c r="V106" s="588"/>
      <c r="W106" s="588"/>
      <c r="X106" s="588"/>
      <c r="Y106" s="588"/>
      <c r="Z106" s="588"/>
      <c r="AA106" s="588"/>
      <c r="AB106" s="588"/>
      <c r="AC106" s="590"/>
      <c r="AD106" s="590"/>
      <c r="AE106" s="590"/>
      <c r="AF106" s="590"/>
      <c r="AG106" s="1319"/>
      <c r="AH106" s="1319"/>
      <c r="AI106" s="1320"/>
      <c r="AJ106" s="1319"/>
      <c r="AK106" s="1319"/>
      <c r="AL106" s="1320"/>
      <c r="AM106" s="1319"/>
      <c r="AN106" s="1319"/>
      <c r="AO106" s="1320"/>
      <c r="AP106" s="1319"/>
      <c r="AQ106" s="1319"/>
      <c r="AR106" s="1320"/>
      <c r="AS106" s="1319"/>
      <c r="AT106" s="1319"/>
      <c r="AU106" s="1320"/>
      <c r="AV106" s="1319"/>
      <c r="AW106" s="1319"/>
      <c r="AX106" s="1320"/>
      <c r="AY106" s="591"/>
      <c r="AZ106" s="529"/>
      <c r="BA106" s="529"/>
      <c r="BB106" s="420">
        <f t="shared" si="19"/>
        <v>0</v>
      </c>
      <c r="BC106" s="420">
        <f t="shared" si="19"/>
        <v>0</v>
      </c>
      <c r="BD106" s="420">
        <f t="shared" si="19"/>
        <v>0</v>
      </c>
      <c r="BE106" s="420">
        <f t="shared" si="20"/>
        <v>0</v>
      </c>
      <c r="BF106" s="420">
        <f t="shared" si="20"/>
        <v>0</v>
      </c>
      <c r="BG106" s="420">
        <f t="shared" si="20"/>
        <v>0</v>
      </c>
      <c r="BH106" t="s">
        <v>1298</v>
      </c>
    </row>
    <row r="107" spans="1:98" ht="15" customHeight="1">
      <c r="A107" s="1331"/>
      <c r="B107" s="1332"/>
      <c r="C107" s="1335" t="s">
        <v>1297</v>
      </c>
      <c r="D107" s="1335"/>
      <c r="E107" s="1335"/>
      <c r="F107" s="1335"/>
      <c r="G107" s="1335"/>
      <c r="H107" s="1335"/>
      <c r="I107" s="1335"/>
      <c r="J107" s="1335"/>
      <c r="K107" s="1335"/>
      <c r="L107" s="1335"/>
      <c r="M107" s="1335"/>
      <c r="N107" s="1335"/>
      <c r="O107" s="1335"/>
      <c r="P107" s="1335"/>
      <c r="Q107" s="1335"/>
      <c r="R107" s="1335"/>
      <c r="S107" s="1335"/>
      <c r="T107" s="1335"/>
      <c r="U107" s="1335"/>
      <c r="V107" s="1335"/>
      <c r="W107" s="1335"/>
      <c r="X107" s="1335"/>
      <c r="Y107" s="1335"/>
      <c r="Z107" s="1335"/>
      <c r="AA107" s="1335"/>
      <c r="AB107" s="1336"/>
      <c r="AC107" s="1339" t="s">
        <v>1087</v>
      </c>
      <c r="AD107" s="1255"/>
      <c r="AE107" s="1255"/>
      <c r="AF107" s="1256"/>
      <c r="AG107" s="1324" t="s">
        <v>1298</v>
      </c>
      <c r="AH107" s="1325"/>
      <c r="AI107" s="1326"/>
      <c r="AJ107" s="1324" t="s">
        <v>1298</v>
      </c>
      <c r="AK107" s="1325"/>
      <c r="AL107" s="1326"/>
      <c r="AM107" s="1324" t="s">
        <v>1298</v>
      </c>
      <c r="AN107" s="1325"/>
      <c r="AO107" s="1326"/>
      <c r="AP107" s="1324" t="s">
        <v>1298</v>
      </c>
      <c r="AQ107" s="1325"/>
      <c r="AR107" s="1326"/>
      <c r="AS107" s="1324" t="s">
        <v>1298</v>
      </c>
      <c r="AT107" s="1325"/>
      <c r="AU107" s="1326"/>
      <c r="AV107" s="1324" t="s">
        <v>1298</v>
      </c>
      <c r="AW107" s="1325"/>
      <c r="AX107" s="1326"/>
      <c r="AY107" s="592"/>
      <c r="AZ107" s="529"/>
      <c r="BA107" s="529"/>
      <c r="BB107" s="420" t="e">
        <f t="shared" si="19"/>
        <v>#VALUE!</v>
      </c>
      <c r="BC107" s="420">
        <f t="shared" si="19"/>
        <v>0</v>
      </c>
      <c r="BD107" s="420">
        <f t="shared" si="19"/>
        <v>0</v>
      </c>
      <c r="BE107" s="420" t="e">
        <f t="shared" si="20"/>
        <v>#VALUE!</v>
      </c>
      <c r="BF107" s="420">
        <f t="shared" si="20"/>
        <v>0</v>
      </c>
      <c r="BG107" s="420">
        <f t="shared" si="20"/>
        <v>0</v>
      </c>
      <c r="BH107" t="s">
        <v>1478</v>
      </c>
      <c r="BN107" t="s">
        <v>1297</v>
      </c>
      <c r="CN107" t="s">
        <v>1087</v>
      </c>
      <c r="CR107" t="s">
        <v>1298</v>
      </c>
    </row>
    <row r="108" spans="1:98" ht="45">
      <c r="A108" s="1333"/>
      <c r="B108" s="1334"/>
      <c r="C108" s="1337"/>
      <c r="D108" s="1337"/>
      <c r="E108" s="1337"/>
      <c r="F108" s="1337"/>
      <c r="G108" s="1337"/>
      <c r="H108" s="1337"/>
      <c r="I108" s="1337"/>
      <c r="J108" s="1337"/>
      <c r="K108" s="1337"/>
      <c r="L108" s="1337"/>
      <c r="M108" s="1337"/>
      <c r="N108" s="1337"/>
      <c r="O108" s="1337"/>
      <c r="P108" s="1337"/>
      <c r="Q108" s="1337"/>
      <c r="R108" s="1337"/>
      <c r="S108" s="1337"/>
      <c r="T108" s="1337"/>
      <c r="U108" s="1337"/>
      <c r="V108" s="1337"/>
      <c r="W108" s="1337"/>
      <c r="X108" s="1337"/>
      <c r="Y108" s="1337"/>
      <c r="Z108" s="1337"/>
      <c r="AA108" s="1337"/>
      <c r="AB108" s="1338"/>
      <c r="AC108" s="1340"/>
      <c r="AD108" s="1259"/>
      <c r="AE108" s="1259"/>
      <c r="AF108" s="1260"/>
      <c r="AG108" s="593" t="s">
        <v>1094</v>
      </c>
      <c r="AH108" s="593" t="s">
        <v>1095</v>
      </c>
      <c r="AI108" s="594" t="s">
        <v>1096</v>
      </c>
      <c r="AJ108" s="593" t="s">
        <v>1094</v>
      </c>
      <c r="AK108" s="593" t="s">
        <v>1095</v>
      </c>
      <c r="AL108" s="594" t="s">
        <v>1096</v>
      </c>
      <c r="AM108" s="593" t="s">
        <v>1094</v>
      </c>
      <c r="AN108" s="593" t="s">
        <v>1095</v>
      </c>
      <c r="AO108" s="594" t="s">
        <v>1096</v>
      </c>
      <c r="AP108" s="593" t="s">
        <v>1094</v>
      </c>
      <c r="AQ108" s="593" t="s">
        <v>1095</v>
      </c>
      <c r="AR108" s="594" t="s">
        <v>1096</v>
      </c>
      <c r="AS108" s="593" t="s">
        <v>1094</v>
      </c>
      <c r="AT108" s="593" t="s">
        <v>1095</v>
      </c>
      <c r="AU108" s="594" t="s">
        <v>1096</v>
      </c>
      <c r="AV108" s="593" t="s">
        <v>1094</v>
      </c>
      <c r="AW108" s="593" t="s">
        <v>1095</v>
      </c>
      <c r="AX108" s="594" t="s">
        <v>1096</v>
      </c>
      <c r="AY108" s="593"/>
      <c r="AZ108" s="529"/>
      <c r="BA108" s="529"/>
      <c r="BB108" s="420" t="e">
        <f t="shared" si="19"/>
        <v>#VALUE!</v>
      </c>
      <c r="BC108" s="420" t="e">
        <f t="shared" si="19"/>
        <v>#VALUE!</v>
      </c>
      <c r="BD108" s="420" t="e">
        <f t="shared" si="19"/>
        <v>#VALUE!</v>
      </c>
      <c r="BE108" s="420" t="e">
        <f t="shared" si="20"/>
        <v>#VALUE!</v>
      </c>
      <c r="BF108" s="420" t="e">
        <f t="shared" si="20"/>
        <v>#VALUE!</v>
      </c>
      <c r="BG108" s="420" t="e">
        <f t="shared" si="20"/>
        <v>#VALUE!</v>
      </c>
      <c r="CR108" t="s">
        <v>1094</v>
      </c>
      <c r="CS108" t="s">
        <v>1095</v>
      </c>
      <c r="CT108" t="s">
        <v>1096</v>
      </c>
    </row>
    <row r="109" spans="1:98">
      <c r="A109" s="1327" t="s">
        <v>1098</v>
      </c>
      <c r="B109" s="1328"/>
      <c r="C109" s="1279" t="s">
        <v>1299</v>
      </c>
      <c r="D109" s="1280"/>
      <c r="E109" s="1280"/>
      <c r="F109" s="1280"/>
      <c r="G109" s="1280"/>
      <c r="H109" s="1280"/>
      <c r="I109" s="1280"/>
      <c r="J109" s="1280"/>
      <c r="K109" s="1280"/>
      <c r="L109" s="1280"/>
      <c r="M109" s="1280"/>
      <c r="N109" s="1280"/>
      <c r="O109" s="1280"/>
      <c r="P109" s="1280"/>
      <c r="Q109" s="1280"/>
      <c r="R109" s="1280"/>
      <c r="S109" s="1280"/>
      <c r="T109" s="1280"/>
      <c r="U109" s="1280"/>
      <c r="V109" s="1280"/>
      <c r="W109" s="1280"/>
      <c r="X109" s="1280"/>
      <c r="Y109" s="1280"/>
      <c r="Z109" s="1280"/>
      <c r="AA109" s="1280"/>
      <c r="AB109" s="1329"/>
      <c r="AC109" s="1287" t="s">
        <v>1300</v>
      </c>
      <c r="AD109" s="1288"/>
      <c r="AE109" s="1288"/>
      <c r="AF109" s="1330"/>
      <c r="AG109" s="595">
        <v>0</v>
      </c>
      <c r="AH109" s="595">
        <v>0</v>
      </c>
      <c r="AI109" s="596">
        <v>0</v>
      </c>
      <c r="AJ109" s="595">
        <v>0</v>
      </c>
      <c r="AK109" s="595">
        <v>0</v>
      </c>
      <c r="AL109" s="596">
        <v>0</v>
      </c>
      <c r="AM109" s="595">
        <v>0</v>
      </c>
      <c r="AN109" s="595">
        <v>0</v>
      </c>
      <c r="AO109" s="596">
        <v>0</v>
      </c>
      <c r="AP109" s="595">
        <v>0</v>
      </c>
      <c r="AQ109" s="595">
        <v>0</v>
      </c>
      <c r="AR109" s="596">
        <v>0</v>
      </c>
      <c r="AS109" s="595">
        <v>0</v>
      </c>
      <c r="AT109" s="597"/>
      <c r="AU109" s="596">
        <v>0</v>
      </c>
      <c r="AV109" s="595">
        <v>0</v>
      </c>
      <c r="AW109" s="595">
        <v>0</v>
      </c>
      <c r="AX109" s="596">
        <v>0</v>
      </c>
      <c r="AY109" s="595"/>
      <c r="AZ109" s="598"/>
      <c r="BA109" s="598"/>
      <c r="BB109" s="420">
        <f t="shared" si="19"/>
        <v>0</v>
      </c>
      <c r="BC109" s="420">
        <f t="shared" si="19"/>
        <v>0</v>
      </c>
      <c r="BD109" s="420">
        <f t="shared" si="19"/>
        <v>0</v>
      </c>
      <c r="BE109" s="420">
        <f t="shared" si="20"/>
        <v>0</v>
      </c>
      <c r="BF109" s="420">
        <f t="shared" si="20"/>
        <v>0</v>
      </c>
      <c r="BG109" s="420">
        <f t="shared" si="20"/>
        <v>0</v>
      </c>
      <c r="BH109">
        <v>0</v>
      </c>
      <c r="BK109">
        <v>0</v>
      </c>
      <c r="BL109" t="s">
        <v>1098</v>
      </c>
      <c r="BN109" t="s">
        <v>1299</v>
      </c>
      <c r="CN109" t="s">
        <v>1300</v>
      </c>
      <c r="CR109">
        <v>0</v>
      </c>
      <c r="CS109">
        <v>0</v>
      </c>
      <c r="CT109">
        <v>0</v>
      </c>
    </row>
    <row r="110" spans="1:98">
      <c r="A110" s="1327" t="s">
        <v>1101</v>
      </c>
      <c r="B110" s="1328"/>
      <c r="C110" s="1285" t="s">
        <v>1301</v>
      </c>
      <c r="D110" s="1286"/>
      <c r="E110" s="1286"/>
      <c r="F110" s="1286"/>
      <c r="G110" s="1286"/>
      <c r="H110" s="1286"/>
      <c r="I110" s="1286"/>
      <c r="J110" s="1286"/>
      <c r="K110" s="1286"/>
      <c r="L110" s="1286"/>
      <c r="M110" s="1286"/>
      <c r="N110" s="1286"/>
      <c r="O110" s="1286"/>
      <c r="P110" s="1286"/>
      <c r="Q110" s="1286"/>
      <c r="R110" s="1286"/>
      <c r="S110" s="1286"/>
      <c r="T110" s="1286"/>
      <c r="U110" s="1286"/>
      <c r="V110" s="1286"/>
      <c r="W110" s="1286"/>
      <c r="X110" s="1286"/>
      <c r="Y110" s="1286"/>
      <c r="Z110" s="1286"/>
      <c r="AA110" s="1286"/>
      <c r="AB110" s="1341"/>
      <c r="AC110" s="1287" t="s">
        <v>1302</v>
      </c>
      <c r="AD110" s="1288"/>
      <c r="AE110" s="1288"/>
      <c r="AF110" s="1330"/>
      <c r="AG110" s="595">
        <v>0</v>
      </c>
      <c r="AH110" s="595">
        <v>0</v>
      </c>
      <c r="AI110" s="596">
        <v>0</v>
      </c>
      <c r="AJ110" s="595">
        <v>0</v>
      </c>
      <c r="AK110" s="595">
        <v>0</v>
      </c>
      <c r="AL110" s="596">
        <v>0</v>
      </c>
      <c r="AM110" s="595">
        <v>0</v>
      </c>
      <c r="AN110" s="595">
        <v>0</v>
      </c>
      <c r="AO110" s="596">
        <v>0</v>
      </c>
      <c r="AP110" s="595">
        <v>0</v>
      </c>
      <c r="AQ110" s="595">
        <v>0</v>
      </c>
      <c r="AR110" s="596">
        <v>0</v>
      </c>
      <c r="AS110" s="595">
        <v>0</v>
      </c>
      <c r="AT110" s="597"/>
      <c r="AU110" s="596">
        <v>0</v>
      </c>
      <c r="AV110" s="595">
        <v>0</v>
      </c>
      <c r="AW110" s="595">
        <v>0</v>
      </c>
      <c r="AX110" s="596">
        <v>0</v>
      </c>
      <c r="AY110" s="595"/>
      <c r="AZ110" s="598"/>
      <c r="BA110" s="598"/>
      <c r="BB110" s="420">
        <f t="shared" si="19"/>
        <v>0</v>
      </c>
      <c r="BC110" s="420">
        <f t="shared" si="19"/>
        <v>0</v>
      </c>
      <c r="BD110" s="420">
        <f t="shared" si="19"/>
        <v>0</v>
      </c>
      <c r="BE110" s="420">
        <f t="shared" si="20"/>
        <v>0</v>
      </c>
      <c r="BF110" s="420">
        <f t="shared" si="20"/>
        <v>0</v>
      </c>
      <c r="BG110" s="420">
        <f t="shared" si="20"/>
        <v>0</v>
      </c>
      <c r="BH110">
        <v>0</v>
      </c>
      <c r="BK110">
        <v>0</v>
      </c>
      <c r="BL110" t="s">
        <v>1101</v>
      </c>
      <c r="BN110" t="s">
        <v>1301</v>
      </c>
      <c r="CN110" t="s">
        <v>1302</v>
      </c>
      <c r="CR110">
        <v>0</v>
      </c>
      <c r="CS110">
        <v>0</v>
      </c>
      <c r="CT110">
        <v>0</v>
      </c>
    </row>
    <row r="111" spans="1:98">
      <c r="A111" s="1327" t="s">
        <v>1104</v>
      </c>
      <c r="B111" s="1328"/>
      <c r="C111" s="1285" t="s">
        <v>1303</v>
      </c>
      <c r="D111" s="1286"/>
      <c r="E111" s="1286"/>
      <c r="F111" s="1286"/>
      <c r="G111" s="1286"/>
      <c r="H111" s="1286"/>
      <c r="I111" s="1286"/>
      <c r="J111" s="1286"/>
      <c r="K111" s="1286"/>
      <c r="L111" s="1286"/>
      <c r="M111" s="1286"/>
      <c r="N111" s="1286"/>
      <c r="O111" s="1286"/>
      <c r="P111" s="1286"/>
      <c r="Q111" s="1286"/>
      <c r="R111" s="1286"/>
      <c r="S111" s="1286"/>
      <c r="T111" s="1286"/>
      <c r="U111" s="1286"/>
      <c r="V111" s="1286"/>
      <c r="W111" s="1286"/>
      <c r="X111" s="1286"/>
      <c r="Y111" s="1286"/>
      <c r="Z111" s="1286"/>
      <c r="AA111" s="1286"/>
      <c r="AB111" s="1341"/>
      <c r="AC111" s="1287" t="s">
        <v>1304</v>
      </c>
      <c r="AD111" s="1288"/>
      <c r="AE111" s="1288"/>
      <c r="AF111" s="1330"/>
      <c r="AG111" s="595">
        <v>0</v>
      </c>
      <c r="AH111" s="595">
        <v>0</v>
      </c>
      <c r="AI111" s="596">
        <v>0</v>
      </c>
      <c r="AJ111" s="595">
        <v>0</v>
      </c>
      <c r="AK111" s="595">
        <v>0</v>
      </c>
      <c r="AL111" s="596">
        <v>0</v>
      </c>
      <c r="AM111" s="595">
        <v>0</v>
      </c>
      <c r="AN111" s="595">
        <v>0</v>
      </c>
      <c r="AO111" s="596">
        <v>0</v>
      </c>
      <c r="AP111" s="595">
        <v>0</v>
      </c>
      <c r="AQ111" s="595">
        <v>0</v>
      </c>
      <c r="AR111" s="596">
        <v>0</v>
      </c>
      <c r="AS111" s="595">
        <v>0</v>
      </c>
      <c r="AT111" s="597"/>
      <c r="AU111" s="596">
        <v>0</v>
      </c>
      <c r="AV111" s="595">
        <v>0</v>
      </c>
      <c r="AW111" s="595">
        <v>0</v>
      </c>
      <c r="AX111" s="596">
        <v>0</v>
      </c>
      <c r="AY111" s="595"/>
      <c r="AZ111" s="598"/>
      <c r="BA111" s="598"/>
      <c r="BB111" s="420">
        <f t="shared" si="19"/>
        <v>0</v>
      </c>
      <c r="BC111" s="420">
        <f t="shared" si="19"/>
        <v>0</v>
      </c>
      <c r="BD111" s="420">
        <f t="shared" si="19"/>
        <v>0</v>
      </c>
      <c r="BE111" s="420">
        <f t="shared" si="20"/>
        <v>0</v>
      </c>
      <c r="BF111" s="420">
        <f t="shared" si="20"/>
        <v>0</v>
      </c>
      <c r="BG111" s="420">
        <f t="shared" si="20"/>
        <v>0</v>
      </c>
      <c r="BH111">
        <v>0</v>
      </c>
      <c r="BK111">
        <v>0</v>
      </c>
      <c r="BL111" t="s">
        <v>1104</v>
      </c>
      <c r="BN111" t="s">
        <v>1303</v>
      </c>
      <c r="CN111" t="s">
        <v>1304</v>
      </c>
      <c r="CR111">
        <v>0</v>
      </c>
      <c r="CS111">
        <v>0</v>
      </c>
      <c r="CT111">
        <v>0</v>
      </c>
    </row>
    <row r="112" spans="1:98">
      <c r="A112" s="1327" t="s">
        <v>1107</v>
      </c>
      <c r="B112" s="1328"/>
      <c r="C112" s="1285" t="s">
        <v>1305</v>
      </c>
      <c r="D112" s="1286"/>
      <c r="E112" s="1286"/>
      <c r="F112" s="1286"/>
      <c r="G112" s="1286"/>
      <c r="H112" s="1286"/>
      <c r="I112" s="1286"/>
      <c r="J112" s="1286"/>
      <c r="K112" s="1286"/>
      <c r="L112" s="1286"/>
      <c r="M112" s="1286"/>
      <c r="N112" s="1286"/>
      <c r="O112" s="1286"/>
      <c r="P112" s="1286"/>
      <c r="Q112" s="1286"/>
      <c r="R112" s="1286"/>
      <c r="S112" s="1286"/>
      <c r="T112" s="1286"/>
      <c r="U112" s="1286"/>
      <c r="V112" s="1286"/>
      <c r="W112" s="1286"/>
      <c r="X112" s="1286"/>
      <c r="Y112" s="1286"/>
      <c r="Z112" s="1286"/>
      <c r="AA112" s="1286"/>
      <c r="AB112" s="1341"/>
      <c r="AC112" s="1287" t="s">
        <v>1306</v>
      </c>
      <c r="AD112" s="1288"/>
      <c r="AE112" s="1288"/>
      <c r="AF112" s="1330"/>
      <c r="AG112" s="595">
        <v>0</v>
      </c>
      <c r="AH112" s="595">
        <v>0</v>
      </c>
      <c r="AI112" s="596">
        <v>0</v>
      </c>
      <c r="AJ112" s="595">
        <v>0</v>
      </c>
      <c r="AK112" s="595">
        <v>0</v>
      </c>
      <c r="AL112" s="596">
        <v>0</v>
      </c>
      <c r="AM112" s="595">
        <v>0</v>
      </c>
      <c r="AN112" s="595">
        <v>0</v>
      </c>
      <c r="AO112" s="596">
        <v>0</v>
      </c>
      <c r="AP112" s="595">
        <v>0</v>
      </c>
      <c r="AQ112" s="595">
        <v>0</v>
      </c>
      <c r="AR112" s="596">
        <v>0</v>
      </c>
      <c r="AS112" s="595">
        <v>0</v>
      </c>
      <c r="AT112" s="597"/>
      <c r="AU112" s="596">
        <v>0</v>
      </c>
      <c r="AV112" s="595">
        <v>0</v>
      </c>
      <c r="AW112" s="595">
        <v>0</v>
      </c>
      <c r="AX112" s="596">
        <v>0</v>
      </c>
      <c r="AY112" s="595"/>
      <c r="AZ112" s="598"/>
      <c r="BA112" s="598"/>
      <c r="BB112" s="420">
        <f t="shared" si="19"/>
        <v>0</v>
      </c>
      <c r="BC112" s="420">
        <f t="shared" si="19"/>
        <v>0</v>
      </c>
      <c r="BD112" s="420">
        <f t="shared" si="19"/>
        <v>0</v>
      </c>
      <c r="BE112" s="420">
        <f t="shared" si="20"/>
        <v>0</v>
      </c>
      <c r="BF112" s="420">
        <f t="shared" si="20"/>
        <v>0</v>
      </c>
      <c r="BG112" s="420">
        <f t="shared" si="20"/>
        <v>0</v>
      </c>
      <c r="BH112">
        <v>0</v>
      </c>
      <c r="BK112">
        <v>0</v>
      </c>
      <c r="BL112" t="s">
        <v>1107</v>
      </c>
      <c r="BN112" t="s">
        <v>1305</v>
      </c>
      <c r="CN112" t="s">
        <v>1306</v>
      </c>
      <c r="CR112">
        <v>0</v>
      </c>
      <c r="CS112">
        <v>0</v>
      </c>
      <c r="CT112">
        <v>0</v>
      </c>
    </row>
    <row r="113" spans="1:98">
      <c r="A113" s="1327" t="s">
        <v>1110</v>
      </c>
      <c r="B113" s="1328"/>
      <c r="C113" s="1285" t="s">
        <v>1307</v>
      </c>
      <c r="D113" s="1286"/>
      <c r="E113" s="1286"/>
      <c r="F113" s="1286"/>
      <c r="G113" s="1286"/>
      <c r="H113" s="1286"/>
      <c r="I113" s="1286"/>
      <c r="J113" s="1286"/>
      <c r="K113" s="1286"/>
      <c r="L113" s="1286"/>
      <c r="M113" s="1286"/>
      <c r="N113" s="1286"/>
      <c r="O113" s="1286"/>
      <c r="P113" s="1286"/>
      <c r="Q113" s="1286"/>
      <c r="R113" s="1286"/>
      <c r="S113" s="1286"/>
      <c r="T113" s="1286"/>
      <c r="U113" s="1286"/>
      <c r="V113" s="1286"/>
      <c r="W113" s="1286"/>
      <c r="X113" s="1286"/>
      <c r="Y113" s="1286"/>
      <c r="Z113" s="1286"/>
      <c r="AA113" s="1286"/>
      <c r="AB113" s="1341"/>
      <c r="AC113" s="1287" t="s">
        <v>1308</v>
      </c>
      <c r="AD113" s="1288"/>
      <c r="AE113" s="1288"/>
      <c r="AF113" s="1330"/>
      <c r="AG113" s="595">
        <v>0</v>
      </c>
      <c r="AH113" s="595">
        <v>0</v>
      </c>
      <c r="AI113" s="596">
        <v>0</v>
      </c>
      <c r="AJ113" s="595">
        <v>0</v>
      </c>
      <c r="AK113" s="595">
        <v>0</v>
      </c>
      <c r="AL113" s="596">
        <v>0</v>
      </c>
      <c r="AM113" s="595">
        <v>0</v>
      </c>
      <c r="AN113" s="595">
        <v>0</v>
      </c>
      <c r="AO113" s="596">
        <v>0</v>
      </c>
      <c r="AP113" s="595">
        <v>0</v>
      </c>
      <c r="AQ113" s="595">
        <v>0</v>
      </c>
      <c r="AR113" s="596">
        <v>0</v>
      </c>
      <c r="AS113" s="595">
        <v>0</v>
      </c>
      <c r="AT113" s="597"/>
      <c r="AU113" s="596">
        <v>0</v>
      </c>
      <c r="AV113" s="595">
        <v>0</v>
      </c>
      <c r="AW113" s="595">
        <v>0</v>
      </c>
      <c r="AX113" s="596">
        <v>0</v>
      </c>
      <c r="AY113" s="595"/>
      <c r="AZ113" s="598"/>
      <c r="BA113" s="598"/>
      <c r="BB113" s="420">
        <f t="shared" si="19"/>
        <v>0</v>
      </c>
      <c r="BC113" s="420">
        <f t="shared" si="19"/>
        <v>0</v>
      </c>
      <c r="BD113" s="420">
        <f t="shared" si="19"/>
        <v>0</v>
      </c>
      <c r="BE113" s="420">
        <f t="shared" si="20"/>
        <v>0</v>
      </c>
      <c r="BF113" s="420">
        <f t="shared" si="20"/>
        <v>0</v>
      </c>
      <c r="BG113" s="420">
        <f t="shared" si="20"/>
        <v>0</v>
      </c>
      <c r="BH113">
        <v>0</v>
      </c>
      <c r="BK113">
        <v>0</v>
      </c>
      <c r="BL113" t="s">
        <v>1110</v>
      </c>
      <c r="BN113" t="s">
        <v>1307</v>
      </c>
      <c r="CN113" t="s">
        <v>1308</v>
      </c>
      <c r="CR113">
        <v>0</v>
      </c>
      <c r="CS113">
        <v>0</v>
      </c>
      <c r="CT113">
        <v>0</v>
      </c>
    </row>
    <row r="114" spans="1:98">
      <c r="A114" s="1327" t="s">
        <v>1113</v>
      </c>
      <c r="B114" s="1328"/>
      <c r="C114" s="1285" t="s">
        <v>265</v>
      </c>
      <c r="D114" s="1286"/>
      <c r="E114" s="1286"/>
      <c r="F114" s="1286"/>
      <c r="G114" s="1286"/>
      <c r="H114" s="1286"/>
      <c r="I114" s="1286"/>
      <c r="J114" s="1286"/>
      <c r="K114" s="1286"/>
      <c r="L114" s="1286"/>
      <c r="M114" s="1286"/>
      <c r="N114" s="1286"/>
      <c r="O114" s="1286"/>
      <c r="P114" s="1286"/>
      <c r="Q114" s="1286"/>
      <c r="R114" s="1286"/>
      <c r="S114" s="1286"/>
      <c r="T114" s="1286"/>
      <c r="U114" s="1286"/>
      <c r="V114" s="1286"/>
      <c r="W114" s="1286"/>
      <c r="X114" s="1286"/>
      <c r="Y114" s="1286"/>
      <c r="Z114" s="1286"/>
      <c r="AA114" s="1286"/>
      <c r="AB114" s="1341"/>
      <c r="AC114" s="1287" t="s">
        <v>1309</v>
      </c>
      <c r="AD114" s="1288"/>
      <c r="AE114" s="1288"/>
      <c r="AF114" s="1330"/>
      <c r="AG114" s="595">
        <v>0</v>
      </c>
      <c r="AH114" s="595">
        <v>0</v>
      </c>
      <c r="AI114" s="596">
        <v>0</v>
      </c>
      <c r="AJ114" s="595">
        <v>0</v>
      </c>
      <c r="AK114" s="595">
        <v>0</v>
      </c>
      <c r="AL114" s="596">
        <v>0</v>
      </c>
      <c r="AM114" s="595">
        <v>0</v>
      </c>
      <c r="AN114" s="595">
        <v>0</v>
      </c>
      <c r="AO114" s="596">
        <v>0</v>
      </c>
      <c r="AP114" s="595">
        <v>0</v>
      </c>
      <c r="AQ114" s="595">
        <v>0</v>
      </c>
      <c r="AR114" s="596">
        <v>0</v>
      </c>
      <c r="AS114" s="595">
        <v>0</v>
      </c>
      <c r="AT114" s="597"/>
      <c r="AU114" s="596">
        <v>0</v>
      </c>
      <c r="AV114" s="595">
        <v>0</v>
      </c>
      <c r="AW114" s="595">
        <v>0</v>
      </c>
      <c r="AX114" s="596">
        <v>0</v>
      </c>
      <c r="AY114" s="595"/>
      <c r="AZ114" s="598"/>
      <c r="BA114" s="598"/>
      <c r="BB114" s="420">
        <f t="shared" si="19"/>
        <v>0</v>
      </c>
      <c r="BC114" s="420">
        <f t="shared" si="19"/>
        <v>0</v>
      </c>
      <c r="BD114" s="420">
        <f t="shared" si="19"/>
        <v>0</v>
      </c>
      <c r="BE114" s="420">
        <f t="shared" si="20"/>
        <v>0</v>
      </c>
      <c r="BF114" s="420">
        <f t="shared" si="20"/>
        <v>0</v>
      </c>
      <c r="BG114" s="420">
        <f t="shared" si="20"/>
        <v>0</v>
      </c>
      <c r="BH114">
        <v>0</v>
      </c>
      <c r="BK114">
        <v>0</v>
      </c>
      <c r="BL114" t="s">
        <v>1113</v>
      </c>
      <c r="BN114" t="s">
        <v>265</v>
      </c>
      <c r="CN114" t="s">
        <v>1309</v>
      </c>
      <c r="CR114">
        <v>0</v>
      </c>
      <c r="CS114">
        <v>0</v>
      </c>
      <c r="CT114">
        <v>0</v>
      </c>
    </row>
    <row r="115" spans="1:98">
      <c r="A115" s="1342" t="s">
        <v>1116</v>
      </c>
      <c r="B115" s="1343"/>
      <c r="C115" s="1294" t="s">
        <v>1310</v>
      </c>
      <c r="D115" s="1295"/>
      <c r="E115" s="1295"/>
      <c r="F115" s="1295"/>
      <c r="G115" s="1295"/>
      <c r="H115" s="1295"/>
      <c r="I115" s="1295"/>
      <c r="J115" s="1295"/>
      <c r="K115" s="1295"/>
      <c r="L115" s="1295"/>
      <c r="M115" s="1295"/>
      <c r="N115" s="1295"/>
      <c r="O115" s="1295"/>
      <c r="P115" s="1295"/>
      <c r="Q115" s="1295"/>
      <c r="R115" s="1295"/>
      <c r="S115" s="1295"/>
      <c r="T115" s="1295"/>
      <c r="U115" s="1295"/>
      <c r="V115" s="1295"/>
      <c r="W115" s="1295"/>
      <c r="X115" s="1295"/>
      <c r="Y115" s="1295"/>
      <c r="Z115" s="1295"/>
      <c r="AA115" s="1295"/>
      <c r="AB115" s="1344"/>
      <c r="AC115" s="1317" t="s">
        <v>1311</v>
      </c>
      <c r="AD115" s="1318"/>
      <c r="AE115" s="1318"/>
      <c r="AF115" s="1345"/>
      <c r="AG115" s="599">
        <v>0</v>
      </c>
      <c r="AH115" s="599">
        <v>0</v>
      </c>
      <c r="AI115" s="600">
        <v>0</v>
      </c>
      <c r="AJ115" s="599">
        <v>0</v>
      </c>
      <c r="AK115" s="599">
        <v>0</v>
      </c>
      <c r="AL115" s="600">
        <v>0</v>
      </c>
      <c r="AM115" s="599">
        <v>0</v>
      </c>
      <c r="AN115" s="599">
        <v>0</v>
      </c>
      <c r="AO115" s="600">
        <v>0</v>
      </c>
      <c r="AP115" s="599">
        <v>0</v>
      </c>
      <c r="AQ115" s="599">
        <v>0</v>
      </c>
      <c r="AR115" s="600">
        <v>0</v>
      </c>
      <c r="AS115" s="599">
        <v>0</v>
      </c>
      <c r="AT115" s="601"/>
      <c r="AU115" s="600">
        <v>0</v>
      </c>
      <c r="AV115" s="599">
        <v>0</v>
      </c>
      <c r="AW115" s="599">
        <v>0</v>
      </c>
      <c r="AX115" s="600">
        <v>0</v>
      </c>
      <c r="AY115" s="599"/>
      <c r="AZ115" s="602"/>
      <c r="BA115" s="602"/>
      <c r="BB115" s="420">
        <f t="shared" si="19"/>
        <v>0</v>
      </c>
      <c r="BC115" s="420">
        <f t="shared" si="19"/>
        <v>0</v>
      </c>
      <c r="BD115" s="420">
        <f t="shared" si="19"/>
        <v>0</v>
      </c>
      <c r="BE115" s="420">
        <f t="shared" si="20"/>
        <v>0</v>
      </c>
      <c r="BF115" s="420">
        <f t="shared" si="20"/>
        <v>0</v>
      </c>
      <c r="BG115" s="420">
        <f t="shared" si="20"/>
        <v>0</v>
      </c>
      <c r="BH115">
        <v>0</v>
      </c>
      <c r="BK115">
        <v>0</v>
      </c>
      <c r="BL115" t="s">
        <v>1116</v>
      </c>
      <c r="BN115" t="s">
        <v>1310</v>
      </c>
      <c r="CN115" t="s">
        <v>1311</v>
      </c>
      <c r="CR115">
        <v>0</v>
      </c>
      <c r="CS115">
        <v>0</v>
      </c>
      <c r="CT115">
        <v>0</v>
      </c>
    </row>
    <row r="116" spans="1:98">
      <c r="A116" s="1327" t="s">
        <v>1119</v>
      </c>
      <c r="B116" s="1328"/>
      <c r="C116" s="1285" t="s">
        <v>317</v>
      </c>
      <c r="D116" s="1286"/>
      <c r="E116" s="1286"/>
      <c r="F116" s="1286"/>
      <c r="G116" s="1286"/>
      <c r="H116" s="1286"/>
      <c r="I116" s="1286"/>
      <c r="J116" s="1286"/>
      <c r="K116" s="1286"/>
      <c r="L116" s="1286"/>
      <c r="M116" s="1286"/>
      <c r="N116" s="1286"/>
      <c r="O116" s="1286"/>
      <c r="P116" s="1286"/>
      <c r="Q116" s="1286"/>
      <c r="R116" s="1286"/>
      <c r="S116" s="1286"/>
      <c r="T116" s="1286"/>
      <c r="U116" s="1286"/>
      <c r="V116" s="1286"/>
      <c r="W116" s="1286"/>
      <c r="X116" s="1286"/>
      <c r="Y116" s="1286"/>
      <c r="Z116" s="1286"/>
      <c r="AA116" s="1286"/>
      <c r="AB116" s="1341"/>
      <c r="AC116" s="1287" t="s">
        <v>1312</v>
      </c>
      <c r="AD116" s="1288"/>
      <c r="AE116" s="1288"/>
      <c r="AF116" s="1330"/>
      <c r="AG116" s="595">
        <v>0</v>
      </c>
      <c r="AH116" s="595">
        <v>0</v>
      </c>
      <c r="AI116" s="596">
        <v>0</v>
      </c>
      <c r="AJ116" s="595">
        <v>0</v>
      </c>
      <c r="AK116" s="595">
        <v>0</v>
      </c>
      <c r="AL116" s="596">
        <v>0</v>
      </c>
      <c r="AM116" s="595">
        <v>0</v>
      </c>
      <c r="AN116" s="595">
        <v>0</v>
      </c>
      <c r="AO116" s="596">
        <v>0</v>
      </c>
      <c r="AP116" s="595">
        <v>0</v>
      </c>
      <c r="AQ116" s="595">
        <v>0</v>
      </c>
      <c r="AR116" s="596">
        <v>0</v>
      </c>
      <c r="AS116" s="595">
        <v>0</v>
      </c>
      <c r="AT116" s="597"/>
      <c r="AU116" s="596">
        <v>0</v>
      </c>
      <c r="AV116" s="595">
        <v>0</v>
      </c>
      <c r="AW116" s="595">
        <v>0</v>
      </c>
      <c r="AX116" s="596">
        <v>0</v>
      </c>
      <c r="AY116" s="595"/>
      <c r="AZ116" s="598"/>
      <c r="BA116" s="598"/>
      <c r="BB116" s="420">
        <f t="shared" si="19"/>
        <v>0</v>
      </c>
      <c r="BC116" s="420">
        <f t="shared" si="19"/>
        <v>0</v>
      </c>
      <c r="BD116" s="420">
        <f t="shared" si="19"/>
        <v>0</v>
      </c>
      <c r="BE116" s="420">
        <f t="shared" si="20"/>
        <v>0</v>
      </c>
      <c r="BF116" s="420">
        <f t="shared" si="20"/>
        <v>0</v>
      </c>
      <c r="BG116" s="420">
        <f t="shared" si="20"/>
        <v>0</v>
      </c>
      <c r="BH116">
        <v>0</v>
      </c>
      <c r="BK116">
        <v>0</v>
      </c>
      <c r="BL116" t="s">
        <v>1119</v>
      </c>
      <c r="BN116" t="s">
        <v>317</v>
      </c>
      <c r="CN116" t="s">
        <v>1312</v>
      </c>
      <c r="CR116">
        <v>0</v>
      </c>
      <c r="CS116">
        <v>0</v>
      </c>
      <c r="CT116">
        <v>0</v>
      </c>
    </row>
    <row r="117" spans="1:98">
      <c r="A117" s="1327" t="s">
        <v>1122</v>
      </c>
      <c r="B117" s="1328"/>
      <c r="C117" s="1285" t="s">
        <v>1313</v>
      </c>
      <c r="D117" s="1286"/>
      <c r="E117" s="1286"/>
      <c r="F117" s="1286"/>
      <c r="G117" s="1286"/>
      <c r="H117" s="1286"/>
      <c r="I117" s="1286"/>
      <c r="J117" s="1286"/>
      <c r="K117" s="1286"/>
      <c r="L117" s="1286"/>
      <c r="M117" s="1286"/>
      <c r="N117" s="1286"/>
      <c r="O117" s="1286"/>
      <c r="P117" s="1286"/>
      <c r="Q117" s="1286"/>
      <c r="R117" s="1286"/>
      <c r="S117" s="1286"/>
      <c r="T117" s="1286"/>
      <c r="U117" s="1286"/>
      <c r="V117" s="1286"/>
      <c r="W117" s="1286"/>
      <c r="X117" s="1286"/>
      <c r="Y117" s="1286"/>
      <c r="Z117" s="1286"/>
      <c r="AA117" s="1286"/>
      <c r="AB117" s="1341"/>
      <c r="AC117" s="1287" t="s">
        <v>1314</v>
      </c>
      <c r="AD117" s="1288"/>
      <c r="AE117" s="1288"/>
      <c r="AF117" s="1330"/>
      <c r="AG117" s="595">
        <v>0</v>
      </c>
      <c r="AH117" s="595">
        <v>0</v>
      </c>
      <c r="AI117" s="596">
        <v>0</v>
      </c>
      <c r="AJ117" s="595">
        <v>0</v>
      </c>
      <c r="AK117" s="595">
        <v>0</v>
      </c>
      <c r="AL117" s="596">
        <v>0</v>
      </c>
      <c r="AM117" s="595">
        <v>0</v>
      </c>
      <c r="AN117" s="595">
        <v>0</v>
      </c>
      <c r="AO117" s="596">
        <v>0</v>
      </c>
      <c r="AP117" s="595">
        <v>0</v>
      </c>
      <c r="AQ117" s="595">
        <v>0</v>
      </c>
      <c r="AR117" s="596">
        <v>0</v>
      </c>
      <c r="AS117" s="595">
        <v>0</v>
      </c>
      <c r="AT117" s="597"/>
      <c r="AU117" s="596">
        <v>0</v>
      </c>
      <c r="AV117" s="595">
        <v>0</v>
      </c>
      <c r="AW117" s="595">
        <v>0</v>
      </c>
      <c r="AX117" s="596">
        <v>0</v>
      </c>
      <c r="AY117" s="595"/>
      <c r="AZ117" s="598"/>
      <c r="BA117" s="598"/>
      <c r="BB117" s="420">
        <f t="shared" si="19"/>
        <v>0</v>
      </c>
      <c r="BC117" s="420">
        <f t="shared" si="19"/>
        <v>0</v>
      </c>
      <c r="BD117" s="420">
        <f t="shared" si="19"/>
        <v>0</v>
      </c>
      <c r="BE117" s="420">
        <f t="shared" si="20"/>
        <v>0</v>
      </c>
      <c r="BF117" s="420">
        <f t="shared" si="20"/>
        <v>0</v>
      </c>
      <c r="BG117" s="420">
        <f t="shared" si="20"/>
        <v>0</v>
      </c>
      <c r="BH117">
        <v>0</v>
      </c>
      <c r="BK117">
        <v>0</v>
      </c>
      <c r="BL117" t="s">
        <v>1122</v>
      </c>
      <c r="BN117" t="s">
        <v>1313</v>
      </c>
      <c r="CN117" t="s">
        <v>1314</v>
      </c>
      <c r="CR117">
        <v>0</v>
      </c>
      <c r="CS117">
        <v>0</v>
      </c>
      <c r="CT117">
        <v>0</v>
      </c>
    </row>
    <row r="118" spans="1:98">
      <c r="A118" s="1327" t="s">
        <v>40</v>
      </c>
      <c r="B118" s="1328"/>
      <c r="C118" s="1285" t="s">
        <v>1315</v>
      </c>
      <c r="D118" s="1286"/>
      <c r="E118" s="1286"/>
      <c r="F118" s="1286"/>
      <c r="G118" s="1286"/>
      <c r="H118" s="1286"/>
      <c r="I118" s="1286"/>
      <c r="J118" s="1286"/>
      <c r="K118" s="1286"/>
      <c r="L118" s="1286"/>
      <c r="M118" s="1286"/>
      <c r="N118" s="1286"/>
      <c r="O118" s="1286"/>
      <c r="P118" s="1286"/>
      <c r="Q118" s="1286"/>
      <c r="R118" s="1286"/>
      <c r="S118" s="1286"/>
      <c r="T118" s="1286"/>
      <c r="U118" s="1286"/>
      <c r="V118" s="1286"/>
      <c r="W118" s="1286"/>
      <c r="X118" s="1286"/>
      <c r="Y118" s="1286"/>
      <c r="Z118" s="1286"/>
      <c r="AA118" s="1286"/>
      <c r="AB118" s="1341"/>
      <c r="AC118" s="1287" t="s">
        <v>1316</v>
      </c>
      <c r="AD118" s="1288"/>
      <c r="AE118" s="1288"/>
      <c r="AF118" s="1330"/>
      <c r="AG118" s="595">
        <v>0</v>
      </c>
      <c r="AH118" s="595">
        <v>0</v>
      </c>
      <c r="AI118" s="596">
        <v>0</v>
      </c>
      <c r="AJ118" s="595">
        <v>0</v>
      </c>
      <c r="AK118" s="595">
        <v>0</v>
      </c>
      <c r="AL118" s="596">
        <v>0</v>
      </c>
      <c r="AM118" s="595">
        <v>0</v>
      </c>
      <c r="AN118" s="595">
        <v>0</v>
      </c>
      <c r="AO118" s="596">
        <v>0</v>
      </c>
      <c r="AP118" s="595">
        <v>0</v>
      </c>
      <c r="AQ118" s="595">
        <v>0</v>
      </c>
      <c r="AR118" s="596">
        <v>0</v>
      </c>
      <c r="AS118" s="595">
        <v>0</v>
      </c>
      <c r="AT118" s="597"/>
      <c r="AU118" s="596">
        <v>0</v>
      </c>
      <c r="AV118" s="595">
        <v>0</v>
      </c>
      <c r="AW118" s="595">
        <v>0</v>
      </c>
      <c r="AX118" s="596">
        <v>0</v>
      </c>
      <c r="AY118" s="595"/>
      <c r="AZ118" s="598"/>
      <c r="BA118" s="598"/>
      <c r="BB118" s="420">
        <f t="shared" si="19"/>
        <v>0</v>
      </c>
      <c r="BC118" s="420">
        <f t="shared" si="19"/>
        <v>0</v>
      </c>
      <c r="BD118" s="420">
        <f t="shared" si="19"/>
        <v>0</v>
      </c>
      <c r="BE118" s="420">
        <f t="shared" si="20"/>
        <v>0</v>
      </c>
      <c r="BF118" s="420">
        <f t="shared" si="20"/>
        <v>0</v>
      </c>
      <c r="BG118" s="420">
        <f t="shared" si="20"/>
        <v>0</v>
      </c>
      <c r="BH118">
        <v>0</v>
      </c>
      <c r="BK118">
        <v>0</v>
      </c>
      <c r="BL118" t="s">
        <v>40</v>
      </c>
      <c r="BN118" t="s">
        <v>1315</v>
      </c>
      <c r="CN118" t="s">
        <v>1316</v>
      </c>
      <c r="CR118">
        <v>0</v>
      </c>
      <c r="CS118">
        <v>0</v>
      </c>
      <c r="CT118">
        <v>0</v>
      </c>
    </row>
    <row r="119" spans="1:98">
      <c r="A119" s="1327" t="s">
        <v>42</v>
      </c>
      <c r="B119" s="1328"/>
      <c r="C119" s="1285" t="s">
        <v>1317</v>
      </c>
      <c r="D119" s="1286"/>
      <c r="E119" s="1286"/>
      <c r="F119" s="1286"/>
      <c r="G119" s="1286"/>
      <c r="H119" s="1286"/>
      <c r="I119" s="1286"/>
      <c r="J119" s="1286"/>
      <c r="K119" s="1286"/>
      <c r="L119" s="1286"/>
      <c r="M119" s="1286"/>
      <c r="N119" s="1286"/>
      <c r="O119" s="1286"/>
      <c r="P119" s="1286"/>
      <c r="Q119" s="1286"/>
      <c r="R119" s="1286"/>
      <c r="S119" s="1286"/>
      <c r="T119" s="1286"/>
      <c r="U119" s="1286"/>
      <c r="V119" s="1286"/>
      <c r="W119" s="1286"/>
      <c r="X119" s="1286"/>
      <c r="Y119" s="1286"/>
      <c r="Z119" s="1286"/>
      <c r="AA119" s="1286"/>
      <c r="AB119" s="1341"/>
      <c r="AC119" s="1287" t="s">
        <v>1318</v>
      </c>
      <c r="AD119" s="1288"/>
      <c r="AE119" s="1288"/>
      <c r="AF119" s="1330"/>
      <c r="AG119" s="595">
        <v>0</v>
      </c>
      <c r="AH119" s="595">
        <v>0</v>
      </c>
      <c r="AI119" s="596">
        <v>0</v>
      </c>
      <c r="AJ119" s="595">
        <v>0</v>
      </c>
      <c r="AK119" s="595">
        <v>0</v>
      </c>
      <c r="AL119" s="596">
        <v>0</v>
      </c>
      <c r="AM119" s="595">
        <v>0</v>
      </c>
      <c r="AN119" s="595">
        <v>0</v>
      </c>
      <c r="AO119" s="596">
        <v>0</v>
      </c>
      <c r="AP119" s="595">
        <v>0</v>
      </c>
      <c r="AQ119" s="595">
        <v>0</v>
      </c>
      <c r="AR119" s="596">
        <v>0</v>
      </c>
      <c r="AS119" s="595">
        <v>0</v>
      </c>
      <c r="AT119" s="597"/>
      <c r="AU119" s="596">
        <v>0</v>
      </c>
      <c r="AV119" s="595">
        <v>0</v>
      </c>
      <c r="AW119" s="595">
        <v>0</v>
      </c>
      <c r="AX119" s="596">
        <v>0</v>
      </c>
      <c r="AY119" s="595"/>
      <c r="AZ119" s="598"/>
      <c r="BA119" s="598"/>
      <c r="BB119" s="420">
        <f t="shared" si="19"/>
        <v>0</v>
      </c>
      <c r="BC119" s="420">
        <f t="shared" si="19"/>
        <v>0</v>
      </c>
      <c r="BD119" s="420">
        <f t="shared" si="19"/>
        <v>0</v>
      </c>
      <c r="BE119" s="420">
        <f t="shared" si="20"/>
        <v>0</v>
      </c>
      <c r="BF119" s="420">
        <f t="shared" si="20"/>
        <v>0</v>
      </c>
      <c r="BG119" s="420">
        <f t="shared" si="20"/>
        <v>0</v>
      </c>
      <c r="BH119">
        <v>32000000</v>
      </c>
      <c r="BK119">
        <v>0</v>
      </c>
      <c r="BL119" t="s">
        <v>42</v>
      </c>
      <c r="BN119" t="s">
        <v>1317</v>
      </c>
      <c r="CN119" t="s">
        <v>1318</v>
      </c>
      <c r="CR119">
        <v>0</v>
      </c>
      <c r="CS119">
        <v>0</v>
      </c>
      <c r="CT119">
        <v>0</v>
      </c>
    </row>
    <row r="120" spans="1:98">
      <c r="A120" s="1327" t="s">
        <v>44</v>
      </c>
      <c r="B120" s="1328"/>
      <c r="C120" s="1285" t="s">
        <v>546</v>
      </c>
      <c r="D120" s="1286"/>
      <c r="E120" s="1286"/>
      <c r="F120" s="1286"/>
      <c r="G120" s="1286"/>
      <c r="H120" s="1286"/>
      <c r="I120" s="1286"/>
      <c r="J120" s="1286"/>
      <c r="K120" s="1286"/>
      <c r="L120" s="1286"/>
      <c r="M120" s="1286"/>
      <c r="N120" s="1286"/>
      <c r="O120" s="1286"/>
      <c r="P120" s="1286"/>
      <c r="Q120" s="1286"/>
      <c r="R120" s="1286"/>
      <c r="S120" s="1286"/>
      <c r="T120" s="1286"/>
      <c r="U120" s="1286"/>
      <c r="V120" s="1286"/>
      <c r="W120" s="1286"/>
      <c r="X120" s="1286"/>
      <c r="Y120" s="1286"/>
      <c r="Z120" s="1286"/>
      <c r="AA120" s="1286"/>
      <c r="AB120" s="1341"/>
      <c r="AC120" s="1287" t="s">
        <v>1319</v>
      </c>
      <c r="AD120" s="1288"/>
      <c r="AE120" s="1288"/>
      <c r="AF120" s="1330"/>
      <c r="AG120" s="595">
        <v>0</v>
      </c>
      <c r="AH120" s="595">
        <v>0</v>
      </c>
      <c r="AI120" s="596">
        <f>AG120+AH120</f>
        <v>0</v>
      </c>
      <c r="AJ120" s="595">
        <v>0</v>
      </c>
      <c r="AK120" s="595">
        <v>0</v>
      </c>
      <c r="AL120" s="596">
        <f>AJ120+AK120</f>
        <v>0</v>
      </c>
      <c r="AM120" s="595">
        <v>4370000</v>
      </c>
      <c r="AN120" s="595">
        <v>0</v>
      </c>
      <c r="AO120" s="596">
        <f>AM120+AN120</f>
        <v>4370000</v>
      </c>
      <c r="AP120" s="595">
        <v>0</v>
      </c>
      <c r="AQ120" s="595">
        <v>0</v>
      </c>
      <c r="AR120" s="596">
        <v>0</v>
      </c>
      <c r="AS120" s="595">
        <v>0</v>
      </c>
      <c r="AT120" s="597"/>
      <c r="AU120" s="596">
        <v>0</v>
      </c>
      <c r="AV120" s="595">
        <v>0</v>
      </c>
      <c r="AW120" s="595">
        <v>0</v>
      </c>
      <c r="AX120" s="596">
        <v>0</v>
      </c>
      <c r="AY120" s="595"/>
      <c r="AZ120" s="598"/>
      <c r="BA120" s="598"/>
      <c r="BB120" s="420">
        <f t="shared" si="19"/>
        <v>0</v>
      </c>
      <c r="BC120" s="420">
        <f t="shared" si="19"/>
        <v>0</v>
      </c>
      <c r="BD120" s="420">
        <f t="shared" si="19"/>
        <v>0</v>
      </c>
      <c r="BE120" s="420">
        <f t="shared" si="20"/>
        <v>4370000</v>
      </c>
      <c r="BF120" s="420">
        <f t="shared" si="20"/>
        <v>0</v>
      </c>
      <c r="BG120" s="420">
        <f t="shared" si="20"/>
        <v>4370000</v>
      </c>
      <c r="BH120">
        <v>67439151</v>
      </c>
      <c r="BK120">
        <v>325112122</v>
      </c>
      <c r="BL120" t="s">
        <v>44</v>
      </c>
      <c r="BN120" t="s">
        <v>546</v>
      </c>
      <c r="CN120" t="s">
        <v>1319</v>
      </c>
      <c r="CR120">
        <v>1650000</v>
      </c>
      <c r="CS120">
        <v>0</v>
      </c>
      <c r="CT120">
        <v>1650000</v>
      </c>
    </row>
    <row r="121" spans="1:98">
      <c r="A121" s="1342" t="s">
        <v>46</v>
      </c>
      <c r="B121" s="1343"/>
      <c r="C121" s="1294" t="s">
        <v>1320</v>
      </c>
      <c r="D121" s="1295"/>
      <c r="E121" s="1295"/>
      <c r="F121" s="1295"/>
      <c r="G121" s="1295"/>
      <c r="H121" s="1295"/>
      <c r="I121" s="1295"/>
      <c r="J121" s="1295"/>
      <c r="K121" s="1295"/>
      <c r="L121" s="1295"/>
      <c r="M121" s="1295"/>
      <c r="N121" s="1295"/>
      <c r="O121" s="1295"/>
      <c r="P121" s="1295"/>
      <c r="Q121" s="1295"/>
      <c r="R121" s="1295"/>
      <c r="S121" s="1295"/>
      <c r="T121" s="1295"/>
      <c r="U121" s="1295"/>
      <c r="V121" s="1295"/>
      <c r="W121" s="1295"/>
      <c r="X121" s="1295"/>
      <c r="Y121" s="1295"/>
      <c r="Z121" s="1295"/>
      <c r="AA121" s="1295"/>
      <c r="AB121" s="1344"/>
      <c r="AC121" s="1346" t="s">
        <v>1321</v>
      </c>
      <c r="AD121" s="1347"/>
      <c r="AE121" s="1347"/>
      <c r="AF121" s="1348"/>
      <c r="AG121" s="599">
        <f>SUM(AG109:AG120)</f>
        <v>0</v>
      </c>
      <c r="AH121" s="599">
        <v>0</v>
      </c>
      <c r="AI121" s="600">
        <f>SUM(AI109:AI120)</f>
        <v>0</v>
      </c>
      <c r="AJ121" s="599">
        <f>SUM(AJ109:AJ120)</f>
        <v>0</v>
      </c>
      <c r="AK121" s="599">
        <v>0</v>
      </c>
      <c r="AL121" s="600">
        <f>SUM(AL109:AL120)</f>
        <v>0</v>
      </c>
      <c r="AM121" s="599">
        <f>SUM(AM109:AM120)</f>
        <v>4370000</v>
      </c>
      <c r="AN121" s="599">
        <v>0</v>
      </c>
      <c r="AO121" s="600">
        <f>SUM(AO109:AO120)</f>
        <v>4370000</v>
      </c>
      <c r="AP121" s="599">
        <f>SUM(AP109:AP120)</f>
        <v>0</v>
      </c>
      <c r="AQ121" s="599">
        <v>0</v>
      </c>
      <c r="AR121" s="600">
        <f>SUM(AR109:AR120)</f>
        <v>0</v>
      </c>
      <c r="AS121" s="599">
        <f>SUM(AS109:AS120)</f>
        <v>0</v>
      </c>
      <c r="AT121" s="601"/>
      <c r="AU121" s="600">
        <f>SUM(AU109:AU120)</f>
        <v>0</v>
      </c>
      <c r="AV121" s="599">
        <v>0</v>
      </c>
      <c r="AW121" s="599">
        <v>0</v>
      </c>
      <c r="AX121" s="600">
        <v>0</v>
      </c>
      <c r="AY121" s="599"/>
      <c r="AZ121" s="602"/>
      <c r="BA121" s="602"/>
      <c r="BB121" s="420">
        <f t="shared" si="19"/>
        <v>0</v>
      </c>
      <c r="BC121" s="420">
        <f t="shared" si="19"/>
        <v>0</v>
      </c>
      <c r="BD121" s="420">
        <f t="shared" si="19"/>
        <v>0</v>
      </c>
      <c r="BE121" s="420">
        <f t="shared" si="20"/>
        <v>4370000</v>
      </c>
      <c r="BF121" s="420">
        <f t="shared" si="20"/>
        <v>0</v>
      </c>
      <c r="BG121" s="420">
        <f t="shared" si="20"/>
        <v>4370000</v>
      </c>
      <c r="BH121">
        <v>99439151</v>
      </c>
      <c r="BK121">
        <v>325112122</v>
      </c>
      <c r="BL121" t="s">
        <v>46</v>
      </c>
      <c r="BN121" t="s">
        <v>1320</v>
      </c>
      <c r="CN121" t="s">
        <v>1321</v>
      </c>
      <c r="CR121">
        <v>1650000</v>
      </c>
      <c r="CS121">
        <v>0</v>
      </c>
      <c r="CT121">
        <v>1650000</v>
      </c>
    </row>
    <row r="122" spans="1:98">
      <c r="A122" s="1327" t="s">
        <v>50</v>
      </c>
      <c r="B122" s="1328"/>
      <c r="C122" s="1285" t="s">
        <v>329</v>
      </c>
      <c r="D122" s="1286"/>
      <c r="E122" s="1286"/>
      <c r="F122" s="1286"/>
      <c r="G122" s="1286"/>
      <c r="H122" s="1286"/>
      <c r="I122" s="1286"/>
      <c r="J122" s="1286"/>
      <c r="K122" s="1286"/>
      <c r="L122" s="1286"/>
      <c r="M122" s="1286"/>
      <c r="N122" s="1286"/>
      <c r="O122" s="1286"/>
      <c r="P122" s="1286"/>
      <c r="Q122" s="1286"/>
      <c r="R122" s="1286"/>
      <c r="S122" s="1286"/>
      <c r="T122" s="1286"/>
      <c r="U122" s="1286"/>
      <c r="V122" s="1286"/>
      <c r="W122" s="1286"/>
      <c r="X122" s="1286"/>
      <c r="Y122" s="1286"/>
      <c r="Z122" s="1286"/>
      <c r="AA122" s="1286"/>
      <c r="AB122" s="1341"/>
      <c r="AC122" s="1287" t="s">
        <v>1322</v>
      </c>
      <c r="AD122" s="1288"/>
      <c r="AE122" s="1288"/>
      <c r="AF122" s="1330"/>
      <c r="AG122" s="595">
        <v>0</v>
      </c>
      <c r="AH122" s="595">
        <v>0</v>
      </c>
      <c r="AI122" s="596">
        <v>0</v>
      </c>
      <c r="AJ122" s="595">
        <v>0</v>
      </c>
      <c r="AK122" s="595">
        <v>0</v>
      </c>
      <c r="AL122" s="596">
        <v>0</v>
      </c>
      <c r="AM122" s="595">
        <v>0</v>
      </c>
      <c r="AN122" s="595">
        <v>0</v>
      </c>
      <c r="AO122" s="596">
        <v>0</v>
      </c>
      <c r="AP122" s="595">
        <v>0</v>
      </c>
      <c r="AQ122" s="595">
        <v>0</v>
      </c>
      <c r="AR122" s="596">
        <v>0</v>
      </c>
      <c r="AS122" s="595">
        <v>0</v>
      </c>
      <c r="AT122" s="597"/>
      <c r="AU122" s="596">
        <v>0</v>
      </c>
      <c r="AV122" s="595">
        <v>0</v>
      </c>
      <c r="AW122" s="595">
        <v>0</v>
      </c>
      <c r="AX122" s="596">
        <v>0</v>
      </c>
      <c r="AY122" s="595"/>
      <c r="AZ122" s="598"/>
      <c r="BA122" s="598"/>
      <c r="BB122" s="420">
        <f t="shared" si="19"/>
        <v>0</v>
      </c>
      <c r="BC122" s="420">
        <f t="shared" si="19"/>
        <v>0</v>
      </c>
      <c r="BD122" s="420">
        <f t="shared" si="19"/>
        <v>0</v>
      </c>
      <c r="BE122" s="420">
        <f t="shared" si="20"/>
        <v>0</v>
      </c>
      <c r="BF122" s="420">
        <f t="shared" si="20"/>
        <v>0</v>
      </c>
      <c r="BG122" s="420">
        <f t="shared" si="20"/>
        <v>0</v>
      </c>
      <c r="BH122">
        <v>0</v>
      </c>
      <c r="BK122">
        <v>0</v>
      </c>
      <c r="BL122" t="s">
        <v>50</v>
      </c>
      <c r="BN122" t="s">
        <v>329</v>
      </c>
      <c r="CN122" t="s">
        <v>1322</v>
      </c>
      <c r="CR122">
        <v>0</v>
      </c>
      <c r="CS122">
        <v>0</v>
      </c>
      <c r="CT122">
        <v>0</v>
      </c>
    </row>
    <row r="123" spans="1:98">
      <c r="A123" s="1327" t="s">
        <v>52</v>
      </c>
      <c r="B123" s="1328"/>
      <c r="C123" s="1285" t="s">
        <v>1323</v>
      </c>
      <c r="D123" s="1286"/>
      <c r="E123" s="1286"/>
      <c r="F123" s="1286"/>
      <c r="G123" s="1286"/>
      <c r="H123" s="1286"/>
      <c r="I123" s="1286"/>
      <c r="J123" s="1286"/>
      <c r="K123" s="1286"/>
      <c r="L123" s="1286"/>
      <c r="M123" s="1286"/>
      <c r="N123" s="1286"/>
      <c r="O123" s="1286"/>
      <c r="P123" s="1286"/>
      <c r="Q123" s="1286"/>
      <c r="R123" s="1286"/>
      <c r="S123" s="1286"/>
      <c r="T123" s="1286"/>
      <c r="U123" s="1286"/>
      <c r="V123" s="1286"/>
      <c r="W123" s="1286"/>
      <c r="X123" s="1286"/>
      <c r="Y123" s="1286"/>
      <c r="Z123" s="1286"/>
      <c r="AA123" s="1286"/>
      <c r="AB123" s="1341"/>
      <c r="AC123" s="1287" t="s">
        <v>1324</v>
      </c>
      <c r="AD123" s="1288"/>
      <c r="AE123" s="1288"/>
      <c r="AF123" s="1330"/>
      <c r="AG123" s="595">
        <v>0</v>
      </c>
      <c r="AH123" s="595">
        <v>0</v>
      </c>
      <c r="AI123" s="596">
        <v>0</v>
      </c>
      <c r="AJ123" s="595">
        <v>0</v>
      </c>
      <c r="AK123" s="595">
        <v>0</v>
      </c>
      <c r="AL123" s="596">
        <v>0</v>
      </c>
      <c r="AM123" s="595">
        <v>0</v>
      </c>
      <c r="AN123" s="595">
        <v>0</v>
      </c>
      <c r="AO123" s="596">
        <v>0</v>
      </c>
      <c r="AP123" s="595">
        <v>0</v>
      </c>
      <c r="AQ123" s="595">
        <v>0</v>
      </c>
      <c r="AR123" s="596">
        <v>0</v>
      </c>
      <c r="AS123" s="595">
        <v>0</v>
      </c>
      <c r="AT123" s="597"/>
      <c r="AU123" s="596">
        <v>0</v>
      </c>
      <c r="AV123" s="595">
        <v>0</v>
      </c>
      <c r="AW123" s="595">
        <v>0</v>
      </c>
      <c r="AX123" s="596">
        <v>0</v>
      </c>
      <c r="AY123" s="595"/>
      <c r="AZ123" s="598"/>
      <c r="BA123" s="598"/>
      <c r="BB123" s="420">
        <f t="shared" si="19"/>
        <v>0</v>
      </c>
      <c r="BC123" s="420">
        <f t="shared" si="19"/>
        <v>0</v>
      </c>
      <c r="BD123" s="420">
        <f t="shared" si="19"/>
        <v>0</v>
      </c>
      <c r="BE123" s="420">
        <f t="shared" si="20"/>
        <v>0</v>
      </c>
      <c r="BF123" s="420">
        <f t="shared" si="20"/>
        <v>0</v>
      </c>
      <c r="BG123" s="420">
        <f t="shared" si="20"/>
        <v>0</v>
      </c>
      <c r="BH123">
        <v>0</v>
      </c>
      <c r="BK123">
        <v>0</v>
      </c>
      <c r="BL123" t="s">
        <v>52</v>
      </c>
      <c r="BN123" t="s">
        <v>1323</v>
      </c>
      <c r="CN123" t="s">
        <v>1324</v>
      </c>
      <c r="CR123">
        <v>0</v>
      </c>
      <c r="CS123">
        <v>0</v>
      </c>
      <c r="CT123">
        <v>0</v>
      </c>
    </row>
    <row r="124" spans="1:98">
      <c r="A124" s="1327" t="s">
        <v>56</v>
      </c>
      <c r="B124" s="1328"/>
      <c r="C124" s="1285" t="s">
        <v>1325</v>
      </c>
      <c r="D124" s="1286"/>
      <c r="E124" s="1286"/>
      <c r="F124" s="1286"/>
      <c r="G124" s="1286"/>
      <c r="H124" s="1286"/>
      <c r="I124" s="1286"/>
      <c r="J124" s="1286"/>
      <c r="K124" s="1286"/>
      <c r="L124" s="1286"/>
      <c r="M124" s="1286"/>
      <c r="N124" s="1286"/>
      <c r="O124" s="1286"/>
      <c r="P124" s="1286"/>
      <c r="Q124" s="1286"/>
      <c r="R124" s="1286"/>
      <c r="S124" s="1286"/>
      <c r="T124" s="1286"/>
      <c r="U124" s="1286"/>
      <c r="V124" s="1286"/>
      <c r="W124" s="1286"/>
      <c r="X124" s="1286"/>
      <c r="Y124" s="1286"/>
      <c r="Z124" s="1286"/>
      <c r="AA124" s="1286"/>
      <c r="AB124" s="1341"/>
      <c r="AC124" s="1287" t="s">
        <v>1326</v>
      </c>
      <c r="AD124" s="1288"/>
      <c r="AE124" s="1288"/>
      <c r="AF124" s="1330"/>
      <c r="AG124" s="595">
        <v>0</v>
      </c>
      <c r="AH124" s="595">
        <v>0</v>
      </c>
      <c r="AI124" s="596">
        <v>0</v>
      </c>
      <c r="AJ124" s="595">
        <v>0</v>
      </c>
      <c r="AK124" s="595">
        <v>0</v>
      </c>
      <c r="AL124" s="596">
        <v>0</v>
      </c>
      <c r="AM124" s="595">
        <v>0</v>
      </c>
      <c r="AN124" s="595">
        <v>0</v>
      </c>
      <c r="AO124" s="596">
        <v>0</v>
      </c>
      <c r="AP124" s="595">
        <v>0</v>
      </c>
      <c r="AQ124" s="595">
        <v>0</v>
      </c>
      <c r="AR124" s="596">
        <v>0</v>
      </c>
      <c r="AS124" s="595">
        <v>0</v>
      </c>
      <c r="AT124" s="597"/>
      <c r="AU124" s="596">
        <v>0</v>
      </c>
      <c r="AV124" s="595">
        <v>0</v>
      </c>
      <c r="AW124" s="595">
        <v>0</v>
      </c>
      <c r="AX124" s="596">
        <v>0</v>
      </c>
      <c r="AY124" s="595"/>
      <c r="AZ124" s="598"/>
      <c r="BA124" s="598"/>
      <c r="BB124" s="420">
        <f t="shared" si="19"/>
        <v>0</v>
      </c>
      <c r="BC124" s="420">
        <f t="shared" si="19"/>
        <v>0</v>
      </c>
      <c r="BD124" s="420">
        <f t="shared" si="19"/>
        <v>0</v>
      </c>
      <c r="BE124" s="420">
        <f t="shared" si="20"/>
        <v>0</v>
      </c>
      <c r="BF124" s="420">
        <f t="shared" si="20"/>
        <v>0</v>
      </c>
      <c r="BG124" s="420">
        <f t="shared" si="20"/>
        <v>0</v>
      </c>
      <c r="BH124">
        <v>0</v>
      </c>
      <c r="BL124" t="s">
        <v>56</v>
      </c>
      <c r="BN124" t="s">
        <v>1325</v>
      </c>
      <c r="CN124" t="s">
        <v>1326</v>
      </c>
      <c r="CR124">
        <v>0</v>
      </c>
      <c r="CS124">
        <v>0</v>
      </c>
      <c r="CT124">
        <v>0</v>
      </c>
    </row>
    <row r="125" spans="1:98">
      <c r="A125" s="1327" t="s">
        <v>58</v>
      </c>
      <c r="B125" s="1328"/>
      <c r="C125" s="1285" t="s">
        <v>1327</v>
      </c>
      <c r="D125" s="1286"/>
      <c r="E125" s="1286"/>
      <c r="F125" s="1286"/>
      <c r="G125" s="1286"/>
      <c r="H125" s="1286"/>
      <c r="I125" s="1286"/>
      <c r="J125" s="1286"/>
      <c r="K125" s="1286"/>
      <c r="L125" s="1286"/>
      <c r="M125" s="1286"/>
      <c r="N125" s="1286"/>
      <c r="O125" s="1286"/>
      <c r="P125" s="1286"/>
      <c r="Q125" s="1286"/>
      <c r="R125" s="1286"/>
      <c r="S125" s="1286"/>
      <c r="T125" s="1286"/>
      <c r="U125" s="1286"/>
      <c r="V125" s="1286"/>
      <c r="W125" s="1286"/>
      <c r="X125" s="1286"/>
      <c r="Y125" s="1286"/>
      <c r="Z125" s="1286"/>
      <c r="AA125" s="1286"/>
      <c r="AB125" s="1341"/>
      <c r="AC125" s="1287" t="s">
        <v>1328</v>
      </c>
      <c r="AD125" s="1288"/>
      <c r="AE125" s="1288"/>
      <c r="AF125" s="1330"/>
      <c r="AG125" s="595">
        <v>0</v>
      </c>
      <c r="AH125" s="595">
        <v>0</v>
      </c>
      <c r="AI125" s="596">
        <v>0</v>
      </c>
      <c r="AJ125" s="595">
        <v>0</v>
      </c>
      <c r="AK125" s="595">
        <v>0</v>
      </c>
      <c r="AL125" s="596">
        <v>0</v>
      </c>
      <c r="AM125" s="595">
        <v>0</v>
      </c>
      <c r="AN125" s="595">
        <v>0</v>
      </c>
      <c r="AO125" s="596">
        <v>0</v>
      </c>
      <c r="AP125" s="595">
        <v>0</v>
      </c>
      <c r="AQ125" s="595">
        <v>0</v>
      </c>
      <c r="AR125" s="596">
        <v>0</v>
      </c>
      <c r="AS125" s="595">
        <v>0</v>
      </c>
      <c r="AT125" s="597"/>
      <c r="AU125" s="596">
        <v>0</v>
      </c>
      <c r="AV125" s="595">
        <v>0</v>
      </c>
      <c r="AW125" s="595">
        <v>0</v>
      </c>
      <c r="AX125" s="596">
        <v>0</v>
      </c>
      <c r="AY125" s="595"/>
      <c r="AZ125" s="598"/>
      <c r="BA125" s="598"/>
      <c r="BB125" s="420">
        <f t="shared" si="19"/>
        <v>0</v>
      </c>
      <c r="BC125" s="420">
        <f t="shared" si="19"/>
        <v>0</v>
      </c>
      <c r="BD125" s="420">
        <f t="shared" si="19"/>
        <v>0</v>
      </c>
      <c r="BE125" s="420">
        <f t="shared" si="20"/>
        <v>0</v>
      </c>
      <c r="BF125" s="420">
        <f t="shared" si="20"/>
        <v>0</v>
      </c>
      <c r="BG125" s="420">
        <f t="shared" si="20"/>
        <v>0</v>
      </c>
      <c r="BH125">
        <v>0</v>
      </c>
      <c r="BL125" t="s">
        <v>58</v>
      </c>
      <c r="BN125" t="s">
        <v>1327</v>
      </c>
      <c r="CN125" t="s">
        <v>1328</v>
      </c>
      <c r="CR125">
        <v>0</v>
      </c>
      <c r="CS125">
        <v>0</v>
      </c>
      <c r="CT125">
        <v>0</v>
      </c>
    </row>
    <row r="126" spans="1:98">
      <c r="A126" s="1327" t="s">
        <v>62</v>
      </c>
      <c r="B126" s="1328"/>
      <c r="C126" s="1285" t="s">
        <v>1329</v>
      </c>
      <c r="D126" s="1286"/>
      <c r="E126" s="1286"/>
      <c r="F126" s="1286"/>
      <c r="G126" s="1286"/>
      <c r="H126" s="1286"/>
      <c r="I126" s="1286"/>
      <c r="J126" s="1286"/>
      <c r="K126" s="1286"/>
      <c r="L126" s="1286"/>
      <c r="M126" s="1286"/>
      <c r="N126" s="1286"/>
      <c r="O126" s="1286"/>
      <c r="P126" s="1286"/>
      <c r="Q126" s="1286"/>
      <c r="R126" s="1286"/>
      <c r="S126" s="1286"/>
      <c r="T126" s="1286"/>
      <c r="U126" s="1286"/>
      <c r="V126" s="1286"/>
      <c r="W126" s="1286"/>
      <c r="X126" s="1286"/>
      <c r="Y126" s="1286"/>
      <c r="Z126" s="1286"/>
      <c r="AA126" s="1286"/>
      <c r="AB126" s="1341"/>
      <c r="AC126" s="1287" t="s">
        <v>1330</v>
      </c>
      <c r="AD126" s="1288"/>
      <c r="AE126" s="1288"/>
      <c r="AF126" s="1330"/>
      <c r="AG126" s="595">
        <v>0</v>
      </c>
      <c r="AH126" s="595">
        <v>0</v>
      </c>
      <c r="AI126" s="596">
        <v>0</v>
      </c>
      <c r="AJ126" s="595">
        <v>0</v>
      </c>
      <c r="AK126" s="595">
        <v>0</v>
      </c>
      <c r="AL126" s="596">
        <v>0</v>
      </c>
      <c r="AM126" s="595">
        <v>0</v>
      </c>
      <c r="AN126" s="595">
        <v>0</v>
      </c>
      <c r="AO126" s="596">
        <v>0</v>
      </c>
      <c r="AP126" s="595">
        <v>0</v>
      </c>
      <c r="AQ126" s="595">
        <v>0</v>
      </c>
      <c r="AR126" s="596">
        <v>0</v>
      </c>
      <c r="AS126" s="595">
        <v>0</v>
      </c>
      <c r="AT126" s="597"/>
      <c r="AU126" s="596">
        <v>0</v>
      </c>
      <c r="AV126" s="595">
        <v>0</v>
      </c>
      <c r="AW126" s="595">
        <v>0</v>
      </c>
      <c r="AX126" s="596">
        <v>0</v>
      </c>
      <c r="AY126" s="595"/>
      <c r="AZ126" s="598"/>
      <c r="BA126" s="598"/>
      <c r="BB126" s="420">
        <f t="shared" si="19"/>
        <v>0</v>
      </c>
      <c r="BC126" s="420">
        <f t="shared" si="19"/>
        <v>0</v>
      </c>
      <c r="BD126" s="420">
        <f t="shared" si="19"/>
        <v>0</v>
      </c>
      <c r="BE126" s="420">
        <f t="shared" si="20"/>
        <v>0</v>
      </c>
      <c r="BF126" s="420">
        <f t="shared" si="20"/>
        <v>0</v>
      </c>
      <c r="BG126" s="420">
        <f t="shared" si="20"/>
        <v>0</v>
      </c>
      <c r="BH126">
        <v>0</v>
      </c>
      <c r="BK126">
        <v>1677000</v>
      </c>
      <c r="BL126" t="s">
        <v>62</v>
      </c>
      <c r="BN126" t="s">
        <v>1329</v>
      </c>
      <c r="CN126" t="s">
        <v>1330</v>
      </c>
      <c r="CR126">
        <v>0</v>
      </c>
      <c r="CS126">
        <v>0</v>
      </c>
      <c r="CT126">
        <v>0</v>
      </c>
    </row>
    <row r="127" spans="1:98">
      <c r="A127" s="1342" t="s">
        <v>64</v>
      </c>
      <c r="B127" s="1343"/>
      <c r="C127" s="1294" t="s">
        <v>1331</v>
      </c>
      <c r="D127" s="1295"/>
      <c r="E127" s="1295"/>
      <c r="F127" s="1295"/>
      <c r="G127" s="1295"/>
      <c r="H127" s="1295"/>
      <c r="I127" s="1295"/>
      <c r="J127" s="1295"/>
      <c r="K127" s="1295"/>
      <c r="L127" s="1295"/>
      <c r="M127" s="1295"/>
      <c r="N127" s="1295"/>
      <c r="O127" s="1295"/>
      <c r="P127" s="1295"/>
      <c r="Q127" s="1295"/>
      <c r="R127" s="1295"/>
      <c r="S127" s="1295"/>
      <c r="T127" s="1295"/>
      <c r="U127" s="1295"/>
      <c r="V127" s="1295"/>
      <c r="W127" s="1295"/>
      <c r="X127" s="1295"/>
      <c r="Y127" s="1295"/>
      <c r="Z127" s="1295"/>
      <c r="AA127" s="1295"/>
      <c r="AB127" s="1344"/>
      <c r="AC127" s="1346" t="s">
        <v>1332</v>
      </c>
      <c r="AD127" s="1347"/>
      <c r="AE127" s="1347"/>
      <c r="AF127" s="1348"/>
      <c r="AG127" s="599">
        <v>0</v>
      </c>
      <c r="AH127" s="599">
        <v>0</v>
      </c>
      <c r="AI127" s="600">
        <v>0</v>
      </c>
      <c r="AJ127" s="599">
        <v>0</v>
      </c>
      <c r="AK127" s="599">
        <v>0</v>
      </c>
      <c r="AL127" s="600">
        <v>0</v>
      </c>
      <c r="AM127" s="599">
        <v>0</v>
      </c>
      <c r="AN127" s="599">
        <v>0</v>
      </c>
      <c r="AO127" s="600">
        <v>0</v>
      </c>
      <c r="AP127" s="599">
        <v>0</v>
      </c>
      <c r="AQ127" s="599">
        <v>0</v>
      </c>
      <c r="AR127" s="600">
        <v>0</v>
      </c>
      <c r="AS127" s="599">
        <v>0</v>
      </c>
      <c r="AT127" s="601"/>
      <c r="AU127" s="600">
        <v>0</v>
      </c>
      <c r="AV127" s="599">
        <v>0</v>
      </c>
      <c r="AW127" s="599">
        <v>0</v>
      </c>
      <c r="AX127" s="600">
        <v>0</v>
      </c>
      <c r="AY127" s="599"/>
      <c r="AZ127" s="602"/>
      <c r="BA127" s="602"/>
      <c r="BB127" s="420">
        <f t="shared" si="19"/>
        <v>0</v>
      </c>
      <c r="BC127" s="420">
        <f t="shared" si="19"/>
        <v>0</v>
      </c>
      <c r="BD127" s="420">
        <f t="shared" si="19"/>
        <v>0</v>
      </c>
      <c r="BE127" s="420">
        <f t="shared" si="20"/>
        <v>0</v>
      </c>
      <c r="BF127" s="420">
        <f t="shared" si="20"/>
        <v>0</v>
      </c>
      <c r="BG127" s="420">
        <f t="shared" si="20"/>
        <v>0</v>
      </c>
      <c r="BH127">
        <v>0</v>
      </c>
      <c r="BK127">
        <v>1677000</v>
      </c>
      <c r="BL127" t="s">
        <v>64</v>
      </c>
      <c r="BN127" t="s">
        <v>1331</v>
      </c>
      <c r="CN127" t="s">
        <v>1332</v>
      </c>
      <c r="CR127">
        <v>0</v>
      </c>
      <c r="CS127">
        <v>0</v>
      </c>
      <c r="CT127">
        <v>0</v>
      </c>
    </row>
    <row r="128" spans="1:98">
      <c r="A128" s="1327" t="s">
        <v>66</v>
      </c>
      <c r="B128" s="1328"/>
      <c r="C128" s="1285" t="s">
        <v>1333</v>
      </c>
      <c r="D128" s="1286"/>
      <c r="E128" s="1286"/>
      <c r="F128" s="1286"/>
      <c r="G128" s="1286"/>
      <c r="H128" s="1286"/>
      <c r="I128" s="1286"/>
      <c r="J128" s="1286"/>
      <c r="K128" s="1286"/>
      <c r="L128" s="1286"/>
      <c r="M128" s="1286"/>
      <c r="N128" s="1286"/>
      <c r="O128" s="1286"/>
      <c r="P128" s="1286"/>
      <c r="Q128" s="1286"/>
      <c r="R128" s="1286"/>
      <c r="S128" s="1286"/>
      <c r="T128" s="1286"/>
      <c r="U128" s="1286"/>
      <c r="V128" s="1286"/>
      <c r="W128" s="1286"/>
      <c r="X128" s="1286"/>
      <c r="Y128" s="1286"/>
      <c r="Z128" s="1286"/>
      <c r="AA128" s="1286"/>
      <c r="AB128" s="1341"/>
      <c r="AC128" s="1287" t="s">
        <v>1334</v>
      </c>
      <c r="AD128" s="1288"/>
      <c r="AE128" s="1288"/>
      <c r="AF128" s="1330"/>
      <c r="AG128" s="595">
        <v>0</v>
      </c>
      <c r="AH128" s="595">
        <v>0</v>
      </c>
      <c r="AI128" s="596">
        <v>0</v>
      </c>
      <c r="AJ128" s="595">
        <v>0</v>
      </c>
      <c r="AK128" s="595">
        <v>0</v>
      </c>
      <c r="AL128" s="596">
        <v>0</v>
      </c>
      <c r="AM128" s="595">
        <v>0</v>
      </c>
      <c r="AN128" s="595">
        <v>0</v>
      </c>
      <c r="AO128" s="596">
        <v>0</v>
      </c>
      <c r="AP128" s="595">
        <v>0</v>
      </c>
      <c r="AQ128" s="595">
        <v>0</v>
      </c>
      <c r="AR128" s="596">
        <v>0</v>
      </c>
      <c r="AS128" s="595">
        <v>0</v>
      </c>
      <c r="AT128" s="597"/>
      <c r="AU128" s="596">
        <v>0</v>
      </c>
      <c r="AV128" s="595">
        <v>0</v>
      </c>
      <c r="AW128" s="595">
        <v>0</v>
      </c>
      <c r="AX128" s="596">
        <v>0</v>
      </c>
      <c r="AY128" s="595"/>
      <c r="AZ128" s="598"/>
      <c r="BA128" s="598"/>
      <c r="BB128" s="420">
        <f t="shared" si="19"/>
        <v>0</v>
      </c>
      <c r="BC128" s="420">
        <f t="shared" si="19"/>
        <v>0</v>
      </c>
      <c r="BD128" s="420">
        <f t="shared" si="19"/>
        <v>0</v>
      </c>
      <c r="BE128" s="420">
        <f t="shared" si="20"/>
        <v>0</v>
      </c>
      <c r="BF128" s="420">
        <f t="shared" si="20"/>
        <v>0</v>
      </c>
      <c r="BG128" s="420">
        <f t="shared" si="20"/>
        <v>0</v>
      </c>
      <c r="BH128">
        <v>0</v>
      </c>
      <c r="BL128" t="s">
        <v>66</v>
      </c>
      <c r="BN128" t="s">
        <v>1333</v>
      </c>
      <c r="CN128" t="s">
        <v>1334</v>
      </c>
      <c r="CR128">
        <v>0</v>
      </c>
      <c r="CS128">
        <v>0</v>
      </c>
      <c r="CT128">
        <v>0</v>
      </c>
    </row>
    <row r="129" spans="1:98">
      <c r="A129" s="1327" t="s">
        <v>68</v>
      </c>
      <c r="B129" s="1328"/>
      <c r="C129" s="1285" t="s">
        <v>1335</v>
      </c>
      <c r="D129" s="1286"/>
      <c r="E129" s="1286"/>
      <c r="F129" s="1286"/>
      <c r="G129" s="1286"/>
      <c r="H129" s="1286"/>
      <c r="I129" s="1286"/>
      <c r="J129" s="1286"/>
      <c r="K129" s="1286"/>
      <c r="L129" s="1286"/>
      <c r="M129" s="1286"/>
      <c r="N129" s="1286"/>
      <c r="O129" s="1286"/>
      <c r="P129" s="1286"/>
      <c r="Q129" s="1286"/>
      <c r="R129" s="1286"/>
      <c r="S129" s="1286"/>
      <c r="T129" s="1286"/>
      <c r="U129" s="1286"/>
      <c r="V129" s="1286"/>
      <c r="W129" s="1286"/>
      <c r="X129" s="1286"/>
      <c r="Y129" s="1286"/>
      <c r="Z129" s="1286"/>
      <c r="AA129" s="1286"/>
      <c r="AB129" s="1341"/>
      <c r="AC129" s="1287" t="s">
        <v>1336</v>
      </c>
      <c r="AD129" s="1288"/>
      <c r="AE129" s="1288"/>
      <c r="AF129" s="1330"/>
      <c r="AG129" s="595">
        <v>0</v>
      </c>
      <c r="AH129" s="595">
        <v>0</v>
      </c>
      <c r="AI129" s="596">
        <v>0</v>
      </c>
      <c r="AJ129" s="595">
        <v>0</v>
      </c>
      <c r="AK129" s="595">
        <v>0</v>
      </c>
      <c r="AL129" s="596">
        <v>0</v>
      </c>
      <c r="AM129" s="595">
        <v>0</v>
      </c>
      <c r="AN129" s="595">
        <v>0</v>
      </c>
      <c r="AO129" s="596">
        <v>0</v>
      </c>
      <c r="AP129" s="595">
        <v>0</v>
      </c>
      <c r="AQ129" s="595">
        <v>0</v>
      </c>
      <c r="AR129" s="596">
        <v>0</v>
      </c>
      <c r="AS129" s="595">
        <v>0</v>
      </c>
      <c r="AT129" s="597"/>
      <c r="AU129" s="596">
        <v>0</v>
      </c>
      <c r="AV129" s="595">
        <v>0</v>
      </c>
      <c r="AW129" s="595">
        <v>0</v>
      </c>
      <c r="AX129" s="596">
        <v>0</v>
      </c>
      <c r="AY129" s="595"/>
      <c r="AZ129" s="598"/>
      <c r="BA129" s="598"/>
      <c r="BB129" s="420">
        <f t="shared" si="19"/>
        <v>0</v>
      </c>
      <c r="BC129" s="420">
        <f t="shared" si="19"/>
        <v>0</v>
      </c>
      <c r="BD129" s="420">
        <f t="shared" si="19"/>
        <v>0</v>
      </c>
      <c r="BE129" s="420">
        <f t="shared" si="20"/>
        <v>0</v>
      </c>
      <c r="BF129" s="420">
        <f t="shared" si="20"/>
        <v>0</v>
      </c>
      <c r="BG129" s="420">
        <f t="shared" si="20"/>
        <v>0</v>
      </c>
      <c r="BH129">
        <v>0</v>
      </c>
      <c r="BL129" t="s">
        <v>68</v>
      </c>
      <c r="BN129" t="s">
        <v>1335</v>
      </c>
      <c r="CN129" t="s">
        <v>1336</v>
      </c>
      <c r="CR129">
        <v>0</v>
      </c>
      <c r="CS129">
        <v>0</v>
      </c>
      <c r="CT129">
        <v>0</v>
      </c>
    </row>
    <row r="130" spans="1:98">
      <c r="A130" s="1342" t="s">
        <v>711</v>
      </c>
      <c r="B130" s="1343"/>
      <c r="C130" s="1294" t="s">
        <v>1337</v>
      </c>
      <c r="D130" s="1295"/>
      <c r="E130" s="1295"/>
      <c r="F130" s="1295"/>
      <c r="G130" s="1295"/>
      <c r="H130" s="1295"/>
      <c r="I130" s="1295"/>
      <c r="J130" s="1295"/>
      <c r="K130" s="1295"/>
      <c r="L130" s="1295"/>
      <c r="M130" s="1295"/>
      <c r="N130" s="1295"/>
      <c r="O130" s="1295"/>
      <c r="P130" s="1295"/>
      <c r="Q130" s="1295"/>
      <c r="R130" s="1295"/>
      <c r="S130" s="1295"/>
      <c r="T130" s="1295"/>
      <c r="U130" s="1295"/>
      <c r="V130" s="1295"/>
      <c r="W130" s="1295"/>
      <c r="X130" s="1295"/>
      <c r="Y130" s="1295"/>
      <c r="Z130" s="1295"/>
      <c r="AA130" s="1295"/>
      <c r="AB130" s="1344"/>
      <c r="AC130" s="1317" t="s">
        <v>1338</v>
      </c>
      <c r="AD130" s="1318"/>
      <c r="AE130" s="1318"/>
      <c r="AF130" s="1345"/>
      <c r="AG130" s="599">
        <v>0</v>
      </c>
      <c r="AH130" s="599">
        <v>0</v>
      </c>
      <c r="AI130" s="600">
        <v>0</v>
      </c>
      <c r="AJ130" s="599">
        <v>0</v>
      </c>
      <c r="AK130" s="599">
        <v>0</v>
      </c>
      <c r="AL130" s="600">
        <v>0</v>
      </c>
      <c r="AM130" s="599">
        <v>0</v>
      </c>
      <c r="AN130" s="599">
        <v>0</v>
      </c>
      <c r="AO130" s="600">
        <v>0</v>
      </c>
      <c r="AP130" s="599">
        <v>0</v>
      </c>
      <c r="AQ130" s="599">
        <v>0</v>
      </c>
      <c r="AR130" s="600">
        <v>0</v>
      </c>
      <c r="AS130" s="599">
        <v>0</v>
      </c>
      <c r="AT130" s="601"/>
      <c r="AU130" s="600">
        <v>0</v>
      </c>
      <c r="AV130" s="599">
        <v>0</v>
      </c>
      <c r="AW130" s="599">
        <v>0</v>
      </c>
      <c r="AX130" s="600">
        <v>0</v>
      </c>
      <c r="AY130" s="599"/>
      <c r="AZ130" s="602"/>
      <c r="BA130" s="602"/>
      <c r="BB130" s="420">
        <f t="shared" si="19"/>
        <v>0</v>
      </c>
      <c r="BC130" s="420">
        <f t="shared" si="19"/>
        <v>0</v>
      </c>
      <c r="BD130" s="420">
        <f t="shared" si="19"/>
        <v>0</v>
      </c>
      <c r="BE130" s="420">
        <f t="shared" si="20"/>
        <v>0</v>
      </c>
      <c r="BF130" s="420">
        <f t="shared" si="20"/>
        <v>0</v>
      </c>
      <c r="BG130" s="420">
        <f t="shared" si="20"/>
        <v>0</v>
      </c>
      <c r="BH130">
        <v>0</v>
      </c>
      <c r="BL130" t="s">
        <v>711</v>
      </c>
      <c r="BN130" t="s">
        <v>1337</v>
      </c>
      <c r="CN130" t="s">
        <v>1338</v>
      </c>
      <c r="CR130">
        <v>0</v>
      </c>
      <c r="CS130">
        <v>0</v>
      </c>
      <c r="CT130">
        <v>0</v>
      </c>
    </row>
    <row r="131" spans="1:98">
      <c r="A131" s="1327" t="s">
        <v>714</v>
      </c>
      <c r="B131" s="1328"/>
      <c r="C131" s="1285" t="s">
        <v>1339</v>
      </c>
      <c r="D131" s="1286"/>
      <c r="E131" s="1286"/>
      <c r="F131" s="1286"/>
      <c r="G131" s="1286"/>
      <c r="H131" s="1286"/>
      <c r="I131" s="1286"/>
      <c r="J131" s="1286"/>
      <c r="K131" s="1286"/>
      <c r="L131" s="1286"/>
      <c r="M131" s="1286"/>
      <c r="N131" s="1286"/>
      <c r="O131" s="1286"/>
      <c r="P131" s="1286"/>
      <c r="Q131" s="1286"/>
      <c r="R131" s="1286"/>
      <c r="S131" s="1286"/>
      <c r="T131" s="1286"/>
      <c r="U131" s="1286"/>
      <c r="V131" s="1286"/>
      <c r="W131" s="1286"/>
      <c r="X131" s="1286"/>
      <c r="Y131" s="1286"/>
      <c r="Z131" s="1286"/>
      <c r="AA131" s="1286"/>
      <c r="AB131" s="1341"/>
      <c r="AC131" s="1287" t="s">
        <v>1340</v>
      </c>
      <c r="AD131" s="1288"/>
      <c r="AE131" s="1288"/>
      <c r="AF131" s="1330"/>
      <c r="AG131" s="595">
        <v>0</v>
      </c>
      <c r="AH131" s="595">
        <v>0</v>
      </c>
      <c r="AI131" s="596">
        <v>0</v>
      </c>
      <c r="AJ131" s="595">
        <v>0</v>
      </c>
      <c r="AK131" s="595">
        <v>0</v>
      </c>
      <c r="AL131" s="596">
        <v>0</v>
      </c>
      <c r="AM131" s="595">
        <v>0</v>
      </c>
      <c r="AN131" s="595">
        <v>0</v>
      </c>
      <c r="AO131" s="596">
        <v>0</v>
      </c>
      <c r="AP131" s="595">
        <v>0</v>
      </c>
      <c r="AQ131" s="595">
        <v>0</v>
      </c>
      <c r="AR131" s="596">
        <v>0</v>
      </c>
      <c r="AS131" s="595">
        <v>0</v>
      </c>
      <c r="AT131" s="597"/>
      <c r="AU131" s="596">
        <v>0</v>
      </c>
      <c r="AV131" s="595">
        <v>0</v>
      </c>
      <c r="AW131" s="595">
        <v>0</v>
      </c>
      <c r="AX131" s="596">
        <v>0</v>
      </c>
      <c r="AY131" s="595"/>
      <c r="AZ131" s="598"/>
      <c r="BA131" s="598"/>
      <c r="BB131" s="420">
        <f t="shared" si="19"/>
        <v>0</v>
      </c>
      <c r="BC131" s="420">
        <f t="shared" si="19"/>
        <v>0</v>
      </c>
      <c r="BD131" s="420">
        <f t="shared" si="19"/>
        <v>0</v>
      </c>
      <c r="BE131" s="420">
        <f t="shared" si="20"/>
        <v>0</v>
      </c>
      <c r="BF131" s="420">
        <f t="shared" si="20"/>
        <v>0</v>
      </c>
      <c r="BG131" s="420">
        <f t="shared" si="20"/>
        <v>0</v>
      </c>
      <c r="BH131">
        <v>0</v>
      </c>
      <c r="BL131" t="s">
        <v>714</v>
      </c>
      <c r="BN131" t="s">
        <v>1339</v>
      </c>
      <c r="CN131" t="s">
        <v>1340</v>
      </c>
      <c r="CR131">
        <v>0</v>
      </c>
      <c r="CS131">
        <v>0</v>
      </c>
      <c r="CT131">
        <v>0</v>
      </c>
    </row>
    <row r="132" spans="1:98">
      <c r="A132" s="1327" t="s">
        <v>717</v>
      </c>
      <c r="B132" s="1328"/>
      <c r="C132" s="1285" t="s">
        <v>1341</v>
      </c>
      <c r="D132" s="1286"/>
      <c r="E132" s="1286"/>
      <c r="F132" s="1286"/>
      <c r="G132" s="1286"/>
      <c r="H132" s="1286"/>
      <c r="I132" s="1286"/>
      <c r="J132" s="1286"/>
      <c r="K132" s="1286"/>
      <c r="L132" s="1286"/>
      <c r="M132" s="1286"/>
      <c r="N132" s="1286"/>
      <c r="O132" s="1286"/>
      <c r="P132" s="1286"/>
      <c r="Q132" s="1286"/>
      <c r="R132" s="1286"/>
      <c r="S132" s="1286"/>
      <c r="T132" s="1286"/>
      <c r="U132" s="1286"/>
      <c r="V132" s="1286"/>
      <c r="W132" s="1286"/>
      <c r="X132" s="1286"/>
      <c r="Y132" s="1286"/>
      <c r="Z132" s="1286"/>
      <c r="AA132" s="1286"/>
      <c r="AB132" s="1341"/>
      <c r="AC132" s="1287" t="s">
        <v>1342</v>
      </c>
      <c r="AD132" s="1288"/>
      <c r="AE132" s="1288"/>
      <c r="AF132" s="1330"/>
      <c r="AG132" s="595">
        <v>0</v>
      </c>
      <c r="AH132" s="595">
        <v>0</v>
      </c>
      <c r="AI132" s="596">
        <v>0</v>
      </c>
      <c r="AJ132" s="595">
        <v>0</v>
      </c>
      <c r="AK132" s="595">
        <v>0</v>
      </c>
      <c r="AL132" s="596">
        <v>0</v>
      </c>
      <c r="AM132" s="595">
        <v>0</v>
      </c>
      <c r="AN132" s="595">
        <v>0</v>
      </c>
      <c r="AO132" s="596">
        <v>0</v>
      </c>
      <c r="AP132" s="595">
        <v>0</v>
      </c>
      <c r="AQ132" s="595">
        <v>0</v>
      </c>
      <c r="AR132" s="596">
        <v>0</v>
      </c>
      <c r="AS132" s="595">
        <v>0</v>
      </c>
      <c r="AT132" s="597"/>
      <c r="AU132" s="596">
        <v>0</v>
      </c>
      <c r="AV132" s="595">
        <v>0</v>
      </c>
      <c r="AW132" s="595">
        <v>0</v>
      </c>
      <c r="AX132" s="596">
        <v>0</v>
      </c>
      <c r="AY132" s="595"/>
      <c r="AZ132" s="598"/>
      <c r="BA132" s="598"/>
      <c r="BB132" s="420">
        <f t="shared" si="19"/>
        <v>0</v>
      </c>
      <c r="BC132" s="420">
        <f t="shared" si="19"/>
        <v>0</v>
      </c>
      <c r="BD132" s="420">
        <f t="shared" si="19"/>
        <v>0</v>
      </c>
      <c r="BE132" s="420">
        <f t="shared" si="20"/>
        <v>0</v>
      </c>
      <c r="BF132" s="420">
        <f t="shared" si="20"/>
        <v>0</v>
      </c>
      <c r="BG132" s="420">
        <f t="shared" si="20"/>
        <v>0</v>
      </c>
      <c r="BH132">
        <v>0</v>
      </c>
      <c r="BL132" t="s">
        <v>717</v>
      </c>
      <c r="BN132" t="s">
        <v>1341</v>
      </c>
      <c r="CN132" t="s">
        <v>1342</v>
      </c>
      <c r="CR132">
        <v>0</v>
      </c>
      <c r="CS132">
        <v>0</v>
      </c>
      <c r="CT132">
        <v>0</v>
      </c>
    </row>
    <row r="133" spans="1:98">
      <c r="A133" s="1327" t="s">
        <v>721</v>
      </c>
      <c r="B133" s="1328"/>
      <c r="C133" s="1285" t="s">
        <v>1343</v>
      </c>
      <c r="D133" s="1286"/>
      <c r="E133" s="1286"/>
      <c r="F133" s="1286"/>
      <c r="G133" s="1286"/>
      <c r="H133" s="1286"/>
      <c r="I133" s="1286"/>
      <c r="J133" s="1286"/>
      <c r="K133" s="1286"/>
      <c r="L133" s="1286"/>
      <c r="M133" s="1286"/>
      <c r="N133" s="1286"/>
      <c r="O133" s="1286"/>
      <c r="P133" s="1286"/>
      <c r="Q133" s="1286"/>
      <c r="R133" s="1286"/>
      <c r="S133" s="1286"/>
      <c r="T133" s="1286"/>
      <c r="U133" s="1286"/>
      <c r="V133" s="1286"/>
      <c r="W133" s="1286"/>
      <c r="X133" s="1286"/>
      <c r="Y133" s="1286"/>
      <c r="Z133" s="1286"/>
      <c r="AA133" s="1286"/>
      <c r="AB133" s="1341"/>
      <c r="AC133" s="1287" t="s">
        <v>1344</v>
      </c>
      <c r="AD133" s="1288"/>
      <c r="AE133" s="1288"/>
      <c r="AF133" s="1330"/>
      <c r="AG133" s="595">
        <v>0</v>
      </c>
      <c r="AH133" s="595">
        <v>0</v>
      </c>
      <c r="AI133" s="596">
        <v>0</v>
      </c>
      <c r="AJ133" s="595">
        <v>0</v>
      </c>
      <c r="AK133" s="595">
        <v>0</v>
      </c>
      <c r="AL133" s="596">
        <v>0</v>
      </c>
      <c r="AM133" s="595">
        <v>0</v>
      </c>
      <c r="AN133" s="595">
        <v>0</v>
      </c>
      <c r="AO133" s="596">
        <v>0</v>
      </c>
      <c r="AP133" s="595">
        <v>0</v>
      </c>
      <c r="AQ133" s="595">
        <v>0</v>
      </c>
      <c r="AR133" s="596">
        <v>0</v>
      </c>
      <c r="AS133" s="595">
        <v>0</v>
      </c>
      <c r="AT133" s="597"/>
      <c r="AU133" s="596">
        <v>0</v>
      </c>
      <c r="AV133" s="595">
        <v>0</v>
      </c>
      <c r="AW133" s="595">
        <v>0</v>
      </c>
      <c r="AX133" s="596">
        <v>0</v>
      </c>
      <c r="AY133" s="595"/>
      <c r="AZ133" s="598"/>
      <c r="BA133" s="598"/>
      <c r="BB133" s="420">
        <f t="shared" si="19"/>
        <v>0</v>
      </c>
      <c r="BC133" s="420">
        <f t="shared" si="19"/>
        <v>0</v>
      </c>
      <c r="BD133" s="420">
        <f t="shared" si="19"/>
        <v>0</v>
      </c>
      <c r="BE133" s="420">
        <f t="shared" si="20"/>
        <v>0</v>
      </c>
      <c r="BF133" s="420">
        <f t="shared" si="20"/>
        <v>0</v>
      </c>
      <c r="BG133" s="420">
        <f t="shared" si="20"/>
        <v>0</v>
      </c>
      <c r="BH133">
        <v>0</v>
      </c>
      <c r="BL133" t="s">
        <v>721</v>
      </c>
      <c r="BN133" t="s">
        <v>1343</v>
      </c>
      <c r="CN133" t="s">
        <v>1344</v>
      </c>
      <c r="CR133">
        <v>0</v>
      </c>
      <c r="CS133">
        <v>0</v>
      </c>
      <c r="CT133">
        <v>0</v>
      </c>
    </row>
    <row r="134" spans="1:98">
      <c r="A134" s="1327" t="s">
        <v>725</v>
      </c>
      <c r="B134" s="1328"/>
      <c r="C134" s="1285" t="s">
        <v>1345</v>
      </c>
      <c r="D134" s="1286"/>
      <c r="E134" s="1286"/>
      <c r="F134" s="1286"/>
      <c r="G134" s="1286"/>
      <c r="H134" s="1286"/>
      <c r="I134" s="1286"/>
      <c r="J134" s="1286"/>
      <c r="K134" s="1286"/>
      <c r="L134" s="1286"/>
      <c r="M134" s="1286"/>
      <c r="N134" s="1286"/>
      <c r="O134" s="1286"/>
      <c r="P134" s="1286"/>
      <c r="Q134" s="1286"/>
      <c r="R134" s="1286"/>
      <c r="S134" s="1286"/>
      <c r="T134" s="1286"/>
      <c r="U134" s="1286"/>
      <c r="V134" s="1286"/>
      <c r="W134" s="1286"/>
      <c r="X134" s="1286"/>
      <c r="Y134" s="1286"/>
      <c r="Z134" s="1286"/>
      <c r="AA134" s="1286"/>
      <c r="AB134" s="1341"/>
      <c r="AC134" s="1287" t="s">
        <v>1346</v>
      </c>
      <c r="AD134" s="1288"/>
      <c r="AE134" s="1288"/>
      <c r="AF134" s="1330"/>
      <c r="AG134" s="595">
        <v>0</v>
      </c>
      <c r="AH134" s="595">
        <v>0</v>
      </c>
      <c r="AI134" s="596">
        <v>0</v>
      </c>
      <c r="AJ134" s="595">
        <v>0</v>
      </c>
      <c r="AK134" s="595">
        <v>0</v>
      </c>
      <c r="AL134" s="596">
        <v>0</v>
      </c>
      <c r="AM134" s="595">
        <v>0</v>
      </c>
      <c r="AN134" s="595">
        <v>0</v>
      </c>
      <c r="AO134" s="596">
        <v>0</v>
      </c>
      <c r="AP134" s="595">
        <v>0</v>
      </c>
      <c r="AQ134" s="595">
        <v>0</v>
      </c>
      <c r="AR134" s="596">
        <v>0</v>
      </c>
      <c r="AS134" s="595">
        <v>0</v>
      </c>
      <c r="AT134" s="597"/>
      <c r="AU134" s="596">
        <v>0</v>
      </c>
      <c r="AV134" s="595">
        <v>0</v>
      </c>
      <c r="AW134" s="595">
        <v>0</v>
      </c>
      <c r="AX134" s="596">
        <v>0</v>
      </c>
      <c r="AY134" s="595"/>
      <c r="AZ134" s="598"/>
      <c r="BA134" s="598"/>
      <c r="BB134" s="420">
        <f t="shared" si="19"/>
        <v>0</v>
      </c>
      <c r="BC134" s="420">
        <f t="shared" si="19"/>
        <v>0</v>
      </c>
      <c r="BD134" s="420">
        <f t="shared" si="19"/>
        <v>0</v>
      </c>
      <c r="BE134" s="420">
        <f t="shared" si="20"/>
        <v>0</v>
      </c>
      <c r="BF134" s="420">
        <f t="shared" si="20"/>
        <v>0</v>
      </c>
      <c r="BG134" s="420">
        <f t="shared" si="20"/>
        <v>0</v>
      </c>
      <c r="BH134">
        <v>0</v>
      </c>
      <c r="BL134" t="s">
        <v>725</v>
      </c>
      <c r="BN134" t="s">
        <v>1345</v>
      </c>
      <c r="CN134" t="s">
        <v>1346</v>
      </c>
      <c r="CR134">
        <v>0</v>
      </c>
      <c r="CS134">
        <v>0</v>
      </c>
      <c r="CT134">
        <v>0</v>
      </c>
    </row>
    <row r="135" spans="1:98">
      <c r="A135" s="1327" t="s">
        <v>70</v>
      </c>
      <c r="B135" s="1328"/>
      <c r="C135" s="1285" t="s">
        <v>1347</v>
      </c>
      <c r="D135" s="1286"/>
      <c r="E135" s="1286"/>
      <c r="F135" s="1286"/>
      <c r="G135" s="1286"/>
      <c r="H135" s="1286"/>
      <c r="I135" s="1286"/>
      <c r="J135" s="1286"/>
      <c r="K135" s="1286"/>
      <c r="L135" s="1286"/>
      <c r="M135" s="1286"/>
      <c r="N135" s="1286"/>
      <c r="O135" s="1286"/>
      <c r="P135" s="1286"/>
      <c r="Q135" s="1286"/>
      <c r="R135" s="1286"/>
      <c r="S135" s="1286"/>
      <c r="T135" s="1286"/>
      <c r="U135" s="1286"/>
      <c r="V135" s="1286"/>
      <c r="W135" s="1286"/>
      <c r="X135" s="1286"/>
      <c r="Y135" s="1286"/>
      <c r="Z135" s="1286"/>
      <c r="AA135" s="1286"/>
      <c r="AB135" s="1341"/>
      <c r="AC135" s="1287" t="s">
        <v>1348</v>
      </c>
      <c r="AD135" s="1288"/>
      <c r="AE135" s="1288"/>
      <c r="AF135" s="1330"/>
      <c r="AG135" s="595">
        <v>0</v>
      </c>
      <c r="AH135" s="595">
        <v>0</v>
      </c>
      <c r="AI135" s="596">
        <v>0</v>
      </c>
      <c r="AJ135" s="595">
        <v>0</v>
      </c>
      <c r="AK135" s="595">
        <v>0</v>
      </c>
      <c r="AL135" s="596">
        <v>0</v>
      </c>
      <c r="AM135" s="595">
        <v>0</v>
      </c>
      <c r="AN135" s="595">
        <v>0</v>
      </c>
      <c r="AO135" s="596">
        <v>0</v>
      </c>
      <c r="AP135" s="595">
        <v>0</v>
      </c>
      <c r="AQ135" s="595">
        <v>0</v>
      </c>
      <c r="AR135" s="596">
        <v>0</v>
      </c>
      <c r="AS135" s="595">
        <v>0</v>
      </c>
      <c r="AT135" s="597"/>
      <c r="AU135" s="596">
        <v>0</v>
      </c>
      <c r="AV135" s="595">
        <v>0</v>
      </c>
      <c r="AW135" s="595">
        <v>0</v>
      </c>
      <c r="AX135" s="596">
        <v>0</v>
      </c>
      <c r="AY135" s="595"/>
      <c r="AZ135" s="598"/>
      <c r="BA135" s="598"/>
      <c r="BB135" s="420">
        <f t="shared" si="19"/>
        <v>0</v>
      </c>
      <c r="BC135" s="420">
        <f t="shared" si="19"/>
        <v>0</v>
      </c>
      <c r="BD135" s="420">
        <f t="shared" si="19"/>
        <v>0</v>
      </c>
      <c r="BE135" s="420">
        <f t="shared" si="20"/>
        <v>0</v>
      </c>
      <c r="BF135" s="420">
        <f t="shared" si="20"/>
        <v>0</v>
      </c>
      <c r="BG135" s="420">
        <f t="shared" si="20"/>
        <v>0</v>
      </c>
      <c r="BH135">
        <v>0</v>
      </c>
      <c r="BL135" t="s">
        <v>70</v>
      </c>
      <c r="BN135" t="s">
        <v>1347</v>
      </c>
      <c r="CN135" t="s">
        <v>1348</v>
      </c>
      <c r="CR135">
        <v>0</v>
      </c>
      <c r="CS135">
        <v>0</v>
      </c>
      <c r="CT135">
        <v>0</v>
      </c>
    </row>
    <row r="136" spans="1:98">
      <c r="A136" s="1327" t="s">
        <v>73</v>
      </c>
      <c r="B136" s="1328"/>
      <c r="C136" s="1285" t="s">
        <v>1349</v>
      </c>
      <c r="D136" s="1286"/>
      <c r="E136" s="1286"/>
      <c r="F136" s="1286"/>
      <c r="G136" s="1286"/>
      <c r="H136" s="1286"/>
      <c r="I136" s="1286"/>
      <c r="J136" s="1286"/>
      <c r="K136" s="1286"/>
      <c r="L136" s="1286"/>
      <c r="M136" s="1286"/>
      <c r="N136" s="1286"/>
      <c r="O136" s="1286"/>
      <c r="P136" s="1286"/>
      <c r="Q136" s="1286"/>
      <c r="R136" s="1286"/>
      <c r="S136" s="1286"/>
      <c r="T136" s="1286"/>
      <c r="U136" s="1286"/>
      <c r="V136" s="1286"/>
      <c r="W136" s="1286"/>
      <c r="X136" s="1286"/>
      <c r="Y136" s="1286"/>
      <c r="Z136" s="1286"/>
      <c r="AA136" s="1286"/>
      <c r="AB136" s="1341"/>
      <c r="AC136" s="1287" t="s">
        <v>1350</v>
      </c>
      <c r="AD136" s="1288"/>
      <c r="AE136" s="1288"/>
      <c r="AF136" s="1330"/>
      <c r="AG136" s="595">
        <v>0</v>
      </c>
      <c r="AH136" s="595">
        <v>0</v>
      </c>
      <c r="AI136" s="596">
        <v>0</v>
      </c>
      <c r="AJ136" s="595">
        <v>0</v>
      </c>
      <c r="AK136" s="595">
        <v>0</v>
      </c>
      <c r="AL136" s="596">
        <v>0</v>
      </c>
      <c r="AM136" s="595">
        <v>0</v>
      </c>
      <c r="AN136" s="595">
        <v>0</v>
      </c>
      <c r="AO136" s="596">
        <v>0</v>
      </c>
      <c r="AP136" s="595">
        <v>0</v>
      </c>
      <c r="AQ136" s="595">
        <v>0</v>
      </c>
      <c r="AR136" s="596">
        <v>0</v>
      </c>
      <c r="AS136" s="595">
        <v>0</v>
      </c>
      <c r="AT136" s="597"/>
      <c r="AU136" s="596">
        <v>0</v>
      </c>
      <c r="AV136" s="595">
        <v>0</v>
      </c>
      <c r="AW136" s="595">
        <v>0</v>
      </c>
      <c r="AX136" s="596">
        <v>0</v>
      </c>
      <c r="AY136" s="595"/>
      <c r="AZ136" s="598"/>
      <c r="BA136" s="598"/>
      <c r="BB136" s="420">
        <f t="shared" si="19"/>
        <v>0</v>
      </c>
      <c r="BC136" s="420">
        <f t="shared" si="19"/>
        <v>0</v>
      </c>
      <c r="BD136" s="420">
        <f t="shared" si="19"/>
        <v>0</v>
      </c>
      <c r="BE136" s="420">
        <f t="shared" si="20"/>
        <v>0</v>
      </c>
      <c r="BF136" s="420">
        <f t="shared" si="20"/>
        <v>0</v>
      </c>
      <c r="BG136" s="420">
        <f t="shared" si="20"/>
        <v>0</v>
      </c>
      <c r="BH136">
        <v>0</v>
      </c>
      <c r="BL136" t="s">
        <v>73</v>
      </c>
      <c r="BN136" t="s">
        <v>1349</v>
      </c>
      <c r="CN136" t="s">
        <v>1350</v>
      </c>
      <c r="CR136">
        <v>0</v>
      </c>
      <c r="CS136">
        <v>0</v>
      </c>
      <c r="CT136">
        <v>0</v>
      </c>
    </row>
    <row r="137" spans="1:98">
      <c r="A137" s="1327" t="s">
        <v>74</v>
      </c>
      <c r="B137" s="1328"/>
      <c r="C137" s="1285" t="s">
        <v>1351</v>
      </c>
      <c r="D137" s="1286"/>
      <c r="E137" s="1286"/>
      <c r="F137" s="1286"/>
      <c r="G137" s="1286"/>
      <c r="H137" s="1286"/>
      <c r="I137" s="1286"/>
      <c r="J137" s="1286"/>
      <c r="K137" s="1286"/>
      <c r="L137" s="1286"/>
      <c r="M137" s="1286"/>
      <c r="N137" s="1286"/>
      <c r="O137" s="1286"/>
      <c r="P137" s="1286"/>
      <c r="Q137" s="1286"/>
      <c r="R137" s="1286"/>
      <c r="S137" s="1286"/>
      <c r="T137" s="1286"/>
      <c r="U137" s="1286"/>
      <c r="V137" s="1286"/>
      <c r="W137" s="1286"/>
      <c r="X137" s="1286"/>
      <c r="Y137" s="1286"/>
      <c r="Z137" s="1286"/>
      <c r="AA137" s="1286"/>
      <c r="AB137" s="1341"/>
      <c r="AC137" s="1287" t="s">
        <v>1352</v>
      </c>
      <c r="AD137" s="1288"/>
      <c r="AE137" s="1288"/>
      <c r="AF137" s="1330"/>
      <c r="AG137" s="595">
        <v>0</v>
      </c>
      <c r="AH137" s="595">
        <v>0</v>
      </c>
      <c r="AI137" s="596">
        <v>0</v>
      </c>
      <c r="AJ137" s="595">
        <v>0</v>
      </c>
      <c r="AK137" s="595">
        <v>0</v>
      </c>
      <c r="AL137" s="596">
        <v>0</v>
      </c>
      <c r="AM137" s="595">
        <v>0</v>
      </c>
      <c r="AN137" s="595">
        <v>0</v>
      </c>
      <c r="AO137" s="596">
        <v>0</v>
      </c>
      <c r="AP137" s="595">
        <v>0</v>
      </c>
      <c r="AQ137" s="595">
        <v>0</v>
      </c>
      <c r="AR137" s="596">
        <v>0</v>
      </c>
      <c r="AS137" s="595">
        <v>0</v>
      </c>
      <c r="AT137" s="597"/>
      <c r="AU137" s="596">
        <v>0</v>
      </c>
      <c r="AV137" s="595">
        <v>0</v>
      </c>
      <c r="AW137" s="595">
        <v>0</v>
      </c>
      <c r="AX137" s="596">
        <v>0</v>
      </c>
      <c r="AY137" s="595"/>
      <c r="AZ137" s="598"/>
      <c r="BA137" s="598"/>
      <c r="BB137" s="420">
        <f t="shared" si="19"/>
        <v>0</v>
      </c>
      <c r="BC137" s="420">
        <f t="shared" si="19"/>
        <v>0</v>
      </c>
      <c r="BD137" s="420">
        <f t="shared" si="19"/>
        <v>0</v>
      </c>
      <c r="BE137" s="420">
        <f t="shared" si="20"/>
        <v>0</v>
      </c>
      <c r="BF137" s="420">
        <f t="shared" si="20"/>
        <v>0</v>
      </c>
      <c r="BG137" s="420">
        <f t="shared" si="20"/>
        <v>0</v>
      </c>
      <c r="BH137">
        <v>0</v>
      </c>
      <c r="BL137" t="s">
        <v>74</v>
      </c>
      <c r="BN137" t="s">
        <v>1351</v>
      </c>
      <c r="CN137" t="s">
        <v>1352</v>
      </c>
      <c r="CR137">
        <v>0</v>
      </c>
      <c r="CS137">
        <v>0</v>
      </c>
      <c r="CT137">
        <v>0</v>
      </c>
    </row>
    <row r="138" spans="1:98">
      <c r="A138" s="1327" t="s">
        <v>75</v>
      </c>
      <c r="B138" s="1328"/>
      <c r="C138" s="1285" t="s">
        <v>1353</v>
      </c>
      <c r="D138" s="1286"/>
      <c r="E138" s="1286"/>
      <c r="F138" s="1286"/>
      <c r="G138" s="1286"/>
      <c r="H138" s="1286"/>
      <c r="I138" s="1286"/>
      <c r="J138" s="1286"/>
      <c r="K138" s="1286"/>
      <c r="L138" s="1286"/>
      <c r="M138" s="1286"/>
      <c r="N138" s="1286"/>
      <c r="O138" s="1286"/>
      <c r="P138" s="1286"/>
      <c r="Q138" s="1286"/>
      <c r="R138" s="1286"/>
      <c r="S138" s="1286"/>
      <c r="T138" s="1286"/>
      <c r="U138" s="1286"/>
      <c r="V138" s="1286"/>
      <c r="W138" s="1286"/>
      <c r="X138" s="1286"/>
      <c r="Y138" s="1286"/>
      <c r="Z138" s="1286"/>
      <c r="AA138" s="1286"/>
      <c r="AB138" s="1341"/>
      <c r="AC138" s="1287" t="s">
        <v>1354</v>
      </c>
      <c r="AD138" s="1288"/>
      <c r="AE138" s="1288"/>
      <c r="AF138" s="1330"/>
      <c r="AG138" s="595">
        <v>0</v>
      </c>
      <c r="AH138" s="595">
        <v>0</v>
      </c>
      <c r="AI138" s="596">
        <v>0</v>
      </c>
      <c r="AJ138" s="595">
        <v>0</v>
      </c>
      <c r="AK138" s="595">
        <v>0</v>
      </c>
      <c r="AL138" s="596">
        <v>0</v>
      </c>
      <c r="AM138" s="595">
        <v>0</v>
      </c>
      <c r="AN138" s="595">
        <v>0</v>
      </c>
      <c r="AO138" s="596">
        <v>0</v>
      </c>
      <c r="AP138" s="595">
        <v>0</v>
      </c>
      <c r="AQ138" s="595">
        <v>0</v>
      </c>
      <c r="AR138" s="596">
        <v>0</v>
      </c>
      <c r="AS138" s="595">
        <v>0</v>
      </c>
      <c r="AT138" s="597"/>
      <c r="AU138" s="596">
        <v>0</v>
      </c>
      <c r="AV138" s="595">
        <v>0</v>
      </c>
      <c r="AW138" s="595">
        <v>0</v>
      </c>
      <c r="AX138" s="596">
        <v>0</v>
      </c>
      <c r="AY138" s="595"/>
      <c r="AZ138" s="598"/>
      <c r="BA138" s="598"/>
      <c r="BB138" s="420">
        <f t="shared" ref="BB138:BD201" si="22">AS138+AV138</f>
        <v>0</v>
      </c>
      <c r="BC138" s="420">
        <f t="shared" si="22"/>
        <v>0</v>
      </c>
      <c r="BD138" s="420">
        <f t="shared" si="22"/>
        <v>0</v>
      </c>
      <c r="BE138" s="420">
        <f t="shared" ref="BE138:BG201" si="23">AG138+AJ138+AM138+AP138+BB138+AY138</f>
        <v>0</v>
      </c>
      <c r="BF138" s="420">
        <f t="shared" si="23"/>
        <v>0</v>
      </c>
      <c r="BG138" s="420">
        <f t="shared" si="23"/>
        <v>0</v>
      </c>
      <c r="BH138">
        <v>0</v>
      </c>
      <c r="BL138" t="s">
        <v>75</v>
      </c>
      <c r="BN138" t="s">
        <v>1353</v>
      </c>
      <c r="CN138" t="s">
        <v>1354</v>
      </c>
      <c r="CR138">
        <v>0</v>
      </c>
      <c r="CS138">
        <v>0</v>
      </c>
      <c r="CT138">
        <v>0</v>
      </c>
    </row>
    <row r="139" spans="1:98">
      <c r="A139" s="1342" t="s">
        <v>734</v>
      </c>
      <c r="B139" s="1343"/>
      <c r="C139" s="1294" t="s">
        <v>1355</v>
      </c>
      <c r="D139" s="1295"/>
      <c r="E139" s="1295"/>
      <c r="F139" s="1295"/>
      <c r="G139" s="1295"/>
      <c r="H139" s="1295"/>
      <c r="I139" s="1295"/>
      <c r="J139" s="1295"/>
      <c r="K139" s="1295"/>
      <c r="L139" s="1295"/>
      <c r="M139" s="1295"/>
      <c r="N139" s="1295"/>
      <c r="O139" s="1295"/>
      <c r="P139" s="1295"/>
      <c r="Q139" s="1295"/>
      <c r="R139" s="1295"/>
      <c r="S139" s="1295"/>
      <c r="T139" s="1295"/>
      <c r="U139" s="1295"/>
      <c r="V139" s="1295"/>
      <c r="W139" s="1295"/>
      <c r="X139" s="1295"/>
      <c r="Y139" s="1295"/>
      <c r="Z139" s="1295"/>
      <c r="AA139" s="1295"/>
      <c r="AB139" s="1344"/>
      <c r="AC139" s="1317" t="s">
        <v>1356</v>
      </c>
      <c r="AD139" s="1318"/>
      <c r="AE139" s="1318"/>
      <c r="AF139" s="1345"/>
      <c r="AG139" s="599">
        <v>0</v>
      </c>
      <c r="AH139" s="599">
        <v>0</v>
      </c>
      <c r="AI139" s="600">
        <v>0</v>
      </c>
      <c r="AJ139" s="599">
        <v>0</v>
      </c>
      <c r="AK139" s="599">
        <v>0</v>
      </c>
      <c r="AL139" s="600">
        <v>0</v>
      </c>
      <c r="AM139" s="599">
        <v>0</v>
      </c>
      <c r="AN139" s="599">
        <v>0</v>
      </c>
      <c r="AO139" s="600">
        <v>0</v>
      </c>
      <c r="AP139" s="599">
        <v>0</v>
      </c>
      <c r="AQ139" s="599">
        <v>0</v>
      </c>
      <c r="AR139" s="600">
        <v>0</v>
      </c>
      <c r="AS139" s="599">
        <v>0</v>
      </c>
      <c r="AT139" s="601"/>
      <c r="AU139" s="600">
        <v>0</v>
      </c>
      <c r="AV139" s="599">
        <v>0</v>
      </c>
      <c r="AW139" s="599">
        <v>0</v>
      </c>
      <c r="AX139" s="600">
        <v>0</v>
      </c>
      <c r="AY139" s="599"/>
      <c r="AZ139" s="602"/>
      <c r="BA139" s="602"/>
      <c r="BB139" s="420">
        <f t="shared" si="22"/>
        <v>0</v>
      </c>
      <c r="BC139" s="420">
        <f t="shared" si="22"/>
        <v>0</v>
      </c>
      <c r="BD139" s="420">
        <f t="shared" si="22"/>
        <v>0</v>
      </c>
      <c r="BE139" s="420">
        <f t="shared" si="23"/>
        <v>0</v>
      </c>
      <c r="BF139" s="420">
        <f t="shared" si="23"/>
        <v>0</v>
      </c>
      <c r="BG139" s="420">
        <f t="shared" si="23"/>
        <v>0</v>
      </c>
      <c r="BH139">
        <v>0</v>
      </c>
      <c r="BL139" t="s">
        <v>734</v>
      </c>
      <c r="BN139" t="s">
        <v>1355</v>
      </c>
      <c r="CN139" t="s">
        <v>1356</v>
      </c>
      <c r="CR139">
        <v>0</v>
      </c>
      <c r="CS139">
        <v>0</v>
      </c>
      <c r="CT139">
        <v>0</v>
      </c>
    </row>
    <row r="140" spans="1:98">
      <c r="A140" s="1327" t="s">
        <v>736</v>
      </c>
      <c r="B140" s="1328"/>
      <c r="C140" s="1285" t="s">
        <v>1357</v>
      </c>
      <c r="D140" s="1286"/>
      <c r="E140" s="1286"/>
      <c r="F140" s="1286"/>
      <c r="G140" s="1286"/>
      <c r="H140" s="1286"/>
      <c r="I140" s="1286"/>
      <c r="J140" s="1286"/>
      <c r="K140" s="1286"/>
      <c r="L140" s="1286"/>
      <c r="M140" s="1286"/>
      <c r="N140" s="1286"/>
      <c r="O140" s="1286"/>
      <c r="P140" s="1286"/>
      <c r="Q140" s="1286"/>
      <c r="R140" s="1286"/>
      <c r="S140" s="1286"/>
      <c r="T140" s="1286"/>
      <c r="U140" s="1286"/>
      <c r="V140" s="1286"/>
      <c r="W140" s="1286"/>
      <c r="X140" s="1286"/>
      <c r="Y140" s="1286"/>
      <c r="Z140" s="1286"/>
      <c r="AA140" s="1286"/>
      <c r="AB140" s="1341"/>
      <c r="AC140" s="1287" t="s">
        <v>1358</v>
      </c>
      <c r="AD140" s="1288"/>
      <c r="AE140" s="1288"/>
      <c r="AF140" s="1330"/>
      <c r="AG140" s="595">
        <v>0</v>
      </c>
      <c r="AH140" s="595">
        <v>0</v>
      </c>
      <c r="AI140" s="596">
        <v>0</v>
      </c>
      <c r="AJ140" s="595">
        <v>0</v>
      </c>
      <c r="AK140" s="595">
        <v>0</v>
      </c>
      <c r="AL140" s="596">
        <v>0</v>
      </c>
      <c r="AM140" s="595">
        <v>0</v>
      </c>
      <c r="AN140" s="595">
        <v>0</v>
      </c>
      <c r="AO140" s="596">
        <v>0</v>
      </c>
      <c r="AP140" s="595">
        <v>0</v>
      </c>
      <c r="AQ140" s="595">
        <v>0</v>
      </c>
      <c r="AR140" s="596">
        <v>0</v>
      </c>
      <c r="AS140" s="595">
        <v>0</v>
      </c>
      <c r="AT140" s="597"/>
      <c r="AU140" s="596">
        <v>0</v>
      </c>
      <c r="AV140" s="595">
        <v>0</v>
      </c>
      <c r="AW140" s="595">
        <v>0</v>
      </c>
      <c r="AX140" s="596">
        <v>0</v>
      </c>
      <c r="AY140" s="595">
        <v>95000</v>
      </c>
      <c r="AZ140" s="598"/>
      <c r="BA140" s="598"/>
      <c r="BB140" s="420">
        <f t="shared" si="22"/>
        <v>0</v>
      </c>
      <c r="BC140" s="420">
        <f t="shared" si="22"/>
        <v>0</v>
      </c>
      <c r="BD140" s="420">
        <f t="shared" si="22"/>
        <v>0</v>
      </c>
      <c r="BE140" s="420">
        <f t="shared" si="23"/>
        <v>95000</v>
      </c>
      <c r="BF140" s="420">
        <f t="shared" si="23"/>
        <v>0</v>
      </c>
      <c r="BG140" s="420">
        <f t="shared" si="23"/>
        <v>0</v>
      </c>
      <c r="BH140">
        <v>0</v>
      </c>
      <c r="BL140" t="s">
        <v>736</v>
      </c>
      <c r="BN140" t="s">
        <v>1357</v>
      </c>
      <c r="CN140" t="s">
        <v>1358</v>
      </c>
      <c r="CR140">
        <v>0</v>
      </c>
      <c r="CS140">
        <v>0</v>
      </c>
      <c r="CT140">
        <v>0</v>
      </c>
    </row>
    <row r="141" spans="1:98">
      <c r="A141" s="1342" t="s">
        <v>738</v>
      </c>
      <c r="B141" s="1343"/>
      <c r="C141" s="1294" t="s">
        <v>1359</v>
      </c>
      <c r="D141" s="1295"/>
      <c r="E141" s="1295"/>
      <c r="F141" s="1295"/>
      <c r="G141" s="1295"/>
      <c r="H141" s="1295"/>
      <c r="I141" s="1295"/>
      <c r="J141" s="1295"/>
      <c r="K141" s="1295"/>
      <c r="L141" s="1295"/>
      <c r="M141" s="1295"/>
      <c r="N141" s="1295"/>
      <c r="O141" s="1295"/>
      <c r="P141" s="1295"/>
      <c r="Q141" s="1295"/>
      <c r="R141" s="1295"/>
      <c r="S141" s="1295"/>
      <c r="T141" s="1295"/>
      <c r="U141" s="1295"/>
      <c r="V141" s="1295"/>
      <c r="W141" s="1295"/>
      <c r="X141" s="1295"/>
      <c r="Y141" s="1295"/>
      <c r="Z141" s="1295"/>
      <c r="AA141" s="1295"/>
      <c r="AB141" s="1344"/>
      <c r="AC141" s="1346" t="s">
        <v>1360</v>
      </c>
      <c r="AD141" s="1347"/>
      <c r="AE141" s="1347"/>
      <c r="AF141" s="1348"/>
      <c r="AG141" s="599">
        <v>0</v>
      </c>
      <c r="AH141" s="599">
        <v>0</v>
      </c>
      <c r="AI141" s="600">
        <v>0</v>
      </c>
      <c r="AJ141" s="599">
        <v>0</v>
      </c>
      <c r="AK141" s="599">
        <v>0</v>
      </c>
      <c r="AL141" s="600">
        <v>0</v>
      </c>
      <c r="AM141" s="599">
        <v>0</v>
      </c>
      <c r="AN141" s="599">
        <v>0</v>
      </c>
      <c r="AO141" s="600">
        <v>0</v>
      </c>
      <c r="AP141" s="599">
        <v>0</v>
      </c>
      <c r="AQ141" s="599">
        <v>0</v>
      </c>
      <c r="AR141" s="600">
        <v>0</v>
      </c>
      <c r="AS141" s="599">
        <v>0</v>
      </c>
      <c r="AT141" s="601"/>
      <c r="AU141" s="600">
        <v>0</v>
      </c>
      <c r="AV141" s="599">
        <v>0</v>
      </c>
      <c r="AW141" s="599">
        <v>0</v>
      </c>
      <c r="AX141" s="600">
        <v>0</v>
      </c>
      <c r="AY141" s="599">
        <v>95000</v>
      </c>
      <c r="AZ141" s="602"/>
      <c r="BA141" s="602"/>
      <c r="BB141" s="420">
        <f t="shared" si="22"/>
        <v>0</v>
      </c>
      <c r="BC141" s="420">
        <f t="shared" si="22"/>
        <v>0</v>
      </c>
      <c r="BD141" s="420">
        <f t="shared" si="22"/>
        <v>0</v>
      </c>
      <c r="BE141" s="420">
        <f t="shared" si="23"/>
        <v>95000</v>
      </c>
      <c r="BF141" s="420">
        <f t="shared" si="23"/>
        <v>0</v>
      </c>
      <c r="BG141" s="420">
        <f t="shared" si="23"/>
        <v>0</v>
      </c>
      <c r="BH141">
        <v>0</v>
      </c>
      <c r="BL141" t="s">
        <v>738</v>
      </c>
      <c r="BN141" t="s">
        <v>1359</v>
      </c>
      <c r="CN141" t="s">
        <v>1360</v>
      </c>
      <c r="CR141">
        <v>0</v>
      </c>
      <c r="CS141">
        <v>0</v>
      </c>
      <c r="CT141">
        <v>0</v>
      </c>
    </row>
    <row r="142" spans="1:98">
      <c r="A142" s="1327" t="s">
        <v>740</v>
      </c>
      <c r="B142" s="1328"/>
      <c r="C142" s="1305" t="s">
        <v>356</v>
      </c>
      <c r="D142" s="1306"/>
      <c r="E142" s="1306"/>
      <c r="F142" s="1306"/>
      <c r="G142" s="1306"/>
      <c r="H142" s="1306"/>
      <c r="I142" s="1306"/>
      <c r="J142" s="1306"/>
      <c r="K142" s="1306"/>
      <c r="L142" s="1306"/>
      <c r="M142" s="1306"/>
      <c r="N142" s="1306"/>
      <c r="O142" s="1306"/>
      <c r="P142" s="1306"/>
      <c r="Q142" s="1306"/>
      <c r="R142" s="1306"/>
      <c r="S142" s="1306"/>
      <c r="T142" s="1306"/>
      <c r="U142" s="1306"/>
      <c r="V142" s="1306"/>
      <c r="W142" s="1306"/>
      <c r="X142" s="1306"/>
      <c r="Y142" s="1306"/>
      <c r="Z142" s="1306"/>
      <c r="AA142" s="1306"/>
      <c r="AB142" s="1349"/>
      <c r="AC142" s="1287" t="s">
        <v>1361</v>
      </c>
      <c r="AD142" s="1288"/>
      <c r="AE142" s="1288"/>
      <c r="AF142" s="1330"/>
      <c r="AG142" s="595">
        <v>0</v>
      </c>
      <c r="AH142" s="595">
        <v>0</v>
      </c>
      <c r="AI142" s="596">
        <v>0</v>
      </c>
      <c r="AJ142" s="595">
        <v>0</v>
      </c>
      <c r="AK142" s="595">
        <v>0</v>
      </c>
      <c r="AL142" s="596">
        <v>0</v>
      </c>
      <c r="AM142" s="595">
        <v>0</v>
      </c>
      <c r="AN142" s="595">
        <v>0</v>
      </c>
      <c r="AO142" s="596">
        <v>0</v>
      </c>
      <c r="AP142" s="595">
        <v>0</v>
      </c>
      <c r="AQ142" s="595">
        <v>0</v>
      </c>
      <c r="AR142" s="596">
        <v>0</v>
      </c>
      <c r="AS142" s="595">
        <v>0</v>
      </c>
      <c r="AT142" s="603">
        <v>0</v>
      </c>
      <c r="AU142" s="596">
        <f>AS142+AT142</f>
        <v>0</v>
      </c>
      <c r="AV142" s="595">
        <v>0</v>
      </c>
      <c r="AW142" s="595">
        <v>0</v>
      </c>
      <c r="AX142" s="596">
        <v>0</v>
      </c>
      <c r="AY142" s="595"/>
      <c r="AZ142" s="598"/>
      <c r="BA142" s="598"/>
      <c r="BB142" s="420">
        <f t="shared" si="22"/>
        <v>0</v>
      </c>
      <c r="BC142" s="420">
        <f t="shared" si="22"/>
        <v>0</v>
      </c>
      <c r="BD142" s="420">
        <f t="shared" si="22"/>
        <v>0</v>
      </c>
      <c r="BE142" s="420">
        <f t="shared" si="23"/>
        <v>0</v>
      </c>
      <c r="BF142" s="420">
        <f t="shared" si="23"/>
        <v>0</v>
      </c>
      <c r="BG142" s="420">
        <f t="shared" si="23"/>
        <v>0</v>
      </c>
      <c r="BH142">
        <v>0</v>
      </c>
      <c r="BK142">
        <v>156200</v>
      </c>
      <c r="BL142" t="s">
        <v>740</v>
      </c>
      <c r="BN142" t="s">
        <v>356</v>
      </c>
      <c r="CN142" t="s">
        <v>1361</v>
      </c>
      <c r="CR142">
        <v>0</v>
      </c>
      <c r="CS142">
        <v>0</v>
      </c>
      <c r="CT142">
        <v>0</v>
      </c>
    </row>
    <row r="143" spans="1:98">
      <c r="A143" s="1327" t="s">
        <v>76</v>
      </c>
      <c r="B143" s="1328"/>
      <c r="C143" s="1305" t="s">
        <v>358</v>
      </c>
      <c r="D143" s="1306"/>
      <c r="E143" s="1306"/>
      <c r="F143" s="1306"/>
      <c r="G143" s="1306"/>
      <c r="H143" s="1306"/>
      <c r="I143" s="1306"/>
      <c r="J143" s="1306"/>
      <c r="K143" s="1306"/>
      <c r="L143" s="1306"/>
      <c r="M143" s="1306"/>
      <c r="N143" s="1306"/>
      <c r="O143" s="1306"/>
      <c r="P143" s="1306"/>
      <c r="Q143" s="1306"/>
      <c r="R143" s="1306"/>
      <c r="S143" s="1306"/>
      <c r="T143" s="1306"/>
      <c r="U143" s="1306"/>
      <c r="V143" s="1306"/>
      <c r="W143" s="1306"/>
      <c r="X143" s="1306"/>
      <c r="Y143" s="1306"/>
      <c r="Z143" s="1306"/>
      <c r="AA143" s="1306"/>
      <c r="AB143" s="1349"/>
      <c r="AC143" s="1287" t="s">
        <v>1362</v>
      </c>
      <c r="AD143" s="1288"/>
      <c r="AE143" s="1288"/>
      <c r="AF143" s="1330"/>
      <c r="AG143" s="595">
        <v>3600000</v>
      </c>
      <c r="AH143" s="595">
        <v>0</v>
      </c>
      <c r="AI143" s="596">
        <f>AG143+AH143</f>
        <v>3600000</v>
      </c>
      <c r="AJ143" s="595">
        <v>3035000</v>
      </c>
      <c r="AK143" s="595">
        <v>0</v>
      </c>
      <c r="AL143" s="596">
        <f>AJ143+AK143</f>
        <v>3035000</v>
      </c>
      <c r="AM143" s="595">
        <v>1650000</v>
      </c>
      <c r="AN143" s="595">
        <v>0</v>
      </c>
      <c r="AO143" s="596">
        <f>AM143+AN143</f>
        <v>1650000</v>
      </c>
      <c r="AP143" s="595">
        <v>0</v>
      </c>
      <c r="AQ143" s="595">
        <v>0</v>
      </c>
      <c r="AR143" s="596">
        <v>0</v>
      </c>
      <c r="AS143" s="595">
        <v>700000</v>
      </c>
      <c r="AT143" s="603">
        <v>0</v>
      </c>
      <c r="AU143" s="596">
        <f>AS143+AT143</f>
        <v>700000</v>
      </c>
      <c r="AV143" s="595">
        <v>1772000</v>
      </c>
      <c r="AW143" s="595">
        <v>0</v>
      </c>
      <c r="AX143" s="596">
        <v>1772000</v>
      </c>
      <c r="AY143" s="595">
        <v>2300000</v>
      </c>
      <c r="AZ143" s="598"/>
      <c r="BA143" s="598"/>
      <c r="BB143" s="420">
        <f t="shared" si="22"/>
        <v>2472000</v>
      </c>
      <c r="BC143" s="420">
        <f t="shared" si="22"/>
        <v>0</v>
      </c>
      <c r="BD143" s="420">
        <f t="shared" si="22"/>
        <v>2472000</v>
      </c>
      <c r="BE143" s="420">
        <f t="shared" si="23"/>
        <v>13057000</v>
      </c>
      <c r="BF143" s="420">
        <f t="shared" si="23"/>
        <v>0</v>
      </c>
      <c r="BG143" s="420">
        <f t="shared" si="23"/>
        <v>10757000</v>
      </c>
      <c r="BH143">
        <v>0</v>
      </c>
      <c r="BK143">
        <v>7862637</v>
      </c>
      <c r="BL143" t="s">
        <v>76</v>
      </c>
      <c r="BN143" t="s">
        <v>358</v>
      </c>
      <c r="CN143" t="s">
        <v>1362</v>
      </c>
      <c r="CR143">
        <v>5400000</v>
      </c>
      <c r="CS143">
        <v>0</v>
      </c>
      <c r="CT143">
        <v>5400000</v>
      </c>
    </row>
    <row r="144" spans="1:98">
      <c r="A144" s="1327" t="s">
        <v>77</v>
      </c>
      <c r="B144" s="1328"/>
      <c r="C144" s="1305" t="s">
        <v>1363</v>
      </c>
      <c r="D144" s="1306"/>
      <c r="E144" s="1306"/>
      <c r="F144" s="1306"/>
      <c r="G144" s="1306"/>
      <c r="H144" s="1306"/>
      <c r="I144" s="1306"/>
      <c r="J144" s="1306"/>
      <c r="K144" s="1306"/>
      <c r="L144" s="1306"/>
      <c r="M144" s="1306"/>
      <c r="N144" s="1306"/>
      <c r="O144" s="1306"/>
      <c r="P144" s="1306"/>
      <c r="Q144" s="1306"/>
      <c r="R144" s="1306"/>
      <c r="S144" s="1306"/>
      <c r="T144" s="1306"/>
      <c r="U144" s="1306"/>
      <c r="V144" s="1306"/>
      <c r="W144" s="1306"/>
      <c r="X144" s="1306"/>
      <c r="Y144" s="1306"/>
      <c r="Z144" s="1306"/>
      <c r="AA144" s="1306"/>
      <c r="AB144" s="1349"/>
      <c r="AC144" s="1287" t="s">
        <v>1364</v>
      </c>
      <c r="AD144" s="1288"/>
      <c r="AE144" s="1288"/>
      <c r="AF144" s="1330"/>
      <c r="AG144" s="595">
        <v>0</v>
      </c>
      <c r="AH144" s="595">
        <v>0</v>
      </c>
      <c r="AI144" s="596">
        <f t="shared" ref="AI144:AI152" si="24">AG144+AH144</f>
        <v>0</v>
      </c>
      <c r="AJ144" s="595">
        <v>50000</v>
      </c>
      <c r="AK144" s="595">
        <v>0</v>
      </c>
      <c r="AL144" s="596">
        <f t="shared" ref="AL144:AL152" si="25">AJ144+AK144</f>
        <v>50000</v>
      </c>
      <c r="AM144" s="595">
        <v>0</v>
      </c>
      <c r="AN144" s="595">
        <v>0</v>
      </c>
      <c r="AO144" s="596">
        <f t="shared" ref="AO144:AO152" si="26">AM144+AN144</f>
        <v>0</v>
      </c>
      <c r="AP144" s="595">
        <v>0</v>
      </c>
      <c r="AQ144" s="595">
        <v>0</v>
      </c>
      <c r="AR144" s="596">
        <v>0</v>
      </c>
      <c r="AS144" s="595">
        <v>0</v>
      </c>
      <c r="AT144" s="603">
        <v>0</v>
      </c>
      <c r="AU144" s="596">
        <f>AS144+AT144</f>
        <v>0</v>
      </c>
      <c r="AV144" s="595">
        <v>18250000</v>
      </c>
      <c r="AW144" s="595">
        <v>4927500</v>
      </c>
      <c r="AX144" s="596">
        <v>23177500</v>
      </c>
      <c r="AY144" s="595">
        <v>6270000</v>
      </c>
      <c r="AZ144" s="598"/>
      <c r="BA144" s="598"/>
      <c r="BB144" s="420">
        <f t="shared" si="22"/>
        <v>18250000</v>
      </c>
      <c r="BC144" s="420">
        <f t="shared" si="22"/>
        <v>4927500</v>
      </c>
      <c r="BD144" s="420">
        <f t="shared" si="22"/>
        <v>23177500</v>
      </c>
      <c r="BE144" s="420">
        <f t="shared" si="23"/>
        <v>24570000</v>
      </c>
      <c r="BF144" s="420">
        <f t="shared" si="23"/>
        <v>4927500</v>
      </c>
      <c r="BG144" s="420">
        <f t="shared" si="23"/>
        <v>23227500</v>
      </c>
      <c r="BH144">
        <v>0</v>
      </c>
      <c r="BK144">
        <v>634372</v>
      </c>
      <c r="BL144" t="s">
        <v>77</v>
      </c>
      <c r="BN144" t="s">
        <v>1363</v>
      </c>
      <c r="CN144" t="s">
        <v>1364</v>
      </c>
      <c r="CR144">
        <v>0</v>
      </c>
      <c r="CS144">
        <v>0</v>
      </c>
      <c r="CT144">
        <v>0</v>
      </c>
    </row>
    <row r="145" spans="1:98">
      <c r="A145" s="1327" t="s">
        <v>747</v>
      </c>
      <c r="B145" s="1328"/>
      <c r="C145" s="1305" t="s">
        <v>362</v>
      </c>
      <c r="D145" s="1306"/>
      <c r="E145" s="1306"/>
      <c r="F145" s="1306"/>
      <c r="G145" s="1306"/>
      <c r="H145" s="1306"/>
      <c r="I145" s="1306"/>
      <c r="J145" s="1306"/>
      <c r="K145" s="1306"/>
      <c r="L145" s="1306"/>
      <c r="M145" s="1306"/>
      <c r="N145" s="1306"/>
      <c r="O145" s="1306"/>
      <c r="P145" s="1306"/>
      <c r="Q145" s="1306"/>
      <c r="R145" s="1306"/>
      <c r="S145" s="1306"/>
      <c r="T145" s="1306"/>
      <c r="U145" s="1306"/>
      <c r="V145" s="1306"/>
      <c r="W145" s="1306"/>
      <c r="X145" s="1306"/>
      <c r="Y145" s="1306"/>
      <c r="Z145" s="1306"/>
      <c r="AA145" s="1306"/>
      <c r="AB145" s="1349"/>
      <c r="AC145" s="1287" t="s">
        <v>1365</v>
      </c>
      <c r="AD145" s="1288"/>
      <c r="AE145" s="1288"/>
      <c r="AF145" s="1330"/>
      <c r="AG145" s="595">
        <v>0</v>
      </c>
      <c r="AH145" s="595">
        <v>0</v>
      </c>
      <c r="AI145" s="596">
        <f t="shared" si="24"/>
        <v>0</v>
      </c>
      <c r="AJ145" s="595">
        <v>0</v>
      </c>
      <c r="AK145" s="595">
        <v>0</v>
      </c>
      <c r="AL145" s="596">
        <f t="shared" si="25"/>
        <v>0</v>
      </c>
      <c r="AM145" s="595">
        <v>0</v>
      </c>
      <c r="AN145" s="595">
        <v>0</v>
      </c>
      <c r="AO145" s="596">
        <f t="shared" si="26"/>
        <v>0</v>
      </c>
      <c r="AP145" s="595">
        <v>0</v>
      </c>
      <c r="AQ145" s="595">
        <v>0</v>
      </c>
      <c r="AR145" s="596">
        <v>0</v>
      </c>
      <c r="AS145" s="595">
        <v>0</v>
      </c>
      <c r="AT145" s="603">
        <v>0</v>
      </c>
      <c r="AU145" s="596">
        <f>AS145+AT145</f>
        <v>0</v>
      </c>
      <c r="AV145" s="595">
        <v>0</v>
      </c>
      <c r="AW145" s="595">
        <v>0</v>
      </c>
      <c r="AX145" s="596">
        <v>0</v>
      </c>
      <c r="AY145" s="595"/>
      <c r="AZ145" s="598"/>
      <c r="BA145" s="598"/>
      <c r="BB145" s="420">
        <f t="shared" si="22"/>
        <v>0</v>
      </c>
      <c r="BC145" s="420">
        <f t="shared" si="22"/>
        <v>0</v>
      </c>
      <c r="BD145" s="420">
        <f t="shared" si="22"/>
        <v>0</v>
      </c>
      <c r="BE145" s="420">
        <f t="shared" si="23"/>
        <v>0</v>
      </c>
      <c r="BF145" s="420">
        <f t="shared" si="23"/>
        <v>0</v>
      </c>
      <c r="BG145" s="420">
        <f t="shared" si="23"/>
        <v>0</v>
      </c>
      <c r="BH145">
        <v>0</v>
      </c>
      <c r="BK145">
        <v>0</v>
      </c>
      <c r="BL145" t="s">
        <v>747</v>
      </c>
      <c r="BN145" t="s">
        <v>362</v>
      </c>
      <c r="CN145" t="s">
        <v>1365</v>
      </c>
      <c r="CR145">
        <v>0</v>
      </c>
      <c r="CS145">
        <v>0</v>
      </c>
      <c r="CT145">
        <v>0</v>
      </c>
    </row>
    <row r="146" spans="1:98">
      <c r="A146" s="1327" t="s">
        <v>749</v>
      </c>
      <c r="B146" s="1328"/>
      <c r="C146" s="1305" t="s">
        <v>364</v>
      </c>
      <c r="D146" s="1306"/>
      <c r="E146" s="1306"/>
      <c r="F146" s="1306"/>
      <c r="G146" s="1306"/>
      <c r="H146" s="1306"/>
      <c r="I146" s="1306"/>
      <c r="J146" s="1306"/>
      <c r="K146" s="1306"/>
      <c r="L146" s="1306"/>
      <c r="M146" s="1306"/>
      <c r="N146" s="1306"/>
      <c r="O146" s="1306"/>
      <c r="P146" s="1306"/>
      <c r="Q146" s="1306"/>
      <c r="R146" s="1306"/>
      <c r="S146" s="1306"/>
      <c r="T146" s="1306"/>
      <c r="U146" s="1306"/>
      <c r="V146" s="1306"/>
      <c r="W146" s="1306"/>
      <c r="X146" s="1306"/>
      <c r="Y146" s="1306"/>
      <c r="Z146" s="1306"/>
      <c r="AA146" s="1306"/>
      <c r="AB146" s="1349"/>
      <c r="AC146" s="1287" t="s">
        <v>1366</v>
      </c>
      <c r="AD146" s="1288"/>
      <c r="AE146" s="1288"/>
      <c r="AF146" s="1330"/>
      <c r="AG146" s="595">
        <v>546250</v>
      </c>
      <c r="AH146" s="595">
        <v>0</v>
      </c>
      <c r="AI146" s="596">
        <f t="shared" si="24"/>
        <v>546250</v>
      </c>
      <c r="AJ146" s="595">
        <v>0</v>
      </c>
      <c r="AK146" s="595">
        <v>0</v>
      </c>
      <c r="AL146" s="596">
        <f t="shared" si="25"/>
        <v>0</v>
      </c>
      <c r="AM146" s="595">
        <v>0</v>
      </c>
      <c r="AN146" s="595">
        <v>0</v>
      </c>
      <c r="AO146" s="596">
        <f t="shared" si="26"/>
        <v>0</v>
      </c>
      <c r="AP146" s="595">
        <v>0</v>
      </c>
      <c r="AQ146" s="595">
        <v>0</v>
      </c>
      <c r="AR146" s="596">
        <v>0</v>
      </c>
      <c r="AS146" s="595">
        <f>91013447</f>
        <v>91013447</v>
      </c>
      <c r="AT146" s="603">
        <f>AS146*0.27-40000</f>
        <v>24533630.690000001</v>
      </c>
      <c r="AU146" s="596">
        <f>AS146+AT146</f>
        <v>115547077.69</v>
      </c>
      <c r="AV146" s="595">
        <v>0</v>
      </c>
      <c r="AW146" s="595">
        <v>0</v>
      </c>
      <c r="AX146" s="596">
        <v>0</v>
      </c>
      <c r="AY146" s="595"/>
      <c r="AZ146" s="598"/>
      <c r="BA146" s="598"/>
      <c r="BB146" s="420">
        <f t="shared" si="22"/>
        <v>91013447</v>
      </c>
      <c r="BC146" s="420">
        <f t="shared" si="22"/>
        <v>24533630.690000001</v>
      </c>
      <c r="BD146" s="420">
        <f t="shared" si="22"/>
        <v>115547077.69</v>
      </c>
      <c r="BE146" s="420">
        <f t="shared" si="23"/>
        <v>91559697</v>
      </c>
      <c r="BF146" s="420">
        <f t="shared" si="23"/>
        <v>24533630.690000001</v>
      </c>
      <c r="BG146" s="420">
        <f t="shared" si="23"/>
        <v>116093327.69</v>
      </c>
      <c r="BH146">
        <v>0</v>
      </c>
      <c r="BK146">
        <v>0</v>
      </c>
      <c r="BL146" t="s">
        <v>749</v>
      </c>
      <c r="BN146" t="s">
        <v>364</v>
      </c>
      <c r="CN146" t="s">
        <v>1366</v>
      </c>
      <c r="CR146">
        <v>0</v>
      </c>
      <c r="CS146">
        <v>0</v>
      </c>
      <c r="CT146">
        <v>0</v>
      </c>
    </row>
    <row r="147" spans="1:98">
      <c r="A147" s="1327" t="s">
        <v>752</v>
      </c>
      <c r="B147" s="1328"/>
      <c r="C147" s="1305" t="s">
        <v>1367</v>
      </c>
      <c r="D147" s="1306"/>
      <c r="E147" s="1306"/>
      <c r="F147" s="1306"/>
      <c r="G147" s="1306"/>
      <c r="H147" s="1306"/>
      <c r="I147" s="1306"/>
      <c r="J147" s="1306"/>
      <c r="K147" s="1306"/>
      <c r="L147" s="1306"/>
      <c r="M147" s="1306"/>
      <c r="N147" s="1306"/>
      <c r="O147" s="1306"/>
      <c r="P147" s="1306"/>
      <c r="Q147" s="1306"/>
      <c r="R147" s="1306"/>
      <c r="S147" s="1306"/>
      <c r="T147" s="1306"/>
      <c r="U147" s="1306"/>
      <c r="V147" s="1306"/>
      <c r="W147" s="1306"/>
      <c r="X147" s="1306"/>
      <c r="Y147" s="1306"/>
      <c r="Z147" s="1306"/>
      <c r="AA147" s="1306"/>
      <c r="AB147" s="1349"/>
      <c r="AC147" s="1287" t="s">
        <v>1368</v>
      </c>
      <c r="AD147" s="1288"/>
      <c r="AE147" s="1288"/>
      <c r="AF147" s="1330"/>
      <c r="AG147" s="595">
        <v>0</v>
      </c>
      <c r="AH147" s="595">
        <v>0</v>
      </c>
      <c r="AI147" s="596">
        <f t="shared" si="24"/>
        <v>0</v>
      </c>
      <c r="AJ147" s="595">
        <v>0</v>
      </c>
      <c r="AK147" s="595">
        <v>0</v>
      </c>
      <c r="AL147" s="596">
        <f t="shared" si="25"/>
        <v>0</v>
      </c>
      <c r="AM147" s="595">
        <v>0</v>
      </c>
      <c r="AN147" s="595">
        <v>0</v>
      </c>
      <c r="AO147" s="596">
        <f t="shared" si="26"/>
        <v>0</v>
      </c>
      <c r="AP147" s="595">
        <v>0</v>
      </c>
      <c r="AQ147" s="595">
        <v>0</v>
      </c>
      <c r="AR147" s="596">
        <v>0</v>
      </c>
      <c r="AS147" s="604">
        <v>24776631</v>
      </c>
      <c r="AT147" s="603">
        <v>0</v>
      </c>
      <c r="AU147" s="605"/>
      <c r="AV147" s="595">
        <v>4927500</v>
      </c>
      <c r="AW147" s="606"/>
      <c r="AX147" s="607"/>
      <c r="AY147" s="595">
        <v>2313900</v>
      </c>
      <c r="AZ147" s="608"/>
      <c r="BA147" s="608"/>
      <c r="BB147" s="420">
        <f t="shared" si="22"/>
        <v>29704131</v>
      </c>
      <c r="BC147" s="420">
        <f t="shared" si="22"/>
        <v>0</v>
      </c>
      <c r="BD147" s="420">
        <f t="shared" si="22"/>
        <v>0</v>
      </c>
      <c r="BE147" s="420">
        <f t="shared" si="23"/>
        <v>32018031</v>
      </c>
      <c r="BF147" s="420">
        <f t="shared" si="23"/>
        <v>0</v>
      </c>
      <c r="BG147" s="420">
        <f t="shared" si="23"/>
        <v>0</v>
      </c>
      <c r="BH147">
        <v>0</v>
      </c>
      <c r="BK147">
        <v>0</v>
      </c>
      <c r="BL147" t="s">
        <v>752</v>
      </c>
      <c r="BN147" t="s">
        <v>1367</v>
      </c>
      <c r="CN147" t="s">
        <v>1368</v>
      </c>
      <c r="CR147">
        <v>0</v>
      </c>
      <c r="CS147">
        <v>0</v>
      </c>
      <c r="CT147">
        <v>0</v>
      </c>
    </row>
    <row r="148" spans="1:98">
      <c r="A148" s="1327" t="s">
        <v>755</v>
      </c>
      <c r="B148" s="1328"/>
      <c r="C148" s="1305" t="s">
        <v>368</v>
      </c>
      <c r="D148" s="1306"/>
      <c r="E148" s="1306"/>
      <c r="F148" s="1306"/>
      <c r="G148" s="1306"/>
      <c r="H148" s="1306"/>
      <c r="I148" s="1306"/>
      <c r="J148" s="1306"/>
      <c r="K148" s="1306"/>
      <c r="L148" s="1306"/>
      <c r="M148" s="1306"/>
      <c r="N148" s="1306"/>
      <c r="O148" s="1306"/>
      <c r="P148" s="1306"/>
      <c r="Q148" s="1306"/>
      <c r="R148" s="1306"/>
      <c r="S148" s="1306"/>
      <c r="T148" s="1306"/>
      <c r="U148" s="1306"/>
      <c r="V148" s="1306"/>
      <c r="W148" s="1306"/>
      <c r="X148" s="1306"/>
      <c r="Y148" s="1306"/>
      <c r="Z148" s="1306"/>
      <c r="AA148" s="1306"/>
      <c r="AB148" s="1349"/>
      <c r="AC148" s="1287" t="s">
        <v>1369</v>
      </c>
      <c r="AD148" s="1288"/>
      <c r="AE148" s="1288"/>
      <c r="AF148" s="1330"/>
      <c r="AG148" s="595">
        <v>0</v>
      </c>
      <c r="AH148" s="595">
        <v>0</v>
      </c>
      <c r="AI148" s="596">
        <f t="shared" si="24"/>
        <v>0</v>
      </c>
      <c r="AJ148" s="595">
        <v>0</v>
      </c>
      <c r="AK148" s="595">
        <v>0</v>
      </c>
      <c r="AL148" s="596">
        <f t="shared" si="25"/>
        <v>0</v>
      </c>
      <c r="AM148" s="595">
        <v>0</v>
      </c>
      <c r="AN148" s="595">
        <v>0</v>
      </c>
      <c r="AO148" s="596">
        <f t="shared" si="26"/>
        <v>0</v>
      </c>
      <c r="AP148" s="595">
        <v>0</v>
      </c>
      <c r="AQ148" s="595">
        <v>0</v>
      </c>
      <c r="AR148" s="596">
        <v>0</v>
      </c>
      <c r="AS148" s="595">
        <v>675000</v>
      </c>
      <c r="AT148" s="603">
        <v>0</v>
      </c>
      <c r="AU148" s="596">
        <f>AS148+AT148</f>
        <v>675000</v>
      </c>
      <c r="AV148" s="595">
        <v>0</v>
      </c>
      <c r="AW148" s="595">
        <v>0</v>
      </c>
      <c r="AX148" s="596">
        <v>0</v>
      </c>
      <c r="AY148" s="595"/>
      <c r="AZ148" s="598"/>
      <c r="BA148" s="598"/>
      <c r="BB148" s="420">
        <f t="shared" si="22"/>
        <v>675000</v>
      </c>
      <c r="BC148" s="420">
        <f t="shared" si="22"/>
        <v>0</v>
      </c>
      <c r="BD148" s="420">
        <f t="shared" si="22"/>
        <v>675000</v>
      </c>
      <c r="BE148" s="420">
        <f t="shared" si="23"/>
        <v>675000</v>
      </c>
      <c r="BF148" s="420">
        <f t="shared" si="23"/>
        <v>0</v>
      </c>
      <c r="BG148" s="420">
        <f t="shared" si="23"/>
        <v>675000</v>
      </c>
      <c r="BH148">
        <v>0</v>
      </c>
      <c r="BK148">
        <v>0</v>
      </c>
      <c r="BL148" t="s">
        <v>755</v>
      </c>
      <c r="BN148" t="s">
        <v>368</v>
      </c>
      <c r="CN148" t="s">
        <v>1369</v>
      </c>
      <c r="CR148">
        <v>0</v>
      </c>
      <c r="CS148">
        <v>0</v>
      </c>
      <c r="CT148">
        <v>0</v>
      </c>
    </row>
    <row r="149" spans="1:98">
      <c r="A149" s="1327" t="s">
        <v>78</v>
      </c>
      <c r="B149" s="1328"/>
      <c r="C149" s="1305" t="s">
        <v>1370</v>
      </c>
      <c r="D149" s="1306"/>
      <c r="E149" s="1306"/>
      <c r="F149" s="1306"/>
      <c r="G149" s="1306"/>
      <c r="H149" s="1306"/>
      <c r="I149" s="1306"/>
      <c r="J149" s="1306"/>
      <c r="K149" s="1306"/>
      <c r="L149" s="1306"/>
      <c r="M149" s="1306"/>
      <c r="N149" s="1306"/>
      <c r="O149" s="1306"/>
      <c r="P149" s="1306"/>
      <c r="Q149" s="1306"/>
      <c r="R149" s="1306"/>
      <c r="S149" s="1306"/>
      <c r="T149" s="1306"/>
      <c r="U149" s="1306"/>
      <c r="V149" s="1306"/>
      <c r="W149" s="1306"/>
      <c r="X149" s="1306"/>
      <c r="Y149" s="1306"/>
      <c r="Z149" s="1306"/>
      <c r="AA149" s="1306"/>
      <c r="AB149" s="1349"/>
      <c r="AC149" s="1287" t="s">
        <v>1371</v>
      </c>
      <c r="AD149" s="1288"/>
      <c r="AE149" s="1288"/>
      <c r="AF149" s="1330"/>
      <c r="AG149" s="595">
        <v>0</v>
      </c>
      <c r="AH149" s="595">
        <v>0</v>
      </c>
      <c r="AI149" s="596">
        <f t="shared" si="24"/>
        <v>0</v>
      </c>
      <c r="AJ149" s="595">
        <v>0</v>
      </c>
      <c r="AK149" s="595">
        <v>0</v>
      </c>
      <c r="AL149" s="596">
        <f t="shared" si="25"/>
        <v>0</v>
      </c>
      <c r="AM149" s="595">
        <v>0</v>
      </c>
      <c r="AN149" s="595">
        <v>0</v>
      </c>
      <c r="AO149" s="596">
        <f t="shared" si="26"/>
        <v>0</v>
      </c>
      <c r="AP149" s="595">
        <v>0</v>
      </c>
      <c r="AQ149" s="595">
        <v>0</v>
      </c>
      <c r="AR149" s="596">
        <v>0</v>
      </c>
      <c r="AS149" s="595">
        <v>0</v>
      </c>
      <c r="AT149" s="603">
        <v>0</v>
      </c>
      <c r="AU149" s="596">
        <v>0</v>
      </c>
      <c r="AV149" s="595">
        <v>0</v>
      </c>
      <c r="AW149" s="595">
        <v>0</v>
      </c>
      <c r="AX149" s="596">
        <v>0</v>
      </c>
      <c r="AY149" s="595"/>
      <c r="AZ149" s="598"/>
      <c r="BA149" s="598"/>
      <c r="BB149" s="420">
        <f t="shared" si="22"/>
        <v>0</v>
      </c>
      <c r="BC149" s="420">
        <f t="shared" si="22"/>
        <v>0</v>
      </c>
      <c r="BD149" s="420">
        <f t="shared" si="22"/>
        <v>0</v>
      </c>
      <c r="BE149" s="420">
        <f t="shared" si="23"/>
        <v>0</v>
      </c>
      <c r="BF149" s="420">
        <f t="shared" si="23"/>
        <v>0</v>
      </c>
      <c r="BG149" s="420">
        <f t="shared" si="23"/>
        <v>0</v>
      </c>
      <c r="BH149">
        <v>0</v>
      </c>
      <c r="BK149">
        <v>30</v>
      </c>
      <c r="BL149" t="s">
        <v>78</v>
      </c>
      <c r="BN149" t="s">
        <v>1370</v>
      </c>
      <c r="CN149" t="s">
        <v>1371</v>
      </c>
      <c r="CR149">
        <v>0</v>
      </c>
      <c r="CS149">
        <v>0</v>
      </c>
      <c r="CT149">
        <v>0</v>
      </c>
    </row>
    <row r="150" spans="1:98">
      <c r="A150" s="1327" t="s">
        <v>760</v>
      </c>
      <c r="B150" s="1328"/>
      <c r="C150" s="1305" t="s">
        <v>372</v>
      </c>
      <c r="D150" s="1306"/>
      <c r="E150" s="1306"/>
      <c r="F150" s="1306"/>
      <c r="G150" s="1306"/>
      <c r="H150" s="1306"/>
      <c r="I150" s="1306"/>
      <c r="J150" s="1306"/>
      <c r="K150" s="1306"/>
      <c r="L150" s="1306"/>
      <c r="M150" s="1306"/>
      <c r="N150" s="1306"/>
      <c r="O150" s="1306"/>
      <c r="P150" s="1306"/>
      <c r="Q150" s="1306"/>
      <c r="R150" s="1306"/>
      <c r="S150" s="1306"/>
      <c r="T150" s="1306"/>
      <c r="U150" s="1306"/>
      <c r="V150" s="1306"/>
      <c r="W150" s="1306"/>
      <c r="X150" s="1306"/>
      <c r="Y150" s="1306"/>
      <c r="Z150" s="1306"/>
      <c r="AA150" s="1306"/>
      <c r="AB150" s="1349"/>
      <c r="AC150" s="1287" t="s">
        <v>1372</v>
      </c>
      <c r="AD150" s="1288"/>
      <c r="AE150" s="1288"/>
      <c r="AF150" s="1330"/>
      <c r="AG150" s="595">
        <v>0</v>
      </c>
      <c r="AH150" s="595">
        <v>0</v>
      </c>
      <c r="AI150" s="596">
        <f t="shared" si="24"/>
        <v>0</v>
      </c>
      <c r="AJ150" s="595">
        <v>0</v>
      </c>
      <c r="AK150" s="595">
        <v>0</v>
      </c>
      <c r="AL150" s="596">
        <f t="shared" si="25"/>
        <v>0</v>
      </c>
      <c r="AM150" s="595">
        <v>0</v>
      </c>
      <c r="AN150" s="595">
        <v>0</v>
      </c>
      <c r="AO150" s="596">
        <f t="shared" si="26"/>
        <v>0</v>
      </c>
      <c r="AP150" s="595">
        <v>0</v>
      </c>
      <c r="AQ150" s="595">
        <v>0</v>
      </c>
      <c r="AR150" s="596">
        <v>0</v>
      </c>
      <c r="AS150" s="595">
        <v>0</v>
      </c>
      <c r="AT150" s="603">
        <v>0</v>
      </c>
      <c r="AU150" s="596">
        <v>0</v>
      </c>
      <c r="AV150" s="595">
        <v>0</v>
      </c>
      <c r="AW150" s="595">
        <v>0</v>
      </c>
      <c r="AX150" s="596">
        <v>0</v>
      </c>
      <c r="AY150" s="595"/>
      <c r="AZ150" s="598"/>
      <c r="BA150" s="598"/>
      <c r="BB150" s="420">
        <f t="shared" si="22"/>
        <v>0</v>
      </c>
      <c r="BC150" s="420">
        <f t="shared" si="22"/>
        <v>0</v>
      </c>
      <c r="BD150" s="420">
        <f t="shared" si="22"/>
        <v>0</v>
      </c>
      <c r="BE150" s="420">
        <f t="shared" si="23"/>
        <v>0</v>
      </c>
      <c r="BF150" s="420">
        <f t="shared" si="23"/>
        <v>0</v>
      </c>
      <c r="BG150" s="420">
        <f t="shared" si="23"/>
        <v>0</v>
      </c>
      <c r="BH150">
        <v>0</v>
      </c>
      <c r="BL150" t="s">
        <v>760</v>
      </c>
      <c r="BN150" t="s">
        <v>372</v>
      </c>
      <c r="CN150" t="s">
        <v>1372</v>
      </c>
      <c r="CR150">
        <v>0</v>
      </c>
      <c r="CS150">
        <v>0</v>
      </c>
      <c r="CT150">
        <v>0</v>
      </c>
    </row>
    <row r="151" spans="1:98">
      <c r="A151" s="1327">
        <v>43</v>
      </c>
      <c r="B151" s="1328"/>
      <c r="C151" s="1305" t="s">
        <v>374</v>
      </c>
      <c r="D151" s="1306"/>
      <c r="E151" s="1306"/>
      <c r="F151" s="1306"/>
      <c r="G151" s="1306"/>
      <c r="H151" s="1306"/>
      <c r="I151" s="1306"/>
      <c r="J151" s="1306"/>
      <c r="K151" s="1306"/>
      <c r="L151" s="1306"/>
      <c r="M151" s="1306"/>
      <c r="N151" s="1306"/>
      <c r="O151" s="1306"/>
      <c r="P151" s="1306"/>
      <c r="Q151" s="1306"/>
      <c r="R151" s="1306"/>
      <c r="S151" s="1306"/>
      <c r="T151" s="1306"/>
      <c r="U151" s="1306"/>
      <c r="V151" s="1306"/>
      <c r="W151" s="1306"/>
      <c r="X151" s="1306"/>
      <c r="Y151" s="1306"/>
      <c r="Z151" s="1306"/>
      <c r="AA151" s="1306"/>
      <c r="AB151" s="1349"/>
      <c r="AC151" s="1287" t="s">
        <v>1373</v>
      </c>
      <c r="AD151" s="1288"/>
      <c r="AE151" s="1288"/>
      <c r="AF151" s="1330"/>
      <c r="AG151" s="595">
        <v>0</v>
      </c>
      <c r="AH151" s="595">
        <v>0</v>
      </c>
      <c r="AI151" s="596">
        <f t="shared" si="24"/>
        <v>0</v>
      </c>
      <c r="AJ151" s="595">
        <v>0</v>
      </c>
      <c r="AK151" s="595">
        <v>0</v>
      </c>
      <c r="AL151" s="596">
        <f t="shared" si="25"/>
        <v>0</v>
      </c>
      <c r="AM151" s="595">
        <v>0</v>
      </c>
      <c r="AN151" s="595">
        <v>0</v>
      </c>
      <c r="AO151" s="596">
        <f t="shared" si="26"/>
        <v>0</v>
      </c>
      <c r="AP151" s="595">
        <v>0</v>
      </c>
      <c r="AQ151" s="595">
        <v>0</v>
      </c>
      <c r="AR151" s="596">
        <v>0</v>
      </c>
      <c r="AS151" s="595">
        <v>0</v>
      </c>
      <c r="AT151" s="603">
        <v>0</v>
      </c>
      <c r="AU151" s="596">
        <v>0</v>
      </c>
      <c r="AV151" s="595">
        <v>0</v>
      </c>
      <c r="AW151" s="595">
        <v>0</v>
      </c>
      <c r="AX151" s="596">
        <v>0</v>
      </c>
      <c r="AY151" s="595"/>
      <c r="AZ151" s="598"/>
      <c r="BA151" s="598"/>
      <c r="BB151" s="420">
        <f t="shared" si="22"/>
        <v>0</v>
      </c>
      <c r="BC151" s="420">
        <f t="shared" si="22"/>
        <v>0</v>
      </c>
      <c r="BD151" s="420">
        <f t="shared" si="22"/>
        <v>0</v>
      </c>
      <c r="BE151" s="420">
        <f t="shared" si="23"/>
        <v>0</v>
      </c>
      <c r="BF151" s="420">
        <f t="shared" si="23"/>
        <v>0</v>
      </c>
      <c r="BG151" s="420">
        <f t="shared" si="23"/>
        <v>0</v>
      </c>
      <c r="BH151">
        <v>0</v>
      </c>
      <c r="BK151">
        <v>0</v>
      </c>
      <c r="BL151">
        <v>43</v>
      </c>
      <c r="BN151" t="s">
        <v>374</v>
      </c>
      <c r="CN151" t="s">
        <v>1373</v>
      </c>
      <c r="CR151">
        <v>0</v>
      </c>
      <c r="CS151">
        <v>0</v>
      </c>
      <c r="CT151">
        <v>0</v>
      </c>
    </row>
    <row r="152" spans="1:98">
      <c r="A152" s="1327">
        <v>44</v>
      </c>
      <c r="B152" s="1328"/>
      <c r="C152" s="1305" t="s">
        <v>376</v>
      </c>
      <c r="D152" s="1306"/>
      <c r="E152" s="1306"/>
      <c r="F152" s="1306"/>
      <c r="G152" s="1306"/>
      <c r="H152" s="1306"/>
      <c r="I152" s="1306"/>
      <c r="J152" s="1306"/>
      <c r="K152" s="1306"/>
      <c r="L152" s="1306"/>
      <c r="M152" s="1306"/>
      <c r="N152" s="1306"/>
      <c r="O152" s="1306"/>
      <c r="P152" s="1306"/>
      <c r="Q152" s="1306"/>
      <c r="R152" s="1306"/>
      <c r="S152" s="1306"/>
      <c r="T152" s="1306"/>
      <c r="U152" s="1306"/>
      <c r="V152" s="1306"/>
      <c r="W152" s="1306"/>
      <c r="X152" s="1306"/>
      <c r="Y152" s="1306"/>
      <c r="Z152" s="1306"/>
      <c r="AA152" s="1306"/>
      <c r="AB152" s="1349"/>
      <c r="AC152" s="1287" t="s">
        <v>1374</v>
      </c>
      <c r="AD152" s="1288"/>
      <c r="AE152" s="1288"/>
      <c r="AF152" s="1330"/>
      <c r="AG152" s="595">
        <v>0</v>
      </c>
      <c r="AH152" s="595">
        <v>0</v>
      </c>
      <c r="AI152" s="596">
        <f t="shared" si="24"/>
        <v>0</v>
      </c>
      <c r="AJ152" s="595">
        <v>0</v>
      </c>
      <c r="AK152" s="595">
        <v>0</v>
      </c>
      <c r="AL152" s="596">
        <f t="shared" si="25"/>
        <v>0</v>
      </c>
      <c r="AM152" s="595">
        <v>0</v>
      </c>
      <c r="AN152" s="595">
        <v>0</v>
      </c>
      <c r="AO152" s="596">
        <f t="shared" si="26"/>
        <v>0</v>
      </c>
      <c r="AP152" s="595">
        <v>0</v>
      </c>
      <c r="AQ152" s="595">
        <v>0</v>
      </c>
      <c r="AR152" s="596">
        <v>0</v>
      </c>
      <c r="AS152" s="595">
        <v>0</v>
      </c>
      <c r="AT152" s="603">
        <v>0</v>
      </c>
      <c r="AU152" s="596">
        <v>0</v>
      </c>
      <c r="AV152" s="595">
        <v>200000</v>
      </c>
      <c r="AW152" s="595">
        <v>0</v>
      </c>
      <c r="AX152" s="596">
        <v>200000</v>
      </c>
      <c r="AY152" s="595">
        <v>30000</v>
      </c>
      <c r="AZ152" s="598"/>
      <c r="BA152" s="598"/>
      <c r="BB152" s="420">
        <f t="shared" si="22"/>
        <v>200000</v>
      </c>
      <c r="BC152" s="420">
        <f t="shared" si="22"/>
        <v>0</v>
      </c>
      <c r="BD152" s="420">
        <f t="shared" si="22"/>
        <v>200000</v>
      </c>
      <c r="BE152" s="420">
        <f t="shared" si="23"/>
        <v>230000</v>
      </c>
      <c r="BF152" s="420">
        <f t="shared" si="23"/>
        <v>0</v>
      </c>
      <c r="BG152" s="420">
        <f t="shared" si="23"/>
        <v>200000</v>
      </c>
      <c r="BH152">
        <v>40000</v>
      </c>
      <c r="BK152">
        <v>50000</v>
      </c>
      <c r="BL152">
        <v>44</v>
      </c>
      <c r="BN152" t="s">
        <v>376</v>
      </c>
      <c r="CN152" t="s">
        <v>1374</v>
      </c>
      <c r="CR152">
        <v>0</v>
      </c>
      <c r="CS152">
        <v>0</v>
      </c>
      <c r="CT152">
        <v>0</v>
      </c>
    </row>
    <row r="153" spans="1:98">
      <c r="A153" s="1342">
        <v>45</v>
      </c>
      <c r="B153" s="1343"/>
      <c r="C153" s="1309" t="s">
        <v>1375</v>
      </c>
      <c r="D153" s="1310"/>
      <c r="E153" s="1310"/>
      <c r="F153" s="1310"/>
      <c r="G153" s="1310"/>
      <c r="H153" s="1310"/>
      <c r="I153" s="1310"/>
      <c r="J153" s="1310"/>
      <c r="K153" s="1310"/>
      <c r="L153" s="1310"/>
      <c r="M153" s="1310"/>
      <c r="N153" s="1310"/>
      <c r="O153" s="1310"/>
      <c r="P153" s="1310"/>
      <c r="Q153" s="1310"/>
      <c r="R153" s="1310"/>
      <c r="S153" s="1310"/>
      <c r="T153" s="1310"/>
      <c r="U153" s="1310"/>
      <c r="V153" s="1310"/>
      <c r="W153" s="1310"/>
      <c r="X153" s="1310"/>
      <c r="Y153" s="1310"/>
      <c r="Z153" s="1310"/>
      <c r="AA153" s="1310"/>
      <c r="AB153" s="1350"/>
      <c r="AC153" s="1346" t="s">
        <v>1376</v>
      </c>
      <c r="AD153" s="1347"/>
      <c r="AE153" s="1347"/>
      <c r="AF153" s="1348"/>
      <c r="AG153" s="599">
        <f t="shared" ref="AG153:AU153" si="27">SUM(AG142:AG152)</f>
        <v>4146250</v>
      </c>
      <c r="AH153" s="599">
        <f t="shared" si="27"/>
        <v>0</v>
      </c>
      <c r="AI153" s="599">
        <f t="shared" si="27"/>
        <v>4146250</v>
      </c>
      <c r="AJ153" s="599">
        <f t="shared" si="27"/>
        <v>3085000</v>
      </c>
      <c r="AK153" s="599">
        <f t="shared" si="27"/>
        <v>0</v>
      </c>
      <c r="AL153" s="599">
        <f t="shared" si="27"/>
        <v>3085000</v>
      </c>
      <c r="AM153" s="599">
        <f t="shared" si="27"/>
        <v>1650000</v>
      </c>
      <c r="AN153" s="599">
        <f t="shared" si="27"/>
        <v>0</v>
      </c>
      <c r="AO153" s="599">
        <f t="shared" si="27"/>
        <v>1650000</v>
      </c>
      <c r="AP153" s="599">
        <f t="shared" si="27"/>
        <v>0</v>
      </c>
      <c r="AQ153" s="599">
        <f t="shared" si="27"/>
        <v>0</v>
      </c>
      <c r="AR153" s="599">
        <f t="shared" si="27"/>
        <v>0</v>
      </c>
      <c r="AS153" s="599">
        <f t="shared" si="27"/>
        <v>117165078</v>
      </c>
      <c r="AT153" s="609">
        <f t="shared" si="27"/>
        <v>24533630.690000001</v>
      </c>
      <c r="AU153" s="599">
        <f t="shared" si="27"/>
        <v>116922077.69</v>
      </c>
      <c r="AV153" s="599">
        <v>25149500</v>
      </c>
      <c r="AW153" s="599">
        <v>4927500</v>
      </c>
      <c r="AX153" s="599">
        <v>25149500</v>
      </c>
      <c r="AY153" s="599">
        <v>11008900</v>
      </c>
      <c r="AZ153" s="602"/>
      <c r="BA153" s="602"/>
      <c r="BB153" s="420">
        <f t="shared" si="22"/>
        <v>142314578</v>
      </c>
      <c r="BC153" s="420">
        <f t="shared" si="22"/>
        <v>29461130.690000001</v>
      </c>
      <c r="BD153" s="420">
        <f t="shared" si="22"/>
        <v>142071577.69</v>
      </c>
      <c r="BE153" s="420">
        <f t="shared" si="23"/>
        <v>162204728</v>
      </c>
      <c r="BF153" s="420">
        <f t="shared" si="23"/>
        <v>29461130.690000001</v>
      </c>
      <c r="BG153" s="420">
        <f t="shared" si="23"/>
        <v>150952827.69</v>
      </c>
      <c r="BH153">
        <v>40000</v>
      </c>
      <c r="BK153">
        <v>8703239</v>
      </c>
      <c r="BL153">
        <v>45</v>
      </c>
      <c r="BN153" t="s">
        <v>1375</v>
      </c>
      <c r="CN153" t="s">
        <v>1376</v>
      </c>
      <c r="CR153">
        <v>5400000</v>
      </c>
      <c r="CS153">
        <v>0</v>
      </c>
      <c r="CT153">
        <v>5400000</v>
      </c>
    </row>
    <row r="154" spans="1:98">
      <c r="A154" s="1327">
        <v>46</v>
      </c>
      <c r="B154" s="1351"/>
      <c r="C154" s="1305" t="s">
        <v>379</v>
      </c>
      <c r="D154" s="1306"/>
      <c r="E154" s="1306"/>
      <c r="F154" s="1306"/>
      <c r="G154" s="1306"/>
      <c r="H154" s="1306"/>
      <c r="I154" s="1306"/>
      <c r="J154" s="1306"/>
      <c r="K154" s="1306"/>
      <c r="L154" s="1306"/>
      <c r="M154" s="1306"/>
      <c r="N154" s="1306"/>
      <c r="O154" s="1306"/>
      <c r="P154" s="1306"/>
      <c r="Q154" s="1306"/>
      <c r="R154" s="1306"/>
      <c r="S154" s="1306"/>
      <c r="T154" s="1306"/>
      <c r="U154" s="1306"/>
      <c r="V154" s="1306"/>
      <c r="W154" s="1306"/>
      <c r="X154" s="1306"/>
      <c r="Y154" s="1306"/>
      <c r="Z154" s="1306"/>
      <c r="AA154" s="1306"/>
      <c r="AB154" s="1349"/>
      <c r="AC154" s="1287" t="s">
        <v>1377</v>
      </c>
      <c r="AD154" s="1288"/>
      <c r="AE154" s="1288"/>
      <c r="AF154" s="1330"/>
      <c r="AG154" s="595">
        <v>0</v>
      </c>
      <c r="AH154" s="595">
        <v>0</v>
      </c>
      <c r="AI154" s="596">
        <v>0</v>
      </c>
      <c r="AJ154" s="595">
        <v>0</v>
      </c>
      <c r="AK154" s="595">
        <v>0</v>
      </c>
      <c r="AL154" s="596">
        <v>0</v>
      </c>
      <c r="AM154" s="595">
        <v>0</v>
      </c>
      <c r="AN154" s="595">
        <v>0</v>
      </c>
      <c r="AO154" s="596">
        <v>0</v>
      </c>
      <c r="AP154" s="595">
        <v>0</v>
      </c>
      <c r="AQ154" s="595">
        <v>0</v>
      </c>
      <c r="AR154" s="596">
        <v>0</v>
      </c>
      <c r="AS154" s="595">
        <v>0</v>
      </c>
      <c r="AT154" s="603">
        <v>0</v>
      </c>
      <c r="AU154" s="596">
        <v>0</v>
      </c>
      <c r="AV154" s="595">
        <v>0</v>
      </c>
      <c r="AW154" s="595">
        <v>0</v>
      </c>
      <c r="AX154" s="596">
        <v>0</v>
      </c>
      <c r="AY154" s="595"/>
      <c r="AZ154" s="598"/>
      <c r="BA154" s="598"/>
      <c r="BB154" s="420">
        <f t="shared" si="22"/>
        <v>0</v>
      </c>
      <c r="BC154" s="420">
        <f t="shared" si="22"/>
        <v>0</v>
      </c>
      <c r="BD154" s="420">
        <f t="shared" si="22"/>
        <v>0</v>
      </c>
      <c r="BE154" s="420">
        <f t="shared" si="23"/>
        <v>0</v>
      </c>
      <c r="BF154" s="420">
        <f t="shared" si="23"/>
        <v>0</v>
      </c>
      <c r="BG154" s="420">
        <f t="shared" si="23"/>
        <v>0</v>
      </c>
      <c r="BH154">
        <v>0</v>
      </c>
      <c r="BL154">
        <v>46</v>
      </c>
      <c r="BN154" t="s">
        <v>379</v>
      </c>
      <c r="CN154" t="s">
        <v>1377</v>
      </c>
      <c r="CR154">
        <v>0</v>
      </c>
      <c r="CS154">
        <v>0</v>
      </c>
      <c r="CT154">
        <v>0</v>
      </c>
    </row>
    <row r="155" spans="1:98">
      <c r="A155" s="1327">
        <v>47</v>
      </c>
      <c r="B155" s="1351"/>
      <c r="C155" s="1305" t="s">
        <v>381</v>
      </c>
      <c r="D155" s="1306"/>
      <c r="E155" s="1306"/>
      <c r="F155" s="1306"/>
      <c r="G155" s="1306"/>
      <c r="H155" s="1306"/>
      <c r="I155" s="1306"/>
      <c r="J155" s="1306"/>
      <c r="K155" s="1306"/>
      <c r="L155" s="1306"/>
      <c r="M155" s="1306"/>
      <c r="N155" s="1306"/>
      <c r="O155" s="1306"/>
      <c r="P155" s="1306"/>
      <c r="Q155" s="1306"/>
      <c r="R155" s="1306"/>
      <c r="S155" s="1306"/>
      <c r="T155" s="1306"/>
      <c r="U155" s="1306"/>
      <c r="V155" s="1306"/>
      <c r="W155" s="1306"/>
      <c r="X155" s="1306"/>
      <c r="Y155" s="1306"/>
      <c r="Z155" s="1306"/>
      <c r="AA155" s="1306"/>
      <c r="AB155" s="1349"/>
      <c r="AC155" s="1287" t="s">
        <v>1378</v>
      </c>
      <c r="AD155" s="1288"/>
      <c r="AE155" s="1288"/>
      <c r="AF155" s="1330"/>
      <c r="AG155" s="595">
        <v>0</v>
      </c>
      <c r="AH155" s="595">
        <v>0</v>
      </c>
      <c r="AI155" s="596">
        <v>0</v>
      </c>
      <c r="AJ155" s="595">
        <v>0</v>
      </c>
      <c r="AK155" s="595">
        <v>0</v>
      </c>
      <c r="AL155" s="596">
        <v>0</v>
      </c>
      <c r="AM155" s="595">
        <v>0</v>
      </c>
      <c r="AN155" s="595">
        <v>0</v>
      </c>
      <c r="AO155" s="596">
        <v>0</v>
      </c>
      <c r="AP155" s="595">
        <v>0</v>
      </c>
      <c r="AQ155" s="595">
        <v>0</v>
      </c>
      <c r="AR155" s="596">
        <v>0</v>
      </c>
      <c r="AS155" s="595">
        <v>0</v>
      </c>
      <c r="AT155" s="603">
        <v>0</v>
      </c>
      <c r="AU155" s="596">
        <v>0</v>
      </c>
      <c r="AV155" s="595">
        <v>0</v>
      </c>
      <c r="AW155" s="595">
        <v>0</v>
      </c>
      <c r="AX155" s="596">
        <v>0</v>
      </c>
      <c r="AY155" s="595"/>
      <c r="AZ155" s="598"/>
      <c r="BA155" s="598"/>
      <c r="BB155" s="420">
        <f t="shared" si="22"/>
        <v>0</v>
      </c>
      <c r="BC155" s="420">
        <f t="shared" si="22"/>
        <v>0</v>
      </c>
      <c r="BD155" s="420">
        <f t="shared" si="22"/>
        <v>0</v>
      </c>
      <c r="BE155" s="420">
        <f t="shared" si="23"/>
        <v>0</v>
      </c>
      <c r="BF155" s="420">
        <f t="shared" si="23"/>
        <v>0</v>
      </c>
      <c r="BG155" s="420">
        <f t="shared" si="23"/>
        <v>0</v>
      </c>
      <c r="BH155">
        <v>0</v>
      </c>
      <c r="BL155">
        <v>47</v>
      </c>
      <c r="BN155" t="s">
        <v>381</v>
      </c>
      <c r="CN155" t="s">
        <v>1378</v>
      </c>
      <c r="CR155">
        <v>0</v>
      </c>
      <c r="CS155">
        <v>0</v>
      </c>
      <c r="CT155">
        <v>0</v>
      </c>
    </row>
    <row r="156" spans="1:98">
      <c r="A156" s="1327">
        <v>48</v>
      </c>
      <c r="B156" s="1351"/>
      <c r="C156" s="1305" t="s">
        <v>383</v>
      </c>
      <c r="D156" s="1306"/>
      <c r="E156" s="1306"/>
      <c r="F156" s="1306"/>
      <c r="G156" s="1306"/>
      <c r="H156" s="1306"/>
      <c r="I156" s="1306"/>
      <c r="J156" s="1306"/>
      <c r="K156" s="1306"/>
      <c r="L156" s="1306"/>
      <c r="M156" s="1306"/>
      <c r="N156" s="1306"/>
      <c r="O156" s="1306"/>
      <c r="P156" s="1306"/>
      <c r="Q156" s="1306"/>
      <c r="R156" s="1306"/>
      <c r="S156" s="1306"/>
      <c r="T156" s="1306"/>
      <c r="U156" s="1306"/>
      <c r="V156" s="1306"/>
      <c r="W156" s="1306"/>
      <c r="X156" s="1306"/>
      <c r="Y156" s="1306"/>
      <c r="Z156" s="1306"/>
      <c r="AA156" s="1306"/>
      <c r="AB156" s="1349"/>
      <c r="AC156" s="1287" t="s">
        <v>1379</v>
      </c>
      <c r="AD156" s="1288"/>
      <c r="AE156" s="1288"/>
      <c r="AF156" s="1330"/>
      <c r="AG156" s="595">
        <v>0</v>
      </c>
      <c r="AH156" s="595">
        <v>0</v>
      </c>
      <c r="AI156" s="596">
        <v>0</v>
      </c>
      <c r="AJ156" s="595">
        <v>0</v>
      </c>
      <c r="AK156" s="595">
        <v>0</v>
      </c>
      <c r="AL156" s="596">
        <v>0</v>
      </c>
      <c r="AM156" s="595">
        <v>0</v>
      </c>
      <c r="AN156" s="595">
        <v>0</v>
      </c>
      <c r="AO156" s="596">
        <v>0</v>
      </c>
      <c r="AP156" s="595">
        <v>0</v>
      </c>
      <c r="AQ156" s="595">
        <v>0</v>
      </c>
      <c r="AR156" s="596">
        <v>0</v>
      </c>
      <c r="AS156" s="595">
        <v>900000</v>
      </c>
      <c r="AT156" s="603">
        <f>AS156*0.27</f>
        <v>243000.00000000003</v>
      </c>
      <c r="AU156" s="596">
        <f>AS156+AT156</f>
        <v>1143000</v>
      </c>
      <c r="AV156" s="595">
        <v>0</v>
      </c>
      <c r="AW156" s="595">
        <v>0</v>
      </c>
      <c r="AX156" s="596">
        <v>0</v>
      </c>
      <c r="AY156" s="595"/>
      <c r="AZ156" s="598"/>
      <c r="BA156" s="598"/>
      <c r="BB156" s="420">
        <f t="shared" si="22"/>
        <v>900000</v>
      </c>
      <c r="BC156" s="420">
        <f t="shared" si="22"/>
        <v>243000.00000000003</v>
      </c>
      <c r="BD156" s="420">
        <f t="shared" si="22"/>
        <v>1143000</v>
      </c>
      <c r="BE156" s="420">
        <f t="shared" si="23"/>
        <v>900000</v>
      </c>
      <c r="BF156" s="420">
        <f t="shared" si="23"/>
        <v>243000.00000000003</v>
      </c>
      <c r="BG156" s="420">
        <f t="shared" si="23"/>
        <v>1143000</v>
      </c>
      <c r="BL156">
        <v>48</v>
      </c>
      <c r="BN156" t="s">
        <v>383</v>
      </c>
      <c r="CN156" t="s">
        <v>1379</v>
      </c>
      <c r="CR156">
        <v>0</v>
      </c>
      <c r="CS156">
        <v>0</v>
      </c>
      <c r="CT156">
        <v>0</v>
      </c>
    </row>
    <row r="157" spans="1:98">
      <c r="A157" s="1327">
        <v>49</v>
      </c>
      <c r="B157" s="1351"/>
      <c r="C157" s="1305" t="s">
        <v>385</v>
      </c>
      <c r="D157" s="1306"/>
      <c r="E157" s="1306"/>
      <c r="F157" s="1306"/>
      <c r="G157" s="1306"/>
      <c r="H157" s="1306"/>
      <c r="I157" s="1306"/>
      <c r="J157" s="1306"/>
      <c r="K157" s="1306"/>
      <c r="L157" s="1306"/>
      <c r="M157" s="1306"/>
      <c r="N157" s="1306"/>
      <c r="O157" s="1306"/>
      <c r="P157" s="1306"/>
      <c r="Q157" s="1306"/>
      <c r="R157" s="1306"/>
      <c r="S157" s="1306"/>
      <c r="T157" s="1306"/>
      <c r="U157" s="1306"/>
      <c r="V157" s="1306"/>
      <c r="W157" s="1306"/>
      <c r="X157" s="1306"/>
      <c r="Y157" s="1306"/>
      <c r="Z157" s="1306"/>
      <c r="AA157" s="1306"/>
      <c r="AB157" s="1349"/>
      <c r="AC157" s="1287" t="s">
        <v>1380</v>
      </c>
      <c r="AD157" s="1288"/>
      <c r="AE157" s="1288"/>
      <c r="AF157" s="1330"/>
      <c r="AG157" s="595">
        <v>0</v>
      </c>
      <c r="AH157" s="595">
        <v>0</v>
      </c>
      <c r="AI157" s="596">
        <v>0</v>
      </c>
      <c r="AJ157" s="595">
        <v>0</v>
      </c>
      <c r="AK157" s="595">
        <v>0</v>
      </c>
      <c r="AL157" s="596">
        <v>0</v>
      </c>
      <c r="AM157" s="595">
        <v>0</v>
      </c>
      <c r="AN157" s="595">
        <v>0</v>
      </c>
      <c r="AO157" s="596">
        <v>0</v>
      </c>
      <c r="AP157" s="595">
        <v>0</v>
      </c>
      <c r="AQ157" s="595">
        <v>0</v>
      </c>
      <c r="AR157" s="596">
        <v>0</v>
      </c>
      <c r="AS157" s="595">
        <v>0</v>
      </c>
      <c r="AT157" s="603">
        <v>0</v>
      </c>
      <c r="AU157" s="596">
        <v>0</v>
      </c>
      <c r="AV157" s="595">
        <v>0</v>
      </c>
      <c r="AW157" s="595">
        <v>0</v>
      </c>
      <c r="AX157" s="596">
        <v>0</v>
      </c>
      <c r="AY157" s="595"/>
      <c r="AZ157" s="598"/>
      <c r="BA157" s="598"/>
      <c r="BB157" s="420">
        <f t="shared" si="22"/>
        <v>0</v>
      </c>
      <c r="BC157" s="420">
        <f t="shared" si="22"/>
        <v>0</v>
      </c>
      <c r="BD157" s="420">
        <f t="shared" si="22"/>
        <v>0</v>
      </c>
      <c r="BE157" s="420">
        <f t="shared" si="23"/>
        <v>0</v>
      </c>
      <c r="BF157" s="420">
        <f t="shared" si="23"/>
        <v>0</v>
      </c>
      <c r="BG157" s="420">
        <f t="shared" si="23"/>
        <v>0</v>
      </c>
      <c r="BL157">
        <v>49</v>
      </c>
      <c r="BN157" t="s">
        <v>385</v>
      </c>
      <c r="CN157" t="s">
        <v>1380</v>
      </c>
      <c r="CR157">
        <v>0</v>
      </c>
      <c r="CS157">
        <v>0</v>
      </c>
      <c r="CT157">
        <v>0</v>
      </c>
    </row>
    <row r="158" spans="1:98">
      <c r="A158" s="1327">
        <v>50</v>
      </c>
      <c r="B158" s="1351"/>
      <c r="C158" s="1305" t="s">
        <v>387</v>
      </c>
      <c r="D158" s="1306"/>
      <c r="E158" s="1306"/>
      <c r="F158" s="1306"/>
      <c r="G158" s="1306"/>
      <c r="H158" s="1306"/>
      <c r="I158" s="1306"/>
      <c r="J158" s="1306"/>
      <c r="K158" s="1306"/>
      <c r="L158" s="1306"/>
      <c r="M158" s="1306"/>
      <c r="N158" s="1306"/>
      <c r="O158" s="1306"/>
      <c r="P158" s="1306"/>
      <c r="Q158" s="1306"/>
      <c r="R158" s="1306"/>
      <c r="S158" s="1306"/>
      <c r="T158" s="1306"/>
      <c r="U158" s="1306"/>
      <c r="V158" s="1306"/>
      <c r="W158" s="1306"/>
      <c r="X158" s="1306"/>
      <c r="Y158" s="1306"/>
      <c r="Z158" s="1306"/>
      <c r="AA158" s="1306"/>
      <c r="AB158" s="1349"/>
      <c r="AC158" s="1287" t="s">
        <v>1381</v>
      </c>
      <c r="AD158" s="1288"/>
      <c r="AE158" s="1288"/>
      <c r="AF158" s="1330"/>
      <c r="AG158" s="595">
        <v>0</v>
      </c>
      <c r="AH158" s="595">
        <v>0</v>
      </c>
      <c r="AI158" s="596">
        <v>0</v>
      </c>
      <c r="AJ158" s="595">
        <v>0</v>
      </c>
      <c r="AK158" s="595">
        <v>0</v>
      </c>
      <c r="AL158" s="596">
        <v>0</v>
      </c>
      <c r="AM158" s="595">
        <v>0</v>
      </c>
      <c r="AN158" s="595">
        <v>0</v>
      </c>
      <c r="AO158" s="596">
        <v>0</v>
      </c>
      <c r="AP158" s="595">
        <v>0</v>
      </c>
      <c r="AQ158" s="595">
        <v>0</v>
      </c>
      <c r="AR158" s="596">
        <v>0</v>
      </c>
      <c r="AS158" s="595">
        <v>0</v>
      </c>
      <c r="AT158" s="603">
        <v>0</v>
      </c>
      <c r="AU158" s="596">
        <v>0</v>
      </c>
      <c r="AV158" s="595">
        <v>0</v>
      </c>
      <c r="AW158" s="595">
        <v>0</v>
      </c>
      <c r="AX158" s="596">
        <v>0</v>
      </c>
      <c r="AY158" s="595"/>
      <c r="AZ158" s="598"/>
      <c r="BA158" s="598"/>
      <c r="BB158" s="420">
        <f t="shared" si="22"/>
        <v>0</v>
      </c>
      <c r="BC158" s="420">
        <f t="shared" si="22"/>
        <v>0</v>
      </c>
      <c r="BD158" s="420">
        <f t="shared" si="22"/>
        <v>0</v>
      </c>
      <c r="BE158" s="420">
        <f t="shared" si="23"/>
        <v>0</v>
      </c>
      <c r="BF158" s="420">
        <f t="shared" si="23"/>
        <v>0</v>
      </c>
      <c r="BG158" s="420">
        <f t="shared" si="23"/>
        <v>0</v>
      </c>
      <c r="BL158">
        <v>50</v>
      </c>
      <c r="BN158" t="s">
        <v>387</v>
      </c>
      <c r="CN158" t="s">
        <v>1381</v>
      </c>
      <c r="CR158">
        <v>0</v>
      </c>
      <c r="CS158">
        <v>0</v>
      </c>
      <c r="CT158">
        <v>0</v>
      </c>
    </row>
    <row r="159" spans="1:98">
      <c r="A159" s="1342">
        <v>51</v>
      </c>
      <c r="B159" s="1352"/>
      <c r="C159" s="1294" t="s">
        <v>1382</v>
      </c>
      <c r="D159" s="1295"/>
      <c r="E159" s="1295"/>
      <c r="F159" s="1295"/>
      <c r="G159" s="1295"/>
      <c r="H159" s="1295"/>
      <c r="I159" s="1295"/>
      <c r="J159" s="1295"/>
      <c r="K159" s="1295"/>
      <c r="L159" s="1295"/>
      <c r="M159" s="1295"/>
      <c r="N159" s="1295"/>
      <c r="O159" s="1295"/>
      <c r="P159" s="1295"/>
      <c r="Q159" s="1295"/>
      <c r="R159" s="1295"/>
      <c r="S159" s="1295"/>
      <c r="T159" s="1295"/>
      <c r="U159" s="1295"/>
      <c r="V159" s="1295"/>
      <c r="W159" s="1295"/>
      <c r="X159" s="1295"/>
      <c r="Y159" s="1295"/>
      <c r="Z159" s="1295"/>
      <c r="AA159" s="1295"/>
      <c r="AB159" s="1344"/>
      <c r="AC159" s="1346" t="s">
        <v>1383</v>
      </c>
      <c r="AD159" s="1347"/>
      <c r="AE159" s="1347"/>
      <c r="AF159" s="1348"/>
      <c r="AG159" s="599">
        <v>0</v>
      </c>
      <c r="AH159" s="599">
        <v>0</v>
      </c>
      <c r="AI159" s="600">
        <v>0</v>
      </c>
      <c r="AJ159" s="599">
        <v>0</v>
      </c>
      <c r="AK159" s="599">
        <v>0</v>
      </c>
      <c r="AL159" s="600">
        <v>0</v>
      </c>
      <c r="AM159" s="599">
        <v>0</v>
      </c>
      <c r="AN159" s="599">
        <v>0</v>
      </c>
      <c r="AO159" s="600">
        <v>0</v>
      </c>
      <c r="AP159" s="599">
        <v>0</v>
      </c>
      <c r="AQ159" s="599">
        <v>0</v>
      </c>
      <c r="AR159" s="600">
        <v>0</v>
      </c>
      <c r="AS159" s="599">
        <f>SUM(AS154:AS158)</f>
        <v>900000</v>
      </c>
      <c r="AT159" s="609">
        <f>SUM(AT154:AT158)</f>
        <v>243000.00000000003</v>
      </c>
      <c r="AU159" s="600">
        <f>SUM(AS159:AT159)</f>
        <v>1143000</v>
      </c>
      <c r="AV159" s="599">
        <v>0</v>
      </c>
      <c r="AW159" s="599">
        <v>0</v>
      </c>
      <c r="AX159" s="600">
        <v>0</v>
      </c>
      <c r="AY159" s="599"/>
      <c r="AZ159" s="602"/>
      <c r="BA159" s="602"/>
      <c r="BB159" s="420">
        <f t="shared" si="22"/>
        <v>900000</v>
      </c>
      <c r="BC159" s="420">
        <f t="shared" si="22"/>
        <v>243000.00000000003</v>
      </c>
      <c r="BD159" s="420">
        <f t="shared" si="22"/>
        <v>1143000</v>
      </c>
      <c r="BE159" s="420">
        <f t="shared" si="23"/>
        <v>900000</v>
      </c>
      <c r="BF159" s="420">
        <f t="shared" si="23"/>
        <v>243000.00000000003</v>
      </c>
      <c r="BG159" s="420">
        <f t="shared" si="23"/>
        <v>1143000</v>
      </c>
      <c r="BH159">
        <v>0</v>
      </c>
      <c r="BL159">
        <v>51</v>
      </c>
      <c r="BN159" t="s">
        <v>1382</v>
      </c>
      <c r="CN159" t="s">
        <v>1383</v>
      </c>
      <c r="CR159">
        <v>0</v>
      </c>
      <c r="CS159">
        <v>0</v>
      </c>
      <c r="CT159">
        <v>0</v>
      </c>
    </row>
    <row r="160" spans="1:98">
      <c r="A160" s="1327">
        <v>52</v>
      </c>
      <c r="B160" s="1351"/>
      <c r="C160" s="1305" t="s">
        <v>1384</v>
      </c>
      <c r="D160" s="1306"/>
      <c r="E160" s="1306"/>
      <c r="F160" s="1306"/>
      <c r="G160" s="1306"/>
      <c r="H160" s="1306"/>
      <c r="I160" s="1306"/>
      <c r="J160" s="1306"/>
      <c r="K160" s="1306"/>
      <c r="L160" s="1306"/>
      <c r="M160" s="1306"/>
      <c r="N160" s="1306"/>
      <c r="O160" s="1306"/>
      <c r="P160" s="1306"/>
      <c r="Q160" s="1306"/>
      <c r="R160" s="1306"/>
      <c r="S160" s="1306"/>
      <c r="T160" s="1306"/>
      <c r="U160" s="1306"/>
      <c r="V160" s="1306"/>
      <c r="W160" s="1306"/>
      <c r="X160" s="1306"/>
      <c r="Y160" s="1306"/>
      <c r="Z160" s="1306"/>
      <c r="AA160" s="1306"/>
      <c r="AB160" s="1349"/>
      <c r="AC160" s="1287" t="s">
        <v>1385</v>
      </c>
      <c r="AD160" s="1288"/>
      <c r="AE160" s="1288"/>
      <c r="AF160" s="1330"/>
      <c r="AG160" s="595">
        <v>0</v>
      </c>
      <c r="AH160" s="595">
        <v>0</v>
      </c>
      <c r="AI160" s="596">
        <v>0</v>
      </c>
      <c r="AJ160" s="595">
        <v>0</v>
      </c>
      <c r="AK160" s="595">
        <v>0</v>
      </c>
      <c r="AL160" s="596">
        <v>0</v>
      </c>
      <c r="AM160" s="595">
        <v>0</v>
      </c>
      <c r="AN160" s="595">
        <v>0</v>
      </c>
      <c r="AO160" s="596">
        <v>0</v>
      </c>
      <c r="AP160" s="595">
        <v>0</v>
      </c>
      <c r="AQ160" s="595">
        <v>0</v>
      </c>
      <c r="AR160" s="596">
        <v>0</v>
      </c>
      <c r="AS160" s="595">
        <v>0</v>
      </c>
      <c r="AT160" s="597"/>
      <c r="AU160" s="596">
        <v>0</v>
      </c>
      <c r="AV160" s="595">
        <v>0</v>
      </c>
      <c r="AW160" s="595">
        <v>0</v>
      </c>
      <c r="AX160" s="596">
        <v>0</v>
      </c>
      <c r="AY160" s="595"/>
      <c r="AZ160" s="598"/>
      <c r="BA160" s="598"/>
      <c r="BB160" s="420">
        <f t="shared" si="22"/>
        <v>0</v>
      </c>
      <c r="BC160" s="420">
        <f t="shared" si="22"/>
        <v>0</v>
      </c>
      <c r="BD160" s="420">
        <f t="shared" si="22"/>
        <v>0</v>
      </c>
      <c r="BE160" s="420">
        <f t="shared" si="23"/>
        <v>0</v>
      </c>
      <c r="BF160" s="420">
        <f t="shared" si="23"/>
        <v>0</v>
      </c>
      <c r="BG160" s="420">
        <f t="shared" si="23"/>
        <v>0</v>
      </c>
      <c r="BH160">
        <v>0</v>
      </c>
      <c r="BL160">
        <v>52</v>
      </c>
      <c r="BN160" t="s">
        <v>1384</v>
      </c>
      <c r="CN160" t="s">
        <v>1385</v>
      </c>
      <c r="CR160">
        <v>0</v>
      </c>
      <c r="CS160">
        <v>0</v>
      </c>
      <c r="CT160">
        <v>0</v>
      </c>
    </row>
    <row r="161" spans="1:98">
      <c r="A161" s="1327">
        <v>53</v>
      </c>
      <c r="B161" s="1351"/>
      <c r="C161" s="1305" t="s">
        <v>1386</v>
      </c>
      <c r="D161" s="1306"/>
      <c r="E161" s="1306"/>
      <c r="F161" s="1306"/>
      <c r="G161" s="1306"/>
      <c r="H161" s="1306"/>
      <c r="I161" s="1306"/>
      <c r="J161" s="1306"/>
      <c r="K161" s="1306"/>
      <c r="L161" s="1306"/>
      <c r="M161" s="1306"/>
      <c r="N161" s="1306"/>
      <c r="O161" s="1306"/>
      <c r="P161" s="1306"/>
      <c r="Q161" s="1306"/>
      <c r="R161" s="1306"/>
      <c r="S161" s="1306"/>
      <c r="T161" s="1306"/>
      <c r="U161" s="1306"/>
      <c r="V161" s="1306"/>
      <c r="W161" s="1306"/>
      <c r="X161" s="1306"/>
      <c r="Y161" s="1306"/>
      <c r="Z161" s="1306"/>
      <c r="AA161" s="1306"/>
      <c r="AB161" s="1349"/>
      <c r="AC161" s="1287" t="s">
        <v>1387</v>
      </c>
      <c r="AD161" s="1288"/>
      <c r="AE161" s="1288"/>
      <c r="AF161" s="1330"/>
      <c r="AG161" s="595">
        <v>0</v>
      </c>
      <c r="AH161" s="595">
        <v>0</v>
      </c>
      <c r="AI161" s="596">
        <v>0</v>
      </c>
      <c r="AJ161" s="595">
        <v>0</v>
      </c>
      <c r="AK161" s="595">
        <v>0</v>
      </c>
      <c r="AL161" s="596">
        <v>0</v>
      </c>
      <c r="AM161" s="595">
        <v>0</v>
      </c>
      <c r="AN161" s="595">
        <v>0</v>
      </c>
      <c r="AO161" s="596">
        <v>0</v>
      </c>
      <c r="AP161" s="595">
        <v>0</v>
      </c>
      <c r="AQ161" s="595">
        <v>0</v>
      </c>
      <c r="AR161" s="596">
        <v>0</v>
      </c>
      <c r="AS161" s="595">
        <v>0</v>
      </c>
      <c r="AT161" s="597"/>
      <c r="AU161" s="596">
        <v>0</v>
      </c>
      <c r="AV161" s="595">
        <v>0</v>
      </c>
      <c r="AW161" s="595">
        <v>0</v>
      </c>
      <c r="AX161" s="596">
        <v>0</v>
      </c>
      <c r="AY161" s="595"/>
      <c r="AZ161" s="598"/>
      <c r="BA161" s="598"/>
      <c r="BB161" s="420">
        <f t="shared" si="22"/>
        <v>0</v>
      </c>
      <c r="BC161" s="420">
        <f t="shared" si="22"/>
        <v>0</v>
      </c>
      <c r="BD161" s="420">
        <f t="shared" si="22"/>
        <v>0</v>
      </c>
      <c r="BE161" s="420">
        <f t="shared" si="23"/>
        <v>0</v>
      </c>
      <c r="BF161" s="420">
        <f t="shared" si="23"/>
        <v>0</v>
      </c>
      <c r="BG161" s="420">
        <f t="shared" si="23"/>
        <v>0</v>
      </c>
      <c r="BH161">
        <v>0</v>
      </c>
      <c r="BL161">
        <v>53</v>
      </c>
      <c r="BN161" t="s">
        <v>1386</v>
      </c>
      <c r="CN161" t="s">
        <v>1387</v>
      </c>
      <c r="CR161">
        <v>0</v>
      </c>
      <c r="CS161">
        <v>0</v>
      </c>
      <c r="CT161">
        <v>0</v>
      </c>
    </row>
    <row r="162" spans="1:98">
      <c r="A162" s="1327">
        <v>54</v>
      </c>
      <c r="B162" s="1351"/>
      <c r="C162" s="1305" t="s">
        <v>1388</v>
      </c>
      <c r="D162" s="1306"/>
      <c r="E162" s="1306"/>
      <c r="F162" s="1306"/>
      <c r="G162" s="1306"/>
      <c r="H162" s="1306"/>
      <c r="I162" s="1306"/>
      <c r="J162" s="1306"/>
      <c r="K162" s="1306"/>
      <c r="L162" s="1306"/>
      <c r="M162" s="1306"/>
      <c r="N162" s="1306"/>
      <c r="O162" s="1306"/>
      <c r="P162" s="1306"/>
      <c r="Q162" s="1306"/>
      <c r="R162" s="1306"/>
      <c r="S162" s="1306"/>
      <c r="T162" s="1306"/>
      <c r="U162" s="1306"/>
      <c r="V162" s="1306"/>
      <c r="W162" s="1306"/>
      <c r="X162" s="1306"/>
      <c r="Y162" s="1306"/>
      <c r="Z162" s="1306"/>
      <c r="AA162" s="1306"/>
      <c r="AB162" s="1349"/>
      <c r="AC162" s="1287" t="s">
        <v>1389</v>
      </c>
      <c r="AD162" s="1288"/>
      <c r="AE162" s="1288"/>
      <c r="AF162" s="1330"/>
      <c r="AG162" s="595">
        <v>0</v>
      </c>
      <c r="AH162" s="595">
        <v>0</v>
      </c>
      <c r="AI162" s="596">
        <v>0</v>
      </c>
      <c r="AJ162" s="595">
        <v>0</v>
      </c>
      <c r="AK162" s="595">
        <v>0</v>
      </c>
      <c r="AL162" s="596">
        <v>0</v>
      </c>
      <c r="AM162" s="595">
        <v>0</v>
      </c>
      <c r="AN162" s="595">
        <v>0</v>
      </c>
      <c r="AO162" s="596">
        <v>0</v>
      </c>
      <c r="AP162" s="595">
        <v>0</v>
      </c>
      <c r="AQ162" s="595">
        <v>0</v>
      </c>
      <c r="AR162" s="596">
        <v>0</v>
      </c>
      <c r="AS162" s="595">
        <v>0</v>
      </c>
      <c r="AT162" s="597"/>
      <c r="AU162" s="596">
        <v>0</v>
      </c>
      <c r="AV162" s="595">
        <v>0</v>
      </c>
      <c r="AW162" s="595">
        <v>0</v>
      </c>
      <c r="AX162" s="596">
        <v>0</v>
      </c>
      <c r="AY162" s="595"/>
      <c r="AZ162" s="598"/>
      <c r="BA162" s="598"/>
      <c r="BB162" s="420">
        <f t="shared" si="22"/>
        <v>0</v>
      </c>
      <c r="BC162" s="420">
        <f t="shared" si="22"/>
        <v>0</v>
      </c>
      <c r="BD162" s="420">
        <f t="shared" si="22"/>
        <v>0</v>
      </c>
      <c r="BE162" s="420">
        <f t="shared" si="23"/>
        <v>0</v>
      </c>
      <c r="BF162" s="420">
        <f t="shared" si="23"/>
        <v>0</v>
      </c>
      <c r="BG162" s="420">
        <f t="shared" si="23"/>
        <v>0</v>
      </c>
      <c r="BH162">
        <v>0</v>
      </c>
      <c r="BL162">
        <v>54</v>
      </c>
      <c r="BN162" t="s">
        <v>1388</v>
      </c>
      <c r="CN162" t="s">
        <v>1389</v>
      </c>
      <c r="CR162">
        <v>0</v>
      </c>
      <c r="CS162">
        <v>0</v>
      </c>
      <c r="CT162">
        <v>0</v>
      </c>
    </row>
    <row r="163" spans="1:98">
      <c r="A163" s="1327">
        <v>55</v>
      </c>
      <c r="B163" s="1351"/>
      <c r="C163" s="1285" t="s">
        <v>1390</v>
      </c>
      <c r="D163" s="1286"/>
      <c r="E163" s="1286"/>
      <c r="F163" s="1286"/>
      <c r="G163" s="1286"/>
      <c r="H163" s="1286"/>
      <c r="I163" s="1286"/>
      <c r="J163" s="1286"/>
      <c r="K163" s="1286"/>
      <c r="L163" s="1286"/>
      <c r="M163" s="1286"/>
      <c r="N163" s="1286"/>
      <c r="O163" s="1286"/>
      <c r="P163" s="1286"/>
      <c r="Q163" s="1286"/>
      <c r="R163" s="1286"/>
      <c r="S163" s="1286"/>
      <c r="T163" s="1286"/>
      <c r="U163" s="1286"/>
      <c r="V163" s="1286"/>
      <c r="W163" s="1286"/>
      <c r="X163" s="1286"/>
      <c r="Y163" s="1286"/>
      <c r="Z163" s="1286"/>
      <c r="AA163" s="1286"/>
      <c r="AB163" s="1341"/>
      <c r="AC163" s="1287" t="s">
        <v>1391</v>
      </c>
      <c r="AD163" s="1288"/>
      <c r="AE163" s="1288"/>
      <c r="AF163" s="1330"/>
      <c r="AG163" s="595">
        <v>0</v>
      </c>
      <c r="AH163" s="595">
        <v>0</v>
      </c>
      <c r="AI163" s="596">
        <v>0</v>
      </c>
      <c r="AJ163" s="595">
        <v>0</v>
      </c>
      <c r="AK163" s="595">
        <v>0</v>
      </c>
      <c r="AL163" s="596">
        <v>0</v>
      </c>
      <c r="AM163" s="595">
        <v>0</v>
      </c>
      <c r="AN163" s="595">
        <v>0</v>
      </c>
      <c r="AO163" s="596">
        <v>0</v>
      </c>
      <c r="AP163" s="595">
        <v>0</v>
      </c>
      <c r="AQ163" s="595">
        <v>0</v>
      </c>
      <c r="AR163" s="596">
        <v>0</v>
      </c>
      <c r="AS163" s="595">
        <v>0</v>
      </c>
      <c r="AT163" s="597"/>
      <c r="AU163" s="596">
        <v>0</v>
      </c>
      <c r="AV163" s="595">
        <v>0</v>
      </c>
      <c r="AW163" s="595">
        <v>0</v>
      </c>
      <c r="AX163" s="596">
        <v>0</v>
      </c>
      <c r="AY163" s="595"/>
      <c r="AZ163" s="598"/>
      <c r="BA163" s="598"/>
      <c r="BB163" s="420">
        <f t="shared" si="22"/>
        <v>0</v>
      </c>
      <c r="BC163" s="420">
        <f t="shared" si="22"/>
        <v>0</v>
      </c>
      <c r="BD163" s="420">
        <f t="shared" si="22"/>
        <v>0</v>
      </c>
      <c r="BE163" s="420">
        <f t="shared" si="23"/>
        <v>0</v>
      </c>
      <c r="BF163" s="420">
        <f t="shared" si="23"/>
        <v>0</v>
      </c>
      <c r="BG163" s="420">
        <f t="shared" si="23"/>
        <v>0</v>
      </c>
      <c r="BH163">
        <v>0</v>
      </c>
      <c r="BL163">
        <v>55</v>
      </c>
      <c r="BN163" t="s">
        <v>1390</v>
      </c>
      <c r="CN163" t="s">
        <v>1391</v>
      </c>
      <c r="CR163">
        <v>0</v>
      </c>
      <c r="CS163">
        <v>0</v>
      </c>
      <c r="CT163">
        <v>0</v>
      </c>
    </row>
    <row r="164" spans="1:98">
      <c r="A164" s="1327">
        <v>56</v>
      </c>
      <c r="B164" s="1351"/>
      <c r="C164" s="1305" t="s">
        <v>1392</v>
      </c>
      <c r="D164" s="1306"/>
      <c r="E164" s="1306"/>
      <c r="F164" s="1306"/>
      <c r="G164" s="1306"/>
      <c r="H164" s="1306"/>
      <c r="I164" s="1306"/>
      <c r="J164" s="1306"/>
      <c r="K164" s="1306"/>
      <c r="L164" s="1306"/>
      <c r="M164" s="1306"/>
      <c r="N164" s="1306"/>
      <c r="O164" s="1306"/>
      <c r="P164" s="1306"/>
      <c r="Q164" s="1306"/>
      <c r="R164" s="1306"/>
      <c r="S164" s="1306"/>
      <c r="T164" s="1306"/>
      <c r="U164" s="1306"/>
      <c r="V164" s="1306"/>
      <c r="W164" s="1306"/>
      <c r="X164" s="1306"/>
      <c r="Y164" s="1306"/>
      <c r="Z164" s="1306"/>
      <c r="AA164" s="1306"/>
      <c r="AB164" s="1349"/>
      <c r="AC164" s="1287" t="s">
        <v>1393</v>
      </c>
      <c r="AD164" s="1288"/>
      <c r="AE164" s="1288"/>
      <c r="AF164" s="1330"/>
      <c r="AG164" s="595">
        <v>300000</v>
      </c>
      <c r="AH164" s="595">
        <v>0</v>
      </c>
      <c r="AI164" s="596">
        <f>AG164+AH164</f>
        <v>300000</v>
      </c>
      <c r="AJ164" s="595">
        <v>0</v>
      </c>
      <c r="AK164" s="595">
        <v>0</v>
      </c>
      <c r="AL164" s="596">
        <v>0</v>
      </c>
      <c r="AM164" s="595">
        <v>0</v>
      </c>
      <c r="AN164" s="595">
        <v>0</v>
      </c>
      <c r="AO164" s="596">
        <v>0</v>
      </c>
      <c r="AP164" s="595">
        <v>0</v>
      </c>
      <c r="AQ164" s="595">
        <v>0</v>
      </c>
      <c r="AR164" s="596">
        <v>0</v>
      </c>
      <c r="AS164" s="595">
        <v>0</v>
      </c>
      <c r="AT164" s="597"/>
      <c r="AU164" s="596">
        <v>0</v>
      </c>
      <c r="AV164" s="595">
        <v>0</v>
      </c>
      <c r="AW164" s="595">
        <v>0</v>
      </c>
      <c r="AX164" s="596">
        <v>0</v>
      </c>
      <c r="AY164" s="595"/>
      <c r="AZ164" s="598"/>
      <c r="BA164" s="598"/>
      <c r="BB164" s="420">
        <f t="shared" si="22"/>
        <v>0</v>
      </c>
      <c r="BC164" s="420">
        <f t="shared" si="22"/>
        <v>0</v>
      </c>
      <c r="BD164" s="420">
        <f t="shared" si="22"/>
        <v>0</v>
      </c>
      <c r="BE164" s="420">
        <f t="shared" si="23"/>
        <v>300000</v>
      </c>
      <c r="BF164" s="420">
        <f t="shared" si="23"/>
        <v>0</v>
      </c>
      <c r="BG164" s="420">
        <f t="shared" si="23"/>
        <v>300000</v>
      </c>
      <c r="BH164">
        <v>0</v>
      </c>
      <c r="BL164">
        <v>56</v>
      </c>
      <c r="BN164" t="s">
        <v>1392</v>
      </c>
      <c r="CN164" t="s">
        <v>1393</v>
      </c>
      <c r="CR164">
        <v>0</v>
      </c>
      <c r="CS164">
        <v>0</v>
      </c>
      <c r="CT164">
        <v>0</v>
      </c>
    </row>
    <row r="165" spans="1:98">
      <c r="A165" s="1342">
        <v>57</v>
      </c>
      <c r="B165" s="1352"/>
      <c r="C165" s="1294" t="s">
        <v>1394</v>
      </c>
      <c r="D165" s="1295"/>
      <c r="E165" s="1295"/>
      <c r="F165" s="1295"/>
      <c r="G165" s="1295"/>
      <c r="H165" s="1295"/>
      <c r="I165" s="1295"/>
      <c r="J165" s="1295"/>
      <c r="K165" s="1295"/>
      <c r="L165" s="1295"/>
      <c r="M165" s="1295"/>
      <c r="N165" s="1295"/>
      <c r="O165" s="1295"/>
      <c r="P165" s="1295"/>
      <c r="Q165" s="1295"/>
      <c r="R165" s="1295"/>
      <c r="S165" s="1295"/>
      <c r="T165" s="1295"/>
      <c r="U165" s="1295"/>
      <c r="V165" s="1295"/>
      <c r="W165" s="1295"/>
      <c r="X165" s="1295"/>
      <c r="Y165" s="1295"/>
      <c r="Z165" s="1295"/>
      <c r="AA165" s="1295"/>
      <c r="AB165" s="1344"/>
      <c r="AC165" s="1346" t="s">
        <v>1395</v>
      </c>
      <c r="AD165" s="1347"/>
      <c r="AE165" s="1347"/>
      <c r="AF165" s="1348"/>
      <c r="AG165" s="599">
        <f t="shared" ref="AG165:AS165" si="28">SUM(AG160:AG164)</f>
        <v>300000</v>
      </c>
      <c r="AH165" s="599">
        <f t="shared" si="28"/>
        <v>0</v>
      </c>
      <c r="AI165" s="599">
        <f t="shared" si="28"/>
        <v>300000</v>
      </c>
      <c r="AJ165" s="599">
        <f t="shared" si="28"/>
        <v>0</v>
      </c>
      <c r="AK165" s="599">
        <f t="shared" si="28"/>
        <v>0</v>
      </c>
      <c r="AL165" s="599">
        <f t="shared" si="28"/>
        <v>0</v>
      </c>
      <c r="AM165" s="599">
        <f t="shared" si="28"/>
        <v>0</v>
      </c>
      <c r="AN165" s="599">
        <f t="shared" si="28"/>
        <v>0</v>
      </c>
      <c r="AO165" s="599">
        <f t="shared" si="28"/>
        <v>0</v>
      </c>
      <c r="AP165" s="599">
        <f t="shared" si="28"/>
        <v>0</v>
      </c>
      <c r="AQ165" s="599">
        <f t="shared" si="28"/>
        <v>0</v>
      </c>
      <c r="AR165" s="599">
        <f t="shared" si="28"/>
        <v>0</v>
      </c>
      <c r="AS165" s="599">
        <f t="shared" si="28"/>
        <v>0</v>
      </c>
      <c r="AT165" s="601"/>
      <c r="AU165" s="599">
        <v>0</v>
      </c>
      <c r="AV165" s="599">
        <v>0</v>
      </c>
      <c r="AW165" s="599">
        <v>0</v>
      </c>
      <c r="AX165" s="599">
        <v>0</v>
      </c>
      <c r="AY165" s="599"/>
      <c r="AZ165" s="602"/>
      <c r="BA165" s="602"/>
      <c r="BB165" s="420">
        <f t="shared" si="22"/>
        <v>0</v>
      </c>
      <c r="BC165" s="420">
        <f t="shared" si="22"/>
        <v>0</v>
      </c>
      <c r="BD165" s="420">
        <f t="shared" si="22"/>
        <v>0</v>
      </c>
      <c r="BE165" s="420">
        <f t="shared" si="23"/>
        <v>300000</v>
      </c>
      <c r="BF165" s="420">
        <f t="shared" si="23"/>
        <v>0</v>
      </c>
      <c r="BG165" s="420">
        <f t="shared" si="23"/>
        <v>300000</v>
      </c>
      <c r="BH165">
        <v>0</v>
      </c>
      <c r="BL165">
        <v>57</v>
      </c>
      <c r="BN165" t="s">
        <v>1394</v>
      </c>
      <c r="CN165" t="s">
        <v>1395</v>
      </c>
      <c r="CR165">
        <v>0</v>
      </c>
      <c r="CS165">
        <v>0</v>
      </c>
      <c r="CT165">
        <v>0</v>
      </c>
    </row>
    <row r="166" spans="1:98">
      <c r="A166" s="1327">
        <v>58</v>
      </c>
      <c r="B166" s="1351"/>
      <c r="C166" s="1305" t="s">
        <v>1396</v>
      </c>
      <c r="D166" s="1306"/>
      <c r="E166" s="1306"/>
      <c r="F166" s="1306"/>
      <c r="G166" s="1306"/>
      <c r="H166" s="1306"/>
      <c r="I166" s="1306"/>
      <c r="J166" s="1306"/>
      <c r="K166" s="1306"/>
      <c r="L166" s="1306"/>
      <c r="M166" s="1306"/>
      <c r="N166" s="1306"/>
      <c r="O166" s="1306"/>
      <c r="P166" s="1306"/>
      <c r="Q166" s="1306"/>
      <c r="R166" s="1306"/>
      <c r="S166" s="1306"/>
      <c r="T166" s="1306"/>
      <c r="U166" s="1306"/>
      <c r="V166" s="1306"/>
      <c r="W166" s="1306"/>
      <c r="X166" s="1306"/>
      <c r="Y166" s="1306"/>
      <c r="Z166" s="1306"/>
      <c r="AA166" s="1306"/>
      <c r="AB166" s="1349"/>
      <c r="AC166" s="1287" t="s">
        <v>1397</v>
      </c>
      <c r="AD166" s="1288"/>
      <c r="AE166" s="1288"/>
      <c r="AF166" s="1330"/>
      <c r="AG166" s="595">
        <v>0</v>
      </c>
      <c r="AH166" s="595">
        <v>0</v>
      </c>
      <c r="AI166" s="596">
        <v>0</v>
      </c>
      <c r="AJ166" s="595">
        <v>0</v>
      </c>
      <c r="AK166" s="595">
        <v>0</v>
      </c>
      <c r="AL166" s="596">
        <v>0</v>
      </c>
      <c r="AM166" s="595">
        <v>0</v>
      </c>
      <c r="AN166" s="595">
        <v>0</v>
      </c>
      <c r="AO166" s="596">
        <v>0</v>
      </c>
      <c r="AP166" s="595">
        <v>0</v>
      </c>
      <c r="AQ166" s="595">
        <v>0</v>
      </c>
      <c r="AR166" s="596">
        <v>0</v>
      </c>
      <c r="AS166" s="595">
        <v>0</v>
      </c>
      <c r="AT166" s="597"/>
      <c r="AU166" s="596">
        <v>0</v>
      </c>
      <c r="AV166" s="595">
        <v>0</v>
      </c>
      <c r="AW166" s="595">
        <v>0</v>
      </c>
      <c r="AX166" s="596">
        <v>0</v>
      </c>
      <c r="AY166" s="595"/>
      <c r="AZ166" s="598"/>
      <c r="BA166" s="598"/>
      <c r="BB166" s="420">
        <f t="shared" si="22"/>
        <v>0</v>
      </c>
      <c r="BC166" s="420">
        <f t="shared" si="22"/>
        <v>0</v>
      </c>
      <c r="BD166" s="420">
        <f t="shared" si="22"/>
        <v>0</v>
      </c>
      <c r="BE166" s="420">
        <f t="shared" si="23"/>
        <v>0</v>
      </c>
      <c r="BF166" s="420">
        <f t="shared" si="23"/>
        <v>0</v>
      </c>
      <c r="BG166" s="420">
        <f t="shared" si="23"/>
        <v>0</v>
      </c>
      <c r="BH166">
        <v>0</v>
      </c>
      <c r="BL166">
        <v>58</v>
      </c>
      <c r="BN166" t="s">
        <v>1396</v>
      </c>
      <c r="CN166" t="s">
        <v>1397</v>
      </c>
      <c r="CR166">
        <v>0</v>
      </c>
      <c r="CS166">
        <v>0</v>
      </c>
      <c r="CT166">
        <v>0</v>
      </c>
    </row>
    <row r="167" spans="1:98">
      <c r="A167" s="1327">
        <v>59</v>
      </c>
      <c r="B167" s="1351"/>
      <c r="C167" s="1285" t="s">
        <v>1398</v>
      </c>
      <c r="D167" s="1286"/>
      <c r="E167" s="1286"/>
      <c r="F167" s="1286"/>
      <c r="G167" s="1286"/>
      <c r="H167" s="1286"/>
      <c r="I167" s="1286"/>
      <c r="J167" s="1286"/>
      <c r="K167" s="1286"/>
      <c r="L167" s="1286"/>
      <c r="M167" s="1286"/>
      <c r="N167" s="1286"/>
      <c r="O167" s="1286"/>
      <c r="P167" s="1286"/>
      <c r="Q167" s="1286"/>
      <c r="R167" s="1286"/>
      <c r="S167" s="1286"/>
      <c r="T167" s="1286"/>
      <c r="U167" s="1286"/>
      <c r="V167" s="1286"/>
      <c r="W167" s="1286"/>
      <c r="X167" s="1286"/>
      <c r="Y167" s="1286"/>
      <c r="Z167" s="1286"/>
      <c r="AA167" s="1286"/>
      <c r="AB167" s="1341"/>
      <c r="AC167" s="1287" t="s">
        <v>1399</v>
      </c>
      <c r="AD167" s="1288"/>
      <c r="AE167" s="1288"/>
      <c r="AF167" s="1330"/>
      <c r="AG167" s="595">
        <v>0</v>
      </c>
      <c r="AH167" s="595">
        <v>0</v>
      </c>
      <c r="AI167" s="596">
        <v>0</v>
      </c>
      <c r="AJ167" s="595">
        <v>0</v>
      </c>
      <c r="AK167" s="595">
        <v>0</v>
      </c>
      <c r="AL167" s="596">
        <v>0</v>
      </c>
      <c r="AM167" s="595">
        <v>0</v>
      </c>
      <c r="AN167" s="595">
        <v>0</v>
      </c>
      <c r="AO167" s="596">
        <v>0</v>
      </c>
      <c r="AP167" s="595">
        <v>0</v>
      </c>
      <c r="AQ167" s="595">
        <v>0</v>
      </c>
      <c r="AR167" s="596">
        <v>0</v>
      </c>
      <c r="AS167" s="595">
        <v>0</v>
      </c>
      <c r="AT167" s="597"/>
      <c r="AU167" s="596">
        <v>0</v>
      </c>
      <c r="AV167" s="595">
        <v>0</v>
      </c>
      <c r="AW167" s="595">
        <v>0</v>
      </c>
      <c r="AX167" s="596">
        <v>0</v>
      </c>
      <c r="AY167" s="595"/>
      <c r="AZ167" s="598"/>
      <c r="BA167" s="598"/>
      <c r="BB167" s="420">
        <f t="shared" si="22"/>
        <v>0</v>
      </c>
      <c r="BC167" s="420">
        <f t="shared" si="22"/>
        <v>0</v>
      </c>
      <c r="BD167" s="420">
        <f t="shared" si="22"/>
        <v>0</v>
      </c>
      <c r="BE167" s="420">
        <f t="shared" si="23"/>
        <v>0</v>
      </c>
      <c r="BF167" s="420">
        <f t="shared" si="23"/>
        <v>0</v>
      </c>
      <c r="BG167" s="420">
        <f t="shared" si="23"/>
        <v>0</v>
      </c>
      <c r="BH167">
        <v>0</v>
      </c>
      <c r="BL167">
        <v>59</v>
      </c>
      <c r="BN167" t="s">
        <v>1398</v>
      </c>
      <c r="CN167" t="s">
        <v>1399</v>
      </c>
      <c r="CR167">
        <v>0</v>
      </c>
      <c r="CS167">
        <v>0</v>
      </c>
      <c r="CT167">
        <v>0</v>
      </c>
    </row>
    <row r="168" spans="1:98">
      <c r="A168" s="1327">
        <v>60</v>
      </c>
      <c r="B168" s="1351"/>
      <c r="C168" s="1285" t="s">
        <v>1400</v>
      </c>
      <c r="D168" s="1286"/>
      <c r="E168" s="1286"/>
      <c r="F168" s="1286"/>
      <c r="G168" s="1286"/>
      <c r="H168" s="1286"/>
      <c r="I168" s="1286"/>
      <c r="J168" s="1286"/>
      <c r="K168" s="1286"/>
      <c r="L168" s="1286"/>
      <c r="M168" s="1286"/>
      <c r="N168" s="1286"/>
      <c r="O168" s="1286"/>
      <c r="P168" s="1286"/>
      <c r="Q168" s="1286"/>
      <c r="R168" s="1286"/>
      <c r="S168" s="1286"/>
      <c r="T168" s="1286"/>
      <c r="U168" s="1286"/>
      <c r="V168" s="1286"/>
      <c r="W168" s="1286"/>
      <c r="X168" s="1286"/>
      <c r="Y168" s="1286"/>
      <c r="Z168" s="1286"/>
      <c r="AA168" s="1286"/>
      <c r="AB168" s="1341"/>
      <c r="AC168" s="1287" t="s">
        <v>1401</v>
      </c>
      <c r="AD168" s="1288"/>
      <c r="AE168" s="1288"/>
      <c r="AF168" s="1330"/>
      <c r="AG168" s="595">
        <v>0</v>
      </c>
      <c r="AH168" s="595">
        <v>0</v>
      </c>
      <c r="AI168" s="596">
        <v>0</v>
      </c>
      <c r="AJ168" s="595">
        <v>0</v>
      </c>
      <c r="AK168" s="595">
        <v>0</v>
      </c>
      <c r="AL168" s="596">
        <v>0</v>
      </c>
      <c r="AM168" s="595">
        <v>0</v>
      </c>
      <c r="AN168" s="595">
        <v>0</v>
      </c>
      <c r="AO168" s="596">
        <v>0</v>
      </c>
      <c r="AP168" s="595">
        <v>0</v>
      </c>
      <c r="AQ168" s="595">
        <v>0</v>
      </c>
      <c r="AR168" s="596">
        <v>0</v>
      </c>
      <c r="AS168" s="595">
        <v>0</v>
      </c>
      <c r="AT168" s="597"/>
      <c r="AU168" s="596">
        <v>0</v>
      </c>
      <c r="AV168" s="595">
        <v>0</v>
      </c>
      <c r="AW168" s="595">
        <v>0</v>
      </c>
      <c r="AX168" s="596">
        <v>0</v>
      </c>
      <c r="AY168" s="595"/>
      <c r="AZ168" s="598"/>
      <c r="BA168" s="598"/>
      <c r="BB168" s="420">
        <f t="shared" si="22"/>
        <v>0</v>
      </c>
      <c r="BC168" s="420">
        <f t="shared" si="22"/>
        <v>0</v>
      </c>
      <c r="BD168" s="420">
        <f t="shared" si="22"/>
        <v>0</v>
      </c>
      <c r="BE168" s="420">
        <f t="shared" si="23"/>
        <v>0</v>
      </c>
      <c r="BF168" s="420">
        <f t="shared" si="23"/>
        <v>0</v>
      </c>
      <c r="BG168" s="420">
        <f t="shared" si="23"/>
        <v>0</v>
      </c>
      <c r="BH168">
        <v>0</v>
      </c>
      <c r="BL168">
        <v>60</v>
      </c>
      <c r="BN168" t="s">
        <v>1400</v>
      </c>
      <c r="CN168" t="s">
        <v>1401</v>
      </c>
      <c r="CR168">
        <v>0</v>
      </c>
      <c r="CS168">
        <v>0</v>
      </c>
      <c r="CT168">
        <v>0</v>
      </c>
    </row>
    <row r="169" spans="1:98">
      <c r="A169" s="1327">
        <v>61</v>
      </c>
      <c r="B169" s="1351"/>
      <c r="C169" s="1285" t="s">
        <v>1402</v>
      </c>
      <c r="D169" s="1286"/>
      <c r="E169" s="1286"/>
      <c r="F169" s="1286"/>
      <c r="G169" s="1286"/>
      <c r="H169" s="1286"/>
      <c r="I169" s="1286"/>
      <c r="J169" s="1286"/>
      <c r="K169" s="1286"/>
      <c r="L169" s="1286"/>
      <c r="M169" s="1286"/>
      <c r="N169" s="1286"/>
      <c r="O169" s="1286"/>
      <c r="P169" s="1286"/>
      <c r="Q169" s="1286"/>
      <c r="R169" s="1286"/>
      <c r="S169" s="1286"/>
      <c r="T169" s="1286"/>
      <c r="U169" s="1286"/>
      <c r="V169" s="1286"/>
      <c r="W169" s="1286"/>
      <c r="X169" s="1286"/>
      <c r="Y169" s="1286"/>
      <c r="Z169" s="1286"/>
      <c r="AA169" s="1286"/>
      <c r="AB169" s="1341"/>
      <c r="AC169" s="1287" t="s">
        <v>1403</v>
      </c>
      <c r="AD169" s="1288"/>
      <c r="AE169" s="1288"/>
      <c r="AF169" s="1330"/>
      <c r="AG169" s="595">
        <v>0</v>
      </c>
      <c r="AH169" s="595">
        <v>0</v>
      </c>
      <c r="AI169" s="596">
        <v>0</v>
      </c>
      <c r="AJ169" s="595">
        <v>0</v>
      </c>
      <c r="AK169" s="595">
        <v>0</v>
      </c>
      <c r="AL169" s="596">
        <v>0</v>
      </c>
      <c r="AM169" s="595">
        <v>0</v>
      </c>
      <c r="AN169" s="595">
        <v>0</v>
      </c>
      <c r="AO169" s="596">
        <v>0</v>
      </c>
      <c r="AP169" s="595">
        <v>0</v>
      </c>
      <c r="AQ169" s="595">
        <v>0</v>
      </c>
      <c r="AR169" s="596">
        <v>0</v>
      </c>
      <c r="AS169" s="595">
        <v>0</v>
      </c>
      <c r="AT169" s="597"/>
      <c r="AU169" s="596">
        <v>0</v>
      </c>
      <c r="AV169" s="595">
        <v>0</v>
      </c>
      <c r="AW169" s="595">
        <v>0</v>
      </c>
      <c r="AX169" s="596">
        <v>0</v>
      </c>
      <c r="AY169" s="595"/>
      <c r="AZ169" s="598"/>
      <c r="BA169" s="598"/>
      <c r="BB169" s="420">
        <f t="shared" si="22"/>
        <v>0</v>
      </c>
      <c r="BC169" s="420">
        <f t="shared" si="22"/>
        <v>0</v>
      </c>
      <c r="BD169" s="420">
        <f t="shared" si="22"/>
        <v>0</v>
      </c>
      <c r="BE169" s="420">
        <f t="shared" si="23"/>
        <v>0</v>
      </c>
      <c r="BF169" s="420">
        <f t="shared" si="23"/>
        <v>0</v>
      </c>
      <c r="BG169" s="420">
        <f t="shared" si="23"/>
        <v>0</v>
      </c>
      <c r="BH169">
        <v>0</v>
      </c>
      <c r="BL169">
        <v>61</v>
      </c>
      <c r="BN169" t="s">
        <v>1402</v>
      </c>
      <c r="CN169" t="s">
        <v>1403</v>
      </c>
      <c r="CR169">
        <v>0</v>
      </c>
      <c r="CS169">
        <v>0</v>
      </c>
      <c r="CT169">
        <v>0</v>
      </c>
    </row>
    <row r="170" spans="1:98">
      <c r="A170" s="1327">
        <v>62</v>
      </c>
      <c r="B170" s="1351"/>
      <c r="C170" s="1305" t="s">
        <v>1404</v>
      </c>
      <c r="D170" s="1306"/>
      <c r="E170" s="1306"/>
      <c r="F170" s="1306"/>
      <c r="G170" s="1306"/>
      <c r="H170" s="1306"/>
      <c r="I170" s="1306"/>
      <c r="J170" s="1306"/>
      <c r="K170" s="1306"/>
      <c r="L170" s="1306"/>
      <c r="M170" s="1306"/>
      <c r="N170" s="1306"/>
      <c r="O170" s="1306"/>
      <c r="P170" s="1306"/>
      <c r="Q170" s="1306"/>
      <c r="R170" s="1306"/>
      <c r="S170" s="1306"/>
      <c r="T170" s="1306"/>
      <c r="U170" s="1306"/>
      <c r="V170" s="1306"/>
      <c r="W170" s="1306"/>
      <c r="X170" s="1306"/>
      <c r="Y170" s="1306"/>
      <c r="Z170" s="1306"/>
      <c r="AA170" s="1306"/>
      <c r="AB170" s="1349"/>
      <c r="AC170" s="1287" t="s">
        <v>1405</v>
      </c>
      <c r="AD170" s="1288"/>
      <c r="AE170" s="1288"/>
      <c r="AF170" s="1330"/>
      <c r="AG170" s="595">
        <v>0</v>
      </c>
      <c r="AH170" s="595">
        <v>0</v>
      </c>
      <c r="AI170" s="596">
        <v>0</v>
      </c>
      <c r="AJ170" s="595">
        <v>0</v>
      </c>
      <c r="AK170" s="595">
        <v>0</v>
      </c>
      <c r="AL170" s="596">
        <v>0</v>
      </c>
      <c r="AM170" s="595">
        <v>0</v>
      </c>
      <c r="AN170" s="595">
        <v>0</v>
      </c>
      <c r="AO170" s="596">
        <v>0</v>
      </c>
      <c r="AP170" s="595">
        <v>0</v>
      </c>
      <c r="AQ170" s="595">
        <v>0</v>
      </c>
      <c r="AR170" s="596">
        <v>0</v>
      </c>
      <c r="AS170" s="595">
        <v>0</v>
      </c>
      <c r="AT170" s="597"/>
      <c r="AU170" s="596">
        <v>0</v>
      </c>
      <c r="AV170" s="595">
        <v>0</v>
      </c>
      <c r="AW170" s="595">
        <v>0</v>
      </c>
      <c r="AX170" s="596">
        <v>0</v>
      </c>
      <c r="AY170" s="595"/>
      <c r="AZ170" s="598"/>
      <c r="BA170" s="598"/>
      <c r="BB170" s="420">
        <f t="shared" si="22"/>
        <v>0</v>
      </c>
      <c r="BC170" s="420">
        <f t="shared" si="22"/>
        <v>0</v>
      </c>
      <c r="BD170" s="420">
        <f t="shared" si="22"/>
        <v>0</v>
      </c>
      <c r="BE170" s="420">
        <f t="shared" si="23"/>
        <v>0</v>
      </c>
      <c r="BF170" s="420">
        <f t="shared" si="23"/>
        <v>0</v>
      </c>
      <c r="BG170" s="420">
        <f t="shared" si="23"/>
        <v>0</v>
      </c>
      <c r="BH170">
        <v>0</v>
      </c>
      <c r="BL170">
        <v>62</v>
      </c>
      <c r="BN170" t="s">
        <v>1404</v>
      </c>
      <c r="CN170" t="s">
        <v>1405</v>
      </c>
      <c r="CR170">
        <v>0</v>
      </c>
      <c r="CS170">
        <v>0</v>
      </c>
      <c r="CT170">
        <v>0</v>
      </c>
    </row>
    <row r="171" spans="1:98">
      <c r="A171" s="1342">
        <v>63</v>
      </c>
      <c r="B171" s="1352"/>
      <c r="C171" s="1294" t="s">
        <v>1406</v>
      </c>
      <c r="D171" s="1295"/>
      <c r="E171" s="1295"/>
      <c r="F171" s="1295"/>
      <c r="G171" s="1295"/>
      <c r="H171" s="1295"/>
      <c r="I171" s="1295"/>
      <c r="J171" s="1295"/>
      <c r="K171" s="1295"/>
      <c r="L171" s="1295"/>
      <c r="M171" s="1295"/>
      <c r="N171" s="1295"/>
      <c r="O171" s="1295"/>
      <c r="P171" s="1295"/>
      <c r="Q171" s="1295"/>
      <c r="R171" s="1295"/>
      <c r="S171" s="1295"/>
      <c r="T171" s="1295"/>
      <c r="U171" s="1295"/>
      <c r="V171" s="1295"/>
      <c r="W171" s="1295"/>
      <c r="X171" s="1295"/>
      <c r="Y171" s="1295"/>
      <c r="Z171" s="1295"/>
      <c r="AA171" s="1295"/>
      <c r="AB171" s="1344"/>
      <c r="AC171" s="1346" t="s">
        <v>1407</v>
      </c>
      <c r="AD171" s="1347"/>
      <c r="AE171" s="1347"/>
      <c r="AF171" s="1348"/>
      <c r="AG171" s="599">
        <v>0</v>
      </c>
      <c r="AH171" s="599">
        <v>0</v>
      </c>
      <c r="AI171" s="600">
        <v>0</v>
      </c>
      <c r="AJ171" s="599">
        <v>0</v>
      </c>
      <c r="AK171" s="599">
        <v>0</v>
      </c>
      <c r="AL171" s="600">
        <v>0</v>
      </c>
      <c r="AM171" s="599">
        <v>0</v>
      </c>
      <c r="AN171" s="599">
        <v>0</v>
      </c>
      <c r="AO171" s="600">
        <v>0</v>
      </c>
      <c r="AP171" s="599">
        <v>0</v>
      </c>
      <c r="AQ171" s="599">
        <v>0</v>
      </c>
      <c r="AR171" s="600">
        <v>0</v>
      </c>
      <c r="AS171" s="599">
        <v>0</v>
      </c>
      <c r="AT171" s="601"/>
      <c r="AU171" s="600">
        <v>0</v>
      </c>
      <c r="AV171" s="599">
        <v>0</v>
      </c>
      <c r="AW171" s="599">
        <v>0</v>
      </c>
      <c r="AX171" s="600">
        <v>0</v>
      </c>
      <c r="AY171" s="599"/>
      <c r="AZ171" s="602"/>
      <c r="BA171" s="602"/>
      <c r="BB171" s="420">
        <f t="shared" si="22"/>
        <v>0</v>
      </c>
      <c r="BC171" s="420">
        <f t="shared" si="22"/>
        <v>0</v>
      </c>
      <c r="BD171" s="420">
        <f t="shared" si="22"/>
        <v>0</v>
      </c>
      <c r="BE171" s="420">
        <f t="shared" si="23"/>
        <v>0</v>
      </c>
      <c r="BF171" s="420">
        <f t="shared" si="23"/>
        <v>0</v>
      </c>
      <c r="BG171" s="420">
        <f t="shared" si="23"/>
        <v>0</v>
      </c>
      <c r="BH171">
        <v>0</v>
      </c>
      <c r="BL171">
        <v>63</v>
      </c>
      <c r="BN171" t="s">
        <v>1406</v>
      </c>
      <c r="CN171" t="s">
        <v>1407</v>
      </c>
      <c r="CR171">
        <v>0</v>
      </c>
      <c r="CS171">
        <v>0</v>
      </c>
      <c r="CT171">
        <v>0</v>
      </c>
    </row>
    <row r="172" spans="1:98" ht="13.5" thickBot="1">
      <c r="A172" s="1342">
        <v>64</v>
      </c>
      <c r="B172" s="1352"/>
      <c r="C172" s="1309" t="s">
        <v>1408</v>
      </c>
      <c r="D172" s="1310"/>
      <c r="E172" s="1310"/>
      <c r="F172" s="1310"/>
      <c r="G172" s="1310"/>
      <c r="H172" s="1310"/>
      <c r="I172" s="1310"/>
      <c r="J172" s="1310"/>
      <c r="K172" s="1310"/>
      <c r="L172" s="1310"/>
      <c r="M172" s="1310"/>
      <c r="N172" s="1310"/>
      <c r="O172" s="1310"/>
      <c r="P172" s="1310"/>
      <c r="Q172" s="1310"/>
      <c r="R172" s="1310"/>
      <c r="S172" s="1310"/>
      <c r="T172" s="1310"/>
      <c r="U172" s="1310"/>
      <c r="V172" s="1310"/>
      <c r="W172" s="1310"/>
      <c r="X172" s="1310"/>
      <c r="Y172" s="1310"/>
      <c r="Z172" s="1310"/>
      <c r="AA172" s="1310"/>
      <c r="AB172" s="1350"/>
      <c r="AC172" s="1346" t="s">
        <v>1409</v>
      </c>
      <c r="AD172" s="1347"/>
      <c r="AE172" s="1347"/>
      <c r="AF172" s="1348"/>
      <c r="AG172" s="610">
        <f t="shared" ref="AG172:AU172" si="29">AG121+AG127+AG141+AG153+AG159+AG165+AG171</f>
        <v>4446250</v>
      </c>
      <c r="AH172" s="610">
        <f t="shared" si="29"/>
        <v>0</v>
      </c>
      <c r="AI172" s="610">
        <f t="shared" si="29"/>
        <v>4446250</v>
      </c>
      <c r="AJ172" s="610">
        <f t="shared" si="29"/>
        <v>3085000</v>
      </c>
      <c r="AK172" s="610">
        <f t="shared" si="29"/>
        <v>0</v>
      </c>
      <c r="AL172" s="610">
        <f t="shared" si="29"/>
        <v>3085000</v>
      </c>
      <c r="AM172" s="610">
        <f t="shared" si="29"/>
        <v>6020000</v>
      </c>
      <c r="AN172" s="610">
        <f t="shared" si="29"/>
        <v>0</v>
      </c>
      <c r="AO172" s="610">
        <f t="shared" si="29"/>
        <v>6020000</v>
      </c>
      <c r="AP172" s="610">
        <f t="shared" si="29"/>
        <v>0</v>
      </c>
      <c r="AQ172" s="610">
        <f t="shared" si="29"/>
        <v>0</v>
      </c>
      <c r="AR172" s="610">
        <f t="shared" si="29"/>
        <v>0</v>
      </c>
      <c r="AS172" s="610">
        <f t="shared" si="29"/>
        <v>118065078</v>
      </c>
      <c r="AT172" s="610">
        <f t="shared" si="29"/>
        <v>24776630.690000001</v>
      </c>
      <c r="AU172" s="610">
        <f t="shared" si="29"/>
        <v>118065077.69</v>
      </c>
      <c r="AV172" s="610">
        <v>25149500</v>
      </c>
      <c r="AW172" s="610">
        <v>4927500</v>
      </c>
      <c r="AX172" s="610">
        <v>25149500</v>
      </c>
      <c r="AY172" s="610">
        <v>11008900</v>
      </c>
      <c r="AZ172" s="602"/>
      <c r="BA172" s="602"/>
      <c r="BB172" s="420">
        <f t="shared" si="22"/>
        <v>143214578</v>
      </c>
      <c r="BC172" s="420">
        <f t="shared" si="22"/>
        <v>29704130.690000001</v>
      </c>
      <c r="BD172" s="420">
        <f t="shared" si="22"/>
        <v>143214577.69</v>
      </c>
      <c r="BE172" s="420">
        <f t="shared" si="23"/>
        <v>167774728</v>
      </c>
      <c r="BF172" s="420">
        <f t="shared" si="23"/>
        <v>29704130.690000001</v>
      </c>
      <c r="BG172" s="420">
        <f t="shared" si="23"/>
        <v>156765827.69</v>
      </c>
      <c r="BH172">
        <v>99479151</v>
      </c>
      <c r="BI172">
        <v>0</v>
      </c>
      <c r="BJ172">
        <v>0</v>
      </c>
      <c r="BK172">
        <v>335492361</v>
      </c>
      <c r="BL172">
        <v>64</v>
      </c>
      <c r="BN172" t="s">
        <v>1408</v>
      </c>
      <c r="CN172" t="s">
        <v>1409</v>
      </c>
      <c r="CR172">
        <v>7050000</v>
      </c>
      <c r="CS172">
        <v>0</v>
      </c>
      <c r="CT172">
        <v>7050000</v>
      </c>
    </row>
    <row r="173" spans="1:98" ht="13.5" thickBot="1">
      <c r="A173" s="611"/>
      <c r="B173" s="611"/>
      <c r="C173" s="612"/>
      <c r="D173" s="612"/>
      <c r="E173" s="612"/>
      <c r="F173" s="612"/>
      <c r="G173" s="612"/>
      <c r="H173" s="612"/>
      <c r="I173" s="612"/>
      <c r="J173" s="612"/>
      <c r="K173" s="612"/>
      <c r="L173" s="612"/>
      <c r="M173" s="612"/>
      <c r="N173" s="612"/>
      <c r="O173" s="612"/>
      <c r="P173" s="612"/>
      <c r="Q173" s="612"/>
      <c r="R173" s="612"/>
      <c r="S173" s="612"/>
      <c r="T173" s="612"/>
      <c r="U173" s="612"/>
      <c r="V173" s="612"/>
      <c r="W173" s="612"/>
      <c r="X173" s="612"/>
      <c r="Y173" s="612"/>
      <c r="Z173" s="612"/>
      <c r="AA173" s="612"/>
      <c r="AB173" s="612"/>
      <c r="AC173" s="613"/>
      <c r="AD173" s="613"/>
      <c r="AE173" s="613"/>
      <c r="AF173" s="613"/>
      <c r="AG173" s="614"/>
      <c r="AH173" s="614"/>
      <c r="AI173" s="615"/>
      <c r="AJ173" s="614"/>
      <c r="AK173" s="614"/>
      <c r="AL173" s="615"/>
      <c r="AM173" s="614"/>
      <c r="AN173" s="614"/>
      <c r="AO173" s="615"/>
      <c r="AP173" s="614"/>
      <c r="AQ173" s="614"/>
      <c r="AR173" s="615"/>
      <c r="AS173" s="614"/>
      <c r="AT173" s="614"/>
      <c r="AU173" s="615"/>
      <c r="AV173" s="614"/>
      <c r="AW173" s="614"/>
      <c r="AX173" s="615"/>
      <c r="AY173" s="614"/>
      <c r="AZ173" s="615"/>
      <c r="BA173" s="615"/>
      <c r="BB173" s="420">
        <f t="shared" si="22"/>
        <v>0</v>
      </c>
      <c r="BC173" s="420">
        <f t="shared" si="22"/>
        <v>0</v>
      </c>
      <c r="BD173" s="420">
        <f t="shared" si="22"/>
        <v>0</v>
      </c>
      <c r="BE173" s="420">
        <f t="shared" si="23"/>
        <v>0</v>
      </c>
      <c r="BF173" s="420">
        <f t="shared" si="23"/>
        <v>0</v>
      </c>
      <c r="BG173" s="420">
        <f t="shared" si="23"/>
        <v>0</v>
      </c>
      <c r="BH173">
        <v>0</v>
      </c>
    </row>
    <row r="174" spans="1:98">
      <c r="A174" s="611"/>
      <c r="B174" s="616"/>
      <c r="C174" s="617"/>
      <c r="D174" s="617"/>
      <c r="E174" s="617"/>
      <c r="F174" s="617"/>
      <c r="G174" s="617"/>
      <c r="H174" s="617"/>
      <c r="I174" s="617"/>
      <c r="J174" s="617"/>
      <c r="K174" s="617"/>
      <c r="L174" s="617"/>
      <c r="M174" s="617"/>
      <c r="N174" s="617"/>
      <c r="O174" s="617"/>
      <c r="P174" s="617"/>
      <c r="Q174" s="617"/>
      <c r="R174" s="617"/>
      <c r="S174" s="617"/>
      <c r="T174" s="617"/>
      <c r="U174" s="617"/>
      <c r="V174" s="617"/>
      <c r="W174" s="617"/>
      <c r="X174" s="617"/>
      <c r="Y174" s="617"/>
      <c r="Z174" s="617"/>
      <c r="AA174" s="617"/>
      <c r="AB174" s="617"/>
      <c r="AC174" s="581"/>
      <c r="AD174" s="581"/>
      <c r="AE174" s="581"/>
      <c r="AF174" s="581"/>
      <c r="AG174" s="1319"/>
      <c r="AH174" s="1319"/>
      <c r="AI174" s="1320"/>
      <c r="AJ174" s="1319"/>
      <c r="AK174" s="1319"/>
      <c r="AL174" s="1320"/>
      <c r="AM174" s="1319"/>
      <c r="AN174" s="1319"/>
      <c r="AO174" s="1320"/>
      <c r="AP174" s="1319"/>
      <c r="AQ174" s="1319"/>
      <c r="AR174" s="1320"/>
      <c r="AS174" s="1319"/>
      <c r="AT174" s="1319"/>
      <c r="AU174" s="1320"/>
      <c r="AV174" s="1319"/>
      <c r="AW174" s="1319"/>
      <c r="AX174" s="1320"/>
      <c r="AY174" s="591"/>
      <c r="AZ174" s="529"/>
      <c r="BA174" s="529"/>
      <c r="BB174" s="420">
        <f t="shared" si="22"/>
        <v>0</v>
      </c>
      <c r="BC174" s="420">
        <f t="shared" si="22"/>
        <v>0</v>
      </c>
      <c r="BD174" s="420">
        <f t="shared" si="22"/>
        <v>0</v>
      </c>
      <c r="BE174" s="420">
        <f t="shared" si="23"/>
        <v>0</v>
      </c>
      <c r="BF174" s="420">
        <f t="shared" si="23"/>
        <v>0</v>
      </c>
      <c r="BG174" s="420">
        <f t="shared" si="23"/>
        <v>0</v>
      </c>
      <c r="BH174">
        <v>0</v>
      </c>
    </row>
    <row r="175" spans="1:98" ht="15" customHeight="1">
      <c r="A175" s="1356"/>
      <c r="B175" s="1357"/>
      <c r="C175" s="1358" t="s">
        <v>1410</v>
      </c>
      <c r="D175" s="1358"/>
      <c r="E175" s="1358"/>
      <c r="F175" s="1358"/>
      <c r="G175" s="1358"/>
      <c r="H175" s="1358"/>
      <c r="I175" s="1358"/>
      <c r="J175" s="1358"/>
      <c r="K175" s="1358"/>
      <c r="L175" s="1358"/>
      <c r="M175" s="1358"/>
      <c r="N175" s="1358"/>
      <c r="O175" s="1358"/>
      <c r="P175" s="1358"/>
      <c r="Q175" s="1358"/>
      <c r="R175" s="1358"/>
      <c r="S175" s="1358"/>
      <c r="T175" s="1358"/>
      <c r="U175" s="1358"/>
      <c r="V175" s="1358"/>
      <c r="W175" s="1358"/>
      <c r="X175" s="1358"/>
      <c r="Y175" s="1358"/>
      <c r="Z175" s="1358"/>
      <c r="AA175" s="1358"/>
      <c r="AB175" s="1359"/>
      <c r="AC175" s="1339" t="s">
        <v>1087</v>
      </c>
      <c r="AD175" s="1255"/>
      <c r="AE175" s="1255"/>
      <c r="AF175" s="1256"/>
      <c r="AG175" s="1324" t="s">
        <v>1298</v>
      </c>
      <c r="AH175" s="1325"/>
      <c r="AI175" s="1326"/>
      <c r="AJ175" s="1324" t="s">
        <v>1298</v>
      </c>
      <c r="AK175" s="1325"/>
      <c r="AL175" s="1326"/>
      <c r="AM175" s="1324" t="s">
        <v>1298</v>
      </c>
      <c r="AN175" s="1325"/>
      <c r="AO175" s="1326"/>
      <c r="AP175" s="1324" t="s">
        <v>1298</v>
      </c>
      <c r="AQ175" s="1325"/>
      <c r="AR175" s="1326"/>
      <c r="AS175" s="1324" t="s">
        <v>1298</v>
      </c>
      <c r="AT175" s="1325"/>
      <c r="AU175" s="1326"/>
      <c r="AV175" s="1324" t="s">
        <v>1298</v>
      </c>
      <c r="AW175" s="1325"/>
      <c r="AX175" s="1326"/>
      <c r="AY175" s="592"/>
      <c r="AZ175" s="529"/>
      <c r="BA175" s="529"/>
      <c r="BB175" s="420" t="e">
        <f t="shared" si="22"/>
        <v>#VALUE!</v>
      </c>
      <c r="BC175" s="420">
        <f t="shared" si="22"/>
        <v>0</v>
      </c>
      <c r="BD175" s="420">
        <f t="shared" si="22"/>
        <v>0</v>
      </c>
      <c r="BE175" s="420" t="e">
        <f t="shared" si="23"/>
        <v>#VALUE!</v>
      </c>
      <c r="BF175" s="420">
        <f t="shared" si="23"/>
        <v>0</v>
      </c>
      <c r="BG175" s="420">
        <f t="shared" si="23"/>
        <v>0</v>
      </c>
      <c r="BH175">
        <v>0</v>
      </c>
      <c r="BN175" t="s">
        <v>1410</v>
      </c>
      <c r="CN175" t="s">
        <v>1087</v>
      </c>
      <c r="CR175" t="s">
        <v>1298</v>
      </c>
    </row>
    <row r="176" spans="1:98" ht="45">
      <c r="A176" s="1333"/>
      <c r="B176" s="1334"/>
      <c r="C176" s="1337"/>
      <c r="D176" s="1337"/>
      <c r="E176" s="1337"/>
      <c r="F176" s="1337"/>
      <c r="G176" s="1337"/>
      <c r="H176" s="1337"/>
      <c r="I176" s="1337"/>
      <c r="J176" s="1337"/>
      <c r="K176" s="1337"/>
      <c r="L176" s="1337"/>
      <c r="M176" s="1337"/>
      <c r="N176" s="1337"/>
      <c r="O176" s="1337"/>
      <c r="P176" s="1337"/>
      <c r="Q176" s="1337"/>
      <c r="R176" s="1337"/>
      <c r="S176" s="1337"/>
      <c r="T176" s="1337"/>
      <c r="U176" s="1337"/>
      <c r="V176" s="1337"/>
      <c r="W176" s="1337"/>
      <c r="X176" s="1337"/>
      <c r="Y176" s="1337"/>
      <c r="Z176" s="1337"/>
      <c r="AA176" s="1337"/>
      <c r="AB176" s="1338"/>
      <c r="AC176" s="1340"/>
      <c r="AD176" s="1259"/>
      <c r="AE176" s="1259"/>
      <c r="AF176" s="1260"/>
      <c r="AG176" s="593" t="s">
        <v>1094</v>
      </c>
      <c r="AH176" s="593" t="s">
        <v>1095</v>
      </c>
      <c r="AI176" s="594" t="s">
        <v>1096</v>
      </c>
      <c r="AJ176" s="593" t="s">
        <v>1094</v>
      </c>
      <c r="AK176" s="593" t="s">
        <v>1095</v>
      </c>
      <c r="AL176" s="594" t="s">
        <v>1096</v>
      </c>
      <c r="AM176" s="593" t="s">
        <v>1094</v>
      </c>
      <c r="AN176" s="593" t="s">
        <v>1095</v>
      </c>
      <c r="AO176" s="594" t="s">
        <v>1096</v>
      </c>
      <c r="AP176" s="593" t="s">
        <v>1094</v>
      </c>
      <c r="AQ176" s="593" t="s">
        <v>1095</v>
      </c>
      <c r="AR176" s="594" t="s">
        <v>1096</v>
      </c>
      <c r="AS176" s="593" t="s">
        <v>1094</v>
      </c>
      <c r="AT176" s="593" t="s">
        <v>1095</v>
      </c>
      <c r="AU176" s="594" t="s">
        <v>1096</v>
      </c>
      <c r="AV176" s="593" t="s">
        <v>1094</v>
      </c>
      <c r="AW176" s="593" t="s">
        <v>1095</v>
      </c>
      <c r="AX176" s="594" t="s">
        <v>1096</v>
      </c>
      <c r="AY176" s="593"/>
      <c r="AZ176" s="529"/>
      <c r="BA176" s="529"/>
      <c r="BB176" s="420" t="e">
        <f t="shared" si="22"/>
        <v>#VALUE!</v>
      </c>
      <c r="BC176" s="420" t="e">
        <f t="shared" si="22"/>
        <v>#VALUE!</v>
      </c>
      <c r="BD176" s="420" t="e">
        <f t="shared" si="22"/>
        <v>#VALUE!</v>
      </c>
      <c r="BE176" s="420" t="e">
        <f t="shared" si="23"/>
        <v>#VALUE!</v>
      </c>
      <c r="BF176" s="420" t="e">
        <f t="shared" si="23"/>
        <v>#VALUE!</v>
      </c>
      <c r="BG176" s="420" t="e">
        <f t="shared" si="23"/>
        <v>#VALUE!</v>
      </c>
      <c r="BH176">
        <v>0</v>
      </c>
      <c r="CR176" t="s">
        <v>1094</v>
      </c>
      <c r="CS176" t="s">
        <v>1095</v>
      </c>
      <c r="CT176" t="s">
        <v>1096</v>
      </c>
    </row>
    <row r="177" spans="1:98">
      <c r="A177" s="1327" t="s">
        <v>1098</v>
      </c>
      <c r="B177" s="1351"/>
      <c r="C177" s="1353" t="s">
        <v>1411</v>
      </c>
      <c r="D177" s="1354"/>
      <c r="E177" s="1354"/>
      <c r="F177" s="1354"/>
      <c r="G177" s="1354"/>
      <c r="H177" s="1354"/>
      <c r="I177" s="1354"/>
      <c r="J177" s="1354"/>
      <c r="K177" s="1354"/>
      <c r="L177" s="1354"/>
      <c r="M177" s="1354"/>
      <c r="N177" s="1354"/>
      <c r="O177" s="1354"/>
      <c r="P177" s="1354"/>
      <c r="Q177" s="1354"/>
      <c r="R177" s="1354"/>
      <c r="S177" s="1354"/>
      <c r="T177" s="1354"/>
      <c r="U177" s="1354"/>
      <c r="V177" s="1354"/>
      <c r="W177" s="1354"/>
      <c r="X177" s="1354"/>
      <c r="Y177" s="1354"/>
      <c r="Z177" s="1354"/>
      <c r="AA177" s="1354"/>
      <c r="AB177" s="1355"/>
      <c r="AC177" s="1285" t="s">
        <v>1412</v>
      </c>
      <c r="AD177" s="1286"/>
      <c r="AE177" s="1286"/>
      <c r="AF177" s="1286"/>
      <c r="AG177" s="595">
        <v>0</v>
      </c>
      <c r="AH177" s="595">
        <v>0</v>
      </c>
      <c r="AI177" s="596">
        <v>0</v>
      </c>
      <c r="AJ177" s="595">
        <v>0</v>
      </c>
      <c r="AK177" s="595">
        <v>0</v>
      </c>
      <c r="AL177" s="596">
        <v>0</v>
      </c>
      <c r="AM177" s="595">
        <v>0</v>
      </c>
      <c r="AN177" s="595">
        <v>0</v>
      </c>
      <c r="AO177" s="596">
        <v>0</v>
      </c>
      <c r="AP177" s="595">
        <v>0</v>
      </c>
      <c r="AQ177" s="595">
        <v>0</v>
      </c>
      <c r="AR177" s="596">
        <v>0</v>
      </c>
      <c r="AS177" s="595">
        <v>0</v>
      </c>
      <c r="AT177" s="595">
        <v>0</v>
      </c>
      <c r="AU177" s="596">
        <v>0</v>
      </c>
      <c r="AV177" s="595">
        <v>0</v>
      </c>
      <c r="AW177" s="595">
        <v>0</v>
      </c>
      <c r="AX177" s="596">
        <v>0</v>
      </c>
      <c r="AY177" s="595"/>
      <c r="AZ177" s="598"/>
      <c r="BA177" s="598"/>
      <c r="BB177" s="420">
        <f t="shared" si="22"/>
        <v>0</v>
      </c>
      <c r="BC177" s="420">
        <f t="shared" si="22"/>
        <v>0</v>
      </c>
      <c r="BD177" s="420">
        <f t="shared" si="22"/>
        <v>0</v>
      </c>
      <c r="BE177" s="420">
        <f t="shared" si="23"/>
        <v>0</v>
      </c>
      <c r="BF177" s="420">
        <f t="shared" si="23"/>
        <v>0</v>
      </c>
      <c r="BG177" s="420">
        <f t="shared" si="23"/>
        <v>0</v>
      </c>
      <c r="BL177" t="s">
        <v>1098</v>
      </c>
      <c r="BN177" t="s">
        <v>1411</v>
      </c>
      <c r="CN177" t="s">
        <v>1412</v>
      </c>
      <c r="CR177">
        <v>0</v>
      </c>
      <c r="CS177">
        <v>0</v>
      </c>
      <c r="CT177">
        <v>0</v>
      </c>
    </row>
    <row r="178" spans="1:98">
      <c r="A178" s="1327" t="s">
        <v>1101</v>
      </c>
      <c r="B178" s="1351"/>
      <c r="C178" s="1305" t="s">
        <v>1413</v>
      </c>
      <c r="D178" s="1306"/>
      <c r="E178" s="1306"/>
      <c r="F178" s="1306"/>
      <c r="G178" s="1306"/>
      <c r="H178" s="1306"/>
      <c r="I178" s="1306"/>
      <c r="J178" s="1306"/>
      <c r="K178" s="1306"/>
      <c r="L178" s="1306"/>
      <c r="M178" s="1306"/>
      <c r="N178" s="1306"/>
      <c r="O178" s="1306"/>
      <c r="P178" s="1306"/>
      <c r="Q178" s="1306"/>
      <c r="R178" s="1306"/>
      <c r="S178" s="1306"/>
      <c r="T178" s="1306"/>
      <c r="U178" s="1306"/>
      <c r="V178" s="1306"/>
      <c r="W178" s="1306"/>
      <c r="X178" s="1306"/>
      <c r="Y178" s="1306"/>
      <c r="Z178" s="1306"/>
      <c r="AA178" s="1306"/>
      <c r="AB178" s="1349"/>
      <c r="AC178" s="1285" t="s">
        <v>1414</v>
      </c>
      <c r="AD178" s="1286"/>
      <c r="AE178" s="1286"/>
      <c r="AF178" s="1286"/>
      <c r="AG178" s="595">
        <v>0</v>
      </c>
      <c r="AH178" s="595">
        <v>0</v>
      </c>
      <c r="AI178" s="596">
        <v>0</v>
      </c>
      <c r="AJ178" s="595">
        <v>0</v>
      </c>
      <c r="AK178" s="595">
        <v>0</v>
      </c>
      <c r="AL178" s="596">
        <v>0</v>
      </c>
      <c r="AM178" s="595">
        <v>0</v>
      </c>
      <c r="AN178" s="595">
        <v>0</v>
      </c>
      <c r="AO178" s="596">
        <v>0</v>
      </c>
      <c r="AP178" s="595">
        <v>0</v>
      </c>
      <c r="AQ178" s="595">
        <v>0</v>
      </c>
      <c r="AR178" s="596">
        <v>0</v>
      </c>
      <c r="AS178" s="595">
        <v>0</v>
      </c>
      <c r="AT178" s="595">
        <v>0</v>
      </c>
      <c r="AU178" s="596">
        <v>0</v>
      </c>
      <c r="AV178" s="595">
        <v>0</v>
      </c>
      <c r="AW178" s="595">
        <v>0</v>
      </c>
      <c r="AX178" s="596">
        <v>0</v>
      </c>
      <c r="AY178" s="595"/>
      <c r="AZ178" s="598"/>
      <c r="BA178" s="598"/>
      <c r="BB178" s="420">
        <f t="shared" si="22"/>
        <v>0</v>
      </c>
      <c r="BC178" s="420">
        <f t="shared" si="22"/>
        <v>0</v>
      </c>
      <c r="BD178" s="420">
        <f t="shared" si="22"/>
        <v>0</v>
      </c>
      <c r="BE178" s="420">
        <f t="shared" si="23"/>
        <v>0</v>
      </c>
      <c r="BF178" s="420">
        <f t="shared" si="23"/>
        <v>0</v>
      </c>
      <c r="BG178" s="420">
        <f t="shared" si="23"/>
        <v>0</v>
      </c>
      <c r="BL178" t="s">
        <v>1101</v>
      </c>
      <c r="BN178" t="s">
        <v>1413</v>
      </c>
      <c r="CN178" t="s">
        <v>1414</v>
      </c>
      <c r="CR178">
        <v>0</v>
      </c>
      <c r="CS178">
        <v>0</v>
      </c>
      <c r="CT178">
        <v>0</v>
      </c>
    </row>
    <row r="179" spans="1:98">
      <c r="A179" s="1327" t="s">
        <v>1104</v>
      </c>
      <c r="B179" s="1351"/>
      <c r="C179" s="1353" t="s">
        <v>1415</v>
      </c>
      <c r="D179" s="1354"/>
      <c r="E179" s="1354"/>
      <c r="F179" s="1354"/>
      <c r="G179" s="1354"/>
      <c r="H179" s="1354"/>
      <c r="I179" s="1354"/>
      <c r="J179" s="1354"/>
      <c r="K179" s="1354"/>
      <c r="L179" s="1354"/>
      <c r="M179" s="1354"/>
      <c r="N179" s="1354"/>
      <c r="O179" s="1354"/>
      <c r="P179" s="1354"/>
      <c r="Q179" s="1354"/>
      <c r="R179" s="1354"/>
      <c r="S179" s="1354"/>
      <c r="T179" s="1354"/>
      <c r="U179" s="1354"/>
      <c r="V179" s="1354"/>
      <c r="W179" s="1354"/>
      <c r="X179" s="1354"/>
      <c r="Y179" s="1354"/>
      <c r="Z179" s="1354"/>
      <c r="AA179" s="1354"/>
      <c r="AB179" s="1355"/>
      <c r="AC179" s="1285" t="s">
        <v>1416</v>
      </c>
      <c r="AD179" s="1286"/>
      <c r="AE179" s="1286"/>
      <c r="AF179" s="1286"/>
      <c r="AG179" s="595">
        <v>0</v>
      </c>
      <c r="AH179" s="595">
        <v>0</v>
      </c>
      <c r="AI179" s="596">
        <v>0</v>
      </c>
      <c r="AJ179" s="595">
        <v>0</v>
      </c>
      <c r="AK179" s="595">
        <v>0</v>
      </c>
      <c r="AL179" s="596">
        <v>0</v>
      </c>
      <c r="AM179" s="595">
        <v>0</v>
      </c>
      <c r="AN179" s="595">
        <v>0</v>
      </c>
      <c r="AO179" s="596">
        <v>0</v>
      </c>
      <c r="AP179" s="595">
        <v>0</v>
      </c>
      <c r="AQ179" s="595">
        <v>0</v>
      </c>
      <c r="AR179" s="596">
        <v>0</v>
      </c>
      <c r="AS179" s="595">
        <v>0</v>
      </c>
      <c r="AT179" s="595">
        <v>0</v>
      </c>
      <c r="AU179" s="596">
        <v>0</v>
      </c>
      <c r="AV179" s="595">
        <v>0</v>
      </c>
      <c r="AW179" s="595">
        <v>0</v>
      </c>
      <c r="AX179" s="596">
        <v>0</v>
      </c>
      <c r="AY179" s="595"/>
      <c r="AZ179" s="598"/>
      <c r="BA179" s="598"/>
      <c r="BB179" s="420">
        <f t="shared" si="22"/>
        <v>0</v>
      </c>
      <c r="BC179" s="420">
        <f t="shared" si="22"/>
        <v>0</v>
      </c>
      <c r="BD179" s="420">
        <f t="shared" si="22"/>
        <v>0</v>
      </c>
      <c r="BE179" s="420">
        <f t="shared" si="23"/>
        <v>0</v>
      </c>
      <c r="BF179" s="420">
        <f t="shared" si="23"/>
        <v>0</v>
      </c>
      <c r="BG179" s="420">
        <f t="shared" si="23"/>
        <v>0</v>
      </c>
      <c r="BL179" t="s">
        <v>1104</v>
      </c>
      <c r="BN179" t="s">
        <v>1415</v>
      </c>
      <c r="CN179" t="s">
        <v>1416</v>
      </c>
      <c r="CR179">
        <v>0</v>
      </c>
      <c r="CS179">
        <v>0</v>
      </c>
      <c r="CT179">
        <v>0</v>
      </c>
    </row>
    <row r="180" spans="1:98">
      <c r="A180" s="1342" t="s">
        <v>1107</v>
      </c>
      <c r="B180" s="1352"/>
      <c r="C180" s="1309" t="s">
        <v>1417</v>
      </c>
      <c r="D180" s="1310"/>
      <c r="E180" s="1310"/>
      <c r="F180" s="1310"/>
      <c r="G180" s="1310"/>
      <c r="H180" s="1310"/>
      <c r="I180" s="1310"/>
      <c r="J180" s="1310"/>
      <c r="K180" s="1310"/>
      <c r="L180" s="1310"/>
      <c r="M180" s="1310"/>
      <c r="N180" s="1310"/>
      <c r="O180" s="1310"/>
      <c r="P180" s="1310"/>
      <c r="Q180" s="1310"/>
      <c r="R180" s="1310"/>
      <c r="S180" s="1310"/>
      <c r="T180" s="1310"/>
      <c r="U180" s="1310"/>
      <c r="V180" s="1310"/>
      <c r="W180" s="1310"/>
      <c r="X180" s="1310"/>
      <c r="Y180" s="1310"/>
      <c r="Z180" s="1310"/>
      <c r="AA180" s="1310"/>
      <c r="AB180" s="1350"/>
      <c r="AC180" s="1294" t="s">
        <v>1418</v>
      </c>
      <c r="AD180" s="1295"/>
      <c r="AE180" s="1295"/>
      <c r="AF180" s="1295"/>
      <c r="AG180" s="618">
        <v>0</v>
      </c>
      <c r="AH180" s="618">
        <v>0</v>
      </c>
      <c r="AI180" s="619">
        <v>0</v>
      </c>
      <c r="AJ180" s="618">
        <v>0</v>
      </c>
      <c r="AK180" s="618">
        <v>0</v>
      </c>
      <c r="AL180" s="619">
        <v>0</v>
      </c>
      <c r="AM180" s="618">
        <v>0</v>
      </c>
      <c r="AN180" s="618">
        <v>0</v>
      </c>
      <c r="AO180" s="619">
        <v>0</v>
      </c>
      <c r="AP180" s="618">
        <v>0</v>
      </c>
      <c r="AQ180" s="618">
        <v>0</v>
      </c>
      <c r="AR180" s="619">
        <v>0</v>
      </c>
      <c r="AS180" s="618">
        <v>0</v>
      </c>
      <c r="AT180" s="618">
        <v>0</v>
      </c>
      <c r="AU180" s="619">
        <v>0</v>
      </c>
      <c r="AV180" s="618">
        <v>0</v>
      </c>
      <c r="AW180" s="618">
        <v>0</v>
      </c>
      <c r="AX180" s="619">
        <v>0</v>
      </c>
      <c r="AY180" s="618"/>
      <c r="AZ180" s="620"/>
      <c r="BA180" s="620"/>
      <c r="BB180" s="420">
        <f t="shared" si="22"/>
        <v>0</v>
      </c>
      <c r="BC180" s="420">
        <f t="shared" si="22"/>
        <v>0</v>
      </c>
      <c r="BD180" s="420">
        <f t="shared" si="22"/>
        <v>0</v>
      </c>
      <c r="BE180" s="420">
        <f t="shared" si="23"/>
        <v>0</v>
      </c>
      <c r="BF180" s="420">
        <f t="shared" si="23"/>
        <v>0</v>
      </c>
      <c r="BG180" s="420">
        <f t="shared" si="23"/>
        <v>0</v>
      </c>
      <c r="BL180" t="s">
        <v>1107</v>
      </c>
      <c r="BN180" t="s">
        <v>1417</v>
      </c>
      <c r="CN180" t="s">
        <v>1418</v>
      </c>
      <c r="CR180">
        <v>0</v>
      </c>
      <c r="CS180">
        <v>0</v>
      </c>
      <c r="CT180">
        <v>0</v>
      </c>
    </row>
    <row r="181" spans="1:98">
      <c r="A181" s="1327" t="s">
        <v>1110</v>
      </c>
      <c r="B181" s="1351"/>
      <c r="C181" s="1305" t="s">
        <v>1419</v>
      </c>
      <c r="D181" s="1306"/>
      <c r="E181" s="1306"/>
      <c r="F181" s="1306"/>
      <c r="G181" s="1306"/>
      <c r="H181" s="1306"/>
      <c r="I181" s="1306"/>
      <c r="J181" s="1306"/>
      <c r="K181" s="1306"/>
      <c r="L181" s="1306"/>
      <c r="M181" s="1306"/>
      <c r="N181" s="1306"/>
      <c r="O181" s="1306"/>
      <c r="P181" s="1306"/>
      <c r="Q181" s="1306"/>
      <c r="R181" s="1306"/>
      <c r="S181" s="1306"/>
      <c r="T181" s="1306"/>
      <c r="U181" s="1306"/>
      <c r="V181" s="1306"/>
      <c r="W181" s="1306"/>
      <c r="X181" s="1306"/>
      <c r="Y181" s="1306"/>
      <c r="Z181" s="1306"/>
      <c r="AA181" s="1306"/>
      <c r="AB181" s="1349"/>
      <c r="AC181" s="1285" t="s">
        <v>1420</v>
      </c>
      <c r="AD181" s="1286"/>
      <c r="AE181" s="1286"/>
      <c r="AF181" s="1286"/>
      <c r="AG181" s="595">
        <v>0</v>
      </c>
      <c r="AH181" s="595">
        <v>0</v>
      </c>
      <c r="AI181" s="596">
        <v>0</v>
      </c>
      <c r="AJ181" s="595">
        <v>0</v>
      </c>
      <c r="AK181" s="595">
        <v>0</v>
      </c>
      <c r="AL181" s="596">
        <v>0</v>
      </c>
      <c r="AM181" s="595">
        <v>0</v>
      </c>
      <c r="AN181" s="595">
        <v>0</v>
      </c>
      <c r="AO181" s="596">
        <v>0</v>
      </c>
      <c r="AP181" s="595">
        <v>0</v>
      </c>
      <c r="AQ181" s="595">
        <v>0</v>
      </c>
      <c r="AR181" s="596">
        <v>0</v>
      </c>
      <c r="AS181" s="595">
        <v>0</v>
      </c>
      <c r="AT181" s="595">
        <v>0</v>
      </c>
      <c r="AU181" s="596">
        <v>0</v>
      </c>
      <c r="AV181" s="595">
        <v>0</v>
      </c>
      <c r="AW181" s="595">
        <v>0</v>
      </c>
      <c r="AX181" s="596">
        <v>0</v>
      </c>
      <c r="AY181" s="595"/>
      <c r="AZ181" s="598"/>
      <c r="BA181" s="598"/>
      <c r="BB181" s="420">
        <f t="shared" si="22"/>
        <v>0</v>
      </c>
      <c r="BC181" s="420">
        <f t="shared" si="22"/>
        <v>0</v>
      </c>
      <c r="BD181" s="420">
        <f t="shared" si="22"/>
        <v>0</v>
      </c>
      <c r="BE181" s="420">
        <f t="shared" si="23"/>
        <v>0</v>
      </c>
      <c r="BF181" s="420">
        <f t="shared" si="23"/>
        <v>0</v>
      </c>
      <c r="BG181" s="420">
        <f t="shared" si="23"/>
        <v>0</v>
      </c>
      <c r="BL181" t="s">
        <v>1110</v>
      </c>
      <c r="BN181" t="s">
        <v>1419</v>
      </c>
      <c r="CN181" t="s">
        <v>1420</v>
      </c>
      <c r="CR181">
        <v>0</v>
      </c>
      <c r="CS181">
        <v>0</v>
      </c>
      <c r="CT181">
        <v>0</v>
      </c>
    </row>
    <row r="182" spans="1:98">
      <c r="A182" s="1327" t="s">
        <v>1113</v>
      </c>
      <c r="B182" s="1351"/>
      <c r="C182" s="1353" t="s">
        <v>422</v>
      </c>
      <c r="D182" s="1354"/>
      <c r="E182" s="1354"/>
      <c r="F182" s="1354"/>
      <c r="G182" s="1354"/>
      <c r="H182" s="1354"/>
      <c r="I182" s="1354"/>
      <c r="J182" s="1354"/>
      <c r="K182" s="1354"/>
      <c r="L182" s="1354"/>
      <c r="M182" s="1354"/>
      <c r="N182" s="1354"/>
      <c r="O182" s="1354"/>
      <c r="P182" s="1354"/>
      <c r="Q182" s="1354"/>
      <c r="R182" s="1354"/>
      <c r="S182" s="1354"/>
      <c r="T182" s="1354"/>
      <c r="U182" s="1354"/>
      <c r="V182" s="1354"/>
      <c r="W182" s="1354"/>
      <c r="X182" s="1354"/>
      <c r="Y182" s="1354"/>
      <c r="Z182" s="1354"/>
      <c r="AA182" s="1354"/>
      <c r="AB182" s="1355"/>
      <c r="AC182" s="1285" t="s">
        <v>1421</v>
      </c>
      <c r="AD182" s="1286"/>
      <c r="AE182" s="1286"/>
      <c r="AF182" s="1286"/>
      <c r="AG182" s="595">
        <v>0</v>
      </c>
      <c r="AH182" s="595">
        <v>0</v>
      </c>
      <c r="AI182" s="596">
        <v>0</v>
      </c>
      <c r="AJ182" s="595">
        <v>0</v>
      </c>
      <c r="AK182" s="595">
        <v>0</v>
      </c>
      <c r="AL182" s="596">
        <v>0</v>
      </c>
      <c r="AM182" s="595">
        <v>0</v>
      </c>
      <c r="AN182" s="595">
        <v>0</v>
      </c>
      <c r="AO182" s="596">
        <v>0</v>
      </c>
      <c r="AP182" s="595">
        <v>0</v>
      </c>
      <c r="AQ182" s="595">
        <v>0</v>
      </c>
      <c r="AR182" s="596">
        <v>0</v>
      </c>
      <c r="AS182" s="595">
        <v>0</v>
      </c>
      <c r="AT182" s="595">
        <v>0</v>
      </c>
      <c r="AU182" s="596">
        <v>0</v>
      </c>
      <c r="AV182" s="595">
        <v>0</v>
      </c>
      <c r="AW182" s="595">
        <v>0</v>
      </c>
      <c r="AX182" s="596">
        <v>0</v>
      </c>
      <c r="AY182" s="595"/>
      <c r="AZ182" s="598"/>
      <c r="BA182" s="598"/>
      <c r="BB182" s="420">
        <f t="shared" si="22"/>
        <v>0</v>
      </c>
      <c r="BC182" s="420">
        <f t="shared" si="22"/>
        <v>0</v>
      </c>
      <c r="BD182" s="420">
        <f t="shared" si="22"/>
        <v>0</v>
      </c>
      <c r="BE182" s="420">
        <f t="shared" si="23"/>
        <v>0</v>
      </c>
      <c r="BF182" s="420">
        <f t="shared" si="23"/>
        <v>0</v>
      </c>
      <c r="BG182" s="420">
        <f t="shared" si="23"/>
        <v>0</v>
      </c>
      <c r="BL182" t="s">
        <v>1113</v>
      </c>
      <c r="BN182" t="s">
        <v>422</v>
      </c>
      <c r="CN182" t="s">
        <v>1421</v>
      </c>
      <c r="CR182">
        <v>0</v>
      </c>
      <c r="CS182">
        <v>0</v>
      </c>
      <c r="CT182">
        <v>0</v>
      </c>
    </row>
    <row r="183" spans="1:98">
      <c r="A183" s="1327" t="s">
        <v>1116</v>
      </c>
      <c r="B183" s="1351"/>
      <c r="C183" s="1305" t="s">
        <v>1422</v>
      </c>
      <c r="D183" s="1306"/>
      <c r="E183" s="1306"/>
      <c r="F183" s="1306"/>
      <c r="G183" s="1306"/>
      <c r="H183" s="1306"/>
      <c r="I183" s="1306"/>
      <c r="J183" s="1306"/>
      <c r="K183" s="1306"/>
      <c r="L183" s="1306"/>
      <c r="M183" s="1306"/>
      <c r="N183" s="1306"/>
      <c r="O183" s="1306"/>
      <c r="P183" s="1306"/>
      <c r="Q183" s="1306"/>
      <c r="R183" s="1306"/>
      <c r="S183" s="1306"/>
      <c r="T183" s="1306"/>
      <c r="U183" s="1306"/>
      <c r="V183" s="1306"/>
      <c r="W183" s="1306"/>
      <c r="X183" s="1306"/>
      <c r="Y183" s="1306"/>
      <c r="Z183" s="1306"/>
      <c r="AA183" s="1306"/>
      <c r="AB183" s="1349"/>
      <c r="AC183" s="1285" t="s">
        <v>1423</v>
      </c>
      <c r="AD183" s="1286"/>
      <c r="AE183" s="1286"/>
      <c r="AF183" s="1286"/>
      <c r="AG183" s="595">
        <v>0</v>
      </c>
      <c r="AH183" s="595">
        <v>0</v>
      </c>
      <c r="AI183" s="596">
        <v>0</v>
      </c>
      <c r="AJ183" s="595">
        <v>0</v>
      </c>
      <c r="AK183" s="595">
        <v>0</v>
      </c>
      <c r="AL183" s="596">
        <v>0</v>
      </c>
      <c r="AM183" s="595">
        <v>0</v>
      </c>
      <c r="AN183" s="595">
        <v>0</v>
      </c>
      <c r="AO183" s="596">
        <v>0</v>
      </c>
      <c r="AP183" s="595">
        <v>0</v>
      </c>
      <c r="AQ183" s="595">
        <v>0</v>
      </c>
      <c r="AR183" s="596">
        <v>0</v>
      </c>
      <c r="AS183" s="595">
        <v>0</v>
      </c>
      <c r="AT183" s="595">
        <v>0</v>
      </c>
      <c r="AU183" s="596">
        <v>0</v>
      </c>
      <c r="AV183" s="595">
        <v>0</v>
      </c>
      <c r="AW183" s="595">
        <v>0</v>
      </c>
      <c r="AX183" s="596">
        <v>0</v>
      </c>
      <c r="AY183" s="595"/>
      <c r="AZ183" s="598"/>
      <c r="BA183" s="598"/>
      <c r="BB183" s="420">
        <f t="shared" si="22"/>
        <v>0</v>
      </c>
      <c r="BC183" s="420">
        <f t="shared" si="22"/>
        <v>0</v>
      </c>
      <c r="BD183" s="420">
        <f t="shared" si="22"/>
        <v>0</v>
      </c>
      <c r="BE183" s="420">
        <f t="shared" si="23"/>
        <v>0</v>
      </c>
      <c r="BF183" s="420">
        <f t="shared" si="23"/>
        <v>0</v>
      </c>
      <c r="BG183" s="420">
        <f t="shared" si="23"/>
        <v>0</v>
      </c>
      <c r="BL183" t="s">
        <v>1116</v>
      </c>
      <c r="BN183" t="s">
        <v>1422</v>
      </c>
      <c r="CN183" t="s">
        <v>1423</v>
      </c>
      <c r="CR183">
        <v>0</v>
      </c>
      <c r="CS183">
        <v>0</v>
      </c>
      <c r="CT183">
        <v>0</v>
      </c>
    </row>
    <row r="184" spans="1:98">
      <c r="A184" s="1327" t="s">
        <v>1119</v>
      </c>
      <c r="B184" s="1351"/>
      <c r="C184" s="1353" t="s">
        <v>426</v>
      </c>
      <c r="D184" s="1354"/>
      <c r="E184" s="1354"/>
      <c r="F184" s="1354"/>
      <c r="G184" s="1354"/>
      <c r="H184" s="1354"/>
      <c r="I184" s="1354"/>
      <c r="J184" s="1354"/>
      <c r="K184" s="1354"/>
      <c r="L184" s="1354"/>
      <c r="M184" s="1354"/>
      <c r="N184" s="1354"/>
      <c r="O184" s="1354"/>
      <c r="P184" s="1354"/>
      <c r="Q184" s="1354"/>
      <c r="R184" s="1354"/>
      <c r="S184" s="1354"/>
      <c r="T184" s="1354"/>
      <c r="U184" s="1354"/>
      <c r="V184" s="1354"/>
      <c r="W184" s="1354"/>
      <c r="X184" s="1354"/>
      <c r="Y184" s="1354"/>
      <c r="Z184" s="1354"/>
      <c r="AA184" s="1354"/>
      <c r="AB184" s="1355"/>
      <c r="AC184" s="1285" t="s">
        <v>1424</v>
      </c>
      <c r="AD184" s="1286"/>
      <c r="AE184" s="1286"/>
      <c r="AF184" s="1286"/>
      <c r="AG184" s="595">
        <v>0</v>
      </c>
      <c r="AH184" s="595">
        <v>0</v>
      </c>
      <c r="AI184" s="596">
        <v>0</v>
      </c>
      <c r="AJ184" s="595">
        <v>0</v>
      </c>
      <c r="AK184" s="595">
        <v>0</v>
      </c>
      <c r="AL184" s="596">
        <v>0</v>
      </c>
      <c r="AM184" s="595">
        <v>0</v>
      </c>
      <c r="AN184" s="595">
        <v>0</v>
      </c>
      <c r="AO184" s="596">
        <v>0</v>
      </c>
      <c r="AP184" s="595">
        <v>0</v>
      </c>
      <c r="AQ184" s="595">
        <v>0</v>
      </c>
      <c r="AR184" s="596">
        <v>0</v>
      </c>
      <c r="AS184" s="595">
        <v>0</v>
      </c>
      <c r="AT184" s="595">
        <v>0</v>
      </c>
      <c r="AU184" s="596">
        <v>0</v>
      </c>
      <c r="AV184" s="595">
        <v>0</v>
      </c>
      <c r="AW184" s="595">
        <v>0</v>
      </c>
      <c r="AX184" s="596">
        <v>0</v>
      </c>
      <c r="AY184" s="595"/>
      <c r="AZ184" s="598"/>
      <c r="BA184" s="598"/>
      <c r="BB184" s="420">
        <f t="shared" si="22"/>
        <v>0</v>
      </c>
      <c r="BC184" s="420">
        <f t="shared" si="22"/>
        <v>0</v>
      </c>
      <c r="BD184" s="420">
        <f t="shared" si="22"/>
        <v>0</v>
      </c>
      <c r="BE184" s="420">
        <f t="shared" si="23"/>
        <v>0</v>
      </c>
      <c r="BF184" s="420">
        <f t="shared" si="23"/>
        <v>0</v>
      </c>
      <c r="BG184" s="420">
        <f t="shared" si="23"/>
        <v>0</v>
      </c>
      <c r="BL184" t="s">
        <v>1119</v>
      </c>
      <c r="BN184" t="s">
        <v>426</v>
      </c>
      <c r="CN184" t="s">
        <v>1424</v>
      </c>
      <c r="CR184">
        <v>0</v>
      </c>
      <c r="CS184">
        <v>0</v>
      </c>
      <c r="CT184">
        <v>0</v>
      </c>
    </row>
    <row r="185" spans="1:98">
      <c r="A185" s="1342" t="s">
        <v>1122</v>
      </c>
      <c r="B185" s="1352"/>
      <c r="C185" s="1360" t="s">
        <v>1425</v>
      </c>
      <c r="D185" s="1361"/>
      <c r="E185" s="1361"/>
      <c r="F185" s="1361"/>
      <c r="G185" s="1361"/>
      <c r="H185" s="1361"/>
      <c r="I185" s="1361"/>
      <c r="J185" s="1361"/>
      <c r="K185" s="1361"/>
      <c r="L185" s="1361"/>
      <c r="M185" s="1361"/>
      <c r="N185" s="1361"/>
      <c r="O185" s="1361"/>
      <c r="P185" s="1361"/>
      <c r="Q185" s="1361"/>
      <c r="R185" s="1361"/>
      <c r="S185" s="1361"/>
      <c r="T185" s="1361"/>
      <c r="U185" s="1361"/>
      <c r="V185" s="1361"/>
      <c r="W185" s="1361"/>
      <c r="X185" s="1361"/>
      <c r="Y185" s="1361"/>
      <c r="Z185" s="1361"/>
      <c r="AA185" s="1361"/>
      <c r="AB185" s="1362"/>
      <c r="AC185" s="1294" t="s">
        <v>1426</v>
      </c>
      <c r="AD185" s="1295"/>
      <c r="AE185" s="1295"/>
      <c r="AF185" s="1295"/>
      <c r="AG185" s="618">
        <v>0</v>
      </c>
      <c r="AH185" s="618">
        <v>0</v>
      </c>
      <c r="AI185" s="619">
        <v>0</v>
      </c>
      <c r="AJ185" s="618">
        <v>0</v>
      </c>
      <c r="AK185" s="618">
        <v>0</v>
      </c>
      <c r="AL185" s="619">
        <v>0</v>
      </c>
      <c r="AM185" s="618">
        <v>0</v>
      </c>
      <c r="AN185" s="618">
        <v>0</v>
      </c>
      <c r="AO185" s="619">
        <v>0</v>
      </c>
      <c r="AP185" s="618">
        <v>0</v>
      </c>
      <c r="AQ185" s="618">
        <v>0</v>
      </c>
      <c r="AR185" s="619">
        <v>0</v>
      </c>
      <c r="AS185" s="618">
        <v>0</v>
      </c>
      <c r="AT185" s="618">
        <v>0</v>
      </c>
      <c r="AU185" s="619">
        <v>0</v>
      </c>
      <c r="AV185" s="618">
        <v>0</v>
      </c>
      <c r="AW185" s="618">
        <v>0</v>
      </c>
      <c r="AX185" s="619">
        <v>0</v>
      </c>
      <c r="AY185" s="618"/>
      <c r="AZ185" s="620"/>
      <c r="BA185" s="620"/>
      <c r="BB185" s="420">
        <f t="shared" si="22"/>
        <v>0</v>
      </c>
      <c r="BC185" s="420">
        <f t="shared" si="22"/>
        <v>0</v>
      </c>
      <c r="BD185" s="420">
        <f t="shared" si="22"/>
        <v>0</v>
      </c>
      <c r="BE185" s="420">
        <f t="shared" si="23"/>
        <v>0</v>
      </c>
      <c r="BF185" s="420">
        <f t="shared" si="23"/>
        <v>0</v>
      </c>
      <c r="BG185" s="420">
        <f t="shared" si="23"/>
        <v>0</v>
      </c>
      <c r="BL185" t="s">
        <v>1122</v>
      </c>
      <c r="BN185" t="s">
        <v>1425</v>
      </c>
      <c r="CN185" t="s">
        <v>1426</v>
      </c>
      <c r="CR185">
        <v>0</v>
      </c>
      <c r="CS185">
        <v>0</v>
      </c>
      <c r="CT185">
        <v>0</v>
      </c>
    </row>
    <row r="186" spans="1:98">
      <c r="A186" s="1327" t="s">
        <v>40</v>
      </c>
      <c r="B186" s="1351"/>
      <c r="C186" s="1285" t="s">
        <v>430</v>
      </c>
      <c r="D186" s="1286"/>
      <c r="E186" s="1286"/>
      <c r="F186" s="1286"/>
      <c r="G186" s="1286"/>
      <c r="H186" s="1286"/>
      <c r="I186" s="1286"/>
      <c r="J186" s="1286"/>
      <c r="K186" s="1286"/>
      <c r="L186" s="1286"/>
      <c r="M186" s="1286"/>
      <c r="N186" s="1286"/>
      <c r="O186" s="1286"/>
      <c r="P186" s="1286"/>
      <c r="Q186" s="1286"/>
      <c r="R186" s="1286"/>
      <c r="S186" s="1286"/>
      <c r="T186" s="1286"/>
      <c r="U186" s="1286"/>
      <c r="V186" s="1286"/>
      <c r="W186" s="1286"/>
      <c r="X186" s="1286"/>
      <c r="Y186" s="1286"/>
      <c r="Z186" s="1286"/>
      <c r="AA186" s="1286"/>
      <c r="AB186" s="1341"/>
      <c r="AC186" s="1285" t="s">
        <v>1427</v>
      </c>
      <c r="AD186" s="1286"/>
      <c r="AE186" s="1286"/>
      <c r="AF186" s="1286"/>
      <c r="AG186" s="595">
        <v>0</v>
      </c>
      <c r="AH186" s="595">
        <v>0</v>
      </c>
      <c r="AI186" s="596">
        <f>AG186+AH186</f>
        <v>0</v>
      </c>
      <c r="AJ186" s="595">
        <v>0</v>
      </c>
      <c r="AK186" s="595">
        <v>0</v>
      </c>
      <c r="AL186" s="596">
        <f>AJ186+AK186</f>
        <v>0</v>
      </c>
      <c r="AM186" s="595">
        <v>150000</v>
      </c>
      <c r="AN186" s="595">
        <v>0</v>
      </c>
      <c r="AO186" s="596">
        <f>AM186+AN186</f>
        <v>150000</v>
      </c>
      <c r="AP186" s="595">
        <v>0</v>
      </c>
      <c r="AQ186" s="595">
        <v>0</v>
      </c>
      <c r="AR186" s="596">
        <v>0</v>
      </c>
      <c r="AS186" s="595">
        <v>0</v>
      </c>
      <c r="AT186" s="595">
        <v>0</v>
      </c>
      <c r="AU186" s="596">
        <v>0</v>
      </c>
      <c r="AV186" s="595">
        <v>0</v>
      </c>
      <c r="AW186" s="595">
        <v>0</v>
      </c>
      <c r="AX186" s="596">
        <v>0</v>
      </c>
      <c r="AY186" s="595"/>
      <c r="AZ186" s="598"/>
      <c r="BA186" s="598"/>
      <c r="BB186" s="420">
        <f t="shared" si="22"/>
        <v>0</v>
      </c>
      <c r="BC186" s="420">
        <f t="shared" si="22"/>
        <v>0</v>
      </c>
      <c r="BD186" s="420">
        <f t="shared" si="22"/>
        <v>0</v>
      </c>
      <c r="BE186" s="420">
        <f t="shared" si="23"/>
        <v>150000</v>
      </c>
      <c r="BF186" s="420">
        <f t="shared" si="23"/>
        <v>0</v>
      </c>
      <c r="BG186" s="420">
        <f t="shared" si="23"/>
        <v>150000</v>
      </c>
      <c r="BH186">
        <v>158472</v>
      </c>
      <c r="BK186">
        <v>49000000</v>
      </c>
      <c r="BL186" t="s">
        <v>40</v>
      </c>
      <c r="BN186" t="s">
        <v>430</v>
      </c>
      <c r="CN186" t="s">
        <v>1427</v>
      </c>
      <c r="CR186">
        <v>4800000</v>
      </c>
      <c r="CS186">
        <v>0</v>
      </c>
      <c r="CT186">
        <v>4800000</v>
      </c>
    </row>
    <row r="187" spans="1:98">
      <c r="A187" s="1327" t="s">
        <v>42</v>
      </c>
      <c r="B187" s="1351"/>
      <c r="C187" s="1285" t="s">
        <v>432</v>
      </c>
      <c r="D187" s="1286"/>
      <c r="E187" s="1286"/>
      <c r="F187" s="1286"/>
      <c r="G187" s="1286"/>
      <c r="H187" s="1286"/>
      <c r="I187" s="1286"/>
      <c r="J187" s="1286"/>
      <c r="K187" s="1286"/>
      <c r="L187" s="1286"/>
      <c r="M187" s="1286"/>
      <c r="N187" s="1286"/>
      <c r="O187" s="1286"/>
      <c r="P187" s="1286"/>
      <c r="Q187" s="1286"/>
      <c r="R187" s="1286"/>
      <c r="S187" s="1286"/>
      <c r="T187" s="1286"/>
      <c r="U187" s="1286"/>
      <c r="V187" s="1286"/>
      <c r="W187" s="1286"/>
      <c r="X187" s="1286"/>
      <c r="Y187" s="1286"/>
      <c r="Z187" s="1286"/>
      <c r="AA187" s="1286"/>
      <c r="AB187" s="1341"/>
      <c r="AC187" s="1285" t="s">
        <v>1428</v>
      </c>
      <c r="AD187" s="1286"/>
      <c r="AE187" s="1286"/>
      <c r="AF187" s="1286"/>
      <c r="AG187" s="595">
        <v>0</v>
      </c>
      <c r="AH187" s="595">
        <v>0</v>
      </c>
      <c r="AI187" s="596">
        <v>0</v>
      </c>
      <c r="AJ187" s="595">
        <v>0</v>
      </c>
      <c r="AK187" s="595">
        <v>0</v>
      </c>
      <c r="AL187" s="596">
        <v>0</v>
      </c>
      <c r="AM187" s="595">
        <v>0</v>
      </c>
      <c r="AN187" s="595">
        <v>0</v>
      </c>
      <c r="AO187" s="596">
        <v>0</v>
      </c>
      <c r="AP187" s="595">
        <v>0</v>
      </c>
      <c r="AQ187" s="595">
        <v>0</v>
      </c>
      <c r="AR187" s="596">
        <v>0</v>
      </c>
      <c r="AS187" s="595">
        <v>0</v>
      </c>
      <c r="AT187" s="595">
        <v>0</v>
      </c>
      <c r="AU187" s="596">
        <v>0</v>
      </c>
      <c r="AV187" s="595">
        <v>0</v>
      </c>
      <c r="AW187" s="595">
        <v>0</v>
      </c>
      <c r="AX187" s="596">
        <v>0</v>
      </c>
      <c r="AY187" s="595"/>
      <c r="AZ187" s="598"/>
      <c r="BA187" s="598"/>
      <c r="BB187" s="420">
        <f t="shared" si="22"/>
        <v>0</v>
      </c>
      <c r="BC187" s="420">
        <f t="shared" si="22"/>
        <v>0</v>
      </c>
      <c r="BD187" s="420">
        <f t="shared" si="22"/>
        <v>0</v>
      </c>
      <c r="BE187" s="420">
        <f t="shared" si="23"/>
        <v>0</v>
      </c>
      <c r="BF187" s="420">
        <f t="shared" si="23"/>
        <v>0</v>
      </c>
      <c r="BG187" s="420">
        <f t="shared" si="23"/>
        <v>0</v>
      </c>
      <c r="BK187">
        <v>0</v>
      </c>
      <c r="BL187" t="s">
        <v>42</v>
      </c>
      <c r="BN187" t="s">
        <v>432</v>
      </c>
      <c r="CN187" t="s">
        <v>1428</v>
      </c>
      <c r="CR187">
        <v>0</v>
      </c>
      <c r="CS187">
        <v>0</v>
      </c>
      <c r="CT187">
        <v>0</v>
      </c>
    </row>
    <row r="188" spans="1:98">
      <c r="A188" s="1342" t="s">
        <v>44</v>
      </c>
      <c r="B188" s="1352"/>
      <c r="C188" s="1294" t="s">
        <v>1429</v>
      </c>
      <c r="D188" s="1295"/>
      <c r="E188" s="1295"/>
      <c r="F188" s="1295"/>
      <c r="G188" s="1295"/>
      <c r="H188" s="1295"/>
      <c r="I188" s="1295"/>
      <c r="J188" s="1295"/>
      <c r="K188" s="1295"/>
      <c r="L188" s="1295"/>
      <c r="M188" s="1295"/>
      <c r="N188" s="1295"/>
      <c r="O188" s="1295"/>
      <c r="P188" s="1295"/>
      <c r="Q188" s="1295"/>
      <c r="R188" s="1295"/>
      <c r="S188" s="1295"/>
      <c r="T188" s="1295"/>
      <c r="U188" s="1295"/>
      <c r="V188" s="1295"/>
      <c r="W188" s="1295"/>
      <c r="X188" s="1295"/>
      <c r="Y188" s="1295"/>
      <c r="Z188" s="1295"/>
      <c r="AA188" s="1295"/>
      <c r="AB188" s="1344"/>
      <c r="AC188" s="1294" t="s">
        <v>1430</v>
      </c>
      <c r="AD188" s="1295"/>
      <c r="AE188" s="1295"/>
      <c r="AF188" s="1295"/>
      <c r="AG188" s="618">
        <f t="shared" ref="AG188:AO188" si="30">SUM(AG186:AG187)</f>
        <v>0</v>
      </c>
      <c r="AH188" s="618">
        <f t="shared" si="30"/>
        <v>0</v>
      </c>
      <c r="AI188" s="618">
        <f t="shared" si="30"/>
        <v>0</v>
      </c>
      <c r="AJ188" s="618">
        <f t="shared" si="30"/>
        <v>0</v>
      </c>
      <c r="AK188" s="618">
        <f t="shared" si="30"/>
        <v>0</v>
      </c>
      <c r="AL188" s="618">
        <f t="shared" si="30"/>
        <v>0</v>
      </c>
      <c r="AM188" s="618">
        <f t="shared" si="30"/>
        <v>150000</v>
      </c>
      <c r="AN188" s="618">
        <f t="shared" si="30"/>
        <v>0</v>
      </c>
      <c r="AO188" s="618">
        <f t="shared" si="30"/>
        <v>150000</v>
      </c>
      <c r="AP188" s="618">
        <v>0</v>
      </c>
      <c r="AQ188" s="618">
        <v>0</v>
      </c>
      <c r="AR188" s="619">
        <v>0</v>
      </c>
      <c r="AS188" s="618">
        <v>0</v>
      </c>
      <c r="AT188" s="618">
        <v>0</v>
      </c>
      <c r="AU188" s="619">
        <v>0</v>
      </c>
      <c r="AV188" s="618">
        <v>0</v>
      </c>
      <c r="AW188" s="618">
        <v>0</v>
      </c>
      <c r="AX188" s="618">
        <v>0</v>
      </c>
      <c r="AY188" s="618"/>
      <c r="AZ188" s="620"/>
      <c r="BA188" s="620"/>
      <c r="BB188" s="420">
        <f t="shared" si="22"/>
        <v>0</v>
      </c>
      <c r="BC188" s="420">
        <f t="shared" si="22"/>
        <v>0</v>
      </c>
      <c r="BD188" s="420">
        <f t="shared" si="22"/>
        <v>0</v>
      </c>
      <c r="BE188" s="420">
        <f t="shared" si="23"/>
        <v>150000</v>
      </c>
      <c r="BF188" s="420">
        <f t="shared" si="23"/>
        <v>0</v>
      </c>
      <c r="BG188" s="420">
        <f t="shared" si="23"/>
        <v>150000</v>
      </c>
      <c r="BH188">
        <v>158472</v>
      </c>
      <c r="BK188">
        <v>49000000</v>
      </c>
      <c r="BL188" t="s">
        <v>44</v>
      </c>
      <c r="BN188" t="s">
        <v>1429</v>
      </c>
      <c r="CN188" t="s">
        <v>1430</v>
      </c>
      <c r="CR188">
        <v>4800000</v>
      </c>
      <c r="CS188">
        <v>0</v>
      </c>
      <c r="CT188">
        <v>4800000</v>
      </c>
    </row>
    <row r="189" spans="1:98">
      <c r="A189" s="1327" t="s">
        <v>46</v>
      </c>
      <c r="B189" s="1351"/>
      <c r="C189" s="1353" t="s">
        <v>436</v>
      </c>
      <c r="D189" s="1354"/>
      <c r="E189" s="1354"/>
      <c r="F189" s="1354"/>
      <c r="G189" s="1354"/>
      <c r="H189" s="1354"/>
      <c r="I189" s="1354"/>
      <c r="J189" s="1354"/>
      <c r="K189" s="1354"/>
      <c r="L189" s="1354"/>
      <c r="M189" s="1354"/>
      <c r="N189" s="1354"/>
      <c r="O189" s="1354"/>
      <c r="P189" s="1354"/>
      <c r="Q189" s="1354"/>
      <c r="R189" s="1354"/>
      <c r="S189" s="1354"/>
      <c r="T189" s="1354"/>
      <c r="U189" s="1354"/>
      <c r="V189" s="1354"/>
      <c r="W189" s="1354"/>
      <c r="X189" s="1354"/>
      <c r="Y189" s="1354"/>
      <c r="Z189" s="1354"/>
      <c r="AA189" s="1354"/>
      <c r="AB189" s="1355"/>
      <c r="AC189" s="1285" t="s">
        <v>1431</v>
      </c>
      <c r="AD189" s="1286"/>
      <c r="AE189" s="1286"/>
      <c r="AF189" s="1286"/>
      <c r="AG189" s="595">
        <v>0</v>
      </c>
      <c r="AH189" s="595">
        <v>0</v>
      </c>
      <c r="AI189" s="596">
        <v>0</v>
      </c>
      <c r="AJ189" s="595">
        <v>0</v>
      </c>
      <c r="AK189" s="595">
        <v>0</v>
      </c>
      <c r="AL189" s="596">
        <v>0</v>
      </c>
      <c r="AM189" s="595">
        <v>0</v>
      </c>
      <c r="AN189" s="595">
        <v>0</v>
      </c>
      <c r="AO189" s="596">
        <v>0</v>
      </c>
      <c r="AP189" s="595">
        <v>0</v>
      </c>
      <c r="AQ189" s="595">
        <v>0</v>
      </c>
      <c r="AR189" s="596">
        <v>0</v>
      </c>
      <c r="AS189" s="595">
        <v>0</v>
      </c>
      <c r="AT189" s="595">
        <v>0</v>
      </c>
      <c r="AU189" s="596">
        <v>0</v>
      </c>
      <c r="AV189" s="595">
        <v>0</v>
      </c>
      <c r="AW189" s="595">
        <v>0</v>
      </c>
      <c r="AX189" s="596">
        <v>0</v>
      </c>
      <c r="AY189" s="595"/>
      <c r="AZ189" s="598"/>
      <c r="BA189" s="598"/>
      <c r="BB189" s="420">
        <f t="shared" si="22"/>
        <v>0</v>
      </c>
      <c r="BC189" s="420">
        <f t="shared" si="22"/>
        <v>0</v>
      </c>
      <c r="BD189" s="420">
        <f t="shared" si="22"/>
        <v>0</v>
      </c>
      <c r="BE189" s="420">
        <f t="shared" si="23"/>
        <v>0</v>
      </c>
      <c r="BF189" s="420">
        <f t="shared" si="23"/>
        <v>0</v>
      </c>
      <c r="BG189" s="420">
        <f t="shared" si="23"/>
        <v>0</v>
      </c>
      <c r="BL189" t="s">
        <v>46</v>
      </c>
      <c r="BN189" t="s">
        <v>436</v>
      </c>
      <c r="CN189" t="s">
        <v>1431</v>
      </c>
      <c r="CR189">
        <v>0</v>
      </c>
      <c r="CS189">
        <v>0</v>
      </c>
      <c r="CT189">
        <v>0</v>
      </c>
    </row>
    <row r="190" spans="1:98">
      <c r="A190" s="1327" t="s">
        <v>50</v>
      </c>
      <c r="B190" s="1351"/>
      <c r="C190" s="1353" t="s">
        <v>438</v>
      </c>
      <c r="D190" s="1354"/>
      <c r="E190" s="1354"/>
      <c r="F190" s="1354"/>
      <c r="G190" s="1354"/>
      <c r="H190" s="1354"/>
      <c r="I190" s="1354"/>
      <c r="J190" s="1354"/>
      <c r="K190" s="1354"/>
      <c r="L190" s="1354"/>
      <c r="M190" s="1354"/>
      <c r="N190" s="1354"/>
      <c r="O190" s="1354"/>
      <c r="P190" s="1354"/>
      <c r="Q190" s="1354"/>
      <c r="R190" s="1354"/>
      <c r="S190" s="1354"/>
      <c r="T190" s="1354"/>
      <c r="U190" s="1354"/>
      <c r="V190" s="1354"/>
      <c r="W190" s="1354"/>
      <c r="X190" s="1354"/>
      <c r="Y190" s="1354"/>
      <c r="Z190" s="1354"/>
      <c r="AA190" s="1354"/>
      <c r="AB190" s="1355"/>
      <c r="AC190" s="1285" t="s">
        <v>1432</v>
      </c>
      <c r="AD190" s="1286"/>
      <c r="AE190" s="1286"/>
      <c r="AF190" s="1286"/>
      <c r="AG190" s="595">
        <v>0</v>
      </c>
      <c r="AH190" s="595">
        <v>0</v>
      </c>
      <c r="AI190" s="596">
        <v>0</v>
      </c>
      <c r="AJ190" s="595">
        <v>0</v>
      </c>
      <c r="AK190" s="595">
        <v>0</v>
      </c>
      <c r="AL190" s="596">
        <v>0</v>
      </c>
      <c r="AM190" s="595">
        <v>0</v>
      </c>
      <c r="AN190" s="595">
        <v>0</v>
      </c>
      <c r="AO190" s="596">
        <v>0</v>
      </c>
      <c r="AP190" s="595">
        <v>0</v>
      </c>
      <c r="AQ190" s="595">
        <v>0</v>
      </c>
      <c r="AR190" s="596">
        <v>0</v>
      </c>
      <c r="AS190" s="595">
        <v>0</v>
      </c>
      <c r="AT190" s="595">
        <v>0</v>
      </c>
      <c r="AU190" s="596">
        <v>0</v>
      </c>
      <c r="AV190" s="595">
        <v>0</v>
      </c>
      <c r="AW190" s="595">
        <v>0</v>
      </c>
      <c r="AX190" s="596">
        <v>0</v>
      </c>
      <c r="AY190" s="595"/>
      <c r="AZ190" s="598"/>
      <c r="BA190" s="598"/>
      <c r="BB190" s="420">
        <f t="shared" si="22"/>
        <v>0</v>
      </c>
      <c r="BC190" s="420">
        <f t="shared" si="22"/>
        <v>0</v>
      </c>
      <c r="BD190" s="420">
        <f t="shared" si="22"/>
        <v>0</v>
      </c>
      <c r="BE190" s="420">
        <f t="shared" si="23"/>
        <v>0</v>
      </c>
      <c r="BF190" s="420">
        <f t="shared" si="23"/>
        <v>0</v>
      </c>
      <c r="BG190" s="420">
        <f t="shared" si="23"/>
        <v>0</v>
      </c>
      <c r="BL190" t="s">
        <v>50</v>
      </c>
      <c r="BN190" t="s">
        <v>438</v>
      </c>
      <c r="CN190" t="s">
        <v>1432</v>
      </c>
      <c r="CR190">
        <v>0</v>
      </c>
      <c r="CS190">
        <v>0</v>
      </c>
      <c r="CT190">
        <v>0</v>
      </c>
    </row>
    <row r="191" spans="1:98">
      <c r="A191" s="1327" t="s">
        <v>52</v>
      </c>
      <c r="B191" s="1351"/>
      <c r="C191" s="1353" t="s">
        <v>1433</v>
      </c>
      <c r="D191" s="1354"/>
      <c r="E191" s="1354"/>
      <c r="F191" s="1354"/>
      <c r="G191" s="1354"/>
      <c r="H191" s="1354"/>
      <c r="I191" s="1354"/>
      <c r="J191" s="1354"/>
      <c r="K191" s="1354"/>
      <c r="L191" s="1354"/>
      <c r="M191" s="1354"/>
      <c r="N191" s="1354"/>
      <c r="O191" s="1354"/>
      <c r="P191" s="1354"/>
      <c r="Q191" s="1354"/>
      <c r="R191" s="1354"/>
      <c r="S191" s="1354"/>
      <c r="T191" s="1354"/>
      <c r="U191" s="1354"/>
      <c r="V191" s="1354"/>
      <c r="W191" s="1354"/>
      <c r="X191" s="1354"/>
      <c r="Y191" s="1354"/>
      <c r="Z191" s="1354"/>
      <c r="AA191" s="1354"/>
      <c r="AB191" s="1355"/>
      <c r="AC191" s="1285" t="s">
        <v>1434</v>
      </c>
      <c r="AD191" s="1286"/>
      <c r="AE191" s="1286"/>
      <c r="AF191" s="1286"/>
      <c r="AG191" s="595">
        <v>149001063</v>
      </c>
      <c r="AH191" s="595">
        <v>0</v>
      </c>
      <c r="AI191" s="596">
        <f>AG191+AH191</f>
        <v>149001063</v>
      </c>
      <c r="AJ191" s="595">
        <v>36370804</v>
      </c>
      <c r="AK191" s="595">
        <v>0</v>
      </c>
      <c r="AL191" s="596">
        <f>AJ191+AK191</f>
        <v>36370804</v>
      </c>
      <c r="AM191" s="595">
        <v>35787362</v>
      </c>
      <c r="AN191" s="595">
        <v>0</v>
      </c>
      <c r="AO191" s="596">
        <f>AM191+AN191</f>
        <v>35787362</v>
      </c>
      <c r="AP191" s="595">
        <v>339187719</v>
      </c>
      <c r="AQ191" s="595">
        <v>0</v>
      </c>
      <c r="AR191" s="596">
        <f>AP191+AQ191</f>
        <v>339187719</v>
      </c>
      <c r="AS191" s="595">
        <v>120963770</v>
      </c>
      <c r="AT191" s="595">
        <v>0</v>
      </c>
      <c r="AU191" s="596">
        <f>AS191+AT191</f>
        <v>120963770</v>
      </c>
      <c r="AV191" s="595">
        <v>58853918</v>
      </c>
      <c r="AW191" s="595">
        <v>0</v>
      </c>
      <c r="AX191" s="596">
        <v>58853918</v>
      </c>
      <c r="AY191" s="595">
        <v>215744322.82999998</v>
      </c>
      <c r="AZ191" s="598"/>
      <c r="BA191" s="598"/>
      <c r="BB191" s="420">
        <f t="shared" si="22"/>
        <v>179817688</v>
      </c>
      <c r="BC191" s="420">
        <f t="shared" si="22"/>
        <v>0</v>
      </c>
      <c r="BD191" s="420">
        <f t="shared" si="22"/>
        <v>179817688</v>
      </c>
      <c r="BE191" s="420">
        <f t="shared" si="23"/>
        <v>955908958.82999992</v>
      </c>
      <c r="BF191" s="420">
        <f t="shared" si="23"/>
        <v>0</v>
      </c>
      <c r="BG191" s="420">
        <f t="shared" si="23"/>
        <v>740164636</v>
      </c>
      <c r="BH191">
        <v>10022563</v>
      </c>
      <c r="BK191">
        <v>27966488</v>
      </c>
      <c r="BL191" t="s">
        <v>52</v>
      </c>
      <c r="BN191" t="s">
        <v>1433</v>
      </c>
      <c r="CN191" t="s">
        <v>1434</v>
      </c>
      <c r="CR191">
        <v>65902349</v>
      </c>
      <c r="CS191">
        <v>0</v>
      </c>
      <c r="CT191">
        <v>65902349</v>
      </c>
    </row>
    <row r="192" spans="1:98">
      <c r="A192" s="1327" t="s">
        <v>56</v>
      </c>
      <c r="B192" s="1351"/>
      <c r="C192" s="1353" t="s">
        <v>1435</v>
      </c>
      <c r="D192" s="1354"/>
      <c r="E192" s="1354"/>
      <c r="F192" s="1354"/>
      <c r="G192" s="1354"/>
      <c r="H192" s="1354"/>
      <c r="I192" s="1354"/>
      <c r="J192" s="1354"/>
      <c r="K192" s="1354"/>
      <c r="L192" s="1354"/>
      <c r="M192" s="1354"/>
      <c r="N192" s="1354"/>
      <c r="O192" s="1354"/>
      <c r="P192" s="1354"/>
      <c r="Q192" s="1354"/>
      <c r="R192" s="1354"/>
      <c r="S192" s="1354"/>
      <c r="T192" s="1354"/>
      <c r="U192" s="1354"/>
      <c r="V192" s="1354"/>
      <c r="W192" s="1354"/>
      <c r="X192" s="1354"/>
      <c r="Y192" s="1354"/>
      <c r="Z192" s="1354"/>
      <c r="AA192" s="1354"/>
      <c r="AB192" s="1355"/>
      <c r="AC192" s="1285" t="s">
        <v>1436</v>
      </c>
      <c r="AD192" s="1286"/>
      <c r="AE192" s="1286"/>
      <c r="AF192" s="1286"/>
      <c r="AG192" s="595">
        <v>0</v>
      </c>
      <c r="AH192" s="595">
        <v>0</v>
      </c>
      <c r="AI192" s="596">
        <v>0</v>
      </c>
      <c r="AJ192" s="595">
        <v>0</v>
      </c>
      <c r="AK192" s="595">
        <v>0</v>
      </c>
      <c r="AL192" s="596">
        <v>0</v>
      </c>
      <c r="AM192" s="595">
        <v>0</v>
      </c>
      <c r="AN192" s="595">
        <v>0</v>
      </c>
      <c r="AO192" s="596">
        <v>0</v>
      </c>
      <c r="AP192" s="595">
        <v>0</v>
      </c>
      <c r="AQ192" s="595">
        <v>0</v>
      </c>
      <c r="AR192" s="596">
        <v>0</v>
      </c>
      <c r="AS192" s="595">
        <v>0</v>
      </c>
      <c r="AT192" s="595">
        <v>0</v>
      </c>
      <c r="AU192" s="596">
        <v>0</v>
      </c>
      <c r="AV192" s="595">
        <v>0</v>
      </c>
      <c r="AW192" s="595">
        <v>0</v>
      </c>
      <c r="AX192" s="596">
        <v>0</v>
      </c>
      <c r="AY192" s="595"/>
      <c r="AZ192" s="598"/>
      <c r="BA192" s="598"/>
      <c r="BB192" s="420">
        <f t="shared" si="22"/>
        <v>0</v>
      </c>
      <c r="BC192" s="420">
        <f t="shared" si="22"/>
        <v>0</v>
      </c>
      <c r="BD192" s="420">
        <f t="shared" si="22"/>
        <v>0</v>
      </c>
      <c r="BE192" s="420">
        <f t="shared" si="23"/>
        <v>0</v>
      </c>
      <c r="BF192" s="420">
        <f t="shared" si="23"/>
        <v>0</v>
      </c>
      <c r="BG192" s="420">
        <f t="shared" si="23"/>
        <v>0</v>
      </c>
      <c r="BL192" t="s">
        <v>56</v>
      </c>
      <c r="BN192" t="s">
        <v>1435</v>
      </c>
      <c r="CN192" t="s">
        <v>1436</v>
      </c>
      <c r="CR192">
        <v>0</v>
      </c>
      <c r="CS192">
        <v>0</v>
      </c>
      <c r="CT192">
        <v>0</v>
      </c>
    </row>
    <row r="193" spans="1:98">
      <c r="A193" s="1327" t="s">
        <v>58</v>
      </c>
      <c r="B193" s="1351"/>
      <c r="C193" s="1305" t="s">
        <v>1437</v>
      </c>
      <c r="D193" s="1306"/>
      <c r="E193" s="1306"/>
      <c r="F193" s="1306"/>
      <c r="G193" s="1306"/>
      <c r="H193" s="1306"/>
      <c r="I193" s="1306"/>
      <c r="J193" s="1306"/>
      <c r="K193" s="1306"/>
      <c r="L193" s="1306"/>
      <c r="M193" s="1306"/>
      <c r="N193" s="1306"/>
      <c r="O193" s="1306"/>
      <c r="P193" s="1306"/>
      <c r="Q193" s="1306"/>
      <c r="R193" s="1306"/>
      <c r="S193" s="1306"/>
      <c r="T193" s="1306"/>
      <c r="U193" s="1306"/>
      <c r="V193" s="1306"/>
      <c r="W193" s="1306"/>
      <c r="X193" s="1306"/>
      <c r="Y193" s="1306"/>
      <c r="Z193" s="1306"/>
      <c r="AA193" s="1306"/>
      <c r="AB193" s="1349"/>
      <c r="AC193" s="1285" t="s">
        <v>1438</v>
      </c>
      <c r="AD193" s="1286"/>
      <c r="AE193" s="1286"/>
      <c r="AF193" s="1286"/>
      <c r="AG193" s="595">
        <v>0</v>
      </c>
      <c r="AH193" s="595">
        <v>0</v>
      </c>
      <c r="AI193" s="596">
        <v>0</v>
      </c>
      <c r="AJ193" s="595">
        <v>0</v>
      </c>
      <c r="AK193" s="595">
        <v>0</v>
      </c>
      <c r="AL193" s="596">
        <v>0</v>
      </c>
      <c r="AM193" s="595">
        <v>0</v>
      </c>
      <c r="AN193" s="595">
        <v>0</v>
      </c>
      <c r="AO193" s="596">
        <v>0</v>
      </c>
      <c r="AP193" s="595">
        <v>0</v>
      </c>
      <c r="AQ193" s="595">
        <v>0</v>
      </c>
      <c r="AR193" s="596">
        <v>0</v>
      </c>
      <c r="AS193" s="595">
        <v>0</v>
      </c>
      <c r="AT193" s="595">
        <v>0</v>
      </c>
      <c r="AU193" s="596">
        <v>0</v>
      </c>
      <c r="AV193" s="595">
        <v>0</v>
      </c>
      <c r="AW193" s="595">
        <v>0</v>
      </c>
      <c r="AX193" s="596">
        <v>0</v>
      </c>
      <c r="AY193" s="595"/>
      <c r="AZ193" s="598"/>
      <c r="BA193" s="598"/>
      <c r="BB193" s="420">
        <f t="shared" si="22"/>
        <v>0</v>
      </c>
      <c r="BC193" s="420">
        <f t="shared" si="22"/>
        <v>0</v>
      </c>
      <c r="BD193" s="420">
        <f t="shared" si="22"/>
        <v>0</v>
      </c>
      <c r="BE193" s="420">
        <f t="shared" si="23"/>
        <v>0</v>
      </c>
      <c r="BF193" s="420">
        <f t="shared" si="23"/>
        <v>0</v>
      </c>
      <c r="BG193" s="420">
        <f t="shared" si="23"/>
        <v>0</v>
      </c>
      <c r="BL193" t="s">
        <v>58</v>
      </c>
      <c r="BN193" t="s">
        <v>1437</v>
      </c>
      <c r="CN193" t="s">
        <v>1438</v>
      </c>
      <c r="CR193">
        <v>0</v>
      </c>
      <c r="CS193">
        <v>0</v>
      </c>
      <c r="CT193">
        <v>0</v>
      </c>
    </row>
    <row r="194" spans="1:98">
      <c r="A194" s="1327">
        <v>18</v>
      </c>
      <c r="B194" s="1351"/>
      <c r="C194" s="1305" t="s">
        <v>1439</v>
      </c>
      <c r="D194" s="1306"/>
      <c r="E194" s="1306"/>
      <c r="F194" s="1306"/>
      <c r="G194" s="1306"/>
      <c r="H194" s="1306"/>
      <c r="I194" s="1306"/>
      <c r="J194" s="1306"/>
      <c r="K194" s="1306"/>
      <c r="L194" s="1306"/>
      <c r="M194" s="1306"/>
      <c r="N194" s="1306"/>
      <c r="O194" s="1306"/>
      <c r="P194" s="1306"/>
      <c r="Q194" s="1306"/>
      <c r="R194" s="1306"/>
      <c r="S194" s="1306"/>
      <c r="T194" s="1306"/>
      <c r="U194" s="1306"/>
      <c r="V194" s="1306"/>
      <c r="W194" s="1306"/>
      <c r="X194" s="1306"/>
      <c r="Y194" s="1306"/>
      <c r="Z194" s="1306"/>
      <c r="AA194" s="1306"/>
      <c r="AB194" s="1349"/>
      <c r="AC194" s="1285" t="s">
        <v>1440</v>
      </c>
      <c r="AD194" s="1286"/>
      <c r="AE194" s="1286"/>
      <c r="AF194" s="1286"/>
      <c r="AG194" s="595">
        <v>0</v>
      </c>
      <c r="AH194" s="595">
        <v>0</v>
      </c>
      <c r="AI194" s="596">
        <v>0</v>
      </c>
      <c r="AJ194" s="595">
        <v>0</v>
      </c>
      <c r="AK194" s="595">
        <v>0</v>
      </c>
      <c r="AL194" s="596">
        <v>0</v>
      </c>
      <c r="AM194" s="595">
        <v>0</v>
      </c>
      <c r="AN194" s="595">
        <v>0</v>
      </c>
      <c r="AO194" s="596">
        <v>0</v>
      </c>
      <c r="AP194" s="595">
        <v>0</v>
      </c>
      <c r="AQ194" s="595">
        <v>0</v>
      </c>
      <c r="AR194" s="596">
        <v>0</v>
      </c>
      <c r="AS194" s="595">
        <v>0</v>
      </c>
      <c r="AT194" s="595">
        <v>0</v>
      </c>
      <c r="AU194" s="596">
        <v>0</v>
      </c>
      <c r="AV194" s="595">
        <v>0</v>
      </c>
      <c r="AW194" s="595">
        <v>0</v>
      </c>
      <c r="AX194" s="596">
        <v>0</v>
      </c>
      <c r="AY194" s="595"/>
      <c r="AZ194" s="598"/>
      <c r="BA194" s="598"/>
      <c r="BB194" s="420">
        <f t="shared" si="22"/>
        <v>0</v>
      </c>
      <c r="BC194" s="420">
        <f t="shared" si="22"/>
        <v>0</v>
      </c>
      <c r="BD194" s="420">
        <f t="shared" si="22"/>
        <v>0</v>
      </c>
      <c r="BE194" s="420">
        <f t="shared" si="23"/>
        <v>0</v>
      </c>
      <c r="BF194" s="420">
        <f t="shared" si="23"/>
        <v>0</v>
      </c>
      <c r="BG194" s="420">
        <f t="shared" si="23"/>
        <v>0</v>
      </c>
      <c r="BL194">
        <v>18</v>
      </c>
      <c r="BN194" t="s">
        <v>1439</v>
      </c>
      <c r="CN194" t="s">
        <v>1440</v>
      </c>
      <c r="CR194">
        <v>0</v>
      </c>
      <c r="CS194">
        <v>0</v>
      </c>
      <c r="CT194">
        <v>0</v>
      </c>
    </row>
    <row r="195" spans="1:98">
      <c r="A195" s="1327">
        <v>19</v>
      </c>
      <c r="B195" s="1351"/>
      <c r="C195" s="1305" t="s">
        <v>1441</v>
      </c>
      <c r="D195" s="1306"/>
      <c r="E195" s="1306"/>
      <c r="F195" s="1306"/>
      <c r="G195" s="1306"/>
      <c r="H195" s="1306"/>
      <c r="I195" s="1306"/>
      <c r="J195" s="1306"/>
      <c r="K195" s="1306"/>
      <c r="L195" s="1306"/>
      <c r="M195" s="1306"/>
      <c r="N195" s="1306"/>
      <c r="O195" s="1306"/>
      <c r="P195" s="1306"/>
      <c r="Q195" s="1306"/>
      <c r="R195" s="1306"/>
      <c r="S195" s="1306"/>
      <c r="T195" s="1306"/>
      <c r="U195" s="1306"/>
      <c r="V195" s="1306"/>
      <c r="W195" s="1306"/>
      <c r="X195" s="1306"/>
      <c r="Y195" s="1306"/>
      <c r="Z195" s="1306"/>
      <c r="AA195" s="1306"/>
      <c r="AB195" s="1349"/>
      <c r="AC195" s="1285" t="s">
        <v>1442</v>
      </c>
      <c r="AD195" s="1286"/>
      <c r="AE195" s="1286"/>
      <c r="AF195" s="1286"/>
      <c r="AG195" s="595">
        <v>0</v>
      </c>
      <c r="AH195" s="595">
        <v>0</v>
      </c>
      <c r="AI195" s="596">
        <v>0</v>
      </c>
      <c r="AJ195" s="595">
        <v>0</v>
      </c>
      <c r="AK195" s="595">
        <v>0</v>
      </c>
      <c r="AL195" s="596">
        <v>0</v>
      </c>
      <c r="AM195" s="595">
        <v>0</v>
      </c>
      <c r="AN195" s="595">
        <v>0</v>
      </c>
      <c r="AO195" s="596">
        <v>0</v>
      </c>
      <c r="AP195" s="595">
        <v>0</v>
      </c>
      <c r="AQ195" s="595">
        <v>0</v>
      </c>
      <c r="AR195" s="596">
        <v>0</v>
      </c>
      <c r="AS195" s="595">
        <v>0</v>
      </c>
      <c r="AT195" s="595">
        <v>0</v>
      </c>
      <c r="AU195" s="596">
        <v>0</v>
      </c>
      <c r="AV195" s="595">
        <v>0</v>
      </c>
      <c r="AW195" s="595">
        <v>0</v>
      </c>
      <c r="AX195" s="596">
        <v>0</v>
      </c>
      <c r="AY195" s="595"/>
      <c r="AZ195" s="598"/>
      <c r="BA195" s="598"/>
      <c r="BB195" s="420">
        <f t="shared" si="22"/>
        <v>0</v>
      </c>
      <c r="BC195" s="420">
        <f t="shared" si="22"/>
        <v>0</v>
      </c>
      <c r="BD195" s="420">
        <f t="shared" si="22"/>
        <v>0</v>
      </c>
      <c r="BE195" s="420">
        <f t="shared" si="23"/>
        <v>0</v>
      </c>
      <c r="BF195" s="420">
        <f t="shared" si="23"/>
        <v>0</v>
      </c>
      <c r="BG195" s="420">
        <f t="shared" si="23"/>
        <v>0</v>
      </c>
      <c r="BL195">
        <v>19</v>
      </c>
      <c r="BN195" t="s">
        <v>1441</v>
      </c>
      <c r="CN195" t="s">
        <v>1442</v>
      </c>
      <c r="CR195">
        <v>0</v>
      </c>
      <c r="CS195">
        <v>0</v>
      </c>
      <c r="CT195">
        <v>0</v>
      </c>
    </row>
    <row r="196" spans="1:98">
      <c r="A196" s="1342">
        <v>20</v>
      </c>
      <c r="B196" s="1352"/>
      <c r="C196" s="1309" t="s">
        <v>1443</v>
      </c>
      <c r="D196" s="1310"/>
      <c r="E196" s="1310"/>
      <c r="F196" s="1310"/>
      <c r="G196" s="1310"/>
      <c r="H196" s="1310"/>
      <c r="I196" s="1310"/>
      <c r="J196" s="1310"/>
      <c r="K196" s="1310"/>
      <c r="L196" s="1310"/>
      <c r="M196" s="1310"/>
      <c r="N196" s="1310"/>
      <c r="O196" s="1310"/>
      <c r="P196" s="1310"/>
      <c r="Q196" s="1310"/>
      <c r="R196" s="1310"/>
      <c r="S196" s="1310"/>
      <c r="T196" s="1310"/>
      <c r="U196" s="1310"/>
      <c r="V196" s="1310"/>
      <c r="W196" s="1310"/>
      <c r="X196" s="1310"/>
      <c r="Y196" s="1310"/>
      <c r="Z196" s="1310"/>
      <c r="AA196" s="1310"/>
      <c r="AB196" s="1350"/>
      <c r="AC196" s="1294" t="s">
        <v>1444</v>
      </c>
      <c r="AD196" s="1295"/>
      <c r="AE196" s="1295"/>
      <c r="AF196" s="1295"/>
      <c r="AG196" s="618">
        <v>0</v>
      </c>
      <c r="AH196" s="618">
        <v>0</v>
      </c>
      <c r="AI196" s="619">
        <v>0</v>
      </c>
      <c r="AJ196" s="618">
        <v>0</v>
      </c>
      <c r="AK196" s="618">
        <v>0</v>
      </c>
      <c r="AL196" s="619">
        <v>0</v>
      </c>
      <c r="AM196" s="618">
        <v>0</v>
      </c>
      <c r="AN196" s="618">
        <v>0</v>
      </c>
      <c r="AO196" s="619">
        <v>0</v>
      </c>
      <c r="AP196" s="618">
        <v>0</v>
      </c>
      <c r="AQ196" s="618">
        <v>0</v>
      </c>
      <c r="AR196" s="619">
        <v>0</v>
      </c>
      <c r="AS196" s="618">
        <v>0</v>
      </c>
      <c r="AT196" s="618">
        <v>0</v>
      </c>
      <c r="AU196" s="619">
        <v>0</v>
      </c>
      <c r="AV196" s="618">
        <v>0</v>
      </c>
      <c r="AW196" s="618">
        <v>0</v>
      </c>
      <c r="AX196" s="619">
        <v>0</v>
      </c>
      <c r="AY196" s="618"/>
      <c r="AZ196" s="620"/>
      <c r="BA196" s="620"/>
      <c r="BB196" s="420">
        <f t="shared" si="22"/>
        <v>0</v>
      </c>
      <c r="BC196" s="420">
        <f t="shared" si="22"/>
        <v>0</v>
      </c>
      <c r="BD196" s="420">
        <f t="shared" si="22"/>
        <v>0</v>
      </c>
      <c r="BE196" s="420">
        <f t="shared" si="23"/>
        <v>0</v>
      </c>
      <c r="BF196" s="420">
        <f t="shared" si="23"/>
        <v>0</v>
      </c>
      <c r="BG196" s="420">
        <f t="shared" si="23"/>
        <v>0</v>
      </c>
      <c r="BL196">
        <v>20</v>
      </c>
      <c r="BN196" t="s">
        <v>1443</v>
      </c>
      <c r="CN196" t="s">
        <v>1444</v>
      </c>
      <c r="CR196">
        <v>0</v>
      </c>
      <c r="CS196">
        <v>0</v>
      </c>
      <c r="CT196">
        <v>0</v>
      </c>
    </row>
    <row r="197" spans="1:98">
      <c r="A197" s="1342">
        <v>21</v>
      </c>
      <c r="B197" s="1352"/>
      <c r="C197" s="1309" t="s">
        <v>1445</v>
      </c>
      <c r="D197" s="1310"/>
      <c r="E197" s="1310"/>
      <c r="F197" s="1310"/>
      <c r="G197" s="1310"/>
      <c r="H197" s="1310"/>
      <c r="I197" s="1310"/>
      <c r="J197" s="1310"/>
      <c r="K197" s="1310"/>
      <c r="L197" s="1310"/>
      <c r="M197" s="1310"/>
      <c r="N197" s="1310"/>
      <c r="O197" s="1310"/>
      <c r="P197" s="1310"/>
      <c r="Q197" s="1310"/>
      <c r="R197" s="1310"/>
      <c r="S197" s="1310"/>
      <c r="T197" s="1310"/>
      <c r="U197" s="1310"/>
      <c r="V197" s="1310"/>
      <c r="W197" s="1310"/>
      <c r="X197" s="1310"/>
      <c r="Y197" s="1310"/>
      <c r="Z197" s="1310"/>
      <c r="AA197" s="1310"/>
      <c r="AB197" s="1350"/>
      <c r="AC197" s="1363" t="s">
        <v>1446</v>
      </c>
      <c r="AD197" s="1364"/>
      <c r="AE197" s="1364"/>
      <c r="AF197" s="1364"/>
      <c r="AG197" s="618">
        <f t="shared" ref="AG197:AU197" si="31">AG180+AG185+AG188+AG191+AG196</f>
        <v>149001063</v>
      </c>
      <c r="AH197" s="618">
        <f t="shared" si="31"/>
        <v>0</v>
      </c>
      <c r="AI197" s="618">
        <f t="shared" si="31"/>
        <v>149001063</v>
      </c>
      <c r="AJ197" s="618">
        <f t="shared" si="31"/>
        <v>36370804</v>
      </c>
      <c r="AK197" s="618">
        <f t="shared" si="31"/>
        <v>0</v>
      </c>
      <c r="AL197" s="618">
        <f t="shared" si="31"/>
        <v>36370804</v>
      </c>
      <c r="AM197" s="618">
        <f t="shared" si="31"/>
        <v>35937362</v>
      </c>
      <c r="AN197" s="618">
        <f t="shared" si="31"/>
        <v>0</v>
      </c>
      <c r="AO197" s="618">
        <f t="shared" si="31"/>
        <v>35937362</v>
      </c>
      <c r="AP197" s="618">
        <f t="shared" si="31"/>
        <v>339187719</v>
      </c>
      <c r="AQ197" s="618">
        <f t="shared" si="31"/>
        <v>0</v>
      </c>
      <c r="AR197" s="618">
        <f t="shared" si="31"/>
        <v>339187719</v>
      </c>
      <c r="AS197" s="618">
        <f t="shared" si="31"/>
        <v>120963770</v>
      </c>
      <c r="AT197" s="618">
        <f t="shared" si="31"/>
        <v>0</v>
      </c>
      <c r="AU197" s="618">
        <f t="shared" si="31"/>
        <v>120963770</v>
      </c>
      <c r="AV197" s="618">
        <v>58853918</v>
      </c>
      <c r="AW197" s="618">
        <v>0</v>
      </c>
      <c r="AX197" s="618">
        <v>58853918</v>
      </c>
      <c r="AY197" s="618"/>
      <c r="AZ197" s="620"/>
      <c r="BA197" s="620"/>
      <c r="BB197" s="420">
        <f t="shared" si="22"/>
        <v>179817688</v>
      </c>
      <c r="BC197" s="420">
        <f t="shared" si="22"/>
        <v>0</v>
      </c>
      <c r="BD197" s="420">
        <f t="shared" si="22"/>
        <v>179817688</v>
      </c>
      <c r="BE197" s="420">
        <f t="shared" si="23"/>
        <v>740314636</v>
      </c>
      <c r="BF197" s="420">
        <f t="shared" si="23"/>
        <v>0</v>
      </c>
      <c r="BG197" s="420">
        <f t="shared" si="23"/>
        <v>740314636</v>
      </c>
      <c r="BH197">
        <v>10181035</v>
      </c>
      <c r="BI197">
        <v>0</v>
      </c>
      <c r="BJ197">
        <v>0</v>
      </c>
      <c r="BK197">
        <v>76966488</v>
      </c>
      <c r="BL197">
        <v>21</v>
      </c>
      <c r="BN197" t="s">
        <v>1445</v>
      </c>
      <c r="CN197" t="s">
        <v>1446</v>
      </c>
      <c r="CR197">
        <v>70702349</v>
      </c>
      <c r="CS197">
        <v>0</v>
      </c>
      <c r="CT197">
        <v>70702349</v>
      </c>
    </row>
    <row r="198" spans="1:98">
      <c r="A198" s="1327">
        <v>22</v>
      </c>
      <c r="B198" s="1351"/>
      <c r="C198" s="1305" t="s">
        <v>1447</v>
      </c>
      <c r="D198" s="1306"/>
      <c r="E198" s="1306"/>
      <c r="F198" s="1306"/>
      <c r="G198" s="1306"/>
      <c r="H198" s="1306"/>
      <c r="I198" s="1306"/>
      <c r="J198" s="1306"/>
      <c r="K198" s="1306"/>
      <c r="L198" s="1306"/>
      <c r="M198" s="1306"/>
      <c r="N198" s="1306"/>
      <c r="O198" s="1306"/>
      <c r="P198" s="1306"/>
      <c r="Q198" s="1306"/>
      <c r="R198" s="1306"/>
      <c r="S198" s="1306"/>
      <c r="T198" s="1306"/>
      <c r="U198" s="1306"/>
      <c r="V198" s="1306"/>
      <c r="W198" s="1306"/>
      <c r="X198" s="1306"/>
      <c r="Y198" s="1306"/>
      <c r="Z198" s="1306"/>
      <c r="AA198" s="1306"/>
      <c r="AB198" s="1349"/>
      <c r="AC198" s="1285" t="s">
        <v>1448</v>
      </c>
      <c r="AD198" s="1286"/>
      <c r="AE198" s="1286"/>
      <c r="AF198" s="1286"/>
      <c r="AG198" s="595">
        <v>0</v>
      </c>
      <c r="AH198" s="595">
        <v>0</v>
      </c>
      <c r="AI198" s="596">
        <v>0</v>
      </c>
      <c r="AJ198" s="595">
        <v>0</v>
      </c>
      <c r="AK198" s="595">
        <v>0</v>
      </c>
      <c r="AL198" s="596">
        <v>0</v>
      </c>
      <c r="AM198" s="595">
        <v>0</v>
      </c>
      <c r="AN198" s="595">
        <v>0</v>
      </c>
      <c r="AO198" s="596">
        <v>0</v>
      </c>
      <c r="AP198" s="595">
        <v>0</v>
      </c>
      <c r="AQ198" s="595">
        <v>0</v>
      </c>
      <c r="AR198" s="596">
        <v>0</v>
      </c>
      <c r="AS198" s="595">
        <v>0</v>
      </c>
      <c r="AT198" s="595">
        <v>0</v>
      </c>
      <c r="AU198" s="596">
        <v>0</v>
      </c>
      <c r="AV198" s="595">
        <v>0</v>
      </c>
      <c r="AW198" s="595">
        <v>0</v>
      </c>
      <c r="AX198" s="596">
        <v>0</v>
      </c>
      <c r="AY198" s="595"/>
      <c r="AZ198" s="598"/>
      <c r="BA198" s="598"/>
      <c r="BB198" s="420">
        <f t="shared" si="22"/>
        <v>0</v>
      </c>
      <c r="BC198" s="420">
        <f t="shared" si="22"/>
        <v>0</v>
      </c>
      <c r="BD198" s="420">
        <f t="shared" si="22"/>
        <v>0</v>
      </c>
      <c r="BE198" s="420">
        <f t="shared" si="23"/>
        <v>0</v>
      </c>
      <c r="BF198" s="420">
        <f t="shared" si="23"/>
        <v>0</v>
      </c>
      <c r="BG198" s="420">
        <f t="shared" si="23"/>
        <v>0</v>
      </c>
      <c r="BL198">
        <v>22</v>
      </c>
      <c r="BN198" t="s">
        <v>1447</v>
      </c>
      <c r="CN198" t="s">
        <v>1448</v>
      </c>
      <c r="CR198">
        <v>0</v>
      </c>
      <c r="CS198">
        <v>0</v>
      </c>
      <c r="CT198">
        <v>0</v>
      </c>
    </row>
    <row r="199" spans="1:98">
      <c r="A199" s="1327">
        <v>23</v>
      </c>
      <c r="B199" s="1351"/>
      <c r="C199" s="1305" t="s">
        <v>1449</v>
      </c>
      <c r="D199" s="1306"/>
      <c r="E199" s="1306"/>
      <c r="F199" s="1306"/>
      <c r="G199" s="1306"/>
      <c r="H199" s="1306"/>
      <c r="I199" s="1306"/>
      <c r="J199" s="1306"/>
      <c r="K199" s="1306"/>
      <c r="L199" s="1306"/>
      <c r="M199" s="1306"/>
      <c r="N199" s="1306"/>
      <c r="O199" s="1306"/>
      <c r="P199" s="1306"/>
      <c r="Q199" s="1306"/>
      <c r="R199" s="1306"/>
      <c r="S199" s="1306"/>
      <c r="T199" s="1306"/>
      <c r="U199" s="1306"/>
      <c r="V199" s="1306"/>
      <c r="W199" s="1306"/>
      <c r="X199" s="1306"/>
      <c r="Y199" s="1306"/>
      <c r="Z199" s="1306"/>
      <c r="AA199" s="1306"/>
      <c r="AB199" s="1349"/>
      <c r="AC199" s="1285" t="s">
        <v>1450</v>
      </c>
      <c r="AD199" s="1286"/>
      <c r="AE199" s="1286"/>
      <c r="AF199" s="1286"/>
      <c r="AG199" s="595">
        <v>0</v>
      </c>
      <c r="AH199" s="595">
        <v>0</v>
      </c>
      <c r="AI199" s="596">
        <v>0</v>
      </c>
      <c r="AJ199" s="595">
        <v>0</v>
      </c>
      <c r="AK199" s="595">
        <v>0</v>
      </c>
      <c r="AL199" s="596">
        <v>0</v>
      </c>
      <c r="AM199" s="595">
        <v>0</v>
      </c>
      <c r="AN199" s="595">
        <v>0</v>
      </c>
      <c r="AO199" s="596">
        <v>0</v>
      </c>
      <c r="AP199" s="595">
        <v>0</v>
      </c>
      <c r="AQ199" s="595">
        <v>0</v>
      </c>
      <c r="AR199" s="596">
        <v>0</v>
      </c>
      <c r="AS199" s="595">
        <v>0</v>
      </c>
      <c r="AT199" s="595">
        <v>0</v>
      </c>
      <c r="AU199" s="596">
        <v>0</v>
      </c>
      <c r="AV199" s="595">
        <v>0</v>
      </c>
      <c r="AW199" s="595">
        <v>0</v>
      </c>
      <c r="AX199" s="596">
        <v>0</v>
      </c>
      <c r="AY199" s="595"/>
      <c r="AZ199" s="598"/>
      <c r="BA199" s="598"/>
      <c r="BB199" s="420">
        <f t="shared" si="22"/>
        <v>0</v>
      </c>
      <c r="BC199" s="420">
        <f t="shared" si="22"/>
        <v>0</v>
      </c>
      <c r="BD199" s="420">
        <f t="shared" si="22"/>
        <v>0</v>
      </c>
      <c r="BE199" s="420">
        <f t="shared" si="23"/>
        <v>0</v>
      </c>
      <c r="BF199" s="420">
        <f t="shared" si="23"/>
        <v>0</v>
      </c>
      <c r="BG199" s="420">
        <f t="shared" si="23"/>
        <v>0</v>
      </c>
      <c r="BL199">
        <v>23</v>
      </c>
      <c r="BN199" t="s">
        <v>1449</v>
      </c>
      <c r="CN199" t="s">
        <v>1450</v>
      </c>
      <c r="CR199">
        <v>0</v>
      </c>
      <c r="CS199">
        <v>0</v>
      </c>
      <c r="CT199">
        <v>0</v>
      </c>
    </row>
    <row r="200" spans="1:98">
      <c r="A200" s="1327">
        <v>24</v>
      </c>
      <c r="B200" s="1351"/>
      <c r="C200" s="1353" t="s">
        <v>448</v>
      </c>
      <c r="D200" s="1354"/>
      <c r="E200" s="1354"/>
      <c r="F200" s="1354"/>
      <c r="G200" s="1354"/>
      <c r="H200" s="1354"/>
      <c r="I200" s="1354"/>
      <c r="J200" s="1354"/>
      <c r="K200" s="1354"/>
      <c r="L200" s="1354"/>
      <c r="M200" s="1354"/>
      <c r="N200" s="1354"/>
      <c r="O200" s="1354"/>
      <c r="P200" s="1354"/>
      <c r="Q200" s="1354"/>
      <c r="R200" s="1354"/>
      <c r="S200" s="1354"/>
      <c r="T200" s="1354"/>
      <c r="U200" s="1354"/>
      <c r="V200" s="1354"/>
      <c r="W200" s="1354"/>
      <c r="X200" s="1354"/>
      <c r="Y200" s="1354"/>
      <c r="Z200" s="1354"/>
      <c r="AA200" s="1354"/>
      <c r="AB200" s="1355"/>
      <c r="AC200" s="1285" t="s">
        <v>1451</v>
      </c>
      <c r="AD200" s="1286"/>
      <c r="AE200" s="1286"/>
      <c r="AF200" s="1286"/>
      <c r="AG200" s="595">
        <v>0</v>
      </c>
      <c r="AH200" s="595">
        <v>0</v>
      </c>
      <c r="AI200" s="596">
        <v>0</v>
      </c>
      <c r="AJ200" s="595">
        <v>0</v>
      </c>
      <c r="AK200" s="595">
        <v>0</v>
      </c>
      <c r="AL200" s="596">
        <v>0</v>
      </c>
      <c r="AM200" s="595">
        <v>0</v>
      </c>
      <c r="AN200" s="595">
        <v>0</v>
      </c>
      <c r="AO200" s="596">
        <v>0</v>
      </c>
      <c r="AP200" s="595">
        <v>0</v>
      </c>
      <c r="AQ200" s="595">
        <v>0</v>
      </c>
      <c r="AR200" s="596">
        <v>0</v>
      </c>
      <c r="AS200" s="595">
        <v>0</v>
      </c>
      <c r="AT200" s="595">
        <v>0</v>
      </c>
      <c r="AU200" s="596">
        <v>0</v>
      </c>
      <c r="AV200" s="595">
        <v>0</v>
      </c>
      <c r="AW200" s="595">
        <v>0</v>
      </c>
      <c r="AX200" s="596">
        <v>0</v>
      </c>
      <c r="AY200" s="595"/>
      <c r="AZ200" s="598"/>
      <c r="BA200" s="598"/>
      <c r="BB200" s="420">
        <f t="shared" si="22"/>
        <v>0</v>
      </c>
      <c r="BC200" s="420">
        <f t="shared" si="22"/>
        <v>0</v>
      </c>
      <c r="BD200" s="420">
        <f t="shared" si="22"/>
        <v>0</v>
      </c>
      <c r="BE200" s="420">
        <f t="shared" si="23"/>
        <v>0</v>
      </c>
      <c r="BF200" s="420">
        <f t="shared" si="23"/>
        <v>0</v>
      </c>
      <c r="BG200" s="420">
        <f t="shared" si="23"/>
        <v>0</v>
      </c>
      <c r="BL200">
        <v>24</v>
      </c>
      <c r="BN200" t="s">
        <v>448</v>
      </c>
      <c r="CN200" t="s">
        <v>1451</v>
      </c>
      <c r="CR200">
        <v>0</v>
      </c>
      <c r="CS200">
        <v>0</v>
      </c>
      <c r="CT200">
        <v>0</v>
      </c>
    </row>
    <row r="201" spans="1:98">
      <c r="A201" s="1327">
        <v>25</v>
      </c>
      <c r="B201" s="1351"/>
      <c r="C201" s="1353" t="s">
        <v>1452</v>
      </c>
      <c r="D201" s="1354"/>
      <c r="E201" s="1354"/>
      <c r="F201" s="1354"/>
      <c r="G201" s="1354"/>
      <c r="H201" s="1354"/>
      <c r="I201" s="1354"/>
      <c r="J201" s="1354"/>
      <c r="K201" s="1354"/>
      <c r="L201" s="1354"/>
      <c r="M201" s="1354"/>
      <c r="N201" s="1354"/>
      <c r="O201" s="1354"/>
      <c r="P201" s="1354"/>
      <c r="Q201" s="1354"/>
      <c r="R201" s="1354"/>
      <c r="S201" s="1354"/>
      <c r="T201" s="1354"/>
      <c r="U201" s="1354"/>
      <c r="V201" s="1354"/>
      <c r="W201" s="1354"/>
      <c r="X201" s="1354"/>
      <c r="Y201" s="1354"/>
      <c r="Z201" s="1354"/>
      <c r="AA201" s="1354"/>
      <c r="AB201" s="1355"/>
      <c r="AC201" s="1285" t="s">
        <v>1453</v>
      </c>
      <c r="AD201" s="1286"/>
      <c r="AE201" s="1286"/>
      <c r="AF201" s="1286"/>
      <c r="AG201" s="595">
        <v>0</v>
      </c>
      <c r="AH201" s="595">
        <v>0</v>
      </c>
      <c r="AI201" s="596">
        <v>0</v>
      </c>
      <c r="AJ201" s="595">
        <v>0</v>
      </c>
      <c r="AK201" s="595">
        <v>0</v>
      </c>
      <c r="AL201" s="596">
        <v>0</v>
      </c>
      <c r="AM201" s="595">
        <v>0</v>
      </c>
      <c r="AN201" s="595">
        <v>0</v>
      </c>
      <c r="AO201" s="596">
        <v>0</v>
      </c>
      <c r="AP201" s="595">
        <v>0</v>
      </c>
      <c r="AQ201" s="595">
        <v>0</v>
      </c>
      <c r="AR201" s="596">
        <v>0</v>
      </c>
      <c r="AS201" s="595">
        <v>0</v>
      </c>
      <c r="AT201" s="595">
        <v>0</v>
      </c>
      <c r="AU201" s="596">
        <v>0</v>
      </c>
      <c r="AV201" s="595">
        <v>0</v>
      </c>
      <c r="AW201" s="595">
        <v>0</v>
      </c>
      <c r="AX201" s="596">
        <v>0</v>
      </c>
      <c r="AY201" s="595"/>
      <c r="AZ201" s="598"/>
      <c r="BA201" s="598"/>
      <c r="BB201" s="420">
        <f t="shared" si="22"/>
        <v>0</v>
      </c>
      <c r="BC201" s="420">
        <f t="shared" si="22"/>
        <v>0</v>
      </c>
      <c r="BD201" s="420">
        <f t="shared" si="22"/>
        <v>0</v>
      </c>
      <c r="BE201" s="420">
        <f t="shared" si="23"/>
        <v>0</v>
      </c>
      <c r="BF201" s="420">
        <f t="shared" si="23"/>
        <v>0</v>
      </c>
      <c r="BG201" s="420">
        <f t="shared" si="23"/>
        <v>0</v>
      </c>
      <c r="BL201">
        <v>25</v>
      </c>
      <c r="BN201" t="s">
        <v>1452</v>
      </c>
      <c r="CN201" t="s">
        <v>1453</v>
      </c>
      <c r="CR201">
        <v>0</v>
      </c>
      <c r="CS201">
        <v>0</v>
      </c>
      <c r="CT201">
        <v>0</v>
      </c>
    </row>
    <row r="202" spans="1:98">
      <c r="A202" s="1327">
        <v>26</v>
      </c>
      <c r="B202" s="1351"/>
      <c r="C202" s="1353" t="s">
        <v>1454</v>
      </c>
      <c r="D202" s="1354"/>
      <c r="E202" s="1354"/>
      <c r="F202" s="1354"/>
      <c r="G202" s="1354"/>
      <c r="H202" s="1354"/>
      <c r="I202" s="1354"/>
      <c r="J202" s="1354"/>
      <c r="K202" s="1354"/>
      <c r="L202" s="1354"/>
      <c r="M202" s="1354"/>
      <c r="N202" s="1354"/>
      <c r="O202" s="1354"/>
      <c r="P202" s="1354"/>
      <c r="Q202" s="1354"/>
      <c r="R202" s="1354"/>
      <c r="S202" s="1354"/>
      <c r="T202" s="1354"/>
      <c r="U202" s="1354"/>
      <c r="V202" s="1354"/>
      <c r="W202" s="1354"/>
      <c r="X202" s="1354"/>
      <c r="Y202" s="1354"/>
      <c r="Z202" s="1354"/>
      <c r="AA202" s="1354"/>
      <c r="AB202" s="1355"/>
      <c r="AC202" s="1285" t="s">
        <v>1455</v>
      </c>
      <c r="AD202" s="1286"/>
      <c r="AE202" s="1286"/>
      <c r="AF202" s="1286"/>
      <c r="AG202" s="595">
        <v>0</v>
      </c>
      <c r="AH202" s="595">
        <v>0</v>
      </c>
      <c r="AI202" s="596">
        <v>0</v>
      </c>
      <c r="AJ202" s="595">
        <v>0</v>
      </c>
      <c r="AK202" s="595">
        <v>0</v>
      </c>
      <c r="AL202" s="596">
        <v>0</v>
      </c>
      <c r="AM202" s="595">
        <v>0</v>
      </c>
      <c r="AN202" s="595">
        <v>0</v>
      </c>
      <c r="AO202" s="596">
        <v>0</v>
      </c>
      <c r="AP202" s="595">
        <v>0</v>
      </c>
      <c r="AQ202" s="595">
        <v>0</v>
      </c>
      <c r="AR202" s="596">
        <v>0</v>
      </c>
      <c r="AS202" s="595">
        <v>0</v>
      </c>
      <c r="AT202" s="595">
        <v>0</v>
      </c>
      <c r="AU202" s="596">
        <v>0</v>
      </c>
      <c r="AV202" s="595">
        <v>0</v>
      </c>
      <c r="AW202" s="595">
        <v>0</v>
      </c>
      <c r="AX202" s="596">
        <v>0</v>
      </c>
      <c r="AY202" s="595"/>
      <c r="AZ202" s="598"/>
      <c r="BA202" s="598"/>
      <c r="BB202" s="420">
        <f t="shared" ref="BB202:BD207" si="32">AS202+AV202</f>
        <v>0</v>
      </c>
      <c r="BC202" s="420">
        <f t="shared" si="32"/>
        <v>0</v>
      </c>
      <c r="BD202" s="420">
        <f t="shared" si="32"/>
        <v>0</v>
      </c>
      <c r="BE202" s="420">
        <f t="shared" ref="BE202:BG207" si="33">AG202+AJ202+AM202+AP202+BB202+AY202</f>
        <v>0</v>
      </c>
      <c r="BF202" s="420">
        <f t="shared" si="33"/>
        <v>0</v>
      </c>
      <c r="BG202" s="420">
        <f t="shared" si="33"/>
        <v>0</v>
      </c>
      <c r="BL202">
        <v>26</v>
      </c>
      <c r="BN202" t="s">
        <v>1454</v>
      </c>
      <c r="CN202" t="s">
        <v>1455</v>
      </c>
      <c r="CR202">
        <v>0</v>
      </c>
      <c r="CS202">
        <v>0</v>
      </c>
      <c r="CT202">
        <v>0</v>
      </c>
    </row>
    <row r="203" spans="1:98">
      <c r="A203" s="1342">
        <v>27</v>
      </c>
      <c r="B203" s="1352"/>
      <c r="C203" s="1360" t="s">
        <v>1456</v>
      </c>
      <c r="D203" s="1361"/>
      <c r="E203" s="1361"/>
      <c r="F203" s="1361"/>
      <c r="G203" s="1361"/>
      <c r="H203" s="1361"/>
      <c r="I203" s="1361"/>
      <c r="J203" s="1361"/>
      <c r="K203" s="1361"/>
      <c r="L203" s="1361"/>
      <c r="M203" s="1361"/>
      <c r="N203" s="1361"/>
      <c r="O203" s="1361"/>
      <c r="P203" s="1361"/>
      <c r="Q203" s="1361"/>
      <c r="R203" s="1361"/>
      <c r="S203" s="1361"/>
      <c r="T203" s="1361"/>
      <c r="U203" s="1361"/>
      <c r="V203" s="1361"/>
      <c r="W203" s="1361"/>
      <c r="X203" s="1361"/>
      <c r="Y203" s="1361"/>
      <c r="Z203" s="1361"/>
      <c r="AA203" s="1361"/>
      <c r="AB203" s="1362"/>
      <c r="AC203" s="1363" t="s">
        <v>1457</v>
      </c>
      <c r="AD203" s="1364"/>
      <c r="AE203" s="1364"/>
      <c r="AF203" s="1364"/>
      <c r="AG203" s="618">
        <v>0</v>
      </c>
      <c r="AH203" s="618">
        <v>0</v>
      </c>
      <c r="AI203" s="619">
        <v>0</v>
      </c>
      <c r="AJ203" s="618">
        <v>0</v>
      </c>
      <c r="AK203" s="618">
        <v>0</v>
      </c>
      <c r="AL203" s="619">
        <v>0</v>
      </c>
      <c r="AM203" s="618">
        <v>0</v>
      </c>
      <c r="AN203" s="618">
        <v>0</v>
      </c>
      <c r="AO203" s="619">
        <v>0</v>
      </c>
      <c r="AP203" s="618">
        <v>0</v>
      </c>
      <c r="AQ203" s="618">
        <v>0</v>
      </c>
      <c r="AR203" s="619">
        <v>0</v>
      </c>
      <c r="AS203" s="618">
        <v>0</v>
      </c>
      <c r="AT203" s="618">
        <v>0</v>
      </c>
      <c r="AU203" s="619">
        <v>0</v>
      </c>
      <c r="AV203" s="618">
        <v>0</v>
      </c>
      <c r="AW203" s="618">
        <v>0</v>
      </c>
      <c r="AX203" s="619">
        <v>0</v>
      </c>
      <c r="AY203" s="618"/>
      <c r="AZ203" s="620"/>
      <c r="BA203" s="620"/>
      <c r="BB203" s="420">
        <f t="shared" si="32"/>
        <v>0</v>
      </c>
      <c r="BC203" s="420">
        <f t="shared" si="32"/>
        <v>0</v>
      </c>
      <c r="BD203" s="420">
        <f t="shared" si="32"/>
        <v>0</v>
      </c>
      <c r="BE203" s="420">
        <f t="shared" si="33"/>
        <v>0</v>
      </c>
      <c r="BF203" s="420">
        <f t="shared" si="33"/>
        <v>0</v>
      </c>
      <c r="BG203" s="420">
        <f t="shared" si="33"/>
        <v>0</v>
      </c>
      <c r="BL203">
        <v>27</v>
      </c>
      <c r="BN203" t="s">
        <v>1456</v>
      </c>
      <c r="CN203" t="s">
        <v>1457</v>
      </c>
      <c r="CR203">
        <v>0</v>
      </c>
      <c r="CS203">
        <v>0</v>
      </c>
      <c r="CT203">
        <v>0</v>
      </c>
    </row>
    <row r="204" spans="1:98">
      <c r="A204" s="1327">
        <v>28</v>
      </c>
      <c r="B204" s="1351"/>
      <c r="C204" s="1305" t="s">
        <v>295</v>
      </c>
      <c r="D204" s="1306"/>
      <c r="E204" s="1306"/>
      <c r="F204" s="1306"/>
      <c r="G204" s="1306"/>
      <c r="H204" s="1306"/>
      <c r="I204" s="1306"/>
      <c r="J204" s="1306"/>
      <c r="K204" s="1306"/>
      <c r="L204" s="1306"/>
      <c r="M204" s="1306"/>
      <c r="N204" s="1306"/>
      <c r="O204" s="1306"/>
      <c r="P204" s="1306"/>
      <c r="Q204" s="1306"/>
      <c r="R204" s="1306"/>
      <c r="S204" s="1306"/>
      <c r="T204" s="1306"/>
      <c r="U204" s="1306"/>
      <c r="V204" s="1306"/>
      <c r="W204" s="1306"/>
      <c r="X204" s="1306"/>
      <c r="Y204" s="1306"/>
      <c r="Z204" s="1306"/>
      <c r="AA204" s="1306"/>
      <c r="AB204" s="1349"/>
      <c r="AC204" s="1285" t="s">
        <v>1458</v>
      </c>
      <c r="AD204" s="1286"/>
      <c r="AE204" s="1286"/>
      <c r="AF204" s="1286"/>
      <c r="AG204" s="595">
        <v>0</v>
      </c>
      <c r="AH204" s="595">
        <v>0</v>
      </c>
      <c r="AI204" s="596">
        <v>0</v>
      </c>
      <c r="AJ204" s="595">
        <v>0</v>
      </c>
      <c r="AK204" s="595">
        <v>0</v>
      </c>
      <c r="AL204" s="596">
        <v>0</v>
      </c>
      <c r="AM204" s="595">
        <v>0</v>
      </c>
      <c r="AN204" s="595">
        <v>0</v>
      </c>
      <c r="AO204" s="596">
        <v>0</v>
      </c>
      <c r="AP204" s="595">
        <v>0</v>
      </c>
      <c r="AQ204" s="595">
        <v>0</v>
      </c>
      <c r="AR204" s="596">
        <v>0</v>
      </c>
      <c r="AS204" s="595">
        <v>0</v>
      </c>
      <c r="AT204" s="595">
        <v>0</v>
      </c>
      <c r="AU204" s="596">
        <v>0</v>
      </c>
      <c r="AV204" s="595">
        <v>0</v>
      </c>
      <c r="AW204" s="595">
        <v>0</v>
      </c>
      <c r="AX204" s="596">
        <v>0</v>
      </c>
      <c r="AY204" s="595"/>
      <c r="AZ204" s="598"/>
      <c r="BA204" s="598"/>
      <c r="BB204" s="420">
        <f t="shared" si="32"/>
        <v>0</v>
      </c>
      <c r="BC204" s="420">
        <f t="shared" si="32"/>
        <v>0</v>
      </c>
      <c r="BD204" s="420">
        <f t="shared" si="32"/>
        <v>0</v>
      </c>
      <c r="BE204" s="420">
        <f t="shared" si="33"/>
        <v>0</v>
      </c>
      <c r="BF204" s="420">
        <f t="shared" si="33"/>
        <v>0</v>
      </c>
      <c r="BG204" s="420">
        <f t="shared" si="33"/>
        <v>0</v>
      </c>
      <c r="BL204">
        <v>28</v>
      </c>
      <c r="BN204" t="s">
        <v>295</v>
      </c>
      <c r="CN204" t="s">
        <v>1458</v>
      </c>
      <c r="CR204">
        <v>0</v>
      </c>
      <c r="CS204">
        <v>0</v>
      </c>
      <c r="CT204">
        <v>0</v>
      </c>
    </row>
    <row r="205" spans="1:98">
      <c r="A205" s="1327">
        <v>29</v>
      </c>
      <c r="B205" s="1351"/>
      <c r="C205" s="1305" t="s">
        <v>452</v>
      </c>
      <c r="D205" s="1306"/>
      <c r="E205" s="1306"/>
      <c r="F205" s="1306"/>
      <c r="G205" s="1306"/>
      <c r="H205" s="1306"/>
      <c r="I205" s="1306"/>
      <c r="J205" s="1306"/>
      <c r="K205" s="1306"/>
      <c r="L205" s="1306"/>
      <c r="M205" s="1306"/>
      <c r="N205" s="1306"/>
      <c r="O205" s="1306"/>
      <c r="P205" s="1306"/>
      <c r="Q205" s="1306"/>
      <c r="R205" s="1306"/>
      <c r="S205" s="1306"/>
      <c r="T205" s="1306"/>
      <c r="U205" s="1306"/>
      <c r="V205" s="1306"/>
      <c r="W205" s="1306"/>
      <c r="X205" s="1306"/>
      <c r="Y205" s="1306"/>
      <c r="Z205" s="1306"/>
      <c r="AA205" s="1306"/>
      <c r="AB205" s="1349"/>
      <c r="AC205" s="1285" t="s">
        <v>1459</v>
      </c>
      <c r="AD205" s="1286"/>
      <c r="AE205" s="1286"/>
      <c r="AF205" s="1286"/>
      <c r="AG205" s="595">
        <v>0</v>
      </c>
      <c r="AH205" s="595">
        <v>0</v>
      </c>
      <c r="AI205" s="596">
        <v>0</v>
      </c>
      <c r="AJ205" s="595">
        <v>0</v>
      </c>
      <c r="AK205" s="595">
        <v>0</v>
      </c>
      <c r="AL205" s="596">
        <v>0</v>
      </c>
      <c r="AM205" s="595">
        <v>0</v>
      </c>
      <c r="AN205" s="595">
        <v>0</v>
      </c>
      <c r="AO205" s="596">
        <v>0</v>
      </c>
      <c r="AP205" s="595">
        <v>0</v>
      </c>
      <c r="AQ205" s="595">
        <v>0</v>
      </c>
      <c r="AR205" s="596">
        <v>0</v>
      </c>
      <c r="AS205" s="595">
        <v>0</v>
      </c>
      <c r="AT205" s="595">
        <v>0</v>
      </c>
      <c r="AU205" s="596">
        <v>0</v>
      </c>
      <c r="AV205" s="595">
        <v>0</v>
      </c>
      <c r="AW205" s="595">
        <v>0</v>
      </c>
      <c r="AX205" s="596">
        <v>0</v>
      </c>
      <c r="AY205" s="595"/>
      <c r="AZ205" s="598"/>
      <c r="BA205" s="598"/>
      <c r="BB205" s="420">
        <f t="shared" si="32"/>
        <v>0</v>
      </c>
      <c r="BC205" s="420">
        <f t="shared" si="32"/>
        <v>0</v>
      </c>
      <c r="BD205" s="420">
        <f t="shared" si="32"/>
        <v>0</v>
      </c>
      <c r="BE205" s="420">
        <f t="shared" si="33"/>
        <v>0</v>
      </c>
      <c r="BF205" s="420">
        <f t="shared" si="33"/>
        <v>0</v>
      </c>
      <c r="BG205" s="420">
        <f t="shared" si="33"/>
        <v>0</v>
      </c>
      <c r="BL205">
        <v>29</v>
      </c>
      <c r="BN205" t="s">
        <v>452</v>
      </c>
      <c r="CN205" t="s">
        <v>1459</v>
      </c>
      <c r="CR205">
        <v>0</v>
      </c>
      <c r="CS205">
        <v>0</v>
      </c>
      <c r="CT205">
        <v>0</v>
      </c>
    </row>
    <row r="206" spans="1:98">
      <c r="A206" s="1365">
        <v>30</v>
      </c>
      <c r="B206" s="1366"/>
      <c r="C206" s="1367" t="s">
        <v>1460</v>
      </c>
      <c r="D206" s="1368"/>
      <c r="E206" s="1368"/>
      <c r="F206" s="1368"/>
      <c r="G206" s="1368"/>
      <c r="H206" s="1368"/>
      <c r="I206" s="1368"/>
      <c r="J206" s="1368"/>
      <c r="K206" s="1368"/>
      <c r="L206" s="1368"/>
      <c r="M206" s="1368"/>
      <c r="N206" s="1368"/>
      <c r="O206" s="1368"/>
      <c r="P206" s="1368"/>
      <c r="Q206" s="1368"/>
      <c r="R206" s="1368"/>
      <c r="S206" s="1368"/>
      <c r="T206" s="1368"/>
      <c r="U206" s="1368"/>
      <c r="V206" s="1368"/>
      <c r="W206" s="1368"/>
      <c r="X206" s="1368"/>
      <c r="Y206" s="1368"/>
      <c r="Z206" s="1368"/>
      <c r="AA206" s="1368"/>
      <c r="AB206" s="1369"/>
      <c r="AC206" s="1370" t="s">
        <v>1461</v>
      </c>
      <c r="AD206" s="1371"/>
      <c r="AE206" s="1371"/>
      <c r="AF206" s="1371"/>
      <c r="AG206" s="618">
        <f t="shared" ref="AG206:AU206" si="34">AG197+AG203+AG204+AG205</f>
        <v>149001063</v>
      </c>
      <c r="AH206" s="618">
        <f t="shared" si="34"/>
        <v>0</v>
      </c>
      <c r="AI206" s="618">
        <f t="shared" si="34"/>
        <v>149001063</v>
      </c>
      <c r="AJ206" s="618">
        <f t="shared" si="34"/>
        <v>36370804</v>
      </c>
      <c r="AK206" s="618">
        <f t="shared" si="34"/>
        <v>0</v>
      </c>
      <c r="AL206" s="618">
        <f t="shared" si="34"/>
        <v>36370804</v>
      </c>
      <c r="AM206" s="618">
        <f t="shared" si="34"/>
        <v>35937362</v>
      </c>
      <c r="AN206" s="618">
        <f t="shared" si="34"/>
        <v>0</v>
      </c>
      <c r="AO206" s="618">
        <f t="shared" si="34"/>
        <v>35937362</v>
      </c>
      <c r="AP206" s="618">
        <f t="shared" si="34"/>
        <v>339187719</v>
      </c>
      <c r="AQ206" s="618">
        <f t="shared" si="34"/>
        <v>0</v>
      </c>
      <c r="AR206" s="618">
        <f t="shared" si="34"/>
        <v>339187719</v>
      </c>
      <c r="AS206" s="618">
        <f t="shared" si="34"/>
        <v>120963770</v>
      </c>
      <c r="AT206" s="618">
        <f t="shared" si="34"/>
        <v>0</v>
      </c>
      <c r="AU206" s="618">
        <f t="shared" si="34"/>
        <v>120963770</v>
      </c>
      <c r="AV206" s="618">
        <v>58853918</v>
      </c>
      <c r="AW206" s="618">
        <v>0</v>
      </c>
      <c r="AX206" s="618">
        <v>58853918</v>
      </c>
      <c r="AY206" s="618">
        <v>215744322.82999998</v>
      </c>
      <c r="AZ206" s="620"/>
      <c r="BA206" s="620"/>
      <c r="BB206" s="420">
        <f t="shared" si="32"/>
        <v>179817688</v>
      </c>
      <c r="BC206" s="420">
        <f t="shared" si="32"/>
        <v>0</v>
      </c>
      <c r="BD206" s="420">
        <f t="shared" si="32"/>
        <v>179817688</v>
      </c>
      <c r="BE206" s="420">
        <f t="shared" si="33"/>
        <v>956058958.82999992</v>
      </c>
      <c r="BF206" s="420">
        <f t="shared" si="33"/>
        <v>0</v>
      </c>
      <c r="BG206" s="420">
        <f t="shared" si="33"/>
        <v>740314636</v>
      </c>
      <c r="BH206">
        <v>10181035</v>
      </c>
      <c r="BK206">
        <v>76966488</v>
      </c>
      <c r="BL206">
        <v>30</v>
      </c>
      <c r="BN206" t="s">
        <v>1460</v>
      </c>
      <c r="CN206" t="s">
        <v>1461</v>
      </c>
      <c r="CR206">
        <v>70702349</v>
      </c>
      <c r="CS206">
        <v>0</v>
      </c>
      <c r="CT206">
        <v>70702349</v>
      </c>
    </row>
    <row r="207" spans="1:98" ht="13.5" thickBot="1">
      <c r="A207" s="1365" t="s">
        <v>1462</v>
      </c>
      <c r="B207" s="1374"/>
      <c r="C207" s="1374"/>
      <c r="D207" s="1374"/>
      <c r="E207" s="1374"/>
      <c r="F207" s="1374"/>
      <c r="G207" s="1374"/>
      <c r="H207" s="1374"/>
      <c r="I207" s="1374"/>
      <c r="J207" s="1374"/>
      <c r="K207" s="1374"/>
      <c r="L207" s="1374"/>
      <c r="M207" s="1374"/>
      <c r="N207" s="1374"/>
      <c r="O207" s="1374"/>
      <c r="P207" s="1374"/>
      <c r="Q207" s="1374"/>
      <c r="R207" s="1374"/>
      <c r="S207" s="1374"/>
      <c r="T207" s="1374"/>
      <c r="U207" s="1374"/>
      <c r="V207" s="1374"/>
      <c r="W207" s="1374"/>
      <c r="X207" s="1374"/>
      <c r="Y207" s="1374"/>
      <c r="Z207" s="1374"/>
      <c r="AA207" s="1374"/>
      <c r="AB207" s="1366"/>
      <c r="AC207" s="1375"/>
      <c r="AD207" s="1376"/>
      <c r="AE207" s="1376"/>
      <c r="AF207" s="1377"/>
      <c r="AG207" s="621">
        <f t="shared" ref="AG207:AU207" si="35">AG206+AG172</f>
        <v>153447313</v>
      </c>
      <c r="AH207" s="621">
        <f t="shared" si="35"/>
        <v>0</v>
      </c>
      <c r="AI207" s="621">
        <f t="shared" si="35"/>
        <v>153447313</v>
      </c>
      <c r="AJ207" s="621">
        <f t="shared" si="35"/>
        <v>39455804</v>
      </c>
      <c r="AK207" s="621">
        <f t="shared" si="35"/>
        <v>0</v>
      </c>
      <c r="AL207" s="621">
        <f t="shared" si="35"/>
        <v>39455804</v>
      </c>
      <c r="AM207" s="621">
        <f t="shared" si="35"/>
        <v>41957362</v>
      </c>
      <c r="AN207" s="621">
        <f t="shared" si="35"/>
        <v>0</v>
      </c>
      <c r="AO207" s="621">
        <f t="shared" si="35"/>
        <v>41957362</v>
      </c>
      <c r="AP207" s="621">
        <f t="shared" si="35"/>
        <v>339187719</v>
      </c>
      <c r="AQ207" s="621">
        <f t="shared" si="35"/>
        <v>0</v>
      </c>
      <c r="AR207" s="621">
        <f t="shared" si="35"/>
        <v>339187719</v>
      </c>
      <c r="AS207" s="621">
        <f t="shared" si="35"/>
        <v>239028848</v>
      </c>
      <c r="AT207" s="621">
        <f t="shared" si="35"/>
        <v>24776630.690000001</v>
      </c>
      <c r="AU207" s="621">
        <f t="shared" si="35"/>
        <v>239028847.69</v>
      </c>
      <c r="AV207" s="621">
        <v>84003418</v>
      </c>
      <c r="AW207" s="621">
        <v>4927500</v>
      </c>
      <c r="AX207" s="621">
        <v>84003418</v>
      </c>
      <c r="AY207" s="621">
        <v>226753222.82999998</v>
      </c>
      <c r="AZ207" s="550"/>
      <c r="BA207" s="550"/>
      <c r="BB207" s="420">
        <f t="shared" si="32"/>
        <v>323032266</v>
      </c>
      <c r="BC207" s="420">
        <f t="shared" si="32"/>
        <v>29704130.690000001</v>
      </c>
      <c r="BD207" s="420">
        <f t="shared" si="32"/>
        <v>323032265.69</v>
      </c>
      <c r="BE207" s="420">
        <f t="shared" si="33"/>
        <v>1123833686.8299999</v>
      </c>
      <c r="BF207" s="420">
        <f t="shared" si="33"/>
        <v>29704130.690000001</v>
      </c>
      <c r="BG207" s="420">
        <f t="shared" si="33"/>
        <v>897080463.69000006</v>
      </c>
      <c r="BH207">
        <v>109660186</v>
      </c>
      <c r="BK207">
        <v>412458849</v>
      </c>
      <c r="BL207" t="s">
        <v>1462</v>
      </c>
      <c r="CR207">
        <v>77752349</v>
      </c>
      <c r="CS207">
        <v>0</v>
      </c>
      <c r="CT207">
        <v>77752349</v>
      </c>
    </row>
    <row r="208" spans="1:98">
      <c r="A208" s="622"/>
      <c r="B208" s="622"/>
      <c r="C208" s="519"/>
      <c r="D208" s="519"/>
      <c r="E208" s="519"/>
      <c r="F208" s="519"/>
      <c r="G208" s="519"/>
      <c r="H208" s="519"/>
      <c r="I208" s="519"/>
      <c r="J208" s="519"/>
      <c r="K208" s="519"/>
      <c r="L208" s="519"/>
      <c r="M208" s="519"/>
      <c r="N208" s="519"/>
      <c r="O208" s="519"/>
      <c r="P208" s="519"/>
      <c r="Q208" s="519"/>
      <c r="R208" s="519"/>
      <c r="S208" s="519"/>
      <c r="T208" s="519"/>
      <c r="U208" s="519"/>
      <c r="V208" s="519"/>
      <c r="W208" s="519"/>
      <c r="X208" s="519"/>
      <c r="Y208" s="519"/>
      <c r="Z208" s="519"/>
      <c r="AA208" s="519"/>
      <c r="AB208" s="519"/>
      <c r="AC208" s="623"/>
      <c r="AD208" s="519"/>
      <c r="AE208" s="519"/>
      <c r="AF208" s="519"/>
      <c r="AG208" s="519"/>
      <c r="AH208" s="519"/>
      <c r="AI208" s="519"/>
      <c r="AJ208" s="519"/>
      <c r="AK208" s="519"/>
      <c r="AL208" s="519"/>
      <c r="AM208" s="519"/>
      <c r="AN208" s="519"/>
      <c r="AO208" s="519"/>
      <c r="AP208" s="519"/>
      <c r="AQ208" s="519"/>
      <c r="AR208" s="519"/>
      <c r="AS208" s="519"/>
      <c r="AT208" s="519"/>
      <c r="AU208" s="519"/>
      <c r="AV208" s="519"/>
      <c r="AW208" s="519"/>
      <c r="AX208" s="519"/>
      <c r="AY208" s="624">
        <v>0</v>
      </c>
      <c r="AZ208" s="519"/>
      <c r="BA208" s="519"/>
      <c r="BH208">
        <v>0</v>
      </c>
      <c r="BK208">
        <v>0</v>
      </c>
    </row>
    <row r="209" spans="1:84">
      <c r="A209" s="622"/>
      <c r="B209" s="622"/>
      <c r="C209" s="519"/>
      <c r="D209" s="519"/>
      <c r="E209" s="519"/>
      <c r="F209" s="519"/>
      <c r="G209" s="519"/>
      <c r="H209" s="519"/>
      <c r="I209" s="519"/>
      <c r="J209" s="519"/>
      <c r="K209" s="519"/>
      <c r="L209" s="519"/>
      <c r="M209" s="519"/>
      <c r="N209" s="519"/>
      <c r="O209" s="519"/>
      <c r="P209" s="519"/>
      <c r="Q209" s="519"/>
      <c r="R209" s="519"/>
      <c r="S209" s="519"/>
      <c r="T209" s="519"/>
      <c r="U209" s="519"/>
      <c r="V209" s="519"/>
      <c r="W209" s="519"/>
      <c r="X209" s="519"/>
      <c r="Y209" s="519"/>
      <c r="Z209" s="519"/>
      <c r="AA209" s="519"/>
      <c r="AB209" s="519"/>
      <c r="AC209" s="623"/>
      <c r="AD209" s="519"/>
    </row>
    <row r="210" spans="1:84">
      <c r="A210" s="518" t="s">
        <v>1463</v>
      </c>
      <c r="B210" s="519"/>
      <c r="C210" s="519"/>
      <c r="D210" s="519"/>
      <c r="E210" s="1378">
        <v>2020</v>
      </c>
      <c r="F210" s="1379"/>
      <c r="G210" s="1380"/>
      <c r="H210" s="622" t="s">
        <v>1464</v>
      </c>
      <c r="I210" s="519"/>
      <c r="J210" s="1378">
        <v>2</v>
      </c>
      <c r="K210" s="1379"/>
      <c r="L210" s="1379"/>
      <c r="M210" s="1379"/>
      <c r="N210" s="1379"/>
      <c r="O210" s="1380"/>
      <c r="P210" s="622" t="s">
        <v>1465</v>
      </c>
      <c r="Q210" s="519"/>
      <c r="R210" s="1378">
        <v>12</v>
      </c>
      <c r="S210" s="1380"/>
      <c r="T210" s="622" t="s">
        <v>1466</v>
      </c>
      <c r="U210" s="519"/>
      <c r="V210" s="519"/>
      <c r="W210" s="519"/>
      <c r="X210" s="519"/>
      <c r="Y210" s="519"/>
      <c r="Z210" s="519"/>
      <c r="AA210" s="519"/>
      <c r="AB210" s="519"/>
      <c r="AC210" s="519"/>
      <c r="AD210" s="519"/>
      <c r="BL210" t="s">
        <v>1463</v>
      </c>
      <c r="BP210">
        <v>2020</v>
      </c>
      <c r="BS210" t="s">
        <v>1464</v>
      </c>
      <c r="BU210" t="s">
        <v>1622</v>
      </c>
      <c r="CA210" t="s">
        <v>1465</v>
      </c>
      <c r="CC210">
        <v>14</v>
      </c>
      <c r="CE210" t="s">
        <v>1466</v>
      </c>
    </row>
    <row r="212" spans="1:84">
      <c r="A212" s="518" t="s">
        <v>1467</v>
      </c>
      <c r="B212" s="519"/>
      <c r="C212" s="519"/>
      <c r="D212" s="519"/>
      <c r="E212" s="519"/>
      <c r="F212" s="519"/>
      <c r="G212" s="519"/>
      <c r="H212" s="519"/>
      <c r="I212" s="519"/>
      <c r="J212" s="519"/>
      <c r="K212" s="519"/>
      <c r="L212" s="519"/>
      <c r="M212" s="519"/>
      <c r="N212" s="519"/>
      <c r="O212" s="519"/>
      <c r="P212" s="519"/>
      <c r="Q212" s="622" t="s">
        <v>1468</v>
      </c>
      <c r="R212" s="519"/>
      <c r="S212" s="519"/>
      <c r="T212" s="519"/>
      <c r="U212" s="519"/>
      <c r="V212" s="519"/>
      <c r="W212" s="519"/>
      <c r="X212" s="519"/>
      <c r="Y212" s="519"/>
      <c r="Z212" s="519"/>
      <c r="AA212" s="519"/>
      <c r="AB212" s="519"/>
      <c r="AC212" s="519"/>
      <c r="AD212" s="519"/>
      <c r="BL212" t="s">
        <v>1467</v>
      </c>
      <c r="CB212" t="s">
        <v>1468</v>
      </c>
    </row>
    <row r="216" spans="1:84">
      <c r="A216" s="519"/>
      <c r="B216" s="519"/>
      <c r="C216" s="519"/>
      <c r="D216" s="519"/>
      <c r="E216" s="519"/>
      <c r="F216" s="1372" t="s">
        <v>1469</v>
      </c>
      <c r="G216" s="1372"/>
      <c r="H216" s="1372"/>
      <c r="I216" s="1372"/>
      <c r="J216" s="1372"/>
      <c r="K216" s="1372"/>
      <c r="L216" s="1372"/>
      <c r="M216" s="1372"/>
      <c r="N216" s="1372"/>
      <c r="O216" s="1372"/>
      <c r="P216" s="519"/>
      <c r="Q216" s="519"/>
      <c r="R216" s="519"/>
      <c r="S216" s="519"/>
      <c r="T216" s="519"/>
      <c r="U216" s="1372" t="s">
        <v>1470</v>
      </c>
      <c r="V216" s="1372"/>
      <c r="W216" s="1372"/>
      <c r="X216" s="1372"/>
      <c r="Y216" s="1372"/>
      <c r="Z216" s="1372"/>
      <c r="AA216" s="1372"/>
      <c r="AB216" s="1372"/>
      <c r="AC216" s="1372"/>
      <c r="AD216" s="519"/>
      <c r="BQ216" t="s">
        <v>1469</v>
      </c>
      <c r="CF216" t="s">
        <v>1623</v>
      </c>
    </row>
    <row r="217" spans="1:84">
      <c r="A217" s="519"/>
      <c r="B217" s="519"/>
      <c r="C217" s="519"/>
      <c r="D217" s="519"/>
      <c r="E217" s="519"/>
      <c r="F217" s="1372" t="s">
        <v>1471</v>
      </c>
      <c r="G217" s="1372"/>
      <c r="H217" s="1372"/>
      <c r="I217" s="1372"/>
      <c r="J217" s="1372"/>
      <c r="K217" s="1372"/>
      <c r="L217" s="1372"/>
      <c r="M217" s="1372"/>
      <c r="N217" s="1372"/>
      <c r="O217" s="1372"/>
      <c r="P217" s="519"/>
      <c r="Q217" s="519"/>
      <c r="R217" s="519"/>
      <c r="S217" s="519"/>
      <c r="T217" s="1372" t="s">
        <v>1472</v>
      </c>
      <c r="U217" s="1372"/>
      <c r="V217" s="1372"/>
      <c r="W217" s="1372"/>
      <c r="X217" s="1372"/>
      <c r="Y217" s="1372"/>
      <c r="Z217" s="1372"/>
      <c r="AA217" s="1372"/>
      <c r="AB217" s="1372"/>
      <c r="AC217" s="1372"/>
      <c r="AD217" s="1372"/>
      <c r="BQ217" t="s">
        <v>1471</v>
      </c>
      <c r="CE217" t="s">
        <v>1472</v>
      </c>
    </row>
    <row r="218" spans="1:84">
      <c r="A218" s="519"/>
      <c r="B218" s="519"/>
      <c r="C218" s="519"/>
      <c r="D218" s="519"/>
      <c r="E218" s="519"/>
      <c r="F218" s="1373" t="s">
        <v>169</v>
      </c>
      <c r="G218" s="1373"/>
      <c r="H218" s="1373"/>
      <c r="I218" s="1373"/>
      <c r="J218" s="1373"/>
      <c r="K218" s="1373"/>
      <c r="L218" s="1373"/>
      <c r="M218" s="1373"/>
      <c r="N218" s="1373"/>
      <c r="O218" s="1373"/>
      <c r="P218" s="519"/>
      <c r="Q218" s="519"/>
      <c r="R218" s="519"/>
      <c r="S218" s="519"/>
      <c r="T218" s="519"/>
      <c r="U218" s="1372" t="s">
        <v>120</v>
      </c>
      <c r="V218" s="1372"/>
      <c r="W218" s="1372"/>
      <c r="X218" s="1372"/>
      <c r="Y218" s="1372"/>
      <c r="Z218" s="1372"/>
      <c r="AA218" s="1372"/>
      <c r="AB218" s="1372"/>
      <c r="AC218" s="1372"/>
      <c r="AD218" s="519"/>
      <c r="BQ218" t="s">
        <v>169</v>
      </c>
      <c r="CD218" t="s">
        <v>121</v>
      </c>
    </row>
  </sheetData>
  <mergeCells count="625">
    <mergeCell ref="F217:O217"/>
    <mergeCell ref="T217:AD217"/>
    <mergeCell ref="F218:O218"/>
    <mergeCell ref="U218:AC218"/>
    <mergeCell ref="A207:AB207"/>
    <mergeCell ref="AC207:AF207"/>
    <mergeCell ref="E210:G210"/>
    <mergeCell ref="J210:O210"/>
    <mergeCell ref="R210:S210"/>
    <mergeCell ref="F216:O216"/>
    <mergeCell ref="U216:AC216"/>
    <mergeCell ref="A205:B205"/>
    <mergeCell ref="C205:AB205"/>
    <mergeCell ref="AC205:AF205"/>
    <mergeCell ref="A206:B206"/>
    <mergeCell ref="C206:AB206"/>
    <mergeCell ref="AC206:AF206"/>
    <mergeCell ref="A203:B203"/>
    <mergeCell ref="C203:AB203"/>
    <mergeCell ref="AC203:AF203"/>
    <mergeCell ref="A204:B204"/>
    <mergeCell ref="C204:AB204"/>
    <mergeCell ref="AC204:AF204"/>
    <mergeCell ref="A201:B201"/>
    <mergeCell ref="C201:AB201"/>
    <mergeCell ref="AC201:AF201"/>
    <mergeCell ref="A202:B202"/>
    <mergeCell ref="C202:AB202"/>
    <mergeCell ref="AC202:AF202"/>
    <mergeCell ref="A199:B199"/>
    <mergeCell ref="C199:AB199"/>
    <mergeCell ref="AC199:AF199"/>
    <mergeCell ref="A200:B200"/>
    <mergeCell ref="C200:AB200"/>
    <mergeCell ref="AC200:AF200"/>
    <mergeCell ref="A197:B197"/>
    <mergeCell ref="C197:AB197"/>
    <mergeCell ref="AC197:AF197"/>
    <mergeCell ref="A198:B198"/>
    <mergeCell ref="C198:AB198"/>
    <mergeCell ref="AC198:AF198"/>
    <mergeCell ref="A195:B195"/>
    <mergeCell ref="C195:AB195"/>
    <mergeCell ref="AC195:AF195"/>
    <mergeCell ref="A196:B196"/>
    <mergeCell ref="C196:AB196"/>
    <mergeCell ref="AC196:AF196"/>
    <mergeCell ref="A193:B193"/>
    <mergeCell ref="C193:AB193"/>
    <mergeCell ref="AC193:AF193"/>
    <mergeCell ref="A194:B194"/>
    <mergeCell ref="C194:AB194"/>
    <mergeCell ref="AC194:AF194"/>
    <mergeCell ref="A191:B191"/>
    <mergeCell ref="C191:AB191"/>
    <mergeCell ref="AC191:AF191"/>
    <mergeCell ref="A192:B192"/>
    <mergeCell ref="C192:AB192"/>
    <mergeCell ref="AC192:AF192"/>
    <mergeCell ref="A189:B189"/>
    <mergeCell ref="C189:AB189"/>
    <mergeCell ref="AC189:AF189"/>
    <mergeCell ref="A190:B190"/>
    <mergeCell ref="C190:AB190"/>
    <mergeCell ref="AC190:AF190"/>
    <mergeCell ref="A187:B187"/>
    <mergeCell ref="C187:AB187"/>
    <mergeCell ref="AC187:AF187"/>
    <mergeCell ref="A188:B188"/>
    <mergeCell ref="C188:AB188"/>
    <mergeCell ref="AC188:AF188"/>
    <mergeCell ref="A185:B185"/>
    <mergeCell ref="C185:AB185"/>
    <mergeCell ref="AC185:AF185"/>
    <mergeCell ref="A186:B186"/>
    <mergeCell ref="C186:AB186"/>
    <mergeCell ref="AC186:AF186"/>
    <mergeCell ref="A183:B183"/>
    <mergeCell ref="C183:AB183"/>
    <mergeCell ref="AC183:AF183"/>
    <mergeCell ref="A184:B184"/>
    <mergeCell ref="C184:AB184"/>
    <mergeCell ref="AC184:AF184"/>
    <mergeCell ref="A181:B181"/>
    <mergeCell ref="C181:AB181"/>
    <mergeCell ref="AC181:AF181"/>
    <mergeCell ref="A182:B182"/>
    <mergeCell ref="C182:AB182"/>
    <mergeCell ref="AC182:AF182"/>
    <mergeCell ref="A179:B179"/>
    <mergeCell ref="C179:AB179"/>
    <mergeCell ref="AC179:AF179"/>
    <mergeCell ref="A180:B180"/>
    <mergeCell ref="C180:AB180"/>
    <mergeCell ref="AC180:AF180"/>
    <mergeCell ref="AS175:AU175"/>
    <mergeCell ref="AV175:AX175"/>
    <mergeCell ref="A177:B177"/>
    <mergeCell ref="C177:AB177"/>
    <mergeCell ref="AC177:AF177"/>
    <mergeCell ref="A178:B178"/>
    <mergeCell ref="C178:AB178"/>
    <mergeCell ref="AC178:AF178"/>
    <mergeCell ref="AP174:AR174"/>
    <mergeCell ref="AS174:AU174"/>
    <mergeCell ref="AV174:AX174"/>
    <mergeCell ref="A175:B176"/>
    <mergeCell ref="C175:AB176"/>
    <mergeCell ref="AC175:AF176"/>
    <mergeCell ref="AG175:AI175"/>
    <mergeCell ref="AJ175:AL175"/>
    <mergeCell ref="AM175:AO175"/>
    <mergeCell ref="AP175:AR175"/>
    <mergeCell ref="A172:B172"/>
    <mergeCell ref="C172:AB172"/>
    <mergeCell ref="AC172:AF172"/>
    <mergeCell ref="AG174:AI174"/>
    <mergeCell ref="AJ174:AL174"/>
    <mergeCell ref="AM174:AO174"/>
    <mergeCell ref="A170:B170"/>
    <mergeCell ref="C170:AB170"/>
    <mergeCell ref="AC170:AF170"/>
    <mergeCell ref="A171:B171"/>
    <mergeCell ref="C171:AB171"/>
    <mergeCell ref="AC171:AF171"/>
    <mergeCell ref="A168:B168"/>
    <mergeCell ref="C168:AB168"/>
    <mergeCell ref="AC168:AF168"/>
    <mergeCell ref="A169:B169"/>
    <mergeCell ref="C169:AB169"/>
    <mergeCell ref="AC169:AF169"/>
    <mergeCell ref="A166:B166"/>
    <mergeCell ref="C166:AB166"/>
    <mergeCell ref="AC166:AF166"/>
    <mergeCell ref="A167:B167"/>
    <mergeCell ref="C167:AB167"/>
    <mergeCell ref="AC167:AF167"/>
    <mergeCell ref="A164:B164"/>
    <mergeCell ref="C164:AB164"/>
    <mergeCell ref="AC164:AF164"/>
    <mergeCell ref="A165:B165"/>
    <mergeCell ref="C165:AB165"/>
    <mergeCell ref="AC165:AF165"/>
    <mergeCell ref="A162:B162"/>
    <mergeCell ref="C162:AB162"/>
    <mergeCell ref="AC162:AF162"/>
    <mergeCell ref="A163:B163"/>
    <mergeCell ref="C163:AB163"/>
    <mergeCell ref="AC163:AF163"/>
    <mergeCell ref="A160:B160"/>
    <mergeCell ref="C160:AB160"/>
    <mergeCell ref="AC160:AF160"/>
    <mergeCell ref="A161:B161"/>
    <mergeCell ref="C161:AB161"/>
    <mergeCell ref="AC161:AF161"/>
    <mergeCell ref="A158:B158"/>
    <mergeCell ref="C158:AB158"/>
    <mergeCell ref="AC158:AF158"/>
    <mergeCell ref="A159:B159"/>
    <mergeCell ref="C159:AB159"/>
    <mergeCell ref="AC159:AF159"/>
    <mergeCell ref="A156:B156"/>
    <mergeCell ref="C156:AB156"/>
    <mergeCell ref="AC156:AF156"/>
    <mergeCell ref="A157:B157"/>
    <mergeCell ref="C157:AB157"/>
    <mergeCell ref="AC157:AF157"/>
    <mergeCell ref="A154:B154"/>
    <mergeCell ref="C154:AB154"/>
    <mergeCell ref="AC154:AF154"/>
    <mergeCell ref="A155:B155"/>
    <mergeCell ref="C155:AB155"/>
    <mergeCell ref="AC155:AF155"/>
    <mergeCell ref="A152:B152"/>
    <mergeCell ref="C152:AB152"/>
    <mergeCell ref="AC152:AF152"/>
    <mergeCell ref="A153:B153"/>
    <mergeCell ref="C153:AB153"/>
    <mergeCell ref="AC153:AF153"/>
    <mergeCell ref="A150:B150"/>
    <mergeCell ref="C150:AB150"/>
    <mergeCell ref="AC150:AF150"/>
    <mergeCell ref="A151:B151"/>
    <mergeCell ref="C151:AB151"/>
    <mergeCell ref="AC151:AF151"/>
    <mergeCell ref="A148:B148"/>
    <mergeCell ref="C148:AB148"/>
    <mergeCell ref="AC148:AF148"/>
    <mergeCell ref="A149:B149"/>
    <mergeCell ref="C149:AB149"/>
    <mergeCell ref="AC149:AF149"/>
    <mergeCell ref="A146:B146"/>
    <mergeCell ref="C146:AB146"/>
    <mergeCell ref="AC146:AF146"/>
    <mergeCell ref="A147:B147"/>
    <mergeCell ref="C147:AB147"/>
    <mergeCell ref="AC147:AF147"/>
    <mergeCell ref="A144:B144"/>
    <mergeCell ref="C144:AB144"/>
    <mergeCell ref="AC144:AF144"/>
    <mergeCell ref="A145:B145"/>
    <mergeCell ref="C145:AB145"/>
    <mergeCell ref="AC145:AF145"/>
    <mergeCell ref="A142:B142"/>
    <mergeCell ref="C142:AB142"/>
    <mergeCell ref="AC142:AF142"/>
    <mergeCell ref="A143:B143"/>
    <mergeCell ref="C143:AB143"/>
    <mergeCell ref="AC143:AF143"/>
    <mergeCell ref="A140:B140"/>
    <mergeCell ref="C140:AB140"/>
    <mergeCell ref="AC140:AF140"/>
    <mergeCell ref="A141:B141"/>
    <mergeCell ref="C141:AB141"/>
    <mergeCell ref="AC141:AF141"/>
    <mergeCell ref="A138:B138"/>
    <mergeCell ref="C138:AB138"/>
    <mergeCell ref="AC138:AF138"/>
    <mergeCell ref="A139:B139"/>
    <mergeCell ref="C139:AB139"/>
    <mergeCell ref="AC139:AF139"/>
    <mergeCell ref="A136:B136"/>
    <mergeCell ref="C136:AB136"/>
    <mergeCell ref="AC136:AF136"/>
    <mergeCell ref="A137:B137"/>
    <mergeCell ref="C137:AB137"/>
    <mergeCell ref="AC137:AF137"/>
    <mergeCell ref="A134:B134"/>
    <mergeCell ref="C134:AB134"/>
    <mergeCell ref="AC134:AF134"/>
    <mergeCell ref="A135:B135"/>
    <mergeCell ref="C135:AB135"/>
    <mergeCell ref="AC135:AF135"/>
    <mergeCell ref="A132:B132"/>
    <mergeCell ref="C132:AB132"/>
    <mergeCell ref="AC132:AF132"/>
    <mergeCell ref="A133:B133"/>
    <mergeCell ref="C133:AB133"/>
    <mergeCell ref="AC133:AF133"/>
    <mergeCell ref="A130:B130"/>
    <mergeCell ref="C130:AB130"/>
    <mergeCell ref="AC130:AF130"/>
    <mergeCell ref="A131:B131"/>
    <mergeCell ref="C131:AB131"/>
    <mergeCell ref="AC131:AF131"/>
    <mergeCell ref="A128:B128"/>
    <mergeCell ref="C128:AB128"/>
    <mergeCell ref="AC128:AF128"/>
    <mergeCell ref="A129:B129"/>
    <mergeCell ref="C129:AB129"/>
    <mergeCell ref="AC129:AF129"/>
    <mergeCell ref="A126:B126"/>
    <mergeCell ref="C126:AB126"/>
    <mergeCell ref="AC126:AF126"/>
    <mergeCell ref="A127:B127"/>
    <mergeCell ref="C127:AB127"/>
    <mergeCell ref="AC127:AF127"/>
    <mergeCell ref="A124:B124"/>
    <mergeCell ref="C124:AB124"/>
    <mergeCell ref="AC124:AF124"/>
    <mergeCell ref="A125:B125"/>
    <mergeCell ref="C125:AB125"/>
    <mergeCell ref="AC125:AF125"/>
    <mergeCell ref="A122:B122"/>
    <mergeCell ref="C122:AB122"/>
    <mergeCell ref="AC122:AF122"/>
    <mergeCell ref="A123:B123"/>
    <mergeCell ref="C123:AB123"/>
    <mergeCell ref="AC123:AF123"/>
    <mergeCell ref="A120:B120"/>
    <mergeCell ref="C120:AB120"/>
    <mergeCell ref="AC120:AF120"/>
    <mergeCell ref="A121:B121"/>
    <mergeCell ref="C121:AB121"/>
    <mergeCell ref="AC121:AF121"/>
    <mergeCell ref="A118:B118"/>
    <mergeCell ref="C118:AB118"/>
    <mergeCell ref="AC118:AF118"/>
    <mergeCell ref="A119:B119"/>
    <mergeCell ref="C119:AB119"/>
    <mergeCell ref="AC119:AF119"/>
    <mergeCell ref="A116:B116"/>
    <mergeCell ref="C116:AB116"/>
    <mergeCell ref="AC116:AF116"/>
    <mergeCell ref="A117:B117"/>
    <mergeCell ref="C117:AB117"/>
    <mergeCell ref="AC117:AF117"/>
    <mergeCell ref="A114:B114"/>
    <mergeCell ref="C114:AB114"/>
    <mergeCell ref="AC114:AF114"/>
    <mergeCell ref="A115:B115"/>
    <mergeCell ref="C115:AB115"/>
    <mergeCell ref="AC115:AF115"/>
    <mergeCell ref="A112:B112"/>
    <mergeCell ref="C112:AB112"/>
    <mergeCell ref="AC112:AF112"/>
    <mergeCell ref="A113:B113"/>
    <mergeCell ref="C113:AB113"/>
    <mergeCell ref="AC113:AF113"/>
    <mergeCell ref="A110:B110"/>
    <mergeCell ref="C110:AB110"/>
    <mergeCell ref="AC110:AF110"/>
    <mergeCell ref="A111:B111"/>
    <mergeCell ref="C111:AB111"/>
    <mergeCell ref="AC111:AF111"/>
    <mergeCell ref="AP107:AR107"/>
    <mergeCell ref="AS107:AU107"/>
    <mergeCell ref="AV107:AX107"/>
    <mergeCell ref="A109:B109"/>
    <mergeCell ref="C109:AB109"/>
    <mergeCell ref="AC109:AF109"/>
    <mergeCell ref="A107:B108"/>
    <mergeCell ref="C107:AB108"/>
    <mergeCell ref="AC107:AF108"/>
    <mergeCell ref="AG107:AI107"/>
    <mergeCell ref="AJ107:AL107"/>
    <mergeCell ref="AM107:AO107"/>
    <mergeCell ref="AG106:AI106"/>
    <mergeCell ref="AJ106:AL106"/>
    <mergeCell ref="AM106:AO106"/>
    <mergeCell ref="AP106:AR106"/>
    <mergeCell ref="AS106:AU106"/>
    <mergeCell ref="AV106:AX106"/>
    <mergeCell ref="A102:B102"/>
    <mergeCell ref="C102:AB102"/>
    <mergeCell ref="AC102:AF102"/>
    <mergeCell ref="A103:B103"/>
    <mergeCell ref="C103:AB103"/>
    <mergeCell ref="AC103:AF103"/>
    <mergeCell ref="A100:B100"/>
    <mergeCell ref="C100:AB100"/>
    <mergeCell ref="AC100:AF100"/>
    <mergeCell ref="A101:B101"/>
    <mergeCell ref="C101:AB101"/>
    <mergeCell ref="AC101:AF101"/>
    <mergeCell ref="A98:B98"/>
    <mergeCell ref="C98:AB98"/>
    <mergeCell ref="AC98:AF98"/>
    <mergeCell ref="A99:B99"/>
    <mergeCell ref="C99:AB99"/>
    <mergeCell ref="AC99:AF99"/>
    <mergeCell ref="A96:B96"/>
    <mergeCell ref="C96:AB96"/>
    <mergeCell ref="AC96:AF96"/>
    <mergeCell ref="A97:B97"/>
    <mergeCell ref="C97:AB97"/>
    <mergeCell ref="AC97:AF97"/>
    <mergeCell ref="A94:B94"/>
    <mergeCell ref="C94:AB94"/>
    <mergeCell ref="AC94:AF94"/>
    <mergeCell ref="A95:B95"/>
    <mergeCell ref="C95:AB95"/>
    <mergeCell ref="AC95:AF95"/>
    <mergeCell ref="A92:B92"/>
    <mergeCell ref="C92:AB92"/>
    <mergeCell ref="AC92:AF92"/>
    <mergeCell ref="A93:B93"/>
    <mergeCell ref="C93:AB93"/>
    <mergeCell ref="AC93:AF93"/>
    <mergeCell ref="A90:B90"/>
    <mergeCell ref="C90:AB90"/>
    <mergeCell ref="AC90:AF90"/>
    <mergeCell ref="A91:B91"/>
    <mergeCell ref="C91:AB91"/>
    <mergeCell ref="AC91:AF91"/>
    <mergeCell ref="A88:B88"/>
    <mergeCell ref="C88:AB88"/>
    <mergeCell ref="AC88:AF88"/>
    <mergeCell ref="A89:B89"/>
    <mergeCell ref="C89:AB89"/>
    <mergeCell ref="AC89:AF89"/>
    <mergeCell ref="A86:B86"/>
    <mergeCell ref="C86:AB86"/>
    <mergeCell ref="AC86:AF86"/>
    <mergeCell ref="A87:B87"/>
    <mergeCell ref="C87:AB87"/>
    <mergeCell ref="AC87:AF87"/>
    <mergeCell ref="A84:B84"/>
    <mergeCell ref="C84:AB84"/>
    <mergeCell ref="AC84:AF84"/>
    <mergeCell ref="A85:B85"/>
    <mergeCell ref="C85:AB85"/>
    <mergeCell ref="AC85:AF85"/>
    <mergeCell ref="A82:B82"/>
    <mergeCell ref="C82:AB82"/>
    <mergeCell ref="AC82:AF82"/>
    <mergeCell ref="A83:B83"/>
    <mergeCell ref="C83:AB83"/>
    <mergeCell ref="AC83:AF83"/>
    <mergeCell ref="A80:B80"/>
    <mergeCell ref="C80:AB80"/>
    <mergeCell ref="AC80:AF80"/>
    <mergeCell ref="A81:B81"/>
    <mergeCell ref="C81:AB81"/>
    <mergeCell ref="AC81:AF81"/>
    <mergeCell ref="A78:B78"/>
    <mergeCell ref="C78:AB78"/>
    <mergeCell ref="AC78:AF78"/>
    <mergeCell ref="A79:B79"/>
    <mergeCell ref="C79:AB79"/>
    <mergeCell ref="AC79:AF79"/>
    <mergeCell ref="A76:B76"/>
    <mergeCell ref="C76:AB76"/>
    <mergeCell ref="AC76:AF76"/>
    <mergeCell ref="A77:B77"/>
    <mergeCell ref="C77:AB77"/>
    <mergeCell ref="AC77:AF77"/>
    <mergeCell ref="A74:B74"/>
    <mergeCell ref="C74:AB74"/>
    <mergeCell ref="AC74:AF74"/>
    <mergeCell ref="A75:B75"/>
    <mergeCell ref="C75:AB75"/>
    <mergeCell ref="AC75:AF75"/>
    <mergeCell ref="A72:B72"/>
    <mergeCell ref="C72:AB72"/>
    <mergeCell ref="AC72:AF72"/>
    <mergeCell ref="A73:B73"/>
    <mergeCell ref="C73:AB73"/>
    <mergeCell ref="AC73:AF73"/>
    <mergeCell ref="A70:B70"/>
    <mergeCell ref="C70:AB70"/>
    <mergeCell ref="AC70:AF70"/>
    <mergeCell ref="A71:B71"/>
    <mergeCell ref="C71:AB71"/>
    <mergeCell ref="AC71:AF71"/>
    <mergeCell ref="A68:B68"/>
    <mergeCell ref="C68:AB68"/>
    <mergeCell ref="AC68:AF68"/>
    <mergeCell ref="A69:B69"/>
    <mergeCell ref="C69:AB69"/>
    <mergeCell ref="AC69:AF69"/>
    <mergeCell ref="A66:B66"/>
    <mergeCell ref="C66:AB66"/>
    <mergeCell ref="AC66:AF66"/>
    <mergeCell ref="A67:B67"/>
    <mergeCell ref="C67:AB67"/>
    <mergeCell ref="AC67:AF67"/>
    <mergeCell ref="A64:B64"/>
    <mergeCell ref="C64:AB64"/>
    <mergeCell ref="AC64:AF64"/>
    <mergeCell ref="A65:B65"/>
    <mergeCell ref="C65:AB65"/>
    <mergeCell ref="AC65:AF65"/>
    <mergeCell ref="A62:B62"/>
    <mergeCell ref="C62:AB62"/>
    <mergeCell ref="AC62:AF62"/>
    <mergeCell ref="A63:B63"/>
    <mergeCell ref="C63:AB63"/>
    <mergeCell ref="AC63:AF63"/>
    <mergeCell ref="A60:B60"/>
    <mergeCell ref="C60:AB60"/>
    <mergeCell ref="AC60:AF60"/>
    <mergeCell ref="A61:B61"/>
    <mergeCell ref="C61:AB61"/>
    <mergeCell ref="AC61:AF61"/>
    <mergeCell ref="A58:B58"/>
    <mergeCell ref="C58:AB58"/>
    <mergeCell ref="AC58:AF58"/>
    <mergeCell ref="A59:B59"/>
    <mergeCell ref="C59:AB59"/>
    <mergeCell ref="AC59:AF59"/>
    <mergeCell ref="A56:B56"/>
    <mergeCell ref="C56:AB56"/>
    <mergeCell ref="AC56:AF56"/>
    <mergeCell ref="A57:B57"/>
    <mergeCell ref="C57:AB57"/>
    <mergeCell ref="AC57:AF57"/>
    <mergeCell ref="A54:B54"/>
    <mergeCell ref="C54:AB54"/>
    <mergeCell ref="AC54:AF54"/>
    <mergeCell ref="A55:B55"/>
    <mergeCell ref="C55:AB55"/>
    <mergeCell ref="AC55:AF55"/>
    <mergeCell ref="A52:B52"/>
    <mergeCell ref="C52:AB52"/>
    <mergeCell ref="AC52:AF52"/>
    <mergeCell ref="A53:B53"/>
    <mergeCell ref="C53:AB53"/>
    <mergeCell ref="AC53:AF53"/>
    <mergeCell ref="A50:B50"/>
    <mergeCell ref="C50:AB50"/>
    <mergeCell ref="AC50:AF50"/>
    <mergeCell ref="A51:B51"/>
    <mergeCell ref="C51:AB51"/>
    <mergeCell ref="AC51:AF51"/>
    <mergeCell ref="A48:B48"/>
    <mergeCell ref="C48:AB48"/>
    <mergeCell ref="AC48:AF48"/>
    <mergeCell ref="A49:B49"/>
    <mergeCell ref="C49:AB49"/>
    <mergeCell ref="AC49:AF49"/>
    <mergeCell ref="A46:B46"/>
    <mergeCell ref="C46:AB46"/>
    <mergeCell ref="AC46:AF46"/>
    <mergeCell ref="A47:B47"/>
    <mergeCell ref="C47:AB47"/>
    <mergeCell ref="AC47:AF47"/>
    <mergeCell ref="A44:B44"/>
    <mergeCell ref="C44:AB44"/>
    <mergeCell ref="AC44:AF44"/>
    <mergeCell ref="A45:B45"/>
    <mergeCell ref="C45:AB45"/>
    <mergeCell ref="AC45:AF45"/>
    <mergeCell ref="A42:B42"/>
    <mergeCell ref="C42:AB42"/>
    <mergeCell ref="AC42:AF42"/>
    <mergeCell ref="A43:B43"/>
    <mergeCell ref="C43:AB43"/>
    <mergeCell ref="AC43:AF43"/>
    <mergeCell ref="A40:B40"/>
    <mergeCell ref="C40:AB40"/>
    <mergeCell ref="AC40:AF40"/>
    <mergeCell ref="A41:B41"/>
    <mergeCell ref="C41:AB41"/>
    <mergeCell ref="AC41:AF41"/>
    <mergeCell ref="A38:B38"/>
    <mergeCell ref="C38:AB38"/>
    <mergeCell ref="AC38:AF38"/>
    <mergeCell ref="A39:B39"/>
    <mergeCell ref="C39:AB39"/>
    <mergeCell ref="AC39:AF39"/>
    <mergeCell ref="A36:B36"/>
    <mergeCell ref="C36:AB36"/>
    <mergeCell ref="AC36:AF36"/>
    <mergeCell ref="A37:B37"/>
    <mergeCell ref="C37:AB37"/>
    <mergeCell ref="AC37:AF37"/>
    <mergeCell ref="A34:B34"/>
    <mergeCell ref="C34:AB34"/>
    <mergeCell ref="AC34:AF34"/>
    <mergeCell ref="A35:B35"/>
    <mergeCell ref="C35:AB35"/>
    <mergeCell ref="AC35:AF35"/>
    <mergeCell ref="A32:B32"/>
    <mergeCell ref="C32:AB32"/>
    <mergeCell ref="AC32:AF32"/>
    <mergeCell ref="A33:B33"/>
    <mergeCell ref="C33:AB33"/>
    <mergeCell ref="AC33:AF33"/>
    <mergeCell ref="A30:B30"/>
    <mergeCell ref="C30:AB30"/>
    <mergeCell ref="AC30:AF30"/>
    <mergeCell ref="A31:B31"/>
    <mergeCell ref="C31:AB31"/>
    <mergeCell ref="AC31:AF31"/>
    <mergeCell ref="A28:B28"/>
    <mergeCell ref="C28:AB28"/>
    <mergeCell ref="AC28:AF28"/>
    <mergeCell ref="A29:B29"/>
    <mergeCell ref="C29:AB29"/>
    <mergeCell ref="AC29:AF29"/>
    <mergeCell ref="A26:B26"/>
    <mergeCell ref="C26:AB26"/>
    <mergeCell ref="AC26:AF26"/>
    <mergeCell ref="A27:B27"/>
    <mergeCell ref="C27:AB27"/>
    <mergeCell ref="AC27:AF27"/>
    <mergeCell ref="A24:B24"/>
    <mergeCell ref="C24:AB24"/>
    <mergeCell ref="AC24:AF24"/>
    <mergeCell ref="A25:B25"/>
    <mergeCell ref="C25:AB25"/>
    <mergeCell ref="AC25:AF25"/>
    <mergeCell ref="A22:B22"/>
    <mergeCell ref="C22:AB22"/>
    <mergeCell ref="AC22:AF22"/>
    <mergeCell ref="A23:B23"/>
    <mergeCell ref="C23:AB23"/>
    <mergeCell ref="AC23:AF23"/>
    <mergeCell ref="A20:B20"/>
    <mergeCell ref="C20:AB20"/>
    <mergeCell ref="AC20:AF20"/>
    <mergeCell ref="A21:B21"/>
    <mergeCell ref="C21:AB21"/>
    <mergeCell ref="AC21:AF21"/>
    <mergeCell ref="A18:B18"/>
    <mergeCell ref="C18:AB18"/>
    <mergeCell ref="AC18:AF18"/>
    <mergeCell ref="A19:B19"/>
    <mergeCell ref="C19:AB19"/>
    <mergeCell ref="AC19:AF19"/>
    <mergeCell ref="A16:B16"/>
    <mergeCell ref="C16:AB16"/>
    <mergeCell ref="AC16:AF16"/>
    <mergeCell ref="A17:B17"/>
    <mergeCell ref="C17:AB17"/>
    <mergeCell ref="AC17:AF17"/>
    <mergeCell ref="A14:B14"/>
    <mergeCell ref="C14:AB14"/>
    <mergeCell ref="AC14:AF14"/>
    <mergeCell ref="A15:B15"/>
    <mergeCell ref="C15:AB15"/>
    <mergeCell ref="AC15:AF15"/>
    <mergeCell ref="A12:B12"/>
    <mergeCell ref="C12:AB12"/>
    <mergeCell ref="AC12:AF12"/>
    <mergeCell ref="A13:B13"/>
    <mergeCell ref="C13:AB13"/>
    <mergeCell ref="AC13:AF13"/>
    <mergeCell ref="A10:B10"/>
    <mergeCell ref="C10:AB10"/>
    <mergeCell ref="AC10:AF10"/>
    <mergeCell ref="A11:B11"/>
    <mergeCell ref="C11:AB11"/>
    <mergeCell ref="AC11:AF11"/>
    <mergeCell ref="A9:B9"/>
    <mergeCell ref="C9:AB9"/>
    <mergeCell ref="AC9:AF9"/>
    <mergeCell ref="AJ4:AL5"/>
    <mergeCell ref="AM4:AO5"/>
    <mergeCell ref="AP4:AR5"/>
    <mergeCell ref="AS4:AU5"/>
    <mergeCell ref="AV4:AX5"/>
    <mergeCell ref="AY4:AY5"/>
    <mergeCell ref="AC2:AF2"/>
    <mergeCell ref="A3:AF3"/>
    <mergeCell ref="A4:B6"/>
    <mergeCell ref="C4:AB6"/>
    <mergeCell ref="AC4:AF6"/>
    <mergeCell ref="AG4:AI5"/>
    <mergeCell ref="BB4:BD5"/>
    <mergeCell ref="BE4:BG5"/>
    <mergeCell ref="A7:B7"/>
    <mergeCell ref="C7:AB7"/>
    <mergeCell ref="AC7:AF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7"/>
  <sheetViews>
    <sheetView topLeftCell="B1" workbookViewId="0">
      <selection activeCell="H163" sqref="H163"/>
    </sheetView>
  </sheetViews>
  <sheetFormatPr defaultRowHeight="12.75"/>
  <cols>
    <col min="1" max="1" width="32.85546875" style="317" customWidth="1"/>
    <col min="2" max="2" width="12" style="317" customWidth="1"/>
    <col min="3" max="3" width="10.28515625" style="317" customWidth="1"/>
    <col min="4" max="4" width="15.5703125" style="317" bestFit="1" customWidth="1"/>
    <col min="5" max="5" width="13.28515625" style="317" customWidth="1"/>
    <col min="6" max="6" width="0" style="317" hidden="1" customWidth="1"/>
    <col min="7" max="7" width="32.85546875" style="317" customWidth="1"/>
    <col min="8" max="8" width="12" style="317" customWidth="1"/>
    <col min="9" max="9" width="10.28515625" style="317" customWidth="1"/>
    <col min="10" max="10" width="11.85546875" style="317" bestFit="1" customWidth="1"/>
    <col min="11" max="11" width="12.7109375" style="317" bestFit="1" customWidth="1"/>
    <col min="12" max="255" width="9.140625" style="317"/>
    <col min="256" max="256" width="4" style="317" customWidth="1"/>
    <col min="257" max="257" width="32.85546875" style="317" customWidth="1"/>
    <col min="258" max="258" width="12" style="317" customWidth="1"/>
    <col min="259" max="259" width="10.28515625" style="317" customWidth="1"/>
    <col min="260" max="260" width="10.7109375" style="317" customWidth="1"/>
    <col min="261" max="261" width="10.5703125" style="317" customWidth="1"/>
    <col min="262" max="262" width="0" style="317" hidden="1" customWidth="1"/>
    <col min="263" max="511" width="9.140625" style="317"/>
    <col min="512" max="512" width="4" style="317" customWidth="1"/>
    <col min="513" max="513" width="32.85546875" style="317" customWidth="1"/>
    <col min="514" max="514" width="12" style="317" customWidth="1"/>
    <col min="515" max="515" width="10.28515625" style="317" customWidth="1"/>
    <col min="516" max="516" width="10.7109375" style="317" customWidth="1"/>
    <col min="517" max="517" width="10.5703125" style="317" customWidth="1"/>
    <col min="518" max="518" width="0" style="317" hidden="1" customWidth="1"/>
    <col min="519" max="767" width="9.140625" style="317"/>
    <col min="768" max="768" width="4" style="317" customWidth="1"/>
    <col min="769" max="769" width="32.85546875" style="317" customWidth="1"/>
    <col min="770" max="770" width="12" style="317" customWidth="1"/>
    <col min="771" max="771" width="10.28515625" style="317" customWidth="1"/>
    <col min="772" max="772" width="10.7109375" style="317" customWidth="1"/>
    <col min="773" max="773" width="10.5703125" style="317" customWidth="1"/>
    <col min="774" max="774" width="0" style="317" hidden="1" customWidth="1"/>
    <col min="775" max="1023" width="9.140625" style="317"/>
    <col min="1024" max="1024" width="4" style="317" customWidth="1"/>
    <col min="1025" max="1025" width="32.85546875" style="317" customWidth="1"/>
    <col min="1026" max="1026" width="12" style="317" customWidth="1"/>
    <col min="1027" max="1027" width="10.28515625" style="317" customWidth="1"/>
    <col min="1028" max="1028" width="10.7109375" style="317" customWidth="1"/>
    <col min="1029" max="1029" width="10.5703125" style="317" customWidth="1"/>
    <col min="1030" max="1030" width="0" style="317" hidden="1" customWidth="1"/>
    <col min="1031" max="1279" width="9.140625" style="317"/>
    <col min="1280" max="1280" width="4" style="317" customWidth="1"/>
    <col min="1281" max="1281" width="32.85546875" style="317" customWidth="1"/>
    <col min="1282" max="1282" width="12" style="317" customWidth="1"/>
    <col min="1283" max="1283" width="10.28515625" style="317" customWidth="1"/>
    <col min="1284" max="1284" width="10.7109375" style="317" customWidth="1"/>
    <col min="1285" max="1285" width="10.5703125" style="317" customWidth="1"/>
    <col min="1286" max="1286" width="0" style="317" hidden="1" customWidth="1"/>
    <col min="1287" max="1535" width="9.140625" style="317"/>
    <col min="1536" max="1536" width="4" style="317" customWidth="1"/>
    <col min="1537" max="1537" width="32.85546875" style="317" customWidth="1"/>
    <col min="1538" max="1538" width="12" style="317" customWidth="1"/>
    <col min="1539" max="1539" width="10.28515625" style="317" customWidth="1"/>
    <col min="1540" max="1540" width="10.7109375" style="317" customWidth="1"/>
    <col min="1541" max="1541" width="10.5703125" style="317" customWidth="1"/>
    <col min="1542" max="1542" width="0" style="317" hidden="1" customWidth="1"/>
    <col min="1543" max="1791" width="9.140625" style="317"/>
    <col min="1792" max="1792" width="4" style="317" customWidth="1"/>
    <col min="1793" max="1793" width="32.85546875" style="317" customWidth="1"/>
    <col min="1794" max="1794" width="12" style="317" customWidth="1"/>
    <col min="1795" max="1795" width="10.28515625" style="317" customWidth="1"/>
    <col min="1796" max="1796" width="10.7109375" style="317" customWidth="1"/>
    <col min="1797" max="1797" width="10.5703125" style="317" customWidth="1"/>
    <col min="1798" max="1798" width="0" style="317" hidden="1" customWidth="1"/>
    <col min="1799" max="2047" width="9.140625" style="317"/>
    <col min="2048" max="2048" width="4" style="317" customWidth="1"/>
    <col min="2049" max="2049" width="32.85546875" style="317" customWidth="1"/>
    <col min="2050" max="2050" width="12" style="317" customWidth="1"/>
    <col min="2051" max="2051" width="10.28515625" style="317" customWidth="1"/>
    <col min="2052" max="2052" width="10.7109375" style="317" customWidth="1"/>
    <col min="2053" max="2053" width="10.5703125" style="317" customWidth="1"/>
    <col min="2054" max="2054" width="0" style="317" hidden="1" customWidth="1"/>
    <col min="2055" max="2303" width="9.140625" style="317"/>
    <col min="2304" max="2304" width="4" style="317" customWidth="1"/>
    <col min="2305" max="2305" width="32.85546875" style="317" customWidth="1"/>
    <col min="2306" max="2306" width="12" style="317" customWidth="1"/>
    <col min="2307" max="2307" width="10.28515625" style="317" customWidth="1"/>
    <col min="2308" max="2308" width="10.7109375" style="317" customWidth="1"/>
    <col min="2309" max="2309" width="10.5703125" style="317" customWidth="1"/>
    <col min="2310" max="2310" width="0" style="317" hidden="1" customWidth="1"/>
    <col min="2311" max="2559" width="9.140625" style="317"/>
    <col min="2560" max="2560" width="4" style="317" customWidth="1"/>
    <col min="2561" max="2561" width="32.85546875" style="317" customWidth="1"/>
    <col min="2562" max="2562" width="12" style="317" customWidth="1"/>
    <col min="2563" max="2563" width="10.28515625" style="317" customWidth="1"/>
    <col min="2564" max="2564" width="10.7109375" style="317" customWidth="1"/>
    <col min="2565" max="2565" width="10.5703125" style="317" customWidth="1"/>
    <col min="2566" max="2566" width="0" style="317" hidden="1" customWidth="1"/>
    <col min="2567" max="2815" width="9.140625" style="317"/>
    <col min="2816" max="2816" width="4" style="317" customWidth="1"/>
    <col min="2817" max="2817" width="32.85546875" style="317" customWidth="1"/>
    <col min="2818" max="2818" width="12" style="317" customWidth="1"/>
    <col min="2819" max="2819" width="10.28515625" style="317" customWidth="1"/>
    <col min="2820" max="2820" width="10.7109375" style="317" customWidth="1"/>
    <col min="2821" max="2821" width="10.5703125" style="317" customWidth="1"/>
    <col min="2822" max="2822" width="0" style="317" hidden="1" customWidth="1"/>
    <col min="2823" max="3071" width="9.140625" style="317"/>
    <col min="3072" max="3072" width="4" style="317" customWidth="1"/>
    <col min="3073" max="3073" width="32.85546875" style="317" customWidth="1"/>
    <col min="3074" max="3074" width="12" style="317" customWidth="1"/>
    <col min="3075" max="3075" width="10.28515625" style="317" customWidth="1"/>
    <col min="3076" max="3076" width="10.7109375" style="317" customWidth="1"/>
    <col min="3077" max="3077" width="10.5703125" style="317" customWidth="1"/>
    <col min="3078" max="3078" width="0" style="317" hidden="1" customWidth="1"/>
    <col min="3079" max="3327" width="9.140625" style="317"/>
    <col min="3328" max="3328" width="4" style="317" customWidth="1"/>
    <col min="3329" max="3329" width="32.85546875" style="317" customWidth="1"/>
    <col min="3330" max="3330" width="12" style="317" customWidth="1"/>
    <col min="3331" max="3331" width="10.28515625" style="317" customWidth="1"/>
    <col min="3332" max="3332" width="10.7109375" style="317" customWidth="1"/>
    <col min="3333" max="3333" width="10.5703125" style="317" customWidth="1"/>
    <col min="3334" max="3334" width="0" style="317" hidden="1" customWidth="1"/>
    <col min="3335" max="3583" width="9.140625" style="317"/>
    <col min="3584" max="3584" width="4" style="317" customWidth="1"/>
    <col min="3585" max="3585" width="32.85546875" style="317" customWidth="1"/>
    <col min="3586" max="3586" width="12" style="317" customWidth="1"/>
    <col min="3587" max="3587" width="10.28515625" style="317" customWidth="1"/>
    <col min="3588" max="3588" width="10.7109375" style="317" customWidth="1"/>
    <col min="3589" max="3589" width="10.5703125" style="317" customWidth="1"/>
    <col min="3590" max="3590" width="0" style="317" hidden="1" customWidth="1"/>
    <col min="3591" max="3839" width="9.140625" style="317"/>
    <col min="3840" max="3840" width="4" style="317" customWidth="1"/>
    <col min="3841" max="3841" width="32.85546875" style="317" customWidth="1"/>
    <col min="3842" max="3842" width="12" style="317" customWidth="1"/>
    <col min="3843" max="3843" width="10.28515625" style="317" customWidth="1"/>
    <col min="3844" max="3844" width="10.7109375" style="317" customWidth="1"/>
    <col min="3845" max="3845" width="10.5703125" style="317" customWidth="1"/>
    <col min="3846" max="3846" width="0" style="317" hidden="1" customWidth="1"/>
    <col min="3847" max="4095" width="9.140625" style="317"/>
    <col min="4096" max="4096" width="4" style="317" customWidth="1"/>
    <col min="4097" max="4097" width="32.85546875" style="317" customWidth="1"/>
    <col min="4098" max="4098" width="12" style="317" customWidth="1"/>
    <col min="4099" max="4099" width="10.28515625" style="317" customWidth="1"/>
    <col min="4100" max="4100" width="10.7109375" style="317" customWidth="1"/>
    <col min="4101" max="4101" width="10.5703125" style="317" customWidth="1"/>
    <col min="4102" max="4102" width="0" style="317" hidden="1" customWidth="1"/>
    <col min="4103" max="4351" width="9.140625" style="317"/>
    <col min="4352" max="4352" width="4" style="317" customWidth="1"/>
    <col min="4353" max="4353" width="32.85546875" style="317" customWidth="1"/>
    <col min="4354" max="4354" width="12" style="317" customWidth="1"/>
    <col min="4355" max="4355" width="10.28515625" style="317" customWidth="1"/>
    <col min="4356" max="4356" width="10.7109375" style="317" customWidth="1"/>
    <col min="4357" max="4357" width="10.5703125" style="317" customWidth="1"/>
    <col min="4358" max="4358" width="0" style="317" hidden="1" customWidth="1"/>
    <col min="4359" max="4607" width="9.140625" style="317"/>
    <col min="4608" max="4608" width="4" style="317" customWidth="1"/>
    <col min="4609" max="4609" width="32.85546875" style="317" customWidth="1"/>
    <col min="4610" max="4610" width="12" style="317" customWidth="1"/>
    <col min="4611" max="4611" width="10.28515625" style="317" customWidth="1"/>
    <col min="4612" max="4612" width="10.7109375" style="317" customWidth="1"/>
    <col min="4613" max="4613" width="10.5703125" style="317" customWidth="1"/>
    <col min="4614" max="4614" width="0" style="317" hidden="1" customWidth="1"/>
    <col min="4615" max="4863" width="9.140625" style="317"/>
    <col min="4864" max="4864" width="4" style="317" customWidth="1"/>
    <col min="4865" max="4865" width="32.85546875" style="317" customWidth="1"/>
    <col min="4866" max="4866" width="12" style="317" customWidth="1"/>
    <col min="4867" max="4867" width="10.28515625" style="317" customWidth="1"/>
    <col min="4868" max="4868" width="10.7109375" style="317" customWidth="1"/>
    <col min="4869" max="4869" width="10.5703125" style="317" customWidth="1"/>
    <col min="4870" max="4870" width="0" style="317" hidden="1" customWidth="1"/>
    <col min="4871" max="5119" width="9.140625" style="317"/>
    <col min="5120" max="5120" width="4" style="317" customWidth="1"/>
    <col min="5121" max="5121" width="32.85546875" style="317" customWidth="1"/>
    <col min="5122" max="5122" width="12" style="317" customWidth="1"/>
    <col min="5123" max="5123" width="10.28515625" style="317" customWidth="1"/>
    <col min="5124" max="5124" width="10.7109375" style="317" customWidth="1"/>
    <col min="5125" max="5125" width="10.5703125" style="317" customWidth="1"/>
    <col min="5126" max="5126" width="0" style="317" hidden="1" customWidth="1"/>
    <col min="5127" max="5375" width="9.140625" style="317"/>
    <col min="5376" max="5376" width="4" style="317" customWidth="1"/>
    <col min="5377" max="5377" width="32.85546875" style="317" customWidth="1"/>
    <col min="5378" max="5378" width="12" style="317" customWidth="1"/>
    <col min="5379" max="5379" width="10.28515625" style="317" customWidth="1"/>
    <col min="5380" max="5380" width="10.7109375" style="317" customWidth="1"/>
    <col min="5381" max="5381" width="10.5703125" style="317" customWidth="1"/>
    <col min="5382" max="5382" width="0" style="317" hidden="1" customWidth="1"/>
    <col min="5383" max="5631" width="9.140625" style="317"/>
    <col min="5632" max="5632" width="4" style="317" customWidth="1"/>
    <col min="5633" max="5633" width="32.85546875" style="317" customWidth="1"/>
    <col min="5634" max="5634" width="12" style="317" customWidth="1"/>
    <col min="5635" max="5635" width="10.28515625" style="317" customWidth="1"/>
    <col min="5636" max="5636" width="10.7109375" style="317" customWidth="1"/>
    <col min="5637" max="5637" width="10.5703125" style="317" customWidth="1"/>
    <col min="5638" max="5638" width="0" style="317" hidden="1" customWidth="1"/>
    <col min="5639" max="5887" width="9.140625" style="317"/>
    <col min="5888" max="5888" width="4" style="317" customWidth="1"/>
    <col min="5889" max="5889" width="32.85546875" style="317" customWidth="1"/>
    <col min="5890" max="5890" width="12" style="317" customWidth="1"/>
    <col min="5891" max="5891" width="10.28515625" style="317" customWidth="1"/>
    <col min="5892" max="5892" width="10.7109375" style="317" customWidth="1"/>
    <col min="5893" max="5893" width="10.5703125" style="317" customWidth="1"/>
    <col min="5894" max="5894" width="0" style="317" hidden="1" customWidth="1"/>
    <col min="5895" max="6143" width="9.140625" style="317"/>
    <col min="6144" max="6144" width="4" style="317" customWidth="1"/>
    <col min="6145" max="6145" width="32.85546875" style="317" customWidth="1"/>
    <col min="6146" max="6146" width="12" style="317" customWidth="1"/>
    <col min="6147" max="6147" width="10.28515625" style="317" customWidth="1"/>
    <col min="6148" max="6148" width="10.7109375" style="317" customWidth="1"/>
    <col min="6149" max="6149" width="10.5703125" style="317" customWidth="1"/>
    <col min="6150" max="6150" width="0" style="317" hidden="1" customWidth="1"/>
    <col min="6151" max="6399" width="9.140625" style="317"/>
    <col min="6400" max="6400" width="4" style="317" customWidth="1"/>
    <col min="6401" max="6401" width="32.85546875" style="317" customWidth="1"/>
    <col min="6402" max="6402" width="12" style="317" customWidth="1"/>
    <col min="6403" max="6403" width="10.28515625" style="317" customWidth="1"/>
    <col min="6404" max="6404" width="10.7109375" style="317" customWidth="1"/>
    <col min="6405" max="6405" width="10.5703125" style="317" customWidth="1"/>
    <col min="6406" max="6406" width="0" style="317" hidden="1" customWidth="1"/>
    <col min="6407" max="6655" width="9.140625" style="317"/>
    <col min="6656" max="6656" width="4" style="317" customWidth="1"/>
    <col min="6657" max="6657" width="32.85546875" style="317" customWidth="1"/>
    <col min="6658" max="6658" width="12" style="317" customWidth="1"/>
    <col min="6659" max="6659" width="10.28515625" style="317" customWidth="1"/>
    <col min="6660" max="6660" width="10.7109375" style="317" customWidth="1"/>
    <col min="6661" max="6661" width="10.5703125" style="317" customWidth="1"/>
    <col min="6662" max="6662" width="0" style="317" hidden="1" customWidth="1"/>
    <col min="6663" max="6911" width="9.140625" style="317"/>
    <col min="6912" max="6912" width="4" style="317" customWidth="1"/>
    <col min="6913" max="6913" width="32.85546875" style="317" customWidth="1"/>
    <col min="6914" max="6914" width="12" style="317" customWidth="1"/>
    <col min="6915" max="6915" width="10.28515625" style="317" customWidth="1"/>
    <col min="6916" max="6916" width="10.7109375" style="317" customWidth="1"/>
    <col min="6917" max="6917" width="10.5703125" style="317" customWidth="1"/>
    <col min="6918" max="6918" width="0" style="317" hidden="1" customWidth="1"/>
    <col min="6919" max="7167" width="9.140625" style="317"/>
    <col min="7168" max="7168" width="4" style="317" customWidth="1"/>
    <col min="7169" max="7169" width="32.85546875" style="317" customWidth="1"/>
    <col min="7170" max="7170" width="12" style="317" customWidth="1"/>
    <col min="7171" max="7171" width="10.28515625" style="317" customWidth="1"/>
    <col min="7172" max="7172" width="10.7109375" style="317" customWidth="1"/>
    <col min="7173" max="7173" width="10.5703125" style="317" customWidth="1"/>
    <col min="7174" max="7174" width="0" style="317" hidden="1" customWidth="1"/>
    <col min="7175" max="7423" width="9.140625" style="317"/>
    <col min="7424" max="7424" width="4" style="317" customWidth="1"/>
    <col min="7425" max="7425" width="32.85546875" style="317" customWidth="1"/>
    <col min="7426" max="7426" width="12" style="317" customWidth="1"/>
    <col min="7427" max="7427" width="10.28515625" style="317" customWidth="1"/>
    <col min="7428" max="7428" width="10.7109375" style="317" customWidth="1"/>
    <col min="7429" max="7429" width="10.5703125" style="317" customWidth="1"/>
    <col min="7430" max="7430" width="0" style="317" hidden="1" customWidth="1"/>
    <col min="7431" max="7679" width="9.140625" style="317"/>
    <col min="7680" max="7680" width="4" style="317" customWidth="1"/>
    <col min="7681" max="7681" width="32.85546875" style="317" customWidth="1"/>
    <col min="7682" max="7682" width="12" style="317" customWidth="1"/>
    <col min="7683" max="7683" width="10.28515625" style="317" customWidth="1"/>
    <col min="7684" max="7684" width="10.7109375" style="317" customWidth="1"/>
    <col min="7685" max="7685" width="10.5703125" style="317" customWidth="1"/>
    <col min="7686" max="7686" width="0" style="317" hidden="1" customWidth="1"/>
    <col min="7687" max="7935" width="9.140625" style="317"/>
    <col min="7936" max="7936" width="4" style="317" customWidth="1"/>
    <col min="7937" max="7937" width="32.85546875" style="317" customWidth="1"/>
    <col min="7938" max="7938" width="12" style="317" customWidth="1"/>
    <col min="7939" max="7939" width="10.28515625" style="317" customWidth="1"/>
    <col min="7940" max="7940" width="10.7109375" style="317" customWidth="1"/>
    <col min="7941" max="7941" width="10.5703125" style="317" customWidth="1"/>
    <col min="7942" max="7942" width="0" style="317" hidden="1" customWidth="1"/>
    <col min="7943" max="8191" width="9.140625" style="317"/>
    <col min="8192" max="8192" width="4" style="317" customWidth="1"/>
    <col min="8193" max="8193" width="32.85546875" style="317" customWidth="1"/>
    <col min="8194" max="8194" width="12" style="317" customWidth="1"/>
    <col min="8195" max="8195" width="10.28515625" style="317" customWidth="1"/>
    <col min="8196" max="8196" width="10.7109375" style="317" customWidth="1"/>
    <col min="8197" max="8197" width="10.5703125" style="317" customWidth="1"/>
    <col min="8198" max="8198" width="0" style="317" hidden="1" customWidth="1"/>
    <col min="8199" max="8447" width="9.140625" style="317"/>
    <col min="8448" max="8448" width="4" style="317" customWidth="1"/>
    <col min="8449" max="8449" width="32.85546875" style="317" customWidth="1"/>
    <col min="8450" max="8450" width="12" style="317" customWidth="1"/>
    <col min="8451" max="8451" width="10.28515625" style="317" customWidth="1"/>
    <col min="8452" max="8452" width="10.7109375" style="317" customWidth="1"/>
    <col min="8453" max="8453" width="10.5703125" style="317" customWidth="1"/>
    <col min="8454" max="8454" width="0" style="317" hidden="1" customWidth="1"/>
    <col min="8455" max="8703" width="9.140625" style="317"/>
    <col min="8704" max="8704" width="4" style="317" customWidth="1"/>
    <col min="8705" max="8705" width="32.85546875" style="317" customWidth="1"/>
    <col min="8706" max="8706" width="12" style="317" customWidth="1"/>
    <col min="8707" max="8707" width="10.28515625" style="317" customWidth="1"/>
    <col min="8708" max="8708" width="10.7109375" style="317" customWidth="1"/>
    <col min="8709" max="8709" width="10.5703125" style="317" customWidth="1"/>
    <col min="8710" max="8710" width="0" style="317" hidden="1" customWidth="1"/>
    <col min="8711" max="8959" width="9.140625" style="317"/>
    <col min="8960" max="8960" width="4" style="317" customWidth="1"/>
    <col min="8961" max="8961" width="32.85546875" style="317" customWidth="1"/>
    <col min="8962" max="8962" width="12" style="317" customWidth="1"/>
    <col min="8963" max="8963" width="10.28515625" style="317" customWidth="1"/>
    <col min="8964" max="8964" width="10.7109375" style="317" customWidth="1"/>
    <col min="8965" max="8965" width="10.5703125" style="317" customWidth="1"/>
    <col min="8966" max="8966" width="0" style="317" hidden="1" customWidth="1"/>
    <col min="8967" max="9215" width="9.140625" style="317"/>
    <col min="9216" max="9216" width="4" style="317" customWidth="1"/>
    <col min="9217" max="9217" width="32.85546875" style="317" customWidth="1"/>
    <col min="9218" max="9218" width="12" style="317" customWidth="1"/>
    <col min="9219" max="9219" width="10.28515625" style="317" customWidth="1"/>
    <col min="9220" max="9220" width="10.7109375" style="317" customWidth="1"/>
    <col min="9221" max="9221" width="10.5703125" style="317" customWidth="1"/>
    <col min="9222" max="9222" width="0" style="317" hidden="1" customWidth="1"/>
    <col min="9223" max="9471" width="9.140625" style="317"/>
    <col min="9472" max="9472" width="4" style="317" customWidth="1"/>
    <col min="9473" max="9473" width="32.85546875" style="317" customWidth="1"/>
    <col min="9474" max="9474" width="12" style="317" customWidth="1"/>
    <col min="9475" max="9475" width="10.28515625" style="317" customWidth="1"/>
    <col min="9476" max="9476" width="10.7109375" style="317" customWidth="1"/>
    <col min="9477" max="9477" width="10.5703125" style="317" customWidth="1"/>
    <col min="9478" max="9478" width="0" style="317" hidden="1" customWidth="1"/>
    <col min="9479" max="9727" width="9.140625" style="317"/>
    <col min="9728" max="9728" width="4" style="317" customWidth="1"/>
    <col min="9729" max="9729" width="32.85546875" style="317" customWidth="1"/>
    <col min="9730" max="9730" width="12" style="317" customWidth="1"/>
    <col min="9731" max="9731" width="10.28515625" style="317" customWidth="1"/>
    <col min="9732" max="9732" width="10.7109375" style="317" customWidth="1"/>
    <col min="9733" max="9733" width="10.5703125" style="317" customWidth="1"/>
    <col min="9734" max="9734" width="0" style="317" hidden="1" customWidth="1"/>
    <col min="9735" max="9983" width="9.140625" style="317"/>
    <col min="9984" max="9984" width="4" style="317" customWidth="1"/>
    <col min="9985" max="9985" width="32.85546875" style="317" customWidth="1"/>
    <col min="9986" max="9986" width="12" style="317" customWidth="1"/>
    <col min="9987" max="9987" width="10.28515625" style="317" customWidth="1"/>
    <col min="9988" max="9988" width="10.7109375" style="317" customWidth="1"/>
    <col min="9989" max="9989" width="10.5703125" style="317" customWidth="1"/>
    <col min="9990" max="9990" width="0" style="317" hidden="1" customWidth="1"/>
    <col min="9991" max="10239" width="9.140625" style="317"/>
    <col min="10240" max="10240" width="4" style="317" customWidth="1"/>
    <col min="10241" max="10241" width="32.85546875" style="317" customWidth="1"/>
    <col min="10242" max="10242" width="12" style="317" customWidth="1"/>
    <col min="10243" max="10243" width="10.28515625" style="317" customWidth="1"/>
    <col min="10244" max="10244" width="10.7109375" style="317" customWidth="1"/>
    <col min="10245" max="10245" width="10.5703125" style="317" customWidth="1"/>
    <col min="10246" max="10246" width="0" style="317" hidden="1" customWidth="1"/>
    <col min="10247" max="10495" width="9.140625" style="317"/>
    <col min="10496" max="10496" width="4" style="317" customWidth="1"/>
    <col min="10497" max="10497" width="32.85546875" style="317" customWidth="1"/>
    <col min="10498" max="10498" width="12" style="317" customWidth="1"/>
    <col min="10499" max="10499" width="10.28515625" style="317" customWidth="1"/>
    <col min="10500" max="10500" width="10.7109375" style="317" customWidth="1"/>
    <col min="10501" max="10501" width="10.5703125" style="317" customWidth="1"/>
    <col min="10502" max="10502" width="0" style="317" hidden="1" customWidth="1"/>
    <col min="10503" max="10751" width="9.140625" style="317"/>
    <col min="10752" max="10752" width="4" style="317" customWidth="1"/>
    <col min="10753" max="10753" width="32.85546875" style="317" customWidth="1"/>
    <col min="10754" max="10754" width="12" style="317" customWidth="1"/>
    <col min="10755" max="10755" width="10.28515625" style="317" customWidth="1"/>
    <col min="10756" max="10756" width="10.7109375" style="317" customWidth="1"/>
    <col min="10757" max="10757" width="10.5703125" style="317" customWidth="1"/>
    <col min="10758" max="10758" width="0" style="317" hidden="1" customWidth="1"/>
    <col min="10759" max="11007" width="9.140625" style="317"/>
    <col min="11008" max="11008" width="4" style="317" customWidth="1"/>
    <col min="11009" max="11009" width="32.85546875" style="317" customWidth="1"/>
    <col min="11010" max="11010" width="12" style="317" customWidth="1"/>
    <col min="11011" max="11011" width="10.28515625" style="317" customWidth="1"/>
    <col min="11012" max="11012" width="10.7109375" style="317" customWidth="1"/>
    <col min="11013" max="11013" width="10.5703125" style="317" customWidth="1"/>
    <col min="11014" max="11014" width="0" style="317" hidden="1" customWidth="1"/>
    <col min="11015" max="11263" width="9.140625" style="317"/>
    <col min="11264" max="11264" width="4" style="317" customWidth="1"/>
    <col min="11265" max="11265" width="32.85546875" style="317" customWidth="1"/>
    <col min="11266" max="11266" width="12" style="317" customWidth="1"/>
    <col min="11267" max="11267" width="10.28515625" style="317" customWidth="1"/>
    <col min="11268" max="11268" width="10.7109375" style="317" customWidth="1"/>
    <col min="11269" max="11269" width="10.5703125" style="317" customWidth="1"/>
    <col min="11270" max="11270" width="0" style="317" hidden="1" customWidth="1"/>
    <col min="11271" max="11519" width="9.140625" style="317"/>
    <col min="11520" max="11520" width="4" style="317" customWidth="1"/>
    <col min="11521" max="11521" width="32.85546875" style="317" customWidth="1"/>
    <col min="11522" max="11522" width="12" style="317" customWidth="1"/>
    <col min="11523" max="11523" width="10.28515625" style="317" customWidth="1"/>
    <col min="11524" max="11524" width="10.7109375" style="317" customWidth="1"/>
    <col min="11525" max="11525" width="10.5703125" style="317" customWidth="1"/>
    <col min="11526" max="11526" width="0" style="317" hidden="1" customWidth="1"/>
    <col min="11527" max="11775" width="9.140625" style="317"/>
    <col min="11776" max="11776" width="4" style="317" customWidth="1"/>
    <col min="11777" max="11777" width="32.85546875" style="317" customWidth="1"/>
    <col min="11778" max="11778" width="12" style="317" customWidth="1"/>
    <col min="11779" max="11779" width="10.28515625" style="317" customWidth="1"/>
    <col min="11780" max="11780" width="10.7109375" style="317" customWidth="1"/>
    <col min="11781" max="11781" width="10.5703125" style="317" customWidth="1"/>
    <col min="11782" max="11782" width="0" style="317" hidden="1" customWidth="1"/>
    <col min="11783" max="12031" width="9.140625" style="317"/>
    <col min="12032" max="12032" width="4" style="317" customWidth="1"/>
    <col min="12033" max="12033" width="32.85546875" style="317" customWidth="1"/>
    <col min="12034" max="12034" width="12" style="317" customWidth="1"/>
    <col min="12035" max="12035" width="10.28515625" style="317" customWidth="1"/>
    <col min="12036" max="12036" width="10.7109375" style="317" customWidth="1"/>
    <col min="12037" max="12037" width="10.5703125" style="317" customWidth="1"/>
    <col min="12038" max="12038" width="0" style="317" hidden="1" customWidth="1"/>
    <col min="12039" max="12287" width="9.140625" style="317"/>
    <col min="12288" max="12288" width="4" style="317" customWidth="1"/>
    <col min="12289" max="12289" width="32.85546875" style="317" customWidth="1"/>
    <col min="12290" max="12290" width="12" style="317" customWidth="1"/>
    <col min="12291" max="12291" width="10.28515625" style="317" customWidth="1"/>
    <col min="12292" max="12292" width="10.7109375" style="317" customWidth="1"/>
    <col min="12293" max="12293" width="10.5703125" style="317" customWidth="1"/>
    <col min="12294" max="12294" width="0" style="317" hidden="1" customWidth="1"/>
    <col min="12295" max="12543" width="9.140625" style="317"/>
    <col min="12544" max="12544" width="4" style="317" customWidth="1"/>
    <col min="12545" max="12545" width="32.85546875" style="317" customWidth="1"/>
    <col min="12546" max="12546" width="12" style="317" customWidth="1"/>
    <col min="12547" max="12547" width="10.28515625" style="317" customWidth="1"/>
    <col min="12548" max="12548" width="10.7109375" style="317" customWidth="1"/>
    <col min="12549" max="12549" width="10.5703125" style="317" customWidth="1"/>
    <col min="12550" max="12550" width="0" style="317" hidden="1" customWidth="1"/>
    <col min="12551" max="12799" width="9.140625" style="317"/>
    <col min="12800" max="12800" width="4" style="317" customWidth="1"/>
    <col min="12801" max="12801" width="32.85546875" style="317" customWidth="1"/>
    <col min="12802" max="12802" width="12" style="317" customWidth="1"/>
    <col min="12803" max="12803" width="10.28515625" style="317" customWidth="1"/>
    <col min="12804" max="12804" width="10.7109375" style="317" customWidth="1"/>
    <col min="12805" max="12805" width="10.5703125" style="317" customWidth="1"/>
    <col min="12806" max="12806" width="0" style="317" hidden="1" customWidth="1"/>
    <col min="12807" max="13055" width="9.140625" style="317"/>
    <col min="13056" max="13056" width="4" style="317" customWidth="1"/>
    <col min="13057" max="13057" width="32.85546875" style="317" customWidth="1"/>
    <col min="13058" max="13058" width="12" style="317" customWidth="1"/>
    <col min="13059" max="13059" width="10.28515625" style="317" customWidth="1"/>
    <col min="13060" max="13060" width="10.7109375" style="317" customWidth="1"/>
    <col min="13061" max="13061" width="10.5703125" style="317" customWidth="1"/>
    <col min="13062" max="13062" width="0" style="317" hidden="1" customWidth="1"/>
    <col min="13063" max="13311" width="9.140625" style="317"/>
    <col min="13312" max="13312" width="4" style="317" customWidth="1"/>
    <col min="13313" max="13313" width="32.85546875" style="317" customWidth="1"/>
    <col min="13314" max="13314" width="12" style="317" customWidth="1"/>
    <col min="13315" max="13315" width="10.28515625" style="317" customWidth="1"/>
    <col min="13316" max="13316" width="10.7109375" style="317" customWidth="1"/>
    <col min="13317" max="13317" width="10.5703125" style="317" customWidth="1"/>
    <col min="13318" max="13318" width="0" style="317" hidden="1" customWidth="1"/>
    <col min="13319" max="13567" width="9.140625" style="317"/>
    <col min="13568" max="13568" width="4" style="317" customWidth="1"/>
    <col min="13569" max="13569" width="32.85546875" style="317" customWidth="1"/>
    <col min="13570" max="13570" width="12" style="317" customWidth="1"/>
    <col min="13571" max="13571" width="10.28515625" style="317" customWidth="1"/>
    <col min="13572" max="13572" width="10.7109375" style="317" customWidth="1"/>
    <col min="13573" max="13573" width="10.5703125" style="317" customWidth="1"/>
    <col min="13574" max="13574" width="0" style="317" hidden="1" customWidth="1"/>
    <col min="13575" max="13823" width="9.140625" style="317"/>
    <col min="13824" max="13824" width="4" style="317" customWidth="1"/>
    <col min="13825" max="13825" width="32.85546875" style="317" customWidth="1"/>
    <col min="13826" max="13826" width="12" style="317" customWidth="1"/>
    <col min="13827" max="13827" width="10.28515625" style="317" customWidth="1"/>
    <col min="13828" max="13828" width="10.7109375" style="317" customWidth="1"/>
    <col min="13829" max="13829" width="10.5703125" style="317" customWidth="1"/>
    <col min="13830" max="13830" width="0" style="317" hidden="1" customWidth="1"/>
    <col min="13831" max="14079" width="9.140625" style="317"/>
    <col min="14080" max="14080" width="4" style="317" customWidth="1"/>
    <col min="14081" max="14081" width="32.85546875" style="317" customWidth="1"/>
    <col min="14082" max="14082" width="12" style="317" customWidth="1"/>
    <col min="14083" max="14083" width="10.28515625" style="317" customWidth="1"/>
    <col min="14084" max="14084" width="10.7109375" style="317" customWidth="1"/>
    <col min="14085" max="14085" width="10.5703125" style="317" customWidth="1"/>
    <col min="14086" max="14086" width="0" style="317" hidden="1" customWidth="1"/>
    <col min="14087" max="14335" width="9.140625" style="317"/>
    <col min="14336" max="14336" width="4" style="317" customWidth="1"/>
    <col min="14337" max="14337" width="32.85546875" style="317" customWidth="1"/>
    <col min="14338" max="14338" width="12" style="317" customWidth="1"/>
    <col min="14339" max="14339" width="10.28515625" style="317" customWidth="1"/>
    <col min="14340" max="14340" width="10.7109375" style="317" customWidth="1"/>
    <col min="14341" max="14341" width="10.5703125" style="317" customWidth="1"/>
    <col min="14342" max="14342" width="0" style="317" hidden="1" customWidth="1"/>
    <col min="14343" max="14591" width="9.140625" style="317"/>
    <col min="14592" max="14592" width="4" style="317" customWidth="1"/>
    <col min="14593" max="14593" width="32.85546875" style="317" customWidth="1"/>
    <col min="14594" max="14594" width="12" style="317" customWidth="1"/>
    <col min="14595" max="14595" width="10.28515625" style="317" customWidth="1"/>
    <col min="14596" max="14596" width="10.7109375" style="317" customWidth="1"/>
    <col min="14597" max="14597" width="10.5703125" style="317" customWidth="1"/>
    <col min="14598" max="14598" width="0" style="317" hidden="1" customWidth="1"/>
    <col min="14599" max="14847" width="9.140625" style="317"/>
    <col min="14848" max="14848" width="4" style="317" customWidth="1"/>
    <col min="14849" max="14849" width="32.85546875" style="317" customWidth="1"/>
    <col min="14850" max="14850" width="12" style="317" customWidth="1"/>
    <col min="14851" max="14851" width="10.28515625" style="317" customWidth="1"/>
    <col min="14852" max="14852" width="10.7109375" style="317" customWidth="1"/>
    <col min="14853" max="14853" width="10.5703125" style="317" customWidth="1"/>
    <col min="14854" max="14854" width="0" style="317" hidden="1" customWidth="1"/>
    <col min="14855" max="15103" width="9.140625" style="317"/>
    <col min="15104" max="15104" width="4" style="317" customWidth="1"/>
    <col min="15105" max="15105" width="32.85546875" style="317" customWidth="1"/>
    <col min="15106" max="15106" width="12" style="317" customWidth="1"/>
    <col min="15107" max="15107" width="10.28515625" style="317" customWidth="1"/>
    <col min="15108" max="15108" width="10.7109375" style="317" customWidth="1"/>
    <col min="15109" max="15109" width="10.5703125" style="317" customWidth="1"/>
    <col min="15110" max="15110" width="0" style="317" hidden="1" customWidth="1"/>
    <col min="15111" max="15359" width="9.140625" style="317"/>
    <col min="15360" max="15360" width="4" style="317" customWidth="1"/>
    <col min="15361" max="15361" width="32.85546875" style="317" customWidth="1"/>
    <col min="15362" max="15362" width="12" style="317" customWidth="1"/>
    <col min="15363" max="15363" width="10.28515625" style="317" customWidth="1"/>
    <col min="15364" max="15364" width="10.7109375" style="317" customWidth="1"/>
    <col min="15365" max="15365" width="10.5703125" style="317" customWidth="1"/>
    <col min="15366" max="15366" width="0" style="317" hidden="1" customWidth="1"/>
    <col min="15367" max="15615" width="9.140625" style="317"/>
    <col min="15616" max="15616" width="4" style="317" customWidth="1"/>
    <col min="15617" max="15617" width="32.85546875" style="317" customWidth="1"/>
    <col min="15618" max="15618" width="12" style="317" customWidth="1"/>
    <col min="15619" max="15619" width="10.28515625" style="317" customWidth="1"/>
    <col min="15620" max="15620" width="10.7109375" style="317" customWidth="1"/>
    <col min="15621" max="15621" width="10.5703125" style="317" customWidth="1"/>
    <col min="15622" max="15622" width="0" style="317" hidden="1" customWidth="1"/>
    <col min="15623" max="15871" width="9.140625" style="317"/>
    <col min="15872" max="15872" width="4" style="317" customWidth="1"/>
    <col min="15873" max="15873" width="32.85546875" style="317" customWidth="1"/>
    <col min="15874" max="15874" width="12" style="317" customWidth="1"/>
    <col min="15875" max="15875" width="10.28515625" style="317" customWidth="1"/>
    <col min="15876" max="15876" width="10.7109375" style="317" customWidth="1"/>
    <col min="15877" max="15877" width="10.5703125" style="317" customWidth="1"/>
    <col min="15878" max="15878" width="0" style="317" hidden="1" customWidth="1"/>
    <col min="15879" max="16127" width="9.140625" style="317"/>
    <col min="16128" max="16128" width="4" style="317" customWidth="1"/>
    <col min="16129" max="16129" width="32.85546875" style="317" customWidth="1"/>
    <col min="16130" max="16130" width="12" style="317" customWidth="1"/>
    <col min="16131" max="16131" width="10.28515625" style="317" customWidth="1"/>
    <col min="16132" max="16132" width="10.7109375" style="317" customWidth="1"/>
    <col min="16133" max="16133" width="10.5703125" style="317" customWidth="1"/>
    <col min="16134" max="16134" width="0" style="317" hidden="1" customWidth="1"/>
    <col min="16135" max="16384" width="9.140625" style="317"/>
  </cols>
  <sheetData>
    <row r="1" spans="1:11">
      <c r="A1" s="3" t="s">
        <v>603</v>
      </c>
      <c r="B1" s="3"/>
      <c r="C1" s="3"/>
      <c r="D1" s="3"/>
      <c r="E1" s="3"/>
      <c r="G1" s="3"/>
      <c r="H1" s="3"/>
      <c r="I1" s="3"/>
      <c r="J1" s="3"/>
      <c r="K1" s="3" t="s">
        <v>995</v>
      </c>
    </row>
    <row r="2" spans="1:11" ht="15.75">
      <c r="A2" s="3" t="s">
        <v>1035</v>
      </c>
      <c r="B2" s="322"/>
      <c r="C2" s="322"/>
      <c r="D2" s="322"/>
      <c r="E2" s="322"/>
      <c r="H2" s="322"/>
      <c r="I2" s="322"/>
      <c r="J2" s="322"/>
      <c r="K2" s="322"/>
    </row>
    <row r="3" spans="1:11" ht="15.75">
      <c r="B3" s="322"/>
      <c r="C3" s="322"/>
      <c r="D3" s="322"/>
      <c r="E3" s="322"/>
      <c r="H3" s="322"/>
      <c r="I3" s="322"/>
      <c r="J3" s="322"/>
      <c r="K3" s="322"/>
    </row>
    <row r="4" spans="1:11">
      <c r="A4" s="323" t="s">
        <v>996</v>
      </c>
      <c r="B4" s="308" t="s">
        <v>1034</v>
      </c>
      <c r="C4" s="308"/>
      <c r="D4" s="308"/>
      <c r="E4" s="308"/>
      <c r="G4" s="323" t="s">
        <v>996</v>
      </c>
      <c r="H4" s="308" t="s">
        <v>1039</v>
      </c>
      <c r="I4" s="308"/>
      <c r="J4" s="308"/>
      <c r="K4" s="308"/>
    </row>
    <row r="5" spans="1:11" s="357" customFormat="1" ht="51">
      <c r="A5" s="355" t="s">
        <v>997</v>
      </c>
      <c r="B5" s="356" t="s">
        <v>1036</v>
      </c>
      <c r="C5" s="356" t="s">
        <v>1037</v>
      </c>
      <c r="D5" s="356" t="s">
        <v>1038</v>
      </c>
      <c r="E5" s="356" t="s">
        <v>998</v>
      </c>
      <c r="G5" s="355" t="s">
        <v>997</v>
      </c>
      <c r="H5" s="356" t="s">
        <v>1036</v>
      </c>
      <c r="I5" s="356" t="s">
        <v>1037</v>
      </c>
      <c r="J5" s="356" t="s">
        <v>1038</v>
      </c>
      <c r="K5" s="356" t="s">
        <v>998</v>
      </c>
    </row>
    <row r="6" spans="1:11" hidden="1">
      <c r="A6" s="308" t="s">
        <v>999</v>
      </c>
      <c r="B6" s="308"/>
      <c r="C6" s="308"/>
      <c r="D6" s="308" t="s">
        <v>1000</v>
      </c>
      <c r="E6" s="308"/>
      <c r="G6" s="308" t="s">
        <v>999</v>
      </c>
      <c r="H6" s="308"/>
      <c r="I6" s="308"/>
      <c r="J6" s="308" t="s">
        <v>1000</v>
      </c>
      <c r="K6" s="308"/>
    </row>
    <row r="7" spans="1:11" hidden="1">
      <c r="A7" s="309" t="s">
        <v>1001</v>
      </c>
      <c r="B7" s="324"/>
      <c r="C7" s="324"/>
      <c r="D7" s="309"/>
      <c r="E7" s="325">
        <f>D7+C7+B7</f>
        <v>0</v>
      </c>
      <c r="G7" s="309" t="s">
        <v>1001</v>
      </c>
      <c r="H7" s="324"/>
      <c r="I7" s="324"/>
      <c r="J7" s="309"/>
      <c r="K7" s="325">
        <f>J7+I7+H7</f>
        <v>0</v>
      </c>
    </row>
    <row r="8" spans="1:11" hidden="1">
      <c r="A8" s="309" t="s">
        <v>1002</v>
      </c>
      <c r="B8" s="324"/>
      <c r="C8" s="324"/>
      <c r="D8" s="309"/>
      <c r="E8" s="325">
        <f>D8+C8+B8</f>
        <v>0</v>
      </c>
      <c r="G8" s="309" t="s">
        <v>1002</v>
      </c>
      <c r="H8" s="324"/>
      <c r="I8" s="324"/>
      <c r="J8" s="309"/>
      <c r="K8" s="325">
        <f>J8+I8+H8</f>
        <v>0</v>
      </c>
    </row>
    <row r="9" spans="1:11" hidden="1">
      <c r="A9" s="309" t="s">
        <v>1003</v>
      </c>
      <c r="B9" s="324"/>
      <c r="C9" s="324"/>
      <c r="D9" s="309"/>
      <c r="E9" s="325">
        <f>D9+C9+B9</f>
        <v>0</v>
      </c>
      <c r="G9" s="309" t="s">
        <v>1003</v>
      </c>
      <c r="H9" s="324"/>
      <c r="I9" s="324"/>
      <c r="J9" s="309"/>
      <c r="K9" s="325">
        <f>J9+I9+H9</f>
        <v>0</v>
      </c>
    </row>
    <row r="10" spans="1:11" hidden="1">
      <c r="A10" s="309" t="s">
        <v>1004</v>
      </c>
      <c r="B10" s="325">
        <f>SUM(B7:B9)</f>
        <v>0</v>
      </c>
      <c r="C10" s="325">
        <f>SUM(C7:C9)</f>
        <v>0</v>
      </c>
      <c r="D10" s="325">
        <f>SUM(D7:D9)</f>
        <v>0</v>
      </c>
      <c r="E10" s="325">
        <f>D10+C10+B10</f>
        <v>0</v>
      </c>
      <c r="G10" s="309" t="s">
        <v>1004</v>
      </c>
      <c r="H10" s="325">
        <f>SUM(H7:H9)</f>
        <v>0</v>
      </c>
      <c r="I10" s="325">
        <f>SUM(I7:I9)</f>
        <v>0</v>
      </c>
      <c r="J10" s="325">
        <f>SUM(J7:J9)</f>
        <v>0</v>
      </c>
      <c r="K10" s="325">
        <f>J10+I10+H10</f>
        <v>0</v>
      </c>
    </row>
    <row r="11" spans="1:11" hidden="1">
      <c r="A11" s="326"/>
      <c r="B11" s="325"/>
      <c r="C11" s="325"/>
      <c r="D11" s="325"/>
      <c r="E11" s="325"/>
      <c r="G11" s="326"/>
      <c r="H11" s="325"/>
      <c r="I11" s="325"/>
      <c r="J11" s="325"/>
      <c r="K11" s="325"/>
    </row>
    <row r="12" spans="1:11" hidden="1">
      <c r="A12" s="326"/>
      <c r="B12" s="325"/>
      <c r="C12" s="325"/>
      <c r="D12" s="325"/>
      <c r="E12" s="325"/>
      <c r="G12" s="326"/>
      <c r="H12" s="325"/>
      <c r="I12" s="325"/>
      <c r="J12" s="325"/>
      <c r="K12" s="325"/>
    </row>
    <row r="13" spans="1:11" s="331" customFormat="1">
      <c r="A13" s="327" t="s">
        <v>1005</v>
      </c>
      <c r="B13" s="328">
        <v>150000</v>
      </c>
      <c r="C13" s="328">
        <v>29250</v>
      </c>
      <c r="D13" s="328">
        <f>4989595+1627000</f>
        <v>6616595</v>
      </c>
      <c r="E13" s="329">
        <f>SUM(B13:D13)</f>
        <v>6795845</v>
      </c>
      <c r="F13" s="330" t="e">
        <f>E13-#REF!</f>
        <v>#REF!</v>
      </c>
      <c r="G13" s="327" t="s">
        <v>1005</v>
      </c>
      <c r="H13" s="328">
        <v>150000</v>
      </c>
      <c r="I13" s="328">
        <v>26250</v>
      </c>
      <c r="J13" s="328">
        <v>6688163</v>
      </c>
      <c r="K13" s="358">
        <f>SUM(H13:J13)</f>
        <v>6864413</v>
      </c>
    </row>
    <row r="14" spans="1:11" s="331" customFormat="1">
      <c r="A14" s="332" t="s">
        <v>1006</v>
      </c>
      <c r="B14" s="329"/>
      <c r="C14" s="329"/>
      <c r="D14" s="328">
        <v>317500</v>
      </c>
      <c r="E14" s="329">
        <f t="shared" ref="E14:E36" si="0">SUM(B14:D14)</f>
        <v>317500</v>
      </c>
      <c r="F14" s="330" t="e">
        <f>E14-#REF!</f>
        <v>#REF!</v>
      </c>
      <c r="G14" s="332" t="s">
        <v>1006</v>
      </c>
      <c r="H14" s="329"/>
      <c r="I14" s="329"/>
      <c r="J14" s="328">
        <v>1079500</v>
      </c>
      <c r="K14" s="358">
        <f t="shared" ref="K14:K37" si="1">SUM(H14:J14)</f>
        <v>1079500</v>
      </c>
    </row>
    <row r="15" spans="1:11" s="335" customFormat="1">
      <c r="A15" s="333" t="s">
        <v>1007</v>
      </c>
      <c r="B15" s="334">
        <v>2494818</v>
      </c>
      <c r="C15" s="334">
        <v>486490</v>
      </c>
      <c r="D15" s="329">
        <v>0</v>
      </c>
      <c r="E15" s="329">
        <f t="shared" si="0"/>
        <v>2981308</v>
      </c>
      <c r="F15" s="330" t="e">
        <f>E15-#REF!</f>
        <v>#REF!</v>
      </c>
      <c r="G15" s="333" t="s">
        <v>1007</v>
      </c>
      <c r="H15" s="334">
        <v>8805240</v>
      </c>
      <c r="I15" s="334">
        <v>1540917</v>
      </c>
      <c r="J15" s="329">
        <v>0</v>
      </c>
      <c r="K15" s="358">
        <f t="shared" si="1"/>
        <v>10346157</v>
      </c>
    </row>
    <row r="16" spans="1:11" s="337" customFormat="1">
      <c r="A16" s="327" t="s">
        <v>1008</v>
      </c>
      <c r="B16" s="329"/>
      <c r="C16" s="329"/>
      <c r="D16" s="336">
        <v>15640000</v>
      </c>
      <c r="E16" s="329">
        <f t="shared" si="0"/>
        <v>15640000</v>
      </c>
      <c r="F16" s="330" t="e">
        <f>E16-#REF!</f>
        <v>#REF!</v>
      </c>
      <c r="G16" s="327" t="s">
        <v>1008</v>
      </c>
      <c r="H16" s="329"/>
      <c r="I16" s="329"/>
      <c r="J16" s="336">
        <v>25272950</v>
      </c>
      <c r="K16" s="358">
        <f t="shared" si="1"/>
        <v>25272950</v>
      </c>
    </row>
    <row r="17" spans="1:11" s="340" customFormat="1">
      <c r="A17" s="332" t="s">
        <v>1009</v>
      </c>
      <c r="B17" s="339">
        <v>1600000</v>
      </c>
      <c r="C17" s="339">
        <v>312000</v>
      </c>
      <c r="D17" s="339">
        <v>228600</v>
      </c>
      <c r="E17" s="329">
        <f t="shared" si="0"/>
        <v>2140600</v>
      </c>
      <c r="F17" s="330" t="e">
        <f>E17-#REF!</f>
        <v>#REF!</v>
      </c>
      <c r="G17" s="332" t="s">
        <v>1009</v>
      </c>
      <c r="H17" s="339">
        <v>1600000</v>
      </c>
      <c r="I17" s="339">
        <v>280000</v>
      </c>
      <c r="J17" s="339">
        <v>228600</v>
      </c>
      <c r="K17" s="358">
        <f t="shared" si="1"/>
        <v>2108600</v>
      </c>
    </row>
    <row r="18" spans="1:11" s="340" customFormat="1">
      <c r="A18" s="332" t="s">
        <v>1010</v>
      </c>
      <c r="B18" s="328">
        <v>3010000</v>
      </c>
      <c r="C18" s="328">
        <v>586950</v>
      </c>
      <c r="D18" s="328">
        <v>106900</v>
      </c>
      <c r="E18" s="329">
        <f t="shared" si="0"/>
        <v>3703850</v>
      </c>
      <c r="F18" s="330" t="e">
        <f>E18-#REF!</f>
        <v>#REF!</v>
      </c>
      <c r="G18" s="332" t="s">
        <v>1010</v>
      </c>
      <c r="H18" s="328">
        <v>3010000</v>
      </c>
      <c r="I18" s="328">
        <v>526750</v>
      </c>
      <c r="J18" s="328">
        <v>75150</v>
      </c>
      <c r="K18" s="358">
        <f t="shared" si="1"/>
        <v>3611900</v>
      </c>
    </row>
    <row r="19" spans="1:11" s="337" customFormat="1">
      <c r="A19" s="327" t="s">
        <v>1011</v>
      </c>
      <c r="B19" s="334">
        <f>B20+B21+B22+B23+B25+B27</f>
        <v>25962634</v>
      </c>
      <c r="C19" s="334">
        <f>C20+C21+C22+C23+C25+C27</f>
        <v>5062713.63</v>
      </c>
      <c r="D19" s="339">
        <f>D20+D21+D22+D23+D25+D27</f>
        <v>42263181</v>
      </c>
      <c r="E19" s="329">
        <f t="shared" si="0"/>
        <v>73288528.629999995</v>
      </c>
      <c r="F19" s="330" t="e">
        <f>E19-#REF!</f>
        <v>#REF!</v>
      </c>
      <c r="G19" s="327" t="s">
        <v>1011</v>
      </c>
      <c r="H19" s="334">
        <f>H20+H21+H22+H23+H25+H27</f>
        <v>25629744</v>
      </c>
      <c r="I19" s="334">
        <f>I20+I21+I22+I23+I25+I27</f>
        <v>4485205</v>
      </c>
      <c r="J19" s="339">
        <f>J20+J21+J22+J23+J25+J27</f>
        <v>48982924</v>
      </c>
      <c r="K19" s="358">
        <f t="shared" si="1"/>
        <v>79097873</v>
      </c>
    </row>
    <row r="20" spans="1:11" s="331" customFormat="1">
      <c r="A20" s="332" t="s">
        <v>1012</v>
      </c>
      <c r="B20" s="329"/>
      <c r="C20" s="329"/>
      <c r="D20" s="328">
        <v>101600</v>
      </c>
      <c r="E20" s="329">
        <f t="shared" si="0"/>
        <v>101600</v>
      </c>
      <c r="F20" s="330" t="e">
        <f>E20-#REF!</f>
        <v>#REF!</v>
      </c>
      <c r="G20" s="332" t="s">
        <v>1012</v>
      </c>
      <c r="H20" s="329"/>
      <c r="I20" s="329"/>
      <c r="J20" s="328">
        <v>482600</v>
      </c>
      <c r="K20" s="358">
        <f t="shared" si="1"/>
        <v>482600</v>
      </c>
    </row>
    <row r="21" spans="1:11" s="331" customFormat="1" hidden="1">
      <c r="A21" s="327" t="s">
        <v>1013</v>
      </c>
      <c r="B21" s="329"/>
      <c r="C21" s="329"/>
      <c r="D21" s="336">
        <v>0</v>
      </c>
      <c r="E21" s="329">
        <f t="shared" si="0"/>
        <v>0</v>
      </c>
      <c r="F21" s="330" t="e">
        <f>E21-#REF!</f>
        <v>#REF!</v>
      </c>
      <c r="G21" s="327" t="s">
        <v>1013</v>
      </c>
      <c r="H21" s="329"/>
      <c r="I21" s="329"/>
      <c r="J21" s="336">
        <v>0</v>
      </c>
      <c r="K21" s="358">
        <f t="shared" si="1"/>
        <v>0</v>
      </c>
    </row>
    <row r="22" spans="1:11" s="331" customFormat="1">
      <c r="A22" s="327" t="s">
        <v>1014</v>
      </c>
      <c r="B22" s="329"/>
      <c r="C22" s="329"/>
      <c r="D22" s="336">
        <v>0</v>
      </c>
      <c r="E22" s="329">
        <f t="shared" si="0"/>
        <v>0</v>
      </c>
      <c r="F22" s="330" t="e">
        <f>E22-#REF!</f>
        <v>#REF!</v>
      </c>
      <c r="G22" s="327" t="s">
        <v>1014</v>
      </c>
      <c r="H22" s="329"/>
      <c r="I22" s="329"/>
      <c r="J22" s="336">
        <v>0</v>
      </c>
      <c r="K22" s="358">
        <f t="shared" si="1"/>
        <v>0</v>
      </c>
    </row>
    <row r="23" spans="1:11" s="331" customFormat="1">
      <c r="A23" s="327" t="s">
        <v>1015</v>
      </c>
      <c r="B23" s="328">
        <v>25962634</v>
      </c>
      <c r="C23" s="328">
        <f>B23*0.195</f>
        <v>5062713.63</v>
      </c>
      <c r="D23" s="328">
        <v>42161581</v>
      </c>
      <c r="E23" s="329">
        <f t="shared" si="0"/>
        <v>73186928.629999995</v>
      </c>
      <c r="F23" s="330" t="e">
        <f>E23-#REF!</f>
        <v>#REF!</v>
      </c>
      <c r="G23" s="327" t="s">
        <v>1015</v>
      </c>
      <c r="H23" s="328">
        <v>25629744</v>
      </c>
      <c r="I23" s="328">
        <v>4485205</v>
      </c>
      <c r="J23" s="328">
        <v>48500324</v>
      </c>
      <c r="K23" s="358">
        <f t="shared" si="1"/>
        <v>78615273</v>
      </c>
    </row>
    <row r="24" spans="1:11" s="331" customFormat="1">
      <c r="A24" s="332" t="s">
        <v>1016</v>
      </c>
      <c r="B24" s="328">
        <v>529407</v>
      </c>
      <c r="C24" s="328">
        <v>142940</v>
      </c>
      <c r="D24" s="328">
        <v>14375580</v>
      </c>
      <c r="E24" s="329">
        <f t="shared" si="0"/>
        <v>15047927</v>
      </c>
      <c r="F24" s="330" t="e">
        <f>E24-#REF!</f>
        <v>#REF!</v>
      </c>
      <c r="G24" s="332" t="s">
        <v>1016</v>
      </c>
      <c r="H24" s="328">
        <v>2721807</v>
      </c>
      <c r="I24" s="328">
        <v>476316</v>
      </c>
      <c r="J24" s="328">
        <v>11706803</v>
      </c>
      <c r="K24" s="358">
        <f t="shared" si="1"/>
        <v>14904926</v>
      </c>
    </row>
    <row r="25" spans="1:11" s="331" customFormat="1">
      <c r="A25" s="327" t="s">
        <v>1017</v>
      </c>
      <c r="B25" s="336"/>
      <c r="C25" s="336"/>
      <c r="D25" s="336"/>
      <c r="E25" s="329">
        <f t="shared" si="0"/>
        <v>0</v>
      </c>
      <c r="F25" s="330" t="e">
        <f>E25-#REF!</f>
        <v>#REF!</v>
      </c>
      <c r="G25" s="327" t="s">
        <v>1017</v>
      </c>
      <c r="H25" s="336"/>
      <c r="I25" s="336"/>
      <c r="J25" s="336"/>
      <c r="K25" s="358">
        <f t="shared" si="1"/>
        <v>0</v>
      </c>
    </row>
    <row r="26" spans="1:11" s="337" customFormat="1">
      <c r="A26" s="327" t="s">
        <v>1018</v>
      </c>
      <c r="B26" s="329"/>
      <c r="C26" s="329"/>
      <c r="D26" s="339">
        <v>5207000</v>
      </c>
      <c r="E26" s="329">
        <f t="shared" si="0"/>
        <v>5207000</v>
      </c>
      <c r="F26" s="330" t="e">
        <f>E26-#REF!</f>
        <v>#REF!</v>
      </c>
      <c r="G26" s="327" t="s">
        <v>1018</v>
      </c>
      <c r="H26" s="329"/>
      <c r="I26" s="329"/>
      <c r="J26" s="339">
        <v>5207000</v>
      </c>
      <c r="K26" s="358">
        <f t="shared" si="1"/>
        <v>5207000</v>
      </c>
    </row>
    <row r="27" spans="1:11" s="340" customFormat="1">
      <c r="A27" s="333" t="s">
        <v>1019</v>
      </c>
      <c r="B27" s="329"/>
      <c r="C27" s="329"/>
      <c r="D27" s="329">
        <v>0</v>
      </c>
      <c r="E27" s="329">
        <f t="shared" si="0"/>
        <v>0</v>
      </c>
      <c r="F27" s="330" t="e">
        <f>E27-#REF!</f>
        <v>#REF!</v>
      </c>
      <c r="G27" s="333" t="s">
        <v>1019</v>
      </c>
      <c r="H27" s="329"/>
      <c r="I27" s="329"/>
      <c r="J27" s="329">
        <v>0</v>
      </c>
      <c r="K27" s="358">
        <f t="shared" si="1"/>
        <v>0</v>
      </c>
    </row>
    <row r="28" spans="1:11" s="340" customFormat="1">
      <c r="A28" s="333" t="s">
        <v>1020</v>
      </c>
      <c r="B28" s="329"/>
      <c r="C28" s="329"/>
      <c r="D28" s="329"/>
      <c r="E28" s="329"/>
      <c r="F28" s="330"/>
      <c r="G28" s="333" t="s">
        <v>1020</v>
      </c>
      <c r="H28" s="329"/>
      <c r="I28" s="329"/>
      <c r="J28" s="329"/>
      <c r="K28" s="358">
        <f t="shared" si="1"/>
        <v>0</v>
      </c>
    </row>
    <row r="29" spans="1:11" s="340" customFormat="1">
      <c r="A29" s="333" t="s">
        <v>1021</v>
      </c>
      <c r="B29" s="329"/>
      <c r="C29" s="329"/>
      <c r="D29" s="329"/>
      <c r="E29" s="329"/>
      <c r="F29" s="330"/>
      <c r="G29" s="333" t="s">
        <v>1021</v>
      </c>
      <c r="H29" s="329"/>
      <c r="I29" s="329"/>
      <c r="J29" s="329"/>
      <c r="K29" s="358">
        <f t="shared" si="1"/>
        <v>0</v>
      </c>
    </row>
    <row r="30" spans="1:11" s="331" customFormat="1">
      <c r="A30" s="327" t="s">
        <v>1022</v>
      </c>
      <c r="B30" s="341"/>
      <c r="C30" s="329"/>
      <c r="D30" s="328">
        <v>28155448</v>
      </c>
      <c r="E30" s="329">
        <f t="shared" si="0"/>
        <v>28155448</v>
      </c>
      <c r="F30" s="330" t="e">
        <f>E30-#REF!</f>
        <v>#REF!</v>
      </c>
      <c r="G30" s="327" t="s">
        <v>1022</v>
      </c>
      <c r="H30" s="341"/>
      <c r="I30" s="329"/>
      <c r="J30" s="328">
        <v>28155448</v>
      </c>
      <c r="K30" s="358">
        <f t="shared" si="1"/>
        <v>28155448</v>
      </c>
    </row>
    <row r="31" spans="1:11" s="331" customFormat="1">
      <c r="A31" s="327" t="s">
        <v>1023</v>
      </c>
      <c r="B31" s="339">
        <f>1188000+408820</f>
        <v>1596820</v>
      </c>
      <c r="C31" s="339">
        <f>231660+79720</f>
        <v>311380</v>
      </c>
      <c r="D31" s="328">
        <f>44428964</f>
        <v>44428964</v>
      </c>
      <c r="E31" s="329">
        <f t="shared" si="0"/>
        <v>46337164</v>
      </c>
      <c r="F31" s="330" t="e">
        <f>E31-#REF!</f>
        <v>#REF!</v>
      </c>
      <c r="G31" s="327" t="s">
        <v>1023</v>
      </c>
      <c r="H31" s="339">
        <v>3756820</v>
      </c>
      <c r="I31" s="339">
        <v>657443.5</v>
      </c>
      <c r="J31" s="328">
        <v>39709856</v>
      </c>
      <c r="K31" s="358">
        <f t="shared" si="1"/>
        <v>44124119.5</v>
      </c>
    </row>
    <row r="32" spans="1:11" s="331" customFormat="1">
      <c r="A32" s="333" t="s">
        <v>1024</v>
      </c>
      <c r="B32" s="342"/>
      <c r="C32" s="343"/>
      <c r="D32" s="328">
        <v>9127008</v>
      </c>
      <c r="E32" s="329">
        <f t="shared" si="0"/>
        <v>9127008</v>
      </c>
      <c r="F32" s="330" t="e">
        <f>E32-#REF!</f>
        <v>#REF!</v>
      </c>
      <c r="G32" s="333" t="s">
        <v>1024</v>
      </c>
      <c r="H32" s="342"/>
      <c r="I32" s="343"/>
      <c r="J32" s="328">
        <v>9127008</v>
      </c>
      <c r="K32" s="358">
        <f t="shared" si="1"/>
        <v>9127008</v>
      </c>
    </row>
    <row r="33" spans="1:11" s="331" customFormat="1">
      <c r="A33" s="333" t="s">
        <v>1025</v>
      </c>
      <c r="B33" s="342"/>
      <c r="C33" s="343"/>
      <c r="D33" s="328">
        <v>2020000</v>
      </c>
      <c r="E33" s="329">
        <f t="shared" si="0"/>
        <v>2020000</v>
      </c>
      <c r="F33" s="330" t="e">
        <f>E33-#REF!</f>
        <v>#REF!</v>
      </c>
      <c r="G33" s="333" t="s">
        <v>1025</v>
      </c>
      <c r="H33" s="342"/>
      <c r="I33" s="343"/>
      <c r="J33" s="328">
        <v>1270000</v>
      </c>
      <c r="K33" s="358">
        <f t="shared" si="1"/>
        <v>1270000</v>
      </c>
    </row>
    <row r="34" spans="1:11" s="331" customFormat="1">
      <c r="A34" s="333" t="s">
        <v>1026</v>
      </c>
      <c r="B34" s="342"/>
      <c r="C34" s="343"/>
      <c r="D34" s="328">
        <v>1067538</v>
      </c>
      <c r="E34" s="329">
        <f t="shared" si="0"/>
        <v>1067538</v>
      </c>
      <c r="F34" s="330" t="e">
        <f>E34-#REF!</f>
        <v>#REF!</v>
      </c>
      <c r="G34" s="333" t="s">
        <v>1026</v>
      </c>
      <c r="H34" s="342"/>
      <c r="I34" s="343"/>
      <c r="J34" s="328">
        <v>0</v>
      </c>
      <c r="K34" s="358">
        <f t="shared" si="1"/>
        <v>0</v>
      </c>
    </row>
    <row r="35" spans="1:11" s="337" customFormat="1">
      <c r="A35" s="333" t="s">
        <v>1027</v>
      </c>
      <c r="B35" s="343"/>
      <c r="C35" s="343"/>
      <c r="D35" s="328">
        <v>35357139</v>
      </c>
      <c r="E35" s="329">
        <f t="shared" si="0"/>
        <v>35357139</v>
      </c>
      <c r="F35" s="330" t="e">
        <f>E35-#REF!</f>
        <v>#REF!</v>
      </c>
      <c r="G35" s="333" t="s">
        <v>1027</v>
      </c>
      <c r="H35" s="343"/>
      <c r="I35" s="343"/>
      <c r="J35" s="328">
        <f>13238695+6510205</f>
        <v>19748900</v>
      </c>
      <c r="K35" s="358">
        <f t="shared" si="1"/>
        <v>19748900</v>
      </c>
    </row>
    <row r="36" spans="1:11" s="340" customFormat="1">
      <c r="A36" s="333" t="s">
        <v>1028</v>
      </c>
      <c r="B36" s="339">
        <v>5465000</v>
      </c>
      <c r="C36" s="339">
        <v>2386000</v>
      </c>
      <c r="D36" s="339">
        <v>1476000</v>
      </c>
      <c r="E36" s="329">
        <f t="shared" si="0"/>
        <v>9327000</v>
      </c>
      <c r="F36" s="330" t="e">
        <f>E36-#REF!</f>
        <v>#REF!</v>
      </c>
      <c r="G36" s="333" t="s">
        <v>1028</v>
      </c>
      <c r="H36" s="339">
        <v>2600000</v>
      </c>
      <c r="I36" s="339">
        <v>1135160</v>
      </c>
      <c r="J36" s="339">
        <v>702000</v>
      </c>
      <c r="K36" s="358">
        <f t="shared" si="1"/>
        <v>4437160</v>
      </c>
    </row>
    <row r="37" spans="1:11" s="331" customFormat="1">
      <c r="A37" s="333" t="s">
        <v>1029</v>
      </c>
      <c r="B37" s="342"/>
      <c r="C37" s="343"/>
      <c r="D37" s="343"/>
      <c r="E37" s="329"/>
      <c r="F37" s="330"/>
      <c r="G37" s="333" t="s">
        <v>1029</v>
      </c>
      <c r="H37" s="342"/>
      <c r="I37" s="343"/>
      <c r="J37" s="343"/>
      <c r="K37" s="358">
        <f t="shared" si="1"/>
        <v>0</v>
      </c>
    </row>
    <row r="38" spans="1:11" s="3" customFormat="1">
      <c r="A38" s="344" t="s">
        <v>1030</v>
      </c>
      <c r="B38" s="345">
        <f>SUM(B13:B37)-B19</f>
        <v>40808679</v>
      </c>
      <c r="C38" s="345">
        <f>SUM(C13:C37)-C19</f>
        <v>9317723.629999999</v>
      </c>
      <c r="D38" s="345">
        <f>SUM(D13:D37)-D19</f>
        <v>206387453</v>
      </c>
      <c r="E38" s="345">
        <f>SUM(E13:E37)-E19-E15</f>
        <v>253532547.63</v>
      </c>
      <c r="F38" s="346" t="e">
        <f>E38-#REF!</f>
        <v>#REF!</v>
      </c>
      <c r="G38" s="344" t="s">
        <v>1030</v>
      </c>
      <c r="H38" s="345">
        <f>SUM(H13:H37)-H19</f>
        <v>48273611</v>
      </c>
      <c r="I38" s="345">
        <f>SUM(I13:I37)-I19</f>
        <v>9128041.5</v>
      </c>
      <c r="J38" s="345">
        <f>SUM(J13:J37)-J19</f>
        <v>197954302</v>
      </c>
      <c r="K38" s="345">
        <f>SUM(K13:K37)-K19</f>
        <v>255355954.5</v>
      </c>
    </row>
    <row r="39" spans="1:11" hidden="1">
      <c r="A39" s="347"/>
      <c r="B39" s="348"/>
      <c r="C39" s="348"/>
      <c r="D39" s="348" t="e">
        <f>#REF!+E41</f>
        <v>#REF!</v>
      </c>
      <c r="E39" s="349" t="e">
        <f>#REF!-#REF!</f>
        <v>#REF!</v>
      </c>
      <c r="F39" s="346" t="e">
        <f>E39-#REF!</f>
        <v>#REF!</v>
      </c>
      <c r="G39" s="347"/>
      <c r="H39" s="348"/>
      <c r="I39" s="348"/>
      <c r="J39" s="348" t="e">
        <f>#REF!+K41</f>
        <v>#REF!</v>
      </c>
      <c r="K39" s="349" t="e">
        <f>#REF!-#REF!</f>
        <v>#REF!</v>
      </c>
    </row>
    <row r="40" spans="1:11" hidden="1">
      <c r="B40" s="350"/>
      <c r="C40" s="350">
        <v>26655</v>
      </c>
      <c r="D40" s="350"/>
      <c r="E40" s="350">
        <v>480322</v>
      </c>
      <c r="F40" s="346" t="e">
        <f>E40-#REF!</f>
        <v>#REF!</v>
      </c>
      <c r="H40" s="350"/>
      <c r="I40" s="350">
        <v>26655</v>
      </c>
      <c r="J40" s="350"/>
      <c r="K40" s="350">
        <v>480322</v>
      </c>
    </row>
    <row r="41" spans="1:11" ht="15.75" hidden="1">
      <c r="A41" s="322" t="s">
        <v>1031</v>
      </c>
      <c r="C41" s="350">
        <f>C40-C38</f>
        <v>-9291068.629999999</v>
      </c>
      <c r="D41" s="350">
        <f>2590/2</f>
        <v>1295</v>
      </c>
      <c r="E41" s="350" t="e">
        <f>E40-#REF!</f>
        <v>#REF!</v>
      </c>
      <c r="F41" s="346" t="e">
        <f>E41-#REF!</f>
        <v>#REF!</v>
      </c>
      <c r="G41" s="322" t="s">
        <v>1031</v>
      </c>
      <c r="I41" s="350">
        <f>I40-I38</f>
        <v>-9101386.5</v>
      </c>
      <c r="J41" s="350">
        <f>2590/2</f>
        <v>1295</v>
      </c>
      <c r="K41" s="350" t="e">
        <f>K40-#REF!</f>
        <v>#REF!</v>
      </c>
    </row>
    <row r="42" spans="1:11" hidden="1">
      <c r="A42" s="317" t="s">
        <v>1032</v>
      </c>
      <c r="D42" s="350"/>
      <c r="E42" s="350" t="e">
        <f>#REF!-E38</f>
        <v>#REF!</v>
      </c>
      <c r="F42" s="346" t="e">
        <f>E42-#REF!</f>
        <v>#REF!</v>
      </c>
      <c r="G42" s="317" t="s">
        <v>1032</v>
      </c>
      <c r="J42" s="350"/>
      <c r="K42" s="350" t="e">
        <f>#REF!-K38</f>
        <v>#REF!</v>
      </c>
    </row>
    <row r="43" spans="1:11">
      <c r="A43" s="351" t="s">
        <v>1033</v>
      </c>
      <c r="B43" s="351"/>
      <c r="C43" s="351"/>
      <c r="D43" s="352"/>
      <c r="E43" s="352">
        <f>E13+E24</f>
        <v>21843772</v>
      </c>
      <c r="G43" s="351" t="s">
        <v>1033</v>
      </c>
      <c r="H43" s="351"/>
      <c r="I43" s="351"/>
      <c r="J43" s="352"/>
      <c r="K43" s="352">
        <f>K13+K24</f>
        <v>21769339</v>
      </c>
    </row>
    <row r="44" spans="1:11">
      <c r="A44" s="353"/>
      <c r="D44" s="350"/>
      <c r="G44" s="353"/>
      <c r="J44" s="350"/>
    </row>
    <row r="47" spans="1:11">
      <c r="A47" s="354"/>
      <c r="B47" s="354"/>
      <c r="C47" s="354"/>
      <c r="D47" s="354"/>
      <c r="E47" s="354"/>
      <c r="G47" s="354"/>
      <c r="H47" s="354"/>
      <c r="I47" s="354"/>
      <c r="J47" s="354"/>
      <c r="K47" s="354"/>
    </row>
  </sheetData>
  <pageMargins left="0.19685039370078741" right="0.11811023622047245" top="0.35433070866141736" bottom="0.55118110236220474" header="0.31496062992125984" footer="0.31496062992125984"/>
  <pageSetup paperSize="9" scale="90" fitToHeight="0" orientation="landscape" r:id="rId1"/>
  <headerFooter>
    <oddHeader>&amp;RRáckeve Város 2020 évi költségvetés melléklete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L42"/>
  <sheetViews>
    <sheetView zoomScale="130" zoomScaleNormal="130" workbookViewId="0">
      <selection activeCell="B3" sqref="B3"/>
    </sheetView>
  </sheetViews>
  <sheetFormatPr defaultRowHeight="12.75"/>
  <cols>
    <col min="1" max="1" width="5.5703125" style="155" customWidth="1"/>
    <col min="2" max="2" width="26.5703125" style="155" customWidth="1"/>
    <col min="3" max="3" width="14.5703125" style="155" customWidth="1"/>
    <col min="4" max="4" width="15.42578125" style="155" customWidth="1"/>
    <col min="5" max="5" width="17.7109375" style="155" customWidth="1"/>
    <col min="6" max="6" width="3.5703125" style="155" customWidth="1"/>
    <col min="7" max="7" width="10.5703125" style="1091" customWidth="1"/>
    <col min="8" max="11" width="9.140625" style="155"/>
    <col min="12" max="12" width="10.140625" style="155" customWidth="1"/>
    <col min="13" max="16384" width="9.140625" style="155"/>
  </cols>
  <sheetData>
    <row r="3" spans="1:12" ht="21.75" customHeight="1">
      <c r="B3" s="1069" t="s">
        <v>1677</v>
      </c>
      <c r="C3" s="1069"/>
      <c r="D3" s="1069"/>
      <c r="E3" s="301"/>
    </row>
    <row r="5" spans="1:12" ht="13.5" thickBot="1">
      <c r="C5" s="156"/>
      <c r="D5" s="156"/>
      <c r="E5" s="1128" t="s">
        <v>1717</v>
      </c>
    </row>
    <row r="6" spans="1:12" ht="31.5" customHeight="1">
      <c r="A6" s="1381" t="s">
        <v>592</v>
      </c>
      <c r="B6" s="1383" t="s">
        <v>585</v>
      </c>
      <c r="C6" s="302" t="s">
        <v>601</v>
      </c>
      <c r="D6" s="302" t="s">
        <v>584</v>
      </c>
      <c r="E6" s="303" t="s">
        <v>586</v>
      </c>
    </row>
    <row r="7" spans="1:12" ht="30" customHeight="1">
      <c r="A7" s="1382"/>
      <c r="B7" s="1384"/>
      <c r="C7" s="140" t="s">
        <v>597</v>
      </c>
      <c r="D7" s="140" t="s">
        <v>597</v>
      </c>
      <c r="E7" s="140" t="s">
        <v>597</v>
      </c>
    </row>
    <row r="8" spans="1:12" ht="16.5" customHeight="1">
      <c r="A8" s="141" t="s">
        <v>172</v>
      </c>
      <c r="B8" s="164" t="s">
        <v>1679</v>
      </c>
      <c r="C8" s="143">
        <f>'3. melléklet'!F37</f>
        <v>226753222.82999998</v>
      </c>
      <c r="D8" s="143">
        <f>'2'!F71</f>
        <v>11008900</v>
      </c>
      <c r="E8" s="157">
        <f t="shared" ref="E8:E16" si="0">C8-D8</f>
        <v>215744322.82999998</v>
      </c>
      <c r="F8" s="158"/>
      <c r="G8" s="1092">
        <f>E8-Munka1!AY191</f>
        <v>0</v>
      </c>
      <c r="L8" s="158"/>
    </row>
    <row r="9" spans="1:12" ht="16.5" customHeight="1">
      <c r="A9" s="141" t="s">
        <v>173</v>
      </c>
      <c r="B9" s="164" t="s">
        <v>587</v>
      </c>
      <c r="C9" s="143">
        <f>'3. melléklet'!H37</f>
        <v>153447313</v>
      </c>
      <c r="D9" s="143">
        <f>'2'!H71</f>
        <v>4446250</v>
      </c>
      <c r="E9" s="157">
        <f t="shared" si="0"/>
        <v>149001063</v>
      </c>
      <c r="F9" s="159"/>
      <c r="G9" s="1093">
        <f>E9-Munka1!AG191</f>
        <v>0</v>
      </c>
      <c r="L9" s="158"/>
    </row>
    <row r="10" spans="1:12" ht="16.5" customHeight="1">
      <c r="A10" s="141" t="s">
        <v>174</v>
      </c>
      <c r="B10" s="164" t="s">
        <v>588</v>
      </c>
      <c r="C10" s="143">
        <f>'3. melléklet'!K37</f>
        <v>39455804</v>
      </c>
      <c r="D10" s="143">
        <f>'2'!K71</f>
        <v>3085000</v>
      </c>
      <c r="E10" s="157">
        <f t="shared" si="0"/>
        <v>36370804</v>
      </c>
      <c r="F10" s="159"/>
      <c r="G10" s="1093">
        <f>E10-Munka1!AJ191</f>
        <v>0</v>
      </c>
      <c r="L10" s="158"/>
    </row>
    <row r="11" spans="1:12" ht="16.5" customHeight="1">
      <c r="A11" s="141" t="s">
        <v>175</v>
      </c>
      <c r="B11" s="164" t="s">
        <v>589</v>
      </c>
      <c r="C11" s="143">
        <f>'3. melléklet'!J37</f>
        <v>77752349.400000006</v>
      </c>
      <c r="D11" s="143">
        <f>'2'!J71</f>
        <v>11850000</v>
      </c>
      <c r="E11" s="157">
        <f t="shared" si="0"/>
        <v>65902349.400000006</v>
      </c>
      <c r="F11" s="159"/>
      <c r="G11" s="1092">
        <f>E11-Munka1!CR191</f>
        <v>0.40000000596046448</v>
      </c>
      <c r="L11" s="158"/>
    </row>
    <row r="12" spans="1:12" ht="16.5" customHeight="1">
      <c r="A12" s="141" t="s">
        <v>176</v>
      </c>
      <c r="B12" s="164" t="s">
        <v>168</v>
      </c>
      <c r="C12" s="143">
        <f>'3. melléklet'!I37</f>
        <v>339187719</v>
      </c>
      <c r="D12" s="143">
        <f>'2'!I71</f>
        <v>0</v>
      </c>
      <c r="E12" s="157">
        <f t="shared" si="0"/>
        <v>339187719</v>
      </c>
      <c r="F12" s="159"/>
      <c r="G12" s="1093">
        <f>E12-Munka1!AP197</f>
        <v>0</v>
      </c>
      <c r="L12" s="158"/>
    </row>
    <row r="13" spans="1:12" ht="16.5" customHeight="1">
      <c r="A13" s="141" t="s">
        <v>177</v>
      </c>
      <c r="B13" s="164" t="s">
        <v>590</v>
      </c>
      <c r="C13" s="143">
        <f>'3. melléklet'!L37</f>
        <v>41957362</v>
      </c>
      <c r="D13" s="143">
        <f>'2'!L71</f>
        <v>6170000</v>
      </c>
      <c r="E13" s="157">
        <f t="shared" si="0"/>
        <v>35787362</v>
      </c>
      <c r="F13" s="159"/>
      <c r="G13" s="1093">
        <f>E13-Munka1!AM191</f>
        <v>0</v>
      </c>
      <c r="L13" s="158"/>
    </row>
    <row r="14" spans="1:12" ht="16.5" customHeight="1">
      <c r="A14" s="141" t="s">
        <v>179</v>
      </c>
      <c r="B14" s="164" t="s">
        <v>169</v>
      </c>
      <c r="C14" s="143">
        <f>'3. melléklet'!G37</f>
        <v>323032266</v>
      </c>
      <c r="D14" s="143">
        <f>'2'!G71</f>
        <v>143214578</v>
      </c>
      <c r="E14" s="157">
        <f t="shared" si="0"/>
        <v>179817688</v>
      </c>
      <c r="F14" s="158"/>
      <c r="G14" s="1094">
        <f>E14-Munka1!BB197</f>
        <v>0</v>
      </c>
      <c r="L14" s="158"/>
    </row>
    <row r="15" spans="1:12" ht="16.5" customHeight="1">
      <c r="A15" s="141" t="s">
        <v>184</v>
      </c>
      <c r="B15" s="165" t="s">
        <v>591</v>
      </c>
      <c r="C15" s="160">
        <f>'3. melléklet'!M37</f>
        <v>412458849</v>
      </c>
      <c r="D15" s="160">
        <f>'2'!M71</f>
        <v>384492361</v>
      </c>
      <c r="E15" s="161">
        <f t="shared" si="0"/>
        <v>27966488</v>
      </c>
      <c r="F15" s="159"/>
      <c r="G15" s="1102"/>
      <c r="L15" s="158"/>
    </row>
    <row r="16" spans="1:12" ht="16.5" customHeight="1">
      <c r="A16" s="141" t="s">
        <v>185</v>
      </c>
      <c r="B16" s="165" t="s">
        <v>124</v>
      </c>
      <c r="C16" s="160">
        <f>'3. melléklet'!N37</f>
        <v>109660186</v>
      </c>
      <c r="D16" s="160">
        <f>'2'!N71</f>
        <v>99637623</v>
      </c>
      <c r="E16" s="161">
        <f t="shared" si="0"/>
        <v>10022563</v>
      </c>
      <c r="F16" s="159"/>
      <c r="G16" s="1092">
        <f>E16-Munka1!BH191</f>
        <v>0</v>
      </c>
      <c r="L16" s="158"/>
    </row>
    <row r="17" spans="1:12" ht="16.5" customHeight="1">
      <c r="A17" s="141" t="s">
        <v>186</v>
      </c>
      <c r="B17" s="167" t="s">
        <v>602</v>
      </c>
      <c r="C17" s="149">
        <f>SUM(C8:C16)</f>
        <v>1723705071.23</v>
      </c>
      <c r="D17" s="149">
        <f>SUM(D8:D16)</f>
        <v>663904712</v>
      </c>
      <c r="E17" s="149">
        <f>SUM(E8:E16)</f>
        <v>1059800359.23</v>
      </c>
      <c r="F17" s="158"/>
      <c r="G17" s="1095"/>
      <c r="H17" s="158"/>
      <c r="I17" s="158"/>
      <c r="J17" s="158"/>
      <c r="K17" s="158"/>
      <c r="L17" s="158"/>
    </row>
    <row r="18" spans="1:12" ht="21.75" customHeight="1">
      <c r="E18" s="162"/>
    </row>
    <row r="19" spans="1:12">
      <c r="B19" s="45"/>
      <c r="C19" s="45"/>
      <c r="D19" s="162"/>
      <c r="E19" s="420"/>
    </row>
    <row r="20" spans="1:12">
      <c r="B20" s="45"/>
      <c r="C20" s="45"/>
      <c r="D20" s="163"/>
      <c r="E20" s="163"/>
    </row>
    <row r="21" spans="1:12">
      <c r="B21" s="45"/>
      <c r="C21" s="45"/>
      <c r="D21" s="163"/>
      <c r="E21" s="163"/>
    </row>
    <row r="22" spans="1:12">
      <c r="B22" s="45"/>
      <c r="C22" s="45"/>
      <c r="D22" s="163"/>
      <c r="E22" s="163"/>
    </row>
    <row r="23" spans="1:12">
      <c r="B23" s="45"/>
      <c r="C23" s="45"/>
      <c r="D23" s="163"/>
      <c r="E23" s="163"/>
    </row>
    <row r="24" spans="1:12">
      <c r="B24" s="45"/>
      <c r="C24" s="45"/>
      <c r="D24" s="163"/>
      <c r="E24" s="163"/>
    </row>
    <row r="25" spans="1:12">
      <c r="B25" s="45"/>
      <c r="C25" s="45"/>
      <c r="D25" s="163"/>
      <c r="E25" s="163"/>
    </row>
    <row r="26" spans="1:12">
      <c r="B26" s="45"/>
      <c r="C26" s="45"/>
      <c r="D26" s="163"/>
      <c r="E26" s="163"/>
    </row>
    <row r="27" spans="1:12">
      <c r="B27" s="45"/>
      <c r="C27" s="45"/>
      <c r="D27" s="163"/>
      <c r="E27" s="163"/>
    </row>
    <row r="28" spans="1:12">
      <c r="B28" s="45"/>
      <c r="C28" s="45"/>
      <c r="D28" s="163"/>
      <c r="E28" s="163"/>
    </row>
    <row r="29" spans="1:12">
      <c r="B29" s="163"/>
      <c r="C29" s="163"/>
      <c r="D29" s="163"/>
      <c r="E29" s="163"/>
    </row>
    <row r="30" spans="1:12">
      <c r="B30" s="163"/>
      <c r="C30" s="163"/>
      <c r="D30" s="163"/>
      <c r="E30" s="163"/>
    </row>
    <row r="31" spans="1:12">
      <c r="B31" s="163"/>
      <c r="C31" s="163"/>
      <c r="D31" s="163"/>
      <c r="E31" s="163"/>
    </row>
    <row r="32" spans="1:12">
      <c r="B32" s="163"/>
      <c r="C32" s="163"/>
      <c r="D32" s="163"/>
      <c r="E32" s="163"/>
    </row>
    <row r="33" spans="2:5">
      <c r="B33" s="163"/>
      <c r="C33" s="163"/>
      <c r="D33" s="163"/>
      <c r="E33" s="163"/>
    </row>
    <row r="34" spans="2:5">
      <c r="B34" s="163"/>
      <c r="C34" s="163"/>
      <c r="D34" s="163"/>
      <c r="E34" s="163"/>
    </row>
    <row r="35" spans="2:5">
      <c r="B35" s="163"/>
      <c r="C35" s="163"/>
      <c r="D35" s="163"/>
      <c r="E35" s="163"/>
    </row>
    <row r="36" spans="2:5">
      <c r="B36" s="163"/>
      <c r="C36" s="163"/>
      <c r="D36" s="163"/>
      <c r="E36" s="163"/>
    </row>
    <row r="37" spans="2:5">
      <c r="B37" s="163"/>
      <c r="C37" s="163"/>
      <c r="D37" s="163"/>
      <c r="E37" s="163"/>
    </row>
    <row r="38" spans="2:5">
      <c r="B38" s="163"/>
      <c r="C38" s="163"/>
      <c r="D38" s="163"/>
      <c r="E38" s="163"/>
    </row>
    <row r="39" spans="2:5">
      <c r="B39" s="163"/>
      <c r="C39" s="163"/>
      <c r="D39" s="163"/>
      <c r="E39" s="163"/>
    </row>
    <row r="40" spans="2:5">
      <c r="B40" s="163"/>
      <c r="C40" s="163"/>
      <c r="D40" s="163"/>
      <c r="E40" s="163"/>
    </row>
    <row r="41" spans="2:5">
      <c r="B41" s="163"/>
      <c r="C41" s="163"/>
      <c r="D41" s="163"/>
      <c r="E41" s="163"/>
    </row>
    <row r="42" spans="2:5">
      <c r="B42" s="162"/>
      <c r="C42" s="162"/>
      <c r="D42" s="162"/>
      <c r="E42" s="162"/>
    </row>
  </sheetData>
  <mergeCells count="2">
    <mergeCell ref="A6:A7"/>
    <mergeCell ref="B6:B7"/>
  </mergeCells>
  <conditionalFormatting sqref="B19:C23 B26:C28">
    <cfRule type="cellIs" dxfId="1" priority="2" stopIfTrue="1" operator="equal">
      <formula>#REF!</formula>
    </cfRule>
  </conditionalFormatting>
  <conditionalFormatting sqref="B24:C25">
    <cfRule type="cellIs" dxfId="0" priority="1" stopIfTrue="1" operator="equal">
      <formula>#REF!</formula>
    </cfRule>
  </conditionalFormatting>
  <pageMargins left="0.19685039370078741" right="0.11811023622047245" top="0.35433070866141736" bottom="0.55118110236220474" header="0.31496062992125984" footer="0.31496062992125984"/>
  <pageSetup paperSize="9" fitToHeight="0" orientation="landscape" r:id="rId1"/>
  <headerFooter>
    <oddHeader>&amp;RRáckeve Város 2020 évi költségvetés melléklete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2"/>
  <sheetViews>
    <sheetView showWhiteSpace="0" zoomScaleNormal="100" workbookViewId="0">
      <selection activeCell="F3" sqref="F3"/>
    </sheetView>
  </sheetViews>
  <sheetFormatPr defaultRowHeight="15"/>
  <cols>
    <col min="1" max="1" width="3.7109375" style="135" customWidth="1"/>
    <col min="2" max="2" width="33.28515625" style="136" customWidth="1"/>
    <col min="3" max="3" width="14" style="136" customWidth="1"/>
    <col min="4" max="4" width="18" style="136" customWidth="1"/>
    <col min="5" max="5" width="17.42578125" style="136" customWidth="1"/>
    <col min="6" max="6" width="19.7109375" style="136" customWidth="1"/>
    <col min="7" max="7" width="2" style="136" customWidth="1"/>
    <col min="8" max="9" width="13.7109375" style="136" customWidth="1"/>
    <col min="10" max="16384" width="9.140625" style="136"/>
  </cols>
  <sheetData>
    <row r="1" spans="1:9">
      <c r="B1" s="1133" t="s">
        <v>1718</v>
      </c>
      <c r="C1" s="1133"/>
      <c r="E1" s="305"/>
    </row>
    <row r="3" spans="1:9" ht="15.75" thickBot="1">
      <c r="C3" s="137"/>
      <c r="D3" s="137"/>
      <c r="E3" s="137"/>
      <c r="F3" s="1128" t="s">
        <v>1719</v>
      </c>
    </row>
    <row r="4" spans="1:9" s="138" customFormat="1" ht="21" customHeight="1">
      <c r="A4" s="1386" t="s">
        <v>592</v>
      </c>
      <c r="B4" s="1388" t="s">
        <v>585</v>
      </c>
      <c r="C4" s="302" t="s">
        <v>593</v>
      </c>
      <c r="D4" s="306" t="s">
        <v>594</v>
      </c>
      <c r="E4" s="302" t="s">
        <v>595</v>
      </c>
      <c r="F4" s="304" t="s">
        <v>596</v>
      </c>
    </row>
    <row r="5" spans="1:9" s="138" customFormat="1" ht="31.5" customHeight="1">
      <c r="A5" s="1387"/>
      <c r="B5" s="1389"/>
      <c r="C5" s="139" t="s">
        <v>597</v>
      </c>
      <c r="D5" s="139" t="s">
        <v>597</v>
      </c>
      <c r="E5" s="140" t="s">
        <v>597</v>
      </c>
      <c r="F5" s="140" t="s">
        <v>597</v>
      </c>
      <c r="H5" s="1385"/>
      <c r="I5" s="1385"/>
    </row>
    <row r="6" spans="1:9">
      <c r="A6" s="141" t="s">
        <v>172</v>
      </c>
      <c r="B6" s="142" t="s">
        <v>1679</v>
      </c>
      <c r="C6" s="143">
        <f>'3.a int.fin'!C8</f>
        <v>226753222.82999998</v>
      </c>
      <c r="D6" s="143">
        <f>'2.a'!G5</f>
        <v>130759000</v>
      </c>
      <c r="E6" s="143">
        <f>'3.a int.fin'!D8</f>
        <v>11008900</v>
      </c>
      <c r="F6" s="144">
        <f>C6-D6-E6</f>
        <v>84985322.829999983</v>
      </c>
      <c r="H6" s="153"/>
      <c r="I6" s="153"/>
    </row>
    <row r="7" spans="1:9">
      <c r="A7" s="141" t="s">
        <v>173</v>
      </c>
      <c r="B7" s="142" t="s">
        <v>300</v>
      </c>
      <c r="C7" s="143">
        <f>'3. melléklet'!E37</f>
        <v>2214425103.2055259</v>
      </c>
      <c r="D7" s="143">
        <v>271530411</v>
      </c>
      <c r="E7" s="143">
        <f>'2'!E71-975037632</f>
        <v>2299187829.9654126</v>
      </c>
      <c r="F7" s="189">
        <v>-516057269</v>
      </c>
      <c r="H7" s="186"/>
      <c r="I7" s="186"/>
    </row>
    <row r="8" spans="1:9">
      <c r="A8" s="141" t="s">
        <v>174</v>
      </c>
      <c r="B8" s="142" t="s">
        <v>1680</v>
      </c>
      <c r="C8" s="143">
        <f>'3.a int.fin'!C9</f>
        <v>153447313</v>
      </c>
      <c r="D8" s="147">
        <f>'2.a'!G123+'2.a'!G124+'2.a'!G125+23000000</f>
        <v>133300500</v>
      </c>
      <c r="E8" s="143">
        <f>'3.a int.fin'!D9</f>
        <v>4446250</v>
      </c>
      <c r="F8" s="144">
        <f>C8-D8-E8</f>
        <v>15700563</v>
      </c>
      <c r="H8" s="187"/>
      <c r="I8" s="187"/>
    </row>
    <row r="9" spans="1:9">
      <c r="A9" s="141" t="s">
        <v>175</v>
      </c>
      <c r="B9" s="142" t="s">
        <v>588</v>
      </c>
      <c r="C9" s="298">
        <f>'3.a int.fin'!C10</f>
        <v>39455804</v>
      </c>
      <c r="D9" s="143">
        <f>'2.a'!G136/2</f>
        <v>11494760</v>
      </c>
      <c r="E9" s="298">
        <f>'3.a int.fin'!D10</f>
        <v>3085000</v>
      </c>
      <c r="F9" s="144">
        <f>C9-D9-E9</f>
        <v>24876044</v>
      </c>
      <c r="G9" s="145"/>
      <c r="H9" s="187"/>
      <c r="I9" s="187"/>
    </row>
    <row r="10" spans="1:9">
      <c r="A10" s="141" t="s">
        <v>176</v>
      </c>
      <c r="B10" s="142" t="s">
        <v>589</v>
      </c>
      <c r="C10" s="298">
        <f>'3.a int.fin'!C11</f>
        <v>77752349.400000006</v>
      </c>
      <c r="D10" s="143">
        <f>D9</f>
        <v>11494760</v>
      </c>
      <c r="E10" s="298">
        <f>'3.a int.fin'!D11</f>
        <v>11850000</v>
      </c>
      <c r="F10" s="144">
        <f>C10-D10-E10</f>
        <v>54407589.400000006</v>
      </c>
      <c r="G10" s="145"/>
      <c r="H10" s="187"/>
      <c r="I10" s="187"/>
    </row>
    <row r="11" spans="1:9">
      <c r="A11" s="141" t="s">
        <v>177</v>
      </c>
      <c r="B11" s="142" t="s">
        <v>168</v>
      </c>
      <c r="C11" s="298">
        <f>'3.a int.fin'!C12</f>
        <v>339187719</v>
      </c>
      <c r="D11" s="143">
        <f>'2.a'!G67</f>
        <v>263588830</v>
      </c>
      <c r="E11" s="298">
        <f>'3.a int.fin'!D12</f>
        <v>0</v>
      </c>
      <c r="F11" s="144">
        <f>C11-D11-E11</f>
        <v>75598889</v>
      </c>
      <c r="G11" s="145"/>
      <c r="H11" s="187"/>
      <c r="I11" s="187"/>
    </row>
    <row r="12" spans="1:9">
      <c r="A12" s="141" t="s">
        <v>178</v>
      </c>
      <c r="B12" s="142" t="s">
        <v>1681</v>
      </c>
      <c r="C12" s="298">
        <f>'3.a int.fin'!C13</f>
        <v>41957362</v>
      </c>
      <c r="D12" s="143">
        <v>9829000</v>
      </c>
      <c r="E12" s="298">
        <f>'3.a int.fin'!D13</f>
        <v>6170000</v>
      </c>
      <c r="F12" s="144">
        <f>C12-D12-E12</f>
        <v>25958362</v>
      </c>
      <c r="G12" s="145"/>
      <c r="H12" s="187"/>
      <c r="I12" s="187"/>
    </row>
    <row r="13" spans="1:9">
      <c r="A13" s="141" t="s">
        <v>179</v>
      </c>
      <c r="B13" s="142" t="s">
        <v>169</v>
      </c>
      <c r="C13" s="298">
        <f>'3.a int.fin'!C14</f>
        <v>323032266</v>
      </c>
      <c r="D13" s="143">
        <f>'2.a'!G130+'2.a'!G131-23000000</f>
        <v>143040371</v>
      </c>
      <c r="E13" s="298">
        <f>'3.a int.fin'!D14</f>
        <v>143214578</v>
      </c>
      <c r="F13" s="144">
        <f>SUM(F8:F12)</f>
        <v>196541447.40000001</v>
      </c>
      <c r="H13" s="186"/>
      <c r="I13" s="186"/>
    </row>
    <row r="14" spans="1:9">
      <c r="A14" s="141" t="s">
        <v>180</v>
      </c>
      <c r="B14" s="146" t="s">
        <v>591</v>
      </c>
      <c r="C14" s="298">
        <f>'3.a int.fin'!C15</f>
        <v>412458849</v>
      </c>
      <c r="D14" s="148">
        <v>0</v>
      </c>
      <c r="E14" s="298">
        <f>'3.a int.fin'!D15</f>
        <v>384492361</v>
      </c>
      <c r="F14" s="144">
        <f>C14-D14-E14</f>
        <v>27966488</v>
      </c>
      <c r="H14" s="187"/>
      <c r="I14" s="187"/>
    </row>
    <row r="15" spans="1:9">
      <c r="A15" s="141" t="s">
        <v>181</v>
      </c>
      <c r="B15" s="146" t="s">
        <v>124</v>
      </c>
      <c r="C15" s="298">
        <f>'3.a int.fin'!C16</f>
        <v>109660186</v>
      </c>
      <c r="D15" s="148">
        <v>0</v>
      </c>
      <c r="E15" s="298">
        <f>'3.a int.fin'!D16</f>
        <v>99637623</v>
      </c>
      <c r="F15" s="144">
        <f>C15-D15-E15</f>
        <v>10022563</v>
      </c>
      <c r="H15" s="187"/>
      <c r="I15" s="187"/>
    </row>
    <row r="16" spans="1:9" s="138" customFormat="1" ht="18.75" customHeight="1">
      <c r="A16" s="141" t="s">
        <v>182</v>
      </c>
      <c r="B16" s="188" t="s">
        <v>599</v>
      </c>
      <c r="C16" s="166">
        <f>SUM(C6:C15)</f>
        <v>3938130174.4355259</v>
      </c>
      <c r="D16" s="166">
        <f>SUM(D6:D15)</f>
        <v>975037632</v>
      </c>
      <c r="E16" s="166">
        <f>SUM(E6:E15)</f>
        <v>2963092541.9654126</v>
      </c>
      <c r="F16" s="166">
        <f>SUM(F6:F15)</f>
        <v>-0.36999997496604919</v>
      </c>
      <c r="H16" s="186"/>
      <c r="I16" s="186"/>
    </row>
    <row r="17" spans="1:6" ht="15.75" thickBot="1">
      <c r="A17" s="150"/>
      <c r="B17" s="142"/>
      <c r="C17" s="151"/>
      <c r="D17" s="298">
        <f>D16-'2.a'!G141</f>
        <v>0</v>
      </c>
      <c r="E17" s="151"/>
      <c r="F17" s="152"/>
    </row>
    <row r="18" spans="1:6" s="137" customFormat="1" ht="14.25" customHeight="1">
      <c r="A18" s="305"/>
      <c r="B18" s="473" t="s">
        <v>1040</v>
      </c>
      <c r="C18" s="474">
        <f>C16-'3. melléklet'!D37</f>
        <v>0</v>
      </c>
      <c r="D18" s="474"/>
      <c r="E18" s="474">
        <f>'2'!D71-E16-D16</f>
        <v>0</v>
      </c>
      <c r="F18" s="473"/>
    </row>
    <row r="19" spans="1:6">
      <c r="B19" s="153"/>
      <c r="C19" s="154"/>
      <c r="D19" s="154"/>
      <c r="E19" s="153"/>
      <c r="F19" s="153"/>
    </row>
    <row r="20" spans="1:6">
      <c r="B20" s="154"/>
      <c r="C20" s="153"/>
      <c r="D20" s="154"/>
      <c r="E20" s="153"/>
      <c r="F20" s="154"/>
    </row>
    <row r="21" spans="1:6">
      <c r="B21" s="154"/>
      <c r="C21" s="153"/>
      <c r="D21" s="154"/>
      <c r="E21" s="153"/>
      <c r="F21" s="154"/>
    </row>
    <row r="22" spans="1:6">
      <c r="B22" s="154"/>
      <c r="C22" s="153"/>
      <c r="D22" s="154"/>
      <c r="E22" s="153"/>
      <c r="F22" s="154"/>
    </row>
    <row r="23" spans="1:6">
      <c r="B23" s="154"/>
      <c r="C23" s="154"/>
      <c r="D23" s="154"/>
      <c r="E23" s="153"/>
      <c r="F23" s="154"/>
    </row>
    <row r="24" spans="1:6">
      <c r="B24" s="154"/>
      <c r="C24" s="154"/>
      <c r="D24" s="154"/>
      <c r="E24" s="153"/>
      <c r="F24" s="154"/>
    </row>
    <row r="25" spans="1:6">
      <c r="B25" s="154"/>
      <c r="C25" s="154"/>
      <c r="D25" s="154"/>
      <c r="E25" s="153"/>
      <c r="F25" s="154"/>
    </row>
    <row r="26" spans="1:6">
      <c r="B26" s="154"/>
      <c r="C26" s="154"/>
      <c r="D26" s="154"/>
      <c r="E26" s="153"/>
      <c r="F26" s="154"/>
    </row>
    <row r="27" spans="1:6">
      <c r="B27" s="154"/>
      <c r="C27" s="154"/>
      <c r="D27" s="154"/>
      <c r="E27" s="153"/>
      <c r="F27" s="154"/>
    </row>
    <row r="28" spans="1:6">
      <c r="B28" s="154"/>
      <c r="C28" s="154"/>
      <c r="D28" s="154"/>
      <c r="E28" s="153"/>
      <c r="F28" s="154"/>
    </row>
    <row r="29" spans="1:6">
      <c r="B29" s="154"/>
      <c r="C29" s="154"/>
      <c r="D29" s="154"/>
      <c r="E29" s="153"/>
      <c r="F29" s="154"/>
    </row>
    <row r="30" spans="1:6">
      <c r="B30" s="154"/>
      <c r="C30" s="154"/>
      <c r="D30" s="154"/>
      <c r="E30" s="153"/>
      <c r="F30" s="154"/>
    </row>
    <row r="31" spans="1:6">
      <c r="B31" s="154"/>
      <c r="C31" s="154"/>
      <c r="D31" s="154"/>
      <c r="E31" s="153"/>
      <c r="F31" s="154"/>
    </row>
    <row r="32" spans="1:6">
      <c r="B32" s="154"/>
      <c r="C32" s="154"/>
      <c r="D32" s="154"/>
      <c r="E32" s="153"/>
      <c r="F32" s="154"/>
    </row>
    <row r="33" spans="2:6">
      <c r="B33" s="154"/>
      <c r="C33" s="154"/>
      <c r="D33" s="154"/>
      <c r="E33" s="154"/>
      <c r="F33" s="154"/>
    </row>
    <row r="34" spans="2:6">
      <c r="B34" s="154"/>
      <c r="C34" s="154"/>
      <c r="D34" s="154"/>
      <c r="E34" s="154"/>
      <c r="F34" s="154"/>
    </row>
    <row r="35" spans="2:6">
      <c r="B35" s="154"/>
      <c r="C35" s="154"/>
      <c r="D35" s="154"/>
      <c r="E35" s="154"/>
      <c r="F35" s="154"/>
    </row>
    <row r="36" spans="2:6">
      <c r="B36" s="154"/>
      <c r="C36" s="154"/>
      <c r="D36" s="154"/>
      <c r="E36" s="154"/>
      <c r="F36" s="154"/>
    </row>
    <row r="37" spans="2:6">
      <c r="B37" s="154"/>
      <c r="C37" s="154"/>
      <c r="D37" s="154"/>
      <c r="E37" s="154"/>
      <c r="F37" s="154"/>
    </row>
    <row r="38" spans="2:6">
      <c r="B38" s="154"/>
      <c r="C38" s="154"/>
      <c r="D38" s="154"/>
      <c r="E38" s="154"/>
      <c r="F38" s="154"/>
    </row>
    <row r="39" spans="2:6">
      <c r="B39" s="154"/>
      <c r="C39" s="154"/>
      <c r="D39" s="154"/>
      <c r="E39" s="154"/>
      <c r="F39" s="154"/>
    </row>
    <row r="40" spans="2:6">
      <c r="B40" s="154"/>
      <c r="C40" s="154"/>
      <c r="D40" s="154"/>
      <c r="E40" s="154"/>
      <c r="F40" s="154"/>
    </row>
    <row r="41" spans="2:6">
      <c r="B41" s="154"/>
      <c r="C41" s="154"/>
      <c r="D41" s="154"/>
      <c r="E41" s="154"/>
      <c r="F41" s="154"/>
    </row>
    <row r="42" spans="2:6">
      <c r="B42" s="153"/>
      <c r="C42" s="153"/>
      <c r="D42" s="153"/>
      <c r="E42" s="153"/>
      <c r="F42" s="153"/>
    </row>
  </sheetData>
  <mergeCells count="3">
    <mergeCell ref="H5:I5"/>
    <mergeCell ref="A4:A5"/>
    <mergeCell ref="B4:B5"/>
  </mergeCells>
  <pageMargins left="0.19685039370078741" right="0.11811023622047245" top="0.35433070866141736" bottom="0.55118110236220474" header="0.31496062992125984" footer="0.31496062992125984"/>
  <pageSetup paperSize="9" fitToHeight="0" orientation="landscape" r:id="rId1"/>
  <headerFooter>
    <oddHeader>&amp;RRáckeve Város 2020 évi költségvetés melléklete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"/>
  <sheetViews>
    <sheetView zoomScaleNormal="100" workbookViewId="0">
      <selection activeCell="H18" sqref="H18"/>
    </sheetView>
  </sheetViews>
  <sheetFormatPr defaultRowHeight="12.75"/>
  <cols>
    <col min="1" max="1" width="53.5703125" style="192" customWidth="1"/>
    <col min="2" max="2" width="12.85546875" style="183" hidden="1" customWidth="1"/>
    <col min="3" max="3" width="12.28515625" style="134" hidden="1" customWidth="1"/>
    <col min="4" max="5" width="12.42578125" style="134" hidden="1" customWidth="1"/>
    <col min="6" max="6" width="19.85546875" style="134" customWidth="1"/>
    <col min="7" max="7" width="4.7109375" style="134" customWidth="1"/>
    <col min="8" max="8" width="18" style="134" customWidth="1"/>
    <col min="9" max="9" width="14.28515625" style="134" customWidth="1"/>
    <col min="10" max="16384" width="9.140625" style="134"/>
  </cols>
  <sheetData>
    <row r="1" spans="1:11" ht="18.75" customHeight="1">
      <c r="A1" s="223"/>
      <c r="B1" s="134"/>
      <c r="D1" s="1390" t="s">
        <v>1644</v>
      </c>
      <c r="E1" s="1390"/>
      <c r="F1" s="1128" t="s">
        <v>1721</v>
      </c>
    </row>
    <row r="2" spans="1:11" s="180" customFormat="1" ht="27.75" customHeight="1">
      <c r="A2" s="1391" t="s">
        <v>683</v>
      </c>
      <c r="B2" s="1391"/>
      <c r="C2" s="1391"/>
      <c r="D2" s="1391"/>
      <c r="E2" s="1391"/>
      <c r="H2" s="134"/>
      <c r="I2" s="134"/>
    </row>
    <row r="3" spans="1:11" ht="15.75">
      <c r="A3" s="191"/>
      <c r="B3" s="193">
        <v>2019</v>
      </c>
      <c r="C3" s="190"/>
      <c r="D3" s="224"/>
      <c r="E3" s="224"/>
      <c r="F3" s="1116" t="s">
        <v>1720</v>
      </c>
    </row>
    <row r="4" spans="1:11" s="180" customFormat="1" ht="18.75" customHeight="1">
      <c r="A4" s="1070" t="s">
        <v>680</v>
      </c>
      <c r="B4" s="1071"/>
      <c r="C4" s="1072"/>
      <c r="D4" s="1072"/>
      <c r="E4" s="1073">
        <v>2019</v>
      </c>
      <c r="F4" s="1073">
        <v>2020</v>
      </c>
      <c r="H4" s="134"/>
      <c r="I4" s="134"/>
    </row>
    <row r="5" spans="1:11" ht="14.25" customHeight="1">
      <c r="A5" s="196" t="s">
        <v>264</v>
      </c>
      <c r="B5" s="202">
        <v>25996498</v>
      </c>
      <c r="C5" s="202">
        <v>-22000000</v>
      </c>
      <c r="D5" s="202">
        <v>-2300000</v>
      </c>
      <c r="E5" s="222">
        <f>B5+C5+D5</f>
        <v>1696498</v>
      </c>
      <c r="F5" s="222">
        <v>30734566</v>
      </c>
    </row>
    <row r="6" spans="1:11" s="197" customFormat="1">
      <c r="A6" s="517" t="s">
        <v>1083</v>
      </c>
      <c r="B6" s="198"/>
      <c r="C6" s="198"/>
      <c r="D6" s="198"/>
      <c r="E6" s="222"/>
      <c r="F6" s="222">
        <f>22000000-5000000</f>
        <v>17000000</v>
      </c>
      <c r="G6" s="300"/>
      <c r="H6" s="300"/>
      <c r="I6" s="134"/>
      <c r="J6" s="134"/>
      <c r="K6" s="134"/>
    </row>
    <row r="7" spans="1:11" s="180" customFormat="1" ht="15" customHeight="1">
      <c r="A7" s="219" t="s">
        <v>671</v>
      </c>
      <c r="B7" s="218">
        <f>SUM(B5:B6)</f>
        <v>25996498</v>
      </c>
      <c r="C7" s="218">
        <f>SUM(C5:C6)</f>
        <v>-22000000</v>
      </c>
      <c r="D7" s="218">
        <f>SUM(D5:D6)</f>
        <v>-2300000</v>
      </c>
      <c r="E7" s="218">
        <f>SUM(E5:E6)</f>
        <v>1696498</v>
      </c>
      <c r="F7" s="218">
        <f>SUM(F5:F6)</f>
        <v>47734566</v>
      </c>
      <c r="G7" s="134"/>
      <c r="H7" s="134"/>
      <c r="I7" s="134"/>
      <c r="J7" s="134"/>
      <c r="K7" s="134"/>
    </row>
    <row r="8" spans="1:11">
      <c r="A8" s="196" t="s">
        <v>672</v>
      </c>
      <c r="B8" s="202">
        <v>14700000</v>
      </c>
      <c r="C8" s="202"/>
      <c r="D8" s="202"/>
      <c r="E8" s="222">
        <f t="shared" ref="E8:E10" si="0">B8+C8+D8</f>
        <v>14700000</v>
      </c>
      <c r="F8" s="222">
        <v>14700000</v>
      </c>
    </row>
    <row r="9" spans="1:11" s="199" customFormat="1">
      <c r="A9" s="1074" t="s">
        <v>1081</v>
      </c>
      <c r="B9" s="202"/>
      <c r="C9" s="198"/>
      <c r="D9" s="198"/>
      <c r="E9" s="222"/>
      <c r="F9" s="222">
        <v>10000000</v>
      </c>
      <c r="G9" s="134"/>
      <c r="H9" s="134"/>
      <c r="I9" s="134"/>
      <c r="J9" s="134"/>
      <c r="K9" s="134"/>
    </row>
    <row r="10" spans="1:11" s="201" customFormat="1">
      <c r="A10" s="196" t="s">
        <v>673</v>
      </c>
      <c r="B10" s="202">
        <v>30000000</v>
      </c>
      <c r="C10" s="202">
        <v>1000000</v>
      </c>
      <c r="D10" s="202"/>
      <c r="E10" s="222">
        <f t="shared" si="0"/>
        <v>31000000</v>
      </c>
      <c r="F10" s="222">
        <v>30000000</v>
      </c>
      <c r="G10" s="134"/>
      <c r="H10" s="134"/>
      <c r="I10" s="134"/>
      <c r="J10" s="134"/>
      <c r="K10" s="134"/>
    </row>
    <row r="11" spans="1:11" s="180" customFormat="1" ht="15" customHeight="1">
      <c r="A11" s="219" t="s">
        <v>674</v>
      </c>
      <c r="B11" s="218">
        <f>SUM(B8:B10)</f>
        <v>44700000</v>
      </c>
      <c r="C11" s="218">
        <f>SUM(C8:C10)</f>
        <v>1000000</v>
      </c>
      <c r="D11" s="218"/>
      <c r="E11" s="218">
        <f>SUM(E8:E10)</f>
        <v>45700000</v>
      </c>
      <c r="F11" s="218">
        <f>SUM(F8:F10)</f>
        <v>54700000</v>
      </c>
      <c r="G11" s="134"/>
      <c r="H11" s="134"/>
      <c r="I11" s="134"/>
      <c r="J11" s="134"/>
      <c r="K11" s="134"/>
    </row>
    <row r="12" spans="1:11" ht="17.25" customHeight="1">
      <c r="A12" s="221" t="s">
        <v>675</v>
      </c>
      <c r="B12" s="220">
        <f>B7+B11</f>
        <v>70696498</v>
      </c>
      <c r="C12" s="220">
        <f>C7+C11</f>
        <v>-21000000</v>
      </c>
      <c r="D12" s="220">
        <f>D7+D11</f>
        <v>-2300000</v>
      </c>
      <c r="E12" s="220">
        <f>E7+E11</f>
        <v>47396498</v>
      </c>
      <c r="F12" s="220">
        <f>F7+F11</f>
        <v>102434566</v>
      </c>
    </row>
    <row r="13" spans="1:11" ht="18.75" customHeight="1">
      <c r="B13" s="200"/>
      <c r="C13" s="200"/>
      <c r="D13" s="200"/>
      <c r="E13" s="200"/>
      <c r="F13" s="200"/>
    </row>
    <row r="14" spans="1:11" s="180" customFormat="1" ht="15.75" customHeight="1">
      <c r="A14" s="212" t="s">
        <v>679</v>
      </c>
      <c r="B14" s="210"/>
      <c r="C14" s="185"/>
      <c r="D14" s="185"/>
      <c r="G14" s="134"/>
      <c r="H14" s="134"/>
      <c r="I14" s="134"/>
      <c r="J14" s="134"/>
      <c r="K14" s="134"/>
    </row>
    <row r="15" spans="1:11" ht="24.75" customHeight="1">
      <c r="A15" s="211" t="s">
        <v>670</v>
      </c>
      <c r="B15" s="195" t="s">
        <v>600</v>
      </c>
      <c r="C15" s="194" t="s">
        <v>532</v>
      </c>
      <c r="D15" s="217" t="s">
        <v>271</v>
      </c>
      <c r="E15" s="195" t="s">
        <v>267</v>
      </c>
      <c r="F15" s="195" t="s">
        <v>694</v>
      </c>
    </row>
    <row r="16" spans="1:11" s="180" customFormat="1" ht="16.5" customHeight="1">
      <c r="A16" s="214" t="s">
        <v>681</v>
      </c>
      <c r="B16" s="216" t="e">
        <f>SUM(#REF!)</f>
        <v>#REF!</v>
      </c>
      <c r="C16" s="216" t="e">
        <f>SUM(#REF!)</f>
        <v>#REF!</v>
      </c>
      <c r="D16" s="216" t="e">
        <f>SUM(#REF!)</f>
        <v>#REF!</v>
      </c>
      <c r="E16" s="215">
        <v>25900000</v>
      </c>
      <c r="F16" s="215">
        <f>20000000-4272306+407522+2706000+1023958-47499</f>
        <v>19817675</v>
      </c>
      <c r="H16" s="213"/>
      <c r="I16" s="213"/>
    </row>
  </sheetData>
  <mergeCells count="2">
    <mergeCell ref="D1:E1"/>
    <mergeCell ref="A2:E2"/>
  </mergeCells>
  <pageMargins left="0.19685039370078741" right="0.11811023622047245" top="0.35433070866141736" bottom="0.55118110236220474" header="0.31496062992125984" footer="0.31496062992125984"/>
  <pageSetup paperSize="9" firstPageNumber="0" fitToHeight="0" orientation="landscape" r:id="rId1"/>
  <headerFooter>
    <oddHeader>&amp;RRáckeve Város 2020 évi költségvetés melléklete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18"/>
  <sheetViews>
    <sheetView zoomScale="150" zoomScaleNormal="150" workbookViewId="0">
      <selection activeCell="G20" sqref="G20"/>
    </sheetView>
  </sheetViews>
  <sheetFormatPr defaultRowHeight="12.75"/>
  <cols>
    <col min="1" max="1" width="46.140625" style="401" customWidth="1"/>
    <col min="2" max="2" width="16" style="379" hidden="1" customWidth="1"/>
    <col min="3" max="3" width="17" style="499" hidden="1" customWidth="1"/>
    <col min="4" max="4" width="30.28515625" style="359" customWidth="1"/>
    <col min="5" max="5" width="63.7109375" style="377" hidden="1" customWidth="1"/>
    <col min="6" max="6" width="18" style="300" customWidth="1"/>
    <col min="7" max="7" width="4.42578125" style="300" customWidth="1"/>
    <col min="8" max="8" width="14.42578125" style="300" customWidth="1"/>
    <col min="9" max="9" width="3.5703125" style="300" hidden="1" customWidth="1"/>
    <col min="10" max="10" width="0" style="300" hidden="1" customWidth="1"/>
    <col min="11" max="11" width="9" style="300" hidden="1" customWidth="1"/>
    <col min="12" max="12" width="5.5703125" style="300" customWidth="1"/>
    <col min="13" max="13" width="4.140625" style="300" hidden="1" customWidth="1"/>
    <col min="14" max="14" width="10" style="300" bestFit="1" customWidth="1"/>
    <col min="15" max="15" width="9.140625" style="300"/>
    <col min="16" max="16" width="14.42578125" style="300" customWidth="1"/>
    <col min="17" max="16384" width="9.140625" style="300"/>
  </cols>
  <sheetData>
    <row r="1" spans="1:8" ht="21" customHeight="1">
      <c r="A1" s="386"/>
      <c r="B1" s="387"/>
      <c r="C1" s="498"/>
      <c r="D1" s="1128" t="s">
        <v>654</v>
      </c>
      <c r="E1" s="400"/>
      <c r="F1" s="185"/>
    </row>
    <row r="2" spans="1:8" ht="21.75" customHeight="1">
      <c r="A2" s="1395" t="s">
        <v>1722</v>
      </c>
      <c r="B2" s="1395"/>
      <c r="C2" s="1395"/>
      <c r="D2" s="1395"/>
      <c r="E2" s="388"/>
      <c r="F2" s="174"/>
    </row>
    <row r="3" spans="1:8" ht="13.5" thickBot="1">
      <c r="A3" s="378"/>
      <c r="C3" s="500" t="s">
        <v>266</v>
      </c>
      <c r="F3" s="182"/>
    </row>
    <row r="4" spans="1:8" ht="13.5" customHeight="1" thickBot="1">
      <c r="A4" s="1392" t="s">
        <v>946</v>
      </c>
      <c r="B4" s="1393">
        <v>2019</v>
      </c>
      <c r="C4" s="1394"/>
      <c r="D4" s="1003">
        <v>2020</v>
      </c>
      <c r="E4" s="446"/>
      <c r="F4" s="182"/>
    </row>
    <row r="5" spans="1:8" ht="13.5" customHeight="1" thickBot="1">
      <c r="A5" s="1392"/>
      <c r="B5" s="389" t="s">
        <v>600</v>
      </c>
      <c r="C5" s="501" t="s">
        <v>267</v>
      </c>
      <c r="D5" s="475"/>
      <c r="E5" s="447" t="s">
        <v>947</v>
      </c>
      <c r="F5" s="402"/>
    </row>
    <row r="6" spans="1:8" ht="14.25">
      <c r="A6" s="390" t="s">
        <v>1723</v>
      </c>
      <c r="B6" s="391"/>
      <c r="C6" s="502"/>
      <c r="D6" s="476"/>
      <c r="E6" s="448"/>
    </row>
    <row r="7" spans="1:8">
      <c r="A7" s="449" t="s">
        <v>948</v>
      </c>
      <c r="B7" s="397"/>
      <c r="C7" s="503"/>
      <c r="D7" s="1004"/>
      <c r="E7" s="450"/>
      <c r="H7" s="402"/>
    </row>
    <row r="8" spans="1:8" ht="15.75">
      <c r="A8" s="451" t="s">
        <v>949</v>
      </c>
      <c r="B8" s="392">
        <v>1026119044</v>
      </c>
      <c r="C8" s="504">
        <v>1026119044</v>
      </c>
      <c r="D8" s="396">
        <v>553042773</v>
      </c>
      <c r="E8" s="452"/>
      <c r="H8" s="184"/>
    </row>
    <row r="9" spans="1:8" ht="15">
      <c r="A9" s="451" t="s">
        <v>951</v>
      </c>
      <c r="B9" s="393">
        <v>152502859</v>
      </c>
      <c r="C9" s="504">
        <v>152502859</v>
      </c>
      <c r="D9" s="396">
        <v>198132842</v>
      </c>
      <c r="E9" s="452" t="s">
        <v>950</v>
      </c>
      <c r="H9" s="403"/>
    </row>
    <row r="10" spans="1:8">
      <c r="A10" s="453" t="s">
        <v>952</v>
      </c>
      <c r="B10" s="394">
        <v>50673631</v>
      </c>
      <c r="C10" s="504">
        <v>50673631</v>
      </c>
      <c r="D10" s="396">
        <v>25000000</v>
      </c>
      <c r="E10" s="452" t="s">
        <v>953</v>
      </c>
      <c r="H10" s="402"/>
    </row>
    <row r="11" spans="1:8" ht="15">
      <c r="A11" s="453" t="s">
        <v>954</v>
      </c>
      <c r="B11" s="394"/>
      <c r="C11" s="504"/>
      <c r="D11" s="1005">
        <v>3573412.5</v>
      </c>
      <c r="E11" s="452" t="s">
        <v>1475</v>
      </c>
    </row>
    <row r="12" spans="1:8">
      <c r="A12" s="454" t="s">
        <v>955</v>
      </c>
      <c r="B12" s="381"/>
      <c r="C12" s="505"/>
      <c r="D12" s="396">
        <v>2108000</v>
      </c>
      <c r="E12" s="455" t="s">
        <v>956</v>
      </c>
    </row>
    <row r="13" spans="1:8">
      <c r="A13" s="454" t="s">
        <v>957</v>
      </c>
      <c r="B13" s="381">
        <v>228600000</v>
      </c>
      <c r="C13" s="505">
        <v>228600000</v>
      </c>
      <c r="D13" s="396">
        <v>243021956</v>
      </c>
      <c r="E13" s="455" t="s">
        <v>956</v>
      </c>
      <c r="H13" s="402"/>
    </row>
    <row r="14" spans="1:8">
      <c r="A14" s="454" t="s">
        <v>958</v>
      </c>
      <c r="B14" s="381">
        <v>48000000</v>
      </c>
      <c r="C14" s="505">
        <v>48000000</v>
      </c>
      <c r="D14" s="396">
        <v>48000000</v>
      </c>
      <c r="E14" s="455" t="s">
        <v>959</v>
      </c>
    </row>
    <row r="15" spans="1:8" hidden="1">
      <c r="A15" s="454" t="s">
        <v>960</v>
      </c>
      <c r="B15" s="381">
        <v>4064000</v>
      </c>
      <c r="C15" s="505">
        <v>4064000</v>
      </c>
      <c r="D15" s="396"/>
      <c r="E15" s="455"/>
    </row>
    <row r="16" spans="1:8">
      <c r="A16" s="454" t="s">
        <v>961</v>
      </c>
      <c r="B16" s="381">
        <v>11691404</v>
      </c>
      <c r="C16" s="505">
        <v>11691404</v>
      </c>
      <c r="D16" s="396">
        <f>135429412+11691404</f>
        <v>147120816</v>
      </c>
      <c r="E16" s="455" t="s">
        <v>962</v>
      </c>
    </row>
    <row r="17" spans="1:6" hidden="1">
      <c r="A17" s="451" t="s">
        <v>1708</v>
      </c>
      <c r="B17" s="392">
        <v>105262545</v>
      </c>
      <c r="C17" s="504">
        <v>105262545</v>
      </c>
      <c r="D17" s="396"/>
      <c r="E17" s="452" t="s">
        <v>963</v>
      </c>
    </row>
    <row r="18" spans="1:6">
      <c r="A18" s="454" t="s">
        <v>682</v>
      </c>
      <c r="B18" s="381"/>
      <c r="C18" s="505">
        <v>119748980</v>
      </c>
      <c r="D18" s="396">
        <f>71950410+14272780</f>
        <v>86223190</v>
      </c>
      <c r="E18" s="455" t="s">
        <v>964</v>
      </c>
    </row>
    <row r="19" spans="1:6" hidden="1">
      <c r="A19" s="454" t="s">
        <v>965</v>
      </c>
      <c r="B19" s="381">
        <v>600000</v>
      </c>
      <c r="C19" s="505">
        <v>600000</v>
      </c>
      <c r="D19" s="396"/>
      <c r="E19" s="455" t="s">
        <v>966</v>
      </c>
    </row>
    <row r="20" spans="1:6">
      <c r="A20" s="454" t="s">
        <v>967</v>
      </c>
      <c r="B20" s="381"/>
      <c r="C20" s="505"/>
      <c r="D20" s="396">
        <v>19997623</v>
      </c>
      <c r="E20" s="455" t="s">
        <v>964</v>
      </c>
    </row>
    <row r="21" spans="1:6" ht="25.5" hidden="1">
      <c r="A21" s="454" t="s">
        <v>968</v>
      </c>
      <c r="B21" s="381">
        <v>4000000</v>
      </c>
      <c r="C21" s="505">
        <v>4000000</v>
      </c>
      <c r="D21" s="396"/>
      <c r="E21" s="455"/>
    </row>
    <row r="22" spans="1:6" hidden="1">
      <c r="A22" s="456" t="s">
        <v>969</v>
      </c>
      <c r="B22" s="404">
        <v>52113860</v>
      </c>
      <c r="C22" s="504">
        <v>52113860</v>
      </c>
      <c r="D22" s="396"/>
      <c r="E22" s="452" t="s">
        <v>970</v>
      </c>
    </row>
    <row r="23" spans="1:6" hidden="1">
      <c r="A23" s="456" t="s">
        <v>971</v>
      </c>
      <c r="B23" s="404"/>
      <c r="C23" s="504">
        <v>90100907</v>
      </c>
      <c r="D23" s="504"/>
      <c r="E23" s="452" t="s">
        <v>972</v>
      </c>
    </row>
    <row r="24" spans="1:6" hidden="1">
      <c r="A24" s="453" t="s">
        <v>973</v>
      </c>
      <c r="B24" s="394">
        <v>25986595</v>
      </c>
      <c r="C24" s="504">
        <v>25986595</v>
      </c>
      <c r="D24" s="396"/>
      <c r="E24" s="452" t="s">
        <v>974</v>
      </c>
    </row>
    <row r="25" spans="1:6">
      <c r="A25" s="1141" t="s">
        <v>652</v>
      </c>
      <c r="B25" s="404"/>
      <c r="C25" s="504"/>
      <c r="D25" s="396">
        <f>1273204+1462628</f>
        <v>2735832</v>
      </c>
      <c r="E25" s="452" t="s">
        <v>1473</v>
      </c>
    </row>
    <row r="26" spans="1:6">
      <c r="A26" s="457" t="s">
        <v>975</v>
      </c>
      <c r="B26" s="405"/>
      <c r="C26" s="506"/>
      <c r="D26" s="406"/>
      <c r="E26" s="458"/>
    </row>
    <row r="27" spans="1:6" s="408" customFormat="1" hidden="1">
      <c r="A27" s="459" t="s">
        <v>976</v>
      </c>
      <c r="B27" s="399">
        <v>24811000</v>
      </c>
      <c r="C27" s="507">
        <v>24811000</v>
      </c>
      <c r="D27" s="407"/>
      <c r="E27" s="460"/>
    </row>
    <row r="28" spans="1:6" s="1136" customFormat="1">
      <c r="A28" s="454" t="s">
        <v>976</v>
      </c>
      <c r="B28" s="381">
        <v>113879860</v>
      </c>
      <c r="C28" s="505">
        <v>113879860</v>
      </c>
      <c r="D28" s="1134">
        <v>10000000</v>
      </c>
      <c r="E28" s="1135" t="s">
        <v>977</v>
      </c>
    </row>
    <row r="29" spans="1:6" s="1136" customFormat="1">
      <c r="A29" s="1137" t="s">
        <v>978</v>
      </c>
      <c r="B29" s="1138">
        <v>3000000</v>
      </c>
      <c r="C29" s="505">
        <v>3000000</v>
      </c>
      <c r="D29" s="1134">
        <v>3000000</v>
      </c>
      <c r="E29" s="455"/>
    </row>
    <row r="30" spans="1:6" s="1136" customFormat="1" hidden="1">
      <c r="A30" s="454" t="s">
        <v>979</v>
      </c>
      <c r="B30" s="381">
        <v>2500000</v>
      </c>
      <c r="C30" s="505">
        <v>2500000</v>
      </c>
      <c r="D30" s="1134"/>
    </row>
    <row r="31" spans="1:6" s="1136" customFormat="1" hidden="1">
      <c r="A31" s="454" t="s">
        <v>980</v>
      </c>
      <c r="B31" s="381">
        <v>2000000</v>
      </c>
      <c r="C31" s="505">
        <v>2000000</v>
      </c>
      <c r="D31" s="1134"/>
      <c r="E31" s="455"/>
    </row>
    <row r="32" spans="1:6" s="1136" customFormat="1" hidden="1">
      <c r="A32" s="454" t="s">
        <v>981</v>
      </c>
      <c r="B32" s="381"/>
      <c r="C32" s="505"/>
      <c r="D32" s="1134"/>
      <c r="E32" s="455" t="s">
        <v>982</v>
      </c>
      <c r="F32" s="1139"/>
    </row>
    <row r="33" spans="1:5" s="1136" customFormat="1">
      <c r="A33" s="454" t="s">
        <v>983</v>
      </c>
      <c r="B33" s="381">
        <v>61920000</v>
      </c>
      <c r="C33" s="505">
        <v>61920000</v>
      </c>
      <c r="D33" s="1134">
        <v>16000000</v>
      </c>
      <c r="E33" s="455" t="s">
        <v>1474</v>
      </c>
    </row>
    <row r="34" spans="1:5" s="1136" customFormat="1">
      <c r="A34" s="454" t="s">
        <v>984</v>
      </c>
      <c r="B34" s="381"/>
      <c r="C34" s="505"/>
      <c r="D34" s="1134">
        <v>2000000</v>
      </c>
      <c r="E34" s="455"/>
    </row>
    <row r="35" spans="1:5" s="1136" customFormat="1" hidden="1">
      <c r="A35" s="454" t="s">
        <v>985</v>
      </c>
      <c r="B35" s="381"/>
      <c r="C35" s="505"/>
      <c r="D35" s="1134"/>
      <c r="E35" s="455" t="s">
        <v>982</v>
      </c>
    </row>
    <row r="36" spans="1:5" s="1136" customFormat="1">
      <c r="A36" s="454" t="s">
        <v>1726</v>
      </c>
      <c r="B36" s="381"/>
      <c r="C36" s="505"/>
      <c r="D36" s="1134">
        <v>1000000</v>
      </c>
      <c r="E36" s="455"/>
    </row>
    <row r="37" spans="1:5" s="410" customFormat="1" ht="25.5" hidden="1">
      <c r="A37" s="461" t="s">
        <v>1043</v>
      </c>
      <c r="B37" s="398"/>
      <c r="C37" s="508"/>
      <c r="D37" s="409"/>
      <c r="E37" s="462" t="s">
        <v>1042</v>
      </c>
    </row>
    <row r="38" spans="1:5" s="410" customFormat="1" hidden="1">
      <c r="A38" s="461" t="s">
        <v>1044</v>
      </c>
      <c r="B38" s="398"/>
      <c r="C38" s="508"/>
      <c r="D38" s="409"/>
      <c r="E38" s="462" t="s">
        <v>1042</v>
      </c>
    </row>
    <row r="39" spans="1:5" s="410" customFormat="1" hidden="1">
      <c r="A39" s="461" t="s">
        <v>1045</v>
      </c>
      <c r="B39" s="398"/>
      <c r="C39" s="508"/>
      <c r="D39" s="409"/>
      <c r="E39" s="462" t="s">
        <v>1042</v>
      </c>
    </row>
    <row r="40" spans="1:5" s="410" customFormat="1" hidden="1">
      <c r="A40" s="461" t="s">
        <v>1046</v>
      </c>
      <c r="B40" s="398"/>
      <c r="C40" s="508"/>
      <c r="D40" s="409"/>
      <c r="E40" s="462" t="s">
        <v>1048</v>
      </c>
    </row>
    <row r="41" spans="1:5" s="410" customFormat="1" hidden="1">
      <c r="A41" s="461" t="s">
        <v>1047</v>
      </c>
      <c r="B41" s="398"/>
      <c r="C41" s="508"/>
      <c r="D41" s="409"/>
      <c r="E41" s="462" t="s">
        <v>1048</v>
      </c>
    </row>
    <row r="42" spans="1:5" s="410" customFormat="1" ht="15.75" hidden="1">
      <c r="A42" s="463" t="s">
        <v>1046</v>
      </c>
      <c r="B42" s="398"/>
      <c r="C42" s="508"/>
      <c r="D42" s="409"/>
      <c r="E42" s="462" t="s">
        <v>1053</v>
      </c>
    </row>
    <row r="43" spans="1:5" s="410" customFormat="1" ht="15.75" hidden="1">
      <c r="A43" s="463" t="s">
        <v>1049</v>
      </c>
      <c r="B43" s="398"/>
      <c r="C43" s="508"/>
      <c r="D43" s="409"/>
      <c r="E43" s="462" t="s">
        <v>1053</v>
      </c>
    </row>
    <row r="44" spans="1:5" s="410" customFormat="1" ht="15.75" hidden="1">
      <c r="A44" s="463" t="s">
        <v>1050</v>
      </c>
      <c r="B44" s="398"/>
      <c r="C44" s="508"/>
      <c r="D44" s="409"/>
      <c r="E44" s="462" t="s">
        <v>1054</v>
      </c>
    </row>
    <row r="45" spans="1:5" s="410" customFormat="1" ht="15.75" hidden="1">
      <c r="A45" s="463" t="s">
        <v>1051</v>
      </c>
      <c r="B45" s="398"/>
      <c r="C45" s="508"/>
      <c r="D45" s="409"/>
      <c r="E45" s="462" t="s">
        <v>1054</v>
      </c>
    </row>
    <row r="46" spans="1:5" s="410" customFormat="1" ht="15.75" hidden="1">
      <c r="A46" s="463" t="s">
        <v>1052</v>
      </c>
      <c r="B46" s="398"/>
      <c r="C46" s="508"/>
      <c r="D46" s="409"/>
      <c r="E46" s="462" t="s">
        <v>1054</v>
      </c>
    </row>
    <row r="47" spans="1:5" s="193" customFormat="1">
      <c r="A47" s="464" t="s">
        <v>1041</v>
      </c>
      <c r="B47" s="411"/>
      <c r="C47" s="509"/>
      <c r="D47" s="396">
        <f>SUM(D8:D46)</f>
        <v>1360956444.5</v>
      </c>
      <c r="E47" s="465"/>
    </row>
    <row r="48" spans="1:5">
      <c r="A48" s="466" t="s">
        <v>986</v>
      </c>
      <c r="B48" s="412">
        <v>4719070</v>
      </c>
      <c r="C48" s="510">
        <v>4719070</v>
      </c>
      <c r="D48" s="477">
        <f>'3. melléklet'!I29</f>
        <v>4700270</v>
      </c>
      <c r="E48" s="467"/>
    </row>
    <row r="49" spans="1:5">
      <c r="A49" s="466" t="s">
        <v>987</v>
      </c>
      <c r="B49" s="412">
        <v>4680398</v>
      </c>
      <c r="C49" s="510">
        <v>4680398</v>
      </c>
      <c r="D49" s="477">
        <f>'3. melléklet'!J29</f>
        <v>3401427</v>
      </c>
      <c r="E49" s="467"/>
    </row>
    <row r="50" spans="1:5">
      <c r="A50" s="466" t="s">
        <v>988</v>
      </c>
      <c r="B50" s="412">
        <v>2250002</v>
      </c>
      <c r="C50" s="510">
        <v>2250002</v>
      </c>
      <c r="D50" s="477">
        <f>'3. melléklet'!H29</f>
        <v>2250002</v>
      </c>
      <c r="E50" s="467"/>
    </row>
    <row r="51" spans="1:5">
      <c r="A51" s="466" t="s">
        <v>989</v>
      </c>
      <c r="B51" s="412">
        <v>825500</v>
      </c>
      <c r="C51" s="510">
        <v>825500</v>
      </c>
      <c r="D51" s="477">
        <f>'3. melléklet'!L24</f>
        <v>2290500</v>
      </c>
      <c r="E51" s="467"/>
    </row>
    <row r="52" spans="1:5">
      <c r="A52" s="466" t="s">
        <v>990</v>
      </c>
      <c r="B52" s="412">
        <v>13099319</v>
      </c>
      <c r="C52" s="510">
        <v>13099319</v>
      </c>
      <c r="D52" s="477">
        <f>'3. melléklet'!M29</f>
        <v>26367091</v>
      </c>
      <c r="E52" s="467"/>
    </row>
    <row r="53" spans="1:5">
      <c r="A53" s="466" t="s">
        <v>991</v>
      </c>
      <c r="B53" s="412">
        <v>2484501</v>
      </c>
      <c r="C53" s="510">
        <v>2484501</v>
      </c>
      <c r="D53" s="477">
        <f>'3. melléklet'!G29</f>
        <v>5651500</v>
      </c>
      <c r="E53" s="467"/>
    </row>
    <row r="54" spans="1:5">
      <c r="A54" s="466" t="s">
        <v>992</v>
      </c>
      <c r="B54" s="412">
        <v>3527679</v>
      </c>
      <c r="C54" s="510">
        <v>3527679</v>
      </c>
      <c r="D54" s="477">
        <f>'3. melléklet'!F29</f>
        <v>5276000</v>
      </c>
      <c r="E54" s="467"/>
    </row>
    <row r="55" spans="1:5">
      <c r="A55" s="466" t="s">
        <v>993</v>
      </c>
      <c r="B55" s="412">
        <v>317500</v>
      </c>
      <c r="C55" s="510">
        <v>317500</v>
      </c>
      <c r="D55" s="477">
        <f>'3. melléklet'!K29</f>
        <v>635000</v>
      </c>
      <c r="E55" s="467"/>
    </row>
    <row r="56" spans="1:5">
      <c r="A56" s="468" t="s">
        <v>943</v>
      </c>
      <c r="B56" s="395">
        <v>1949628767</v>
      </c>
      <c r="C56" s="511">
        <v>2159478654</v>
      </c>
      <c r="D56" s="479">
        <f>SUM(D47:D55)</f>
        <v>1411528234.5</v>
      </c>
      <c r="E56" s="469"/>
    </row>
    <row r="57" spans="1:5">
      <c r="A57" s="468" t="s">
        <v>1694</v>
      </c>
      <c r="B57" s="395"/>
      <c r="C57" s="511"/>
      <c r="D57" s="479">
        <v>2000000</v>
      </c>
      <c r="E57" s="469"/>
    </row>
    <row r="58" spans="1:5">
      <c r="A58" s="1140" t="s">
        <v>1724</v>
      </c>
      <c r="B58" s="395"/>
      <c r="C58" s="511"/>
      <c r="D58" s="479">
        <v>5000000</v>
      </c>
      <c r="E58" s="469"/>
    </row>
    <row r="59" spans="1:5">
      <c r="A59" s="456" t="s">
        <v>1725</v>
      </c>
      <c r="B59" s="404">
        <v>268765000</v>
      </c>
      <c r="C59" s="504">
        <v>268765000</v>
      </c>
      <c r="D59" s="396">
        <f>165000000*0.3</f>
        <v>49500000</v>
      </c>
      <c r="E59" s="452" t="s">
        <v>1082</v>
      </c>
    </row>
    <row r="60" spans="1:5" ht="13.5" thickBot="1">
      <c r="A60" s="470" t="s">
        <v>994</v>
      </c>
      <c r="B60" s="471">
        <v>2218393767</v>
      </c>
      <c r="C60" s="512">
        <v>2428243654</v>
      </c>
      <c r="D60" s="1006">
        <f>D56+D59+D58+D57</f>
        <v>1468028234.5</v>
      </c>
      <c r="E60" s="472"/>
    </row>
    <row r="61" spans="1:5">
      <c r="A61" s="377"/>
      <c r="B61" s="377"/>
      <c r="C61" s="513" t="s">
        <v>1040</v>
      </c>
      <c r="D61" s="478">
        <f>D60-'3. melléklet'!D24-'3. melléklet'!D27-'3. melléklet'!E26</f>
        <v>0</v>
      </c>
    </row>
    <row r="62" spans="1:5">
      <c r="A62" s="378"/>
      <c r="B62" s="377"/>
    </row>
    <row r="63" spans="1:5" hidden="1">
      <c r="A63" s="494" t="s">
        <v>1079</v>
      </c>
      <c r="B63" s="377"/>
      <c r="C63" s="499" t="s">
        <v>1080</v>
      </c>
    </row>
    <row r="64" spans="1:5" hidden="1">
      <c r="A64" s="495" t="s">
        <v>979</v>
      </c>
      <c r="B64" s="496"/>
      <c r="C64" s="514">
        <v>3000000</v>
      </c>
      <c r="D64" s="460"/>
    </row>
    <row r="65" spans="1:3" hidden="1">
      <c r="A65" s="495" t="s">
        <v>980</v>
      </c>
      <c r="B65" s="496"/>
      <c r="C65" s="514">
        <v>2000000</v>
      </c>
    </row>
    <row r="66" spans="1:3" hidden="1">
      <c r="A66" s="495" t="s">
        <v>981</v>
      </c>
      <c r="B66" s="496"/>
      <c r="C66" s="514">
        <v>70000000</v>
      </c>
    </row>
    <row r="67" spans="1:3" hidden="1">
      <c r="A67" s="495" t="s">
        <v>985</v>
      </c>
      <c r="B67" s="496"/>
      <c r="C67" s="516">
        <v>78700000</v>
      </c>
    </row>
    <row r="68" spans="1:3" hidden="1">
      <c r="A68" s="495"/>
      <c r="B68" s="496"/>
      <c r="C68" s="514"/>
    </row>
    <row r="69" spans="1:3" ht="25.5" hidden="1">
      <c r="A69" s="495" t="s">
        <v>1043</v>
      </c>
      <c r="B69" s="496"/>
      <c r="C69" s="514">
        <v>140000000</v>
      </c>
    </row>
    <row r="70" spans="1:3" hidden="1">
      <c r="A70" s="495" t="s">
        <v>1044</v>
      </c>
      <c r="B70" s="496"/>
      <c r="C70" s="516">
        <v>50000000</v>
      </c>
    </row>
    <row r="71" spans="1:3" hidden="1">
      <c r="A71" s="495" t="s">
        <v>1045</v>
      </c>
      <c r="B71" s="496"/>
      <c r="C71" s="514">
        <v>3000000</v>
      </c>
    </row>
    <row r="72" spans="1:3" hidden="1">
      <c r="A72" s="495" t="s">
        <v>1046</v>
      </c>
      <c r="B72" s="496"/>
      <c r="C72" s="514">
        <v>250000</v>
      </c>
    </row>
    <row r="73" spans="1:3" hidden="1">
      <c r="A73" s="495" t="s">
        <v>1047</v>
      </c>
      <c r="B73" s="496"/>
      <c r="C73" s="514">
        <v>18000000</v>
      </c>
    </row>
    <row r="74" spans="1:3" hidden="1">
      <c r="A74" s="495" t="s">
        <v>1046</v>
      </c>
      <c r="B74" s="496"/>
      <c r="C74" s="514">
        <v>250000</v>
      </c>
    </row>
    <row r="75" spans="1:3" hidden="1">
      <c r="A75" s="495" t="s">
        <v>1049</v>
      </c>
      <c r="B75" s="496"/>
      <c r="C75" s="514">
        <v>1500000</v>
      </c>
    </row>
    <row r="76" spans="1:3" hidden="1">
      <c r="A76" s="495" t="s">
        <v>1050</v>
      </c>
      <c r="B76" s="496"/>
      <c r="C76" s="514">
        <v>500000</v>
      </c>
    </row>
    <row r="77" spans="1:3" hidden="1">
      <c r="A77" s="495" t="s">
        <v>1051</v>
      </c>
      <c r="B77" s="496"/>
      <c r="C77" s="514">
        <v>8000000</v>
      </c>
    </row>
    <row r="78" spans="1:3" hidden="1">
      <c r="A78" s="495" t="s">
        <v>1052</v>
      </c>
      <c r="B78" s="496"/>
      <c r="C78" s="514">
        <v>50000000</v>
      </c>
    </row>
    <row r="79" spans="1:3" hidden="1">
      <c r="A79" s="378"/>
      <c r="B79" s="377"/>
      <c r="C79" s="515">
        <f>SUM(C64:C78)</f>
        <v>425200000</v>
      </c>
    </row>
    <row r="80" spans="1:3">
      <c r="A80" s="378"/>
      <c r="B80" s="377"/>
    </row>
    <row r="81" spans="1:2">
      <c r="A81" s="378"/>
      <c r="B81" s="377"/>
    </row>
    <row r="82" spans="1:2">
      <c r="A82" s="378"/>
      <c r="B82" s="377"/>
    </row>
    <row r="83" spans="1:2">
      <c r="A83" s="378"/>
      <c r="B83" s="377"/>
    </row>
    <row r="84" spans="1:2">
      <c r="A84" s="378"/>
      <c r="B84" s="377"/>
    </row>
    <row r="85" spans="1:2">
      <c r="A85" s="378"/>
      <c r="B85" s="377"/>
    </row>
    <row r="86" spans="1:2">
      <c r="A86" s="378"/>
      <c r="B86" s="377"/>
    </row>
    <row r="87" spans="1:2">
      <c r="A87" s="378"/>
      <c r="B87" s="377"/>
    </row>
    <row r="88" spans="1:2">
      <c r="A88" s="378"/>
      <c r="B88" s="377"/>
    </row>
    <row r="89" spans="1:2">
      <c r="A89" s="378"/>
      <c r="B89" s="377"/>
    </row>
    <row r="90" spans="1:2">
      <c r="A90" s="378"/>
      <c r="B90" s="377"/>
    </row>
    <row r="91" spans="1:2">
      <c r="A91" s="378"/>
      <c r="B91" s="377"/>
    </row>
    <row r="92" spans="1:2">
      <c r="A92" s="378"/>
      <c r="B92" s="377"/>
    </row>
    <row r="93" spans="1:2">
      <c r="A93" s="378"/>
      <c r="B93" s="377"/>
    </row>
    <row r="94" spans="1:2">
      <c r="A94" s="378"/>
      <c r="B94" s="377"/>
    </row>
    <row r="95" spans="1:2">
      <c r="A95" s="378"/>
      <c r="B95" s="377"/>
    </row>
    <row r="96" spans="1:2">
      <c r="A96" s="378"/>
      <c r="B96" s="377"/>
    </row>
    <row r="97" spans="1:2">
      <c r="A97" s="378"/>
      <c r="B97" s="377"/>
    </row>
    <row r="98" spans="1:2">
      <c r="A98" s="378"/>
      <c r="B98" s="377"/>
    </row>
    <row r="99" spans="1:2">
      <c r="A99" s="378"/>
      <c r="B99" s="377"/>
    </row>
    <row r="100" spans="1:2">
      <c r="A100" s="378"/>
      <c r="B100" s="377"/>
    </row>
    <row r="101" spans="1:2">
      <c r="A101" s="378"/>
      <c r="B101" s="377"/>
    </row>
    <row r="102" spans="1:2">
      <c r="A102" s="378"/>
      <c r="B102" s="377"/>
    </row>
    <row r="103" spans="1:2">
      <c r="A103" s="378"/>
      <c r="B103" s="377"/>
    </row>
    <row r="104" spans="1:2">
      <c r="A104" s="378"/>
      <c r="B104" s="377"/>
    </row>
    <row r="105" spans="1:2">
      <c r="A105" s="378"/>
      <c r="B105" s="377"/>
    </row>
    <row r="106" spans="1:2">
      <c r="A106" s="378"/>
      <c r="B106" s="377"/>
    </row>
    <row r="107" spans="1:2">
      <c r="A107" s="378"/>
      <c r="B107" s="377"/>
    </row>
    <row r="108" spans="1:2">
      <c r="A108" s="378"/>
      <c r="B108" s="377"/>
    </row>
    <row r="109" spans="1:2">
      <c r="A109" s="378"/>
      <c r="B109" s="377"/>
    </row>
    <row r="110" spans="1:2">
      <c r="A110" s="378"/>
      <c r="B110" s="377"/>
    </row>
    <row r="111" spans="1:2">
      <c r="A111" s="378"/>
      <c r="B111" s="377"/>
    </row>
    <row r="112" spans="1:2">
      <c r="A112" s="378"/>
      <c r="B112" s="377"/>
    </row>
    <row r="113" spans="1:2">
      <c r="A113" s="378"/>
      <c r="B113" s="377"/>
    </row>
    <row r="114" spans="1:2">
      <c r="A114" s="378"/>
      <c r="B114" s="377"/>
    </row>
    <row r="115" spans="1:2">
      <c r="A115" s="378"/>
      <c r="B115" s="377"/>
    </row>
    <row r="116" spans="1:2">
      <c r="A116" s="378"/>
      <c r="B116" s="377"/>
    </row>
    <row r="117" spans="1:2">
      <c r="A117" s="378"/>
      <c r="B117" s="377"/>
    </row>
    <row r="118" spans="1:2">
      <c r="A118" s="378"/>
      <c r="B118" s="377"/>
    </row>
  </sheetData>
  <mergeCells count="3">
    <mergeCell ref="A4:A5"/>
    <mergeCell ref="B4:C4"/>
    <mergeCell ref="A2:D2"/>
  </mergeCells>
  <pageMargins left="0.19685039370078741" right="0.11811023622047245" top="0.35433070866141736" bottom="0.55118110236220474" header="0.31496062992125984" footer="0.31496062992125984"/>
  <pageSetup paperSize="9" firstPageNumber="0" fitToHeight="0" orientation="landscape" r:id="rId1"/>
  <headerFooter>
    <oddHeader>&amp;RRáckeve Város 2020 évi költségvetés melléklete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7"/>
  <sheetViews>
    <sheetView topLeftCell="A20" workbookViewId="0">
      <selection activeCell="F42" sqref="F42"/>
    </sheetView>
  </sheetViews>
  <sheetFormatPr defaultRowHeight="12.75"/>
  <cols>
    <col min="1" max="1" width="40.140625" customWidth="1"/>
    <col min="2" max="2" width="20" style="419" bestFit="1" customWidth="1"/>
    <col min="3" max="3" width="15" customWidth="1"/>
    <col min="4" max="4" width="19" bestFit="1" customWidth="1"/>
    <col min="5" max="5" width="16.5703125" bestFit="1" customWidth="1"/>
    <col min="6" max="6" width="15.42578125" style="420" bestFit="1" customWidth="1"/>
    <col min="7" max="7" width="13.42578125" bestFit="1" customWidth="1"/>
    <col min="8" max="8" width="13.5703125" bestFit="1" customWidth="1"/>
    <col min="9" max="9" width="13.85546875" bestFit="1" customWidth="1"/>
    <col min="10" max="10" width="15.28515625" customWidth="1"/>
    <col min="11" max="11" width="11.5703125" customWidth="1"/>
    <col min="12" max="12" width="12.85546875" customWidth="1"/>
    <col min="13" max="13" width="10.140625" bestFit="1" customWidth="1"/>
    <col min="257" max="257" width="40.140625" customWidth="1"/>
    <col min="258" max="258" width="20" bestFit="1" customWidth="1"/>
    <col min="259" max="259" width="15" customWidth="1"/>
    <col min="260" max="260" width="19" bestFit="1" customWidth="1"/>
    <col min="261" max="261" width="16.5703125" bestFit="1" customWidth="1"/>
    <col min="262" max="262" width="13.85546875" bestFit="1" customWidth="1"/>
    <col min="263" max="263" width="13.42578125" bestFit="1" customWidth="1"/>
    <col min="264" max="264" width="10.140625" bestFit="1" customWidth="1"/>
    <col min="265" max="265" width="13.85546875" bestFit="1" customWidth="1"/>
    <col min="266" max="266" width="15.28515625" customWidth="1"/>
    <col min="267" max="267" width="11.5703125" customWidth="1"/>
    <col min="268" max="268" width="12.85546875" customWidth="1"/>
    <col min="269" max="269" width="10.140625" bestFit="1" customWidth="1"/>
    <col min="513" max="513" width="40.140625" customWidth="1"/>
    <col min="514" max="514" width="20" bestFit="1" customWidth="1"/>
    <col min="515" max="515" width="15" customWidth="1"/>
    <col min="516" max="516" width="19" bestFit="1" customWidth="1"/>
    <col min="517" max="517" width="16.5703125" bestFit="1" customWidth="1"/>
    <col min="518" max="518" width="13.85546875" bestFit="1" customWidth="1"/>
    <col min="519" max="519" width="13.42578125" bestFit="1" customWidth="1"/>
    <col min="520" max="520" width="10.140625" bestFit="1" customWidth="1"/>
    <col min="521" max="521" width="13.85546875" bestFit="1" customWidth="1"/>
    <col min="522" max="522" width="15.28515625" customWidth="1"/>
    <col min="523" max="523" width="11.5703125" customWidth="1"/>
    <col min="524" max="524" width="12.85546875" customWidth="1"/>
    <col min="525" max="525" width="10.140625" bestFit="1" customWidth="1"/>
    <col min="769" max="769" width="40.140625" customWidth="1"/>
    <col min="770" max="770" width="20" bestFit="1" customWidth="1"/>
    <col min="771" max="771" width="15" customWidth="1"/>
    <col min="772" max="772" width="19" bestFit="1" customWidth="1"/>
    <col min="773" max="773" width="16.5703125" bestFit="1" customWidth="1"/>
    <col min="774" max="774" width="13.85546875" bestFit="1" customWidth="1"/>
    <col min="775" max="775" width="13.42578125" bestFit="1" customWidth="1"/>
    <col min="776" max="776" width="10.140625" bestFit="1" customWidth="1"/>
    <col min="777" max="777" width="13.85546875" bestFit="1" customWidth="1"/>
    <col min="778" max="778" width="15.28515625" customWidth="1"/>
    <col min="779" max="779" width="11.5703125" customWidth="1"/>
    <col min="780" max="780" width="12.85546875" customWidth="1"/>
    <col min="781" max="781" width="10.140625" bestFit="1" customWidth="1"/>
    <col min="1025" max="1025" width="40.140625" customWidth="1"/>
    <col min="1026" max="1026" width="20" bestFit="1" customWidth="1"/>
    <col min="1027" max="1027" width="15" customWidth="1"/>
    <col min="1028" max="1028" width="19" bestFit="1" customWidth="1"/>
    <col min="1029" max="1029" width="16.5703125" bestFit="1" customWidth="1"/>
    <col min="1030" max="1030" width="13.85546875" bestFit="1" customWidth="1"/>
    <col min="1031" max="1031" width="13.42578125" bestFit="1" customWidth="1"/>
    <col min="1032" max="1032" width="10.140625" bestFit="1" customWidth="1"/>
    <col min="1033" max="1033" width="13.85546875" bestFit="1" customWidth="1"/>
    <col min="1034" max="1034" width="15.28515625" customWidth="1"/>
    <col min="1035" max="1035" width="11.5703125" customWidth="1"/>
    <col min="1036" max="1036" width="12.85546875" customWidth="1"/>
    <col min="1037" max="1037" width="10.140625" bestFit="1" customWidth="1"/>
    <col min="1281" max="1281" width="40.140625" customWidth="1"/>
    <col min="1282" max="1282" width="20" bestFit="1" customWidth="1"/>
    <col min="1283" max="1283" width="15" customWidth="1"/>
    <col min="1284" max="1284" width="19" bestFit="1" customWidth="1"/>
    <col min="1285" max="1285" width="16.5703125" bestFit="1" customWidth="1"/>
    <col min="1286" max="1286" width="13.85546875" bestFit="1" customWidth="1"/>
    <col min="1287" max="1287" width="13.42578125" bestFit="1" customWidth="1"/>
    <col min="1288" max="1288" width="10.140625" bestFit="1" customWidth="1"/>
    <col min="1289" max="1289" width="13.85546875" bestFit="1" customWidth="1"/>
    <col min="1290" max="1290" width="15.28515625" customWidth="1"/>
    <col min="1291" max="1291" width="11.5703125" customWidth="1"/>
    <col min="1292" max="1292" width="12.85546875" customWidth="1"/>
    <col min="1293" max="1293" width="10.140625" bestFit="1" customWidth="1"/>
    <col min="1537" max="1537" width="40.140625" customWidth="1"/>
    <col min="1538" max="1538" width="20" bestFit="1" customWidth="1"/>
    <col min="1539" max="1539" width="15" customWidth="1"/>
    <col min="1540" max="1540" width="19" bestFit="1" customWidth="1"/>
    <col min="1541" max="1541" width="16.5703125" bestFit="1" customWidth="1"/>
    <col min="1542" max="1542" width="13.85546875" bestFit="1" customWidth="1"/>
    <col min="1543" max="1543" width="13.42578125" bestFit="1" customWidth="1"/>
    <col min="1544" max="1544" width="10.140625" bestFit="1" customWidth="1"/>
    <col min="1545" max="1545" width="13.85546875" bestFit="1" customWidth="1"/>
    <col min="1546" max="1546" width="15.28515625" customWidth="1"/>
    <col min="1547" max="1547" width="11.5703125" customWidth="1"/>
    <col min="1548" max="1548" width="12.85546875" customWidth="1"/>
    <col min="1549" max="1549" width="10.140625" bestFit="1" customWidth="1"/>
    <col min="1793" max="1793" width="40.140625" customWidth="1"/>
    <col min="1794" max="1794" width="20" bestFit="1" customWidth="1"/>
    <col min="1795" max="1795" width="15" customWidth="1"/>
    <col min="1796" max="1796" width="19" bestFit="1" customWidth="1"/>
    <col min="1797" max="1797" width="16.5703125" bestFit="1" customWidth="1"/>
    <col min="1798" max="1798" width="13.85546875" bestFit="1" customWidth="1"/>
    <col min="1799" max="1799" width="13.42578125" bestFit="1" customWidth="1"/>
    <col min="1800" max="1800" width="10.140625" bestFit="1" customWidth="1"/>
    <col min="1801" max="1801" width="13.85546875" bestFit="1" customWidth="1"/>
    <col min="1802" max="1802" width="15.28515625" customWidth="1"/>
    <col min="1803" max="1803" width="11.5703125" customWidth="1"/>
    <col min="1804" max="1804" width="12.85546875" customWidth="1"/>
    <col min="1805" max="1805" width="10.140625" bestFit="1" customWidth="1"/>
    <col min="2049" max="2049" width="40.140625" customWidth="1"/>
    <col min="2050" max="2050" width="20" bestFit="1" customWidth="1"/>
    <col min="2051" max="2051" width="15" customWidth="1"/>
    <col min="2052" max="2052" width="19" bestFit="1" customWidth="1"/>
    <col min="2053" max="2053" width="16.5703125" bestFit="1" customWidth="1"/>
    <col min="2054" max="2054" width="13.85546875" bestFit="1" customWidth="1"/>
    <col min="2055" max="2055" width="13.42578125" bestFit="1" customWidth="1"/>
    <col min="2056" max="2056" width="10.140625" bestFit="1" customWidth="1"/>
    <col min="2057" max="2057" width="13.85546875" bestFit="1" customWidth="1"/>
    <col min="2058" max="2058" width="15.28515625" customWidth="1"/>
    <col min="2059" max="2059" width="11.5703125" customWidth="1"/>
    <col min="2060" max="2060" width="12.85546875" customWidth="1"/>
    <col min="2061" max="2061" width="10.140625" bestFit="1" customWidth="1"/>
    <col min="2305" max="2305" width="40.140625" customWidth="1"/>
    <col min="2306" max="2306" width="20" bestFit="1" customWidth="1"/>
    <col min="2307" max="2307" width="15" customWidth="1"/>
    <col min="2308" max="2308" width="19" bestFit="1" customWidth="1"/>
    <col min="2309" max="2309" width="16.5703125" bestFit="1" customWidth="1"/>
    <col min="2310" max="2310" width="13.85546875" bestFit="1" customWidth="1"/>
    <col min="2311" max="2311" width="13.42578125" bestFit="1" customWidth="1"/>
    <col min="2312" max="2312" width="10.140625" bestFit="1" customWidth="1"/>
    <col min="2313" max="2313" width="13.85546875" bestFit="1" customWidth="1"/>
    <col min="2314" max="2314" width="15.28515625" customWidth="1"/>
    <col min="2315" max="2315" width="11.5703125" customWidth="1"/>
    <col min="2316" max="2316" width="12.85546875" customWidth="1"/>
    <col min="2317" max="2317" width="10.140625" bestFit="1" customWidth="1"/>
    <col min="2561" max="2561" width="40.140625" customWidth="1"/>
    <col min="2562" max="2562" width="20" bestFit="1" customWidth="1"/>
    <col min="2563" max="2563" width="15" customWidth="1"/>
    <col min="2564" max="2564" width="19" bestFit="1" customWidth="1"/>
    <col min="2565" max="2565" width="16.5703125" bestFit="1" customWidth="1"/>
    <col min="2566" max="2566" width="13.85546875" bestFit="1" customWidth="1"/>
    <col min="2567" max="2567" width="13.42578125" bestFit="1" customWidth="1"/>
    <col min="2568" max="2568" width="10.140625" bestFit="1" customWidth="1"/>
    <col min="2569" max="2569" width="13.85546875" bestFit="1" customWidth="1"/>
    <col min="2570" max="2570" width="15.28515625" customWidth="1"/>
    <col min="2571" max="2571" width="11.5703125" customWidth="1"/>
    <col min="2572" max="2572" width="12.85546875" customWidth="1"/>
    <col min="2573" max="2573" width="10.140625" bestFit="1" customWidth="1"/>
    <col min="2817" max="2817" width="40.140625" customWidth="1"/>
    <col min="2818" max="2818" width="20" bestFit="1" customWidth="1"/>
    <col min="2819" max="2819" width="15" customWidth="1"/>
    <col min="2820" max="2820" width="19" bestFit="1" customWidth="1"/>
    <col min="2821" max="2821" width="16.5703125" bestFit="1" customWidth="1"/>
    <col min="2822" max="2822" width="13.85546875" bestFit="1" customWidth="1"/>
    <col min="2823" max="2823" width="13.42578125" bestFit="1" customWidth="1"/>
    <col min="2824" max="2824" width="10.140625" bestFit="1" customWidth="1"/>
    <col min="2825" max="2825" width="13.85546875" bestFit="1" customWidth="1"/>
    <col min="2826" max="2826" width="15.28515625" customWidth="1"/>
    <col min="2827" max="2827" width="11.5703125" customWidth="1"/>
    <col min="2828" max="2828" width="12.85546875" customWidth="1"/>
    <col min="2829" max="2829" width="10.140625" bestFit="1" customWidth="1"/>
    <col min="3073" max="3073" width="40.140625" customWidth="1"/>
    <col min="3074" max="3074" width="20" bestFit="1" customWidth="1"/>
    <col min="3075" max="3075" width="15" customWidth="1"/>
    <col min="3076" max="3076" width="19" bestFit="1" customWidth="1"/>
    <col min="3077" max="3077" width="16.5703125" bestFit="1" customWidth="1"/>
    <col min="3078" max="3078" width="13.85546875" bestFit="1" customWidth="1"/>
    <col min="3079" max="3079" width="13.42578125" bestFit="1" customWidth="1"/>
    <col min="3080" max="3080" width="10.140625" bestFit="1" customWidth="1"/>
    <col min="3081" max="3081" width="13.85546875" bestFit="1" customWidth="1"/>
    <col min="3082" max="3082" width="15.28515625" customWidth="1"/>
    <col min="3083" max="3083" width="11.5703125" customWidth="1"/>
    <col min="3084" max="3084" width="12.85546875" customWidth="1"/>
    <col min="3085" max="3085" width="10.140625" bestFit="1" customWidth="1"/>
    <col min="3329" max="3329" width="40.140625" customWidth="1"/>
    <col min="3330" max="3330" width="20" bestFit="1" customWidth="1"/>
    <col min="3331" max="3331" width="15" customWidth="1"/>
    <col min="3332" max="3332" width="19" bestFit="1" customWidth="1"/>
    <col min="3333" max="3333" width="16.5703125" bestFit="1" customWidth="1"/>
    <col min="3334" max="3334" width="13.85546875" bestFit="1" customWidth="1"/>
    <col min="3335" max="3335" width="13.42578125" bestFit="1" customWidth="1"/>
    <col min="3336" max="3336" width="10.140625" bestFit="1" customWidth="1"/>
    <col min="3337" max="3337" width="13.85546875" bestFit="1" customWidth="1"/>
    <col min="3338" max="3338" width="15.28515625" customWidth="1"/>
    <col min="3339" max="3339" width="11.5703125" customWidth="1"/>
    <col min="3340" max="3340" width="12.85546875" customWidth="1"/>
    <col min="3341" max="3341" width="10.140625" bestFit="1" customWidth="1"/>
    <col min="3585" max="3585" width="40.140625" customWidth="1"/>
    <col min="3586" max="3586" width="20" bestFit="1" customWidth="1"/>
    <col min="3587" max="3587" width="15" customWidth="1"/>
    <col min="3588" max="3588" width="19" bestFit="1" customWidth="1"/>
    <col min="3589" max="3589" width="16.5703125" bestFit="1" customWidth="1"/>
    <col min="3590" max="3590" width="13.85546875" bestFit="1" customWidth="1"/>
    <col min="3591" max="3591" width="13.42578125" bestFit="1" customWidth="1"/>
    <col min="3592" max="3592" width="10.140625" bestFit="1" customWidth="1"/>
    <col min="3593" max="3593" width="13.85546875" bestFit="1" customWidth="1"/>
    <col min="3594" max="3594" width="15.28515625" customWidth="1"/>
    <col min="3595" max="3595" width="11.5703125" customWidth="1"/>
    <col min="3596" max="3596" width="12.85546875" customWidth="1"/>
    <col min="3597" max="3597" width="10.140625" bestFit="1" customWidth="1"/>
    <col min="3841" max="3841" width="40.140625" customWidth="1"/>
    <col min="3842" max="3842" width="20" bestFit="1" customWidth="1"/>
    <col min="3843" max="3843" width="15" customWidth="1"/>
    <col min="3844" max="3844" width="19" bestFit="1" customWidth="1"/>
    <col min="3845" max="3845" width="16.5703125" bestFit="1" customWidth="1"/>
    <col min="3846" max="3846" width="13.85546875" bestFit="1" customWidth="1"/>
    <col min="3847" max="3847" width="13.42578125" bestFit="1" customWidth="1"/>
    <col min="3848" max="3848" width="10.140625" bestFit="1" customWidth="1"/>
    <col min="3849" max="3849" width="13.85546875" bestFit="1" customWidth="1"/>
    <col min="3850" max="3850" width="15.28515625" customWidth="1"/>
    <col min="3851" max="3851" width="11.5703125" customWidth="1"/>
    <col min="3852" max="3852" width="12.85546875" customWidth="1"/>
    <col min="3853" max="3853" width="10.140625" bestFit="1" customWidth="1"/>
    <col min="4097" max="4097" width="40.140625" customWidth="1"/>
    <col min="4098" max="4098" width="20" bestFit="1" customWidth="1"/>
    <col min="4099" max="4099" width="15" customWidth="1"/>
    <col min="4100" max="4100" width="19" bestFit="1" customWidth="1"/>
    <col min="4101" max="4101" width="16.5703125" bestFit="1" customWidth="1"/>
    <col min="4102" max="4102" width="13.85546875" bestFit="1" customWidth="1"/>
    <col min="4103" max="4103" width="13.42578125" bestFit="1" customWidth="1"/>
    <col min="4104" max="4104" width="10.140625" bestFit="1" customWidth="1"/>
    <col min="4105" max="4105" width="13.85546875" bestFit="1" customWidth="1"/>
    <col min="4106" max="4106" width="15.28515625" customWidth="1"/>
    <col min="4107" max="4107" width="11.5703125" customWidth="1"/>
    <col min="4108" max="4108" width="12.85546875" customWidth="1"/>
    <col min="4109" max="4109" width="10.140625" bestFit="1" customWidth="1"/>
    <col min="4353" max="4353" width="40.140625" customWidth="1"/>
    <col min="4354" max="4354" width="20" bestFit="1" customWidth="1"/>
    <col min="4355" max="4355" width="15" customWidth="1"/>
    <col min="4356" max="4356" width="19" bestFit="1" customWidth="1"/>
    <col min="4357" max="4357" width="16.5703125" bestFit="1" customWidth="1"/>
    <col min="4358" max="4358" width="13.85546875" bestFit="1" customWidth="1"/>
    <col min="4359" max="4359" width="13.42578125" bestFit="1" customWidth="1"/>
    <col min="4360" max="4360" width="10.140625" bestFit="1" customWidth="1"/>
    <col min="4361" max="4361" width="13.85546875" bestFit="1" customWidth="1"/>
    <col min="4362" max="4362" width="15.28515625" customWidth="1"/>
    <col min="4363" max="4363" width="11.5703125" customWidth="1"/>
    <col min="4364" max="4364" width="12.85546875" customWidth="1"/>
    <col min="4365" max="4365" width="10.140625" bestFit="1" customWidth="1"/>
    <col min="4609" max="4609" width="40.140625" customWidth="1"/>
    <col min="4610" max="4610" width="20" bestFit="1" customWidth="1"/>
    <col min="4611" max="4611" width="15" customWidth="1"/>
    <col min="4612" max="4612" width="19" bestFit="1" customWidth="1"/>
    <col min="4613" max="4613" width="16.5703125" bestFit="1" customWidth="1"/>
    <col min="4614" max="4614" width="13.85546875" bestFit="1" customWidth="1"/>
    <col min="4615" max="4615" width="13.42578125" bestFit="1" customWidth="1"/>
    <col min="4616" max="4616" width="10.140625" bestFit="1" customWidth="1"/>
    <col min="4617" max="4617" width="13.85546875" bestFit="1" customWidth="1"/>
    <col min="4618" max="4618" width="15.28515625" customWidth="1"/>
    <col min="4619" max="4619" width="11.5703125" customWidth="1"/>
    <col min="4620" max="4620" width="12.85546875" customWidth="1"/>
    <col min="4621" max="4621" width="10.140625" bestFit="1" customWidth="1"/>
    <col min="4865" max="4865" width="40.140625" customWidth="1"/>
    <col min="4866" max="4866" width="20" bestFit="1" customWidth="1"/>
    <col min="4867" max="4867" width="15" customWidth="1"/>
    <col min="4868" max="4868" width="19" bestFit="1" customWidth="1"/>
    <col min="4869" max="4869" width="16.5703125" bestFit="1" customWidth="1"/>
    <col min="4870" max="4870" width="13.85546875" bestFit="1" customWidth="1"/>
    <col min="4871" max="4871" width="13.42578125" bestFit="1" customWidth="1"/>
    <col min="4872" max="4872" width="10.140625" bestFit="1" customWidth="1"/>
    <col min="4873" max="4873" width="13.85546875" bestFit="1" customWidth="1"/>
    <col min="4874" max="4874" width="15.28515625" customWidth="1"/>
    <col min="4875" max="4875" width="11.5703125" customWidth="1"/>
    <col min="4876" max="4876" width="12.85546875" customWidth="1"/>
    <col min="4877" max="4877" width="10.140625" bestFit="1" customWidth="1"/>
    <col min="5121" max="5121" width="40.140625" customWidth="1"/>
    <col min="5122" max="5122" width="20" bestFit="1" customWidth="1"/>
    <col min="5123" max="5123" width="15" customWidth="1"/>
    <col min="5124" max="5124" width="19" bestFit="1" customWidth="1"/>
    <col min="5125" max="5125" width="16.5703125" bestFit="1" customWidth="1"/>
    <col min="5126" max="5126" width="13.85546875" bestFit="1" customWidth="1"/>
    <col min="5127" max="5127" width="13.42578125" bestFit="1" customWidth="1"/>
    <col min="5128" max="5128" width="10.140625" bestFit="1" customWidth="1"/>
    <col min="5129" max="5129" width="13.85546875" bestFit="1" customWidth="1"/>
    <col min="5130" max="5130" width="15.28515625" customWidth="1"/>
    <col min="5131" max="5131" width="11.5703125" customWidth="1"/>
    <col min="5132" max="5132" width="12.85546875" customWidth="1"/>
    <col min="5133" max="5133" width="10.140625" bestFit="1" customWidth="1"/>
    <col min="5377" max="5377" width="40.140625" customWidth="1"/>
    <col min="5378" max="5378" width="20" bestFit="1" customWidth="1"/>
    <col min="5379" max="5379" width="15" customWidth="1"/>
    <col min="5380" max="5380" width="19" bestFit="1" customWidth="1"/>
    <col min="5381" max="5381" width="16.5703125" bestFit="1" customWidth="1"/>
    <col min="5382" max="5382" width="13.85546875" bestFit="1" customWidth="1"/>
    <col min="5383" max="5383" width="13.42578125" bestFit="1" customWidth="1"/>
    <col min="5384" max="5384" width="10.140625" bestFit="1" customWidth="1"/>
    <col min="5385" max="5385" width="13.85546875" bestFit="1" customWidth="1"/>
    <col min="5386" max="5386" width="15.28515625" customWidth="1"/>
    <col min="5387" max="5387" width="11.5703125" customWidth="1"/>
    <col min="5388" max="5388" width="12.85546875" customWidth="1"/>
    <col min="5389" max="5389" width="10.140625" bestFit="1" customWidth="1"/>
    <col min="5633" max="5633" width="40.140625" customWidth="1"/>
    <col min="5634" max="5634" width="20" bestFit="1" customWidth="1"/>
    <col min="5635" max="5635" width="15" customWidth="1"/>
    <col min="5636" max="5636" width="19" bestFit="1" customWidth="1"/>
    <col min="5637" max="5637" width="16.5703125" bestFit="1" customWidth="1"/>
    <col min="5638" max="5638" width="13.85546875" bestFit="1" customWidth="1"/>
    <col min="5639" max="5639" width="13.42578125" bestFit="1" customWidth="1"/>
    <col min="5640" max="5640" width="10.140625" bestFit="1" customWidth="1"/>
    <col min="5641" max="5641" width="13.85546875" bestFit="1" customWidth="1"/>
    <col min="5642" max="5642" width="15.28515625" customWidth="1"/>
    <col min="5643" max="5643" width="11.5703125" customWidth="1"/>
    <col min="5644" max="5644" width="12.85546875" customWidth="1"/>
    <col min="5645" max="5645" width="10.140625" bestFit="1" customWidth="1"/>
    <col min="5889" max="5889" width="40.140625" customWidth="1"/>
    <col min="5890" max="5890" width="20" bestFit="1" customWidth="1"/>
    <col min="5891" max="5891" width="15" customWidth="1"/>
    <col min="5892" max="5892" width="19" bestFit="1" customWidth="1"/>
    <col min="5893" max="5893" width="16.5703125" bestFit="1" customWidth="1"/>
    <col min="5894" max="5894" width="13.85546875" bestFit="1" customWidth="1"/>
    <col min="5895" max="5895" width="13.42578125" bestFit="1" customWidth="1"/>
    <col min="5896" max="5896" width="10.140625" bestFit="1" customWidth="1"/>
    <col min="5897" max="5897" width="13.85546875" bestFit="1" customWidth="1"/>
    <col min="5898" max="5898" width="15.28515625" customWidth="1"/>
    <col min="5899" max="5899" width="11.5703125" customWidth="1"/>
    <col min="5900" max="5900" width="12.85546875" customWidth="1"/>
    <col min="5901" max="5901" width="10.140625" bestFit="1" customWidth="1"/>
    <col min="6145" max="6145" width="40.140625" customWidth="1"/>
    <col min="6146" max="6146" width="20" bestFit="1" customWidth="1"/>
    <col min="6147" max="6147" width="15" customWidth="1"/>
    <col min="6148" max="6148" width="19" bestFit="1" customWidth="1"/>
    <col min="6149" max="6149" width="16.5703125" bestFit="1" customWidth="1"/>
    <col min="6150" max="6150" width="13.85546875" bestFit="1" customWidth="1"/>
    <col min="6151" max="6151" width="13.42578125" bestFit="1" customWidth="1"/>
    <col min="6152" max="6152" width="10.140625" bestFit="1" customWidth="1"/>
    <col min="6153" max="6153" width="13.85546875" bestFit="1" customWidth="1"/>
    <col min="6154" max="6154" width="15.28515625" customWidth="1"/>
    <col min="6155" max="6155" width="11.5703125" customWidth="1"/>
    <col min="6156" max="6156" width="12.85546875" customWidth="1"/>
    <col min="6157" max="6157" width="10.140625" bestFit="1" customWidth="1"/>
    <col min="6401" max="6401" width="40.140625" customWidth="1"/>
    <col min="6402" max="6402" width="20" bestFit="1" customWidth="1"/>
    <col min="6403" max="6403" width="15" customWidth="1"/>
    <col min="6404" max="6404" width="19" bestFit="1" customWidth="1"/>
    <col min="6405" max="6405" width="16.5703125" bestFit="1" customWidth="1"/>
    <col min="6406" max="6406" width="13.85546875" bestFit="1" customWidth="1"/>
    <col min="6407" max="6407" width="13.42578125" bestFit="1" customWidth="1"/>
    <col min="6408" max="6408" width="10.140625" bestFit="1" customWidth="1"/>
    <col min="6409" max="6409" width="13.85546875" bestFit="1" customWidth="1"/>
    <col min="6410" max="6410" width="15.28515625" customWidth="1"/>
    <col min="6411" max="6411" width="11.5703125" customWidth="1"/>
    <col min="6412" max="6412" width="12.85546875" customWidth="1"/>
    <col min="6413" max="6413" width="10.140625" bestFit="1" customWidth="1"/>
    <col min="6657" max="6657" width="40.140625" customWidth="1"/>
    <col min="6658" max="6658" width="20" bestFit="1" customWidth="1"/>
    <col min="6659" max="6659" width="15" customWidth="1"/>
    <col min="6660" max="6660" width="19" bestFit="1" customWidth="1"/>
    <col min="6661" max="6661" width="16.5703125" bestFit="1" customWidth="1"/>
    <col min="6662" max="6662" width="13.85546875" bestFit="1" customWidth="1"/>
    <col min="6663" max="6663" width="13.42578125" bestFit="1" customWidth="1"/>
    <col min="6664" max="6664" width="10.140625" bestFit="1" customWidth="1"/>
    <col min="6665" max="6665" width="13.85546875" bestFit="1" customWidth="1"/>
    <col min="6666" max="6666" width="15.28515625" customWidth="1"/>
    <col min="6667" max="6667" width="11.5703125" customWidth="1"/>
    <col min="6668" max="6668" width="12.85546875" customWidth="1"/>
    <col min="6669" max="6669" width="10.140625" bestFit="1" customWidth="1"/>
    <col min="6913" max="6913" width="40.140625" customWidth="1"/>
    <col min="6914" max="6914" width="20" bestFit="1" customWidth="1"/>
    <col min="6915" max="6915" width="15" customWidth="1"/>
    <col min="6916" max="6916" width="19" bestFit="1" customWidth="1"/>
    <col min="6917" max="6917" width="16.5703125" bestFit="1" customWidth="1"/>
    <col min="6918" max="6918" width="13.85546875" bestFit="1" customWidth="1"/>
    <col min="6919" max="6919" width="13.42578125" bestFit="1" customWidth="1"/>
    <col min="6920" max="6920" width="10.140625" bestFit="1" customWidth="1"/>
    <col min="6921" max="6921" width="13.85546875" bestFit="1" customWidth="1"/>
    <col min="6922" max="6922" width="15.28515625" customWidth="1"/>
    <col min="6923" max="6923" width="11.5703125" customWidth="1"/>
    <col min="6924" max="6924" width="12.85546875" customWidth="1"/>
    <col min="6925" max="6925" width="10.140625" bestFit="1" customWidth="1"/>
    <col min="7169" max="7169" width="40.140625" customWidth="1"/>
    <col min="7170" max="7170" width="20" bestFit="1" customWidth="1"/>
    <col min="7171" max="7171" width="15" customWidth="1"/>
    <col min="7172" max="7172" width="19" bestFit="1" customWidth="1"/>
    <col min="7173" max="7173" width="16.5703125" bestFit="1" customWidth="1"/>
    <col min="7174" max="7174" width="13.85546875" bestFit="1" customWidth="1"/>
    <col min="7175" max="7175" width="13.42578125" bestFit="1" customWidth="1"/>
    <col min="7176" max="7176" width="10.140625" bestFit="1" customWidth="1"/>
    <col min="7177" max="7177" width="13.85546875" bestFit="1" customWidth="1"/>
    <col min="7178" max="7178" width="15.28515625" customWidth="1"/>
    <col min="7179" max="7179" width="11.5703125" customWidth="1"/>
    <col min="7180" max="7180" width="12.85546875" customWidth="1"/>
    <col min="7181" max="7181" width="10.140625" bestFit="1" customWidth="1"/>
    <col min="7425" max="7425" width="40.140625" customWidth="1"/>
    <col min="7426" max="7426" width="20" bestFit="1" customWidth="1"/>
    <col min="7427" max="7427" width="15" customWidth="1"/>
    <col min="7428" max="7428" width="19" bestFit="1" customWidth="1"/>
    <col min="7429" max="7429" width="16.5703125" bestFit="1" customWidth="1"/>
    <col min="7430" max="7430" width="13.85546875" bestFit="1" customWidth="1"/>
    <col min="7431" max="7431" width="13.42578125" bestFit="1" customWidth="1"/>
    <col min="7432" max="7432" width="10.140625" bestFit="1" customWidth="1"/>
    <col min="7433" max="7433" width="13.85546875" bestFit="1" customWidth="1"/>
    <col min="7434" max="7434" width="15.28515625" customWidth="1"/>
    <col min="7435" max="7435" width="11.5703125" customWidth="1"/>
    <col min="7436" max="7436" width="12.85546875" customWidth="1"/>
    <col min="7437" max="7437" width="10.140625" bestFit="1" customWidth="1"/>
    <col min="7681" max="7681" width="40.140625" customWidth="1"/>
    <col min="7682" max="7682" width="20" bestFit="1" customWidth="1"/>
    <col min="7683" max="7683" width="15" customWidth="1"/>
    <col min="7684" max="7684" width="19" bestFit="1" customWidth="1"/>
    <col min="7685" max="7685" width="16.5703125" bestFit="1" customWidth="1"/>
    <col min="7686" max="7686" width="13.85546875" bestFit="1" customWidth="1"/>
    <col min="7687" max="7687" width="13.42578125" bestFit="1" customWidth="1"/>
    <col min="7688" max="7688" width="10.140625" bestFit="1" customWidth="1"/>
    <col min="7689" max="7689" width="13.85546875" bestFit="1" customWidth="1"/>
    <col min="7690" max="7690" width="15.28515625" customWidth="1"/>
    <col min="7691" max="7691" width="11.5703125" customWidth="1"/>
    <col min="7692" max="7692" width="12.85546875" customWidth="1"/>
    <col min="7693" max="7693" width="10.140625" bestFit="1" customWidth="1"/>
    <col min="7937" max="7937" width="40.140625" customWidth="1"/>
    <col min="7938" max="7938" width="20" bestFit="1" customWidth="1"/>
    <col min="7939" max="7939" width="15" customWidth="1"/>
    <col min="7940" max="7940" width="19" bestFit="1" customWidth="1"/>
    <col min="7941" max="7941" width="16.5703125" bestFit="1" customWidth="1"/>
    <col min="7942" max="7942" width="13.85546875" bestFit="1" customWidth="1"/>
    <col min="7943" max="7943" width="13.42578125" bestFit="1" customWidth="1"/>
    <col min="7944" max="7944" width="10.140625" bestFit="1" customWidth="1"/>
    <col min="7945" max="7945" width="13.85546875" bestFit="1" customWidth="1"/>
    <col min="7946" max="7946" width="15.28515625" customWidth="1"/>
    <col min="7947" max="7947" width="11.5703125" customWidth="1"/>
    <col min="7948" max="7948" width="12.85546875" customWidth="1"/>
    <col min="7949" max="7949" width="10.140625" bestFit="1" customWidth="1"/>
    <col min="8193" max="8193" width="40.140625" customWidth="1"/>
    <col min="8194" max="8194" width="20" bestFit="1" customWidth="1"/>
    <col min="8195" max="8195" width="15" customWidth="1"/>
    <col min="8196" max="8196" width="19" bestFit="1" customWidth="1"/>
    <col min="8197" max="8197" width="16.5703125" bestFit="1" customWidth="1"/>
    <col min="8198" max="8198" width="13.85546875" bestFit="1" customWidth="1"/>
    <col min="8199" max="8199" width="13.42578125" bestFit="1" customWidth="1"/>
    <col min="8200" max="8200" width="10.140625" bestFit="1" customWidth="1"/>
    <col min="8201" max="8201" width="13.85546875" bestFit="1" customWidth="1"/>
    <col min="8202" max="8202" width="15.28515625" customWidth="1"/>
    <col min="8203" max="8203" width="11.5703125" customWidth="1"/>
    <col min="8204" max="8204" width="12.85546875" customWidth="1"/>
    <col min="8205" max="8205" width="10.140625" bestFit="1" customWidth="1"/>
    <col min="8449" max="8449" width="40.140625" customWidth="1"/>
    <col min="8450" max="8450" width="20" bestFit="1" customWidth="1"/>
    <col min="8451" max="8451" width="15" customWidth="1"/>
    <col min="8452" max="8452" width="19" bestFit="1" customWidth="1"/>
    <col min="8453" max="8453" width="16.5703125" bestFit="1" customWidth="1"/>
    <col min="8454" max="8454" width="13.85546875" bestFit="1" customWidth="1"/>
    <col min="8455" max="8455" width="13.42578125" bestFit="1" customWidth="1"/>
    <col min="8456" max="8456" width="10.140625" bestFit="1" customWidth="1"/>
    <col min="8457" max="8457" width="13.85546875" bestFit="1" customWidth="1"/>
    <col min="8458" max="8458" width="15.28515625" customWidth="1"/>
    <col min="8459" max="8459" width="11.5703125" customWidth="1"/>
    <col min="8460" max="8460" width="12.85546875" customWidth="1"/>
    <col min="8461" max="8461" width="10.140625" bestFit="1" customWidth="1"/>
    <col min="8705" max="8705" width="40.140625" customWidth="1"/>
    <col min="8706" max="8706" width="20" bestFit="1" customWidth="1"/>
    <col min="8707" max="8707" width="15" customWidth="1"/>
    <col min="8708" max="8708" width="19" bestFit="1" customWidth="1"/>
    <col min="8709" max="8709" width="16.5703125" bestFit="1" customWidth="1"/>
    <col min="8710" max="8710" width="13.85546875" bestFit="1" customWidth="1"/>
    <col min="8711" max="8711" width="13.42578125" bestFit="1" customWidth="1"/>
    <col min="8712" max="8712" width="10.140625" bestFit="1" customWidth="1"/>
    <col min="8713" max="8713" width="13.85546875" bestFit="1" customWidth="1"/>
    <col min="8714" max="8714" width="15.28515625" customWidth="1"/>
    <col min="8715" max="8715" width="11.5703125" customWidth="1"/>
    <col min="8716" max="8716" width="12.85546875" customWidth="1"/>
    <col min="8717" max="8717" width="10.140625" bestFit="1" customWidth="1"/>
    <col min="8961" max="8961" width="40.140625" customWidth="1"/>
    <col min="8962" max="8962" width="20" bestFit="1" customWidth="1"/>
    <col min="8963" max="8963" width="15" customWidth="1"/>
    <col min="8964" max="8964" width="19" bestFit="1" customWidth="1"/>
    <col min="8965" max="8965" width="16.5703125" bestFit="1" customWidth="1"/>
    <col min="8966" max="8966" width="13.85546875" bestFit="1" customWidth="1"/>
    <col min="8967" max="8967" width="13.42578125" bestFit="1" customWidth="1"/>
    <col min="8968" max="8968" width="10.140625" bestFit="1" customWidth="1"/>
    <col min="8969" max="8969" width="13.85546875" bestFit="1" customWidth="1"/>
    <col min="8970" max="8970" width="15.28515625" customWidth="1"/>
    <col min="8971" max="8971" width="11.5703125" customWidth="1"/>
    <col min="8972" max="8972" width="12.85546875" customWidth="1"/>
    <col min="8973" max="8973" width="10.140625" bestFit="1" customWidth="1"/>
    <col min="9217" max="9217" width="40.140625" customWidth="1"/>
    <col min="9218" max="9218" width="20" bestFit="1" customWidth="1"/>
    <col min="9219" max="9219" width="15" customWidth="1"/>
    <col min="9220" max="9220" width="19" bestFit="1" customWidth="1"/>
    <col min="9221" max="9221" width="16.5703125" bestFit="1" customWidth="1"/>
    <col min="9222" max="9222" width="13.85546875" bestFit="1" customWidth="1"/>
    <col min="9223" max="9223" width="13.42578125" bestFit="1" customWidth="1"/>
    <col min="9224" max="9224" width="10.140625" bestFit="1" customWidth="1"/>
    <col min="9225" max="9225" width="13.85546875" bestFit="1" customWidth="1"/>
    <col min="9226" max="9226" width="15.28515625" customWidth="1"/>
    <col min="9227" max="9227" width="11.5703125" customWidth="1"/>
    <col min="9228" max="9228" width="12.85546875" customWidth="1"/>
    <col min="9229" max="9229" width="10.140625" bestFit="1" customWidth="1"/>
    <col min="9473" max="9473" width="40.140625" customWidth="1"/>
    <col min="9474" max="9474" width="20" bestFit="1" customWidth="1"/>
    <col min="9475" max="9475" width="15" customWidth="1"/>
    <col min="9476" max="9476" width="19" bestFit="1" customWidth="1"/>
    <col min="9477" max="9477" width="16.5703125" bestFit="1" customWidth="1"/>
    <col min="9478" max="9478" width="13.85546875" bestFit="1" customWidth="1"/>
    <col min="9479" max="9479" width="13.42578125" bestFit="1" customWidth="1"/>
    <col min="9480" max="9480" width="10.140625" bestFit="1" customWidth="1"/>
    <col min="9481" max="9481" width="13.85546875" bestFit="1" customWidth="1"/>
    <col min="9482" max="9482" width="15.28515625" customWidth="1"/>
    <col min="9483" max="9483" width="11.5703125" customWidth="1"/>
    <col min="9484" max="9484" width="12.85546875" customWidth="1"/>
    <col min="9485" max="9485" width="10.140625" bestFit="1" customWidth="1"/>
    <col min="9729" max="9729" width="40.140625" customWidth="1"/>
    <col min="9730" max="9730" width="20" bestFit="1" customWidth="1"/>
    <col min="9731" max="9731" width="15" customWidth="1"/>
    <col min="9732" max="9732" width="19" bestFit="1" customWidth="1"/>
    <col min="9733" max="9733" width="16.5703125" bestFit="1" customWidth="1"/>
    <col min="9734" max="9734" width="13.85546875" bestFit="1" customWidth="1"/>
    <col min="9735" max="9735" width="13.42578125" bestFit="1" customWidth="1"/>
    <col min="9736" max="9736" width="10.140625" bestFit="1" customWidth="1"/>
    <col min="9737" max="9737" width="13.85546875" bestFit="1" customWidth="1"/>
    <col min="9738" max="9738" width="15.28515625" customWidth="1"/>
    <col min="9739" max="9739" width="11.5703125" customWidth="1"/>
    <col min="9740" max="9740" width="12.85546875" customWidth="1"/>
    <col min="9741" max="9741" width="10.140625" bestFit="1" customWidth="1"/>
    <col min="9985" max="9985" width="40.140625" customWidth="1"/>
    <col min="9986" max="9986" width="20" bestFit="1" customWidth="1"/>
    <col min="9987" max="9987" width="15" customWidth="1"/>
    <col min="9988" max="9988" width="19" bestFit="1" customWidth="1"/>
    <col min="9989" max="9989" width="16.5703125" bestFit="1" customWidth="1"/>
    <col min="9990" max="9990" width="13.85546875" bestFit="1" customWidth="1"/>
    <col min="9991" max="9991" width="13.42578125" bestFit="1" customWidth="1"/>
    <col min="9992" max="9992" width="10.140625" bestFit="1" customWidth="1"/>
    <col min="9993" max="9993" width="13.85546875" bestFit="1" customWidth="1"/>
    <col min="9994" max="9994" width="15.28515625" customWidth="1"/>
    <col min="9995" max="9995" width="11.5703125" customWidth="1"/>
    <col min="9996" max="9996" width="12.85546875" customWidth="1"/>
    <col min="9997" max="9997" width="10.140625" bestFit="1" customWidth="1"/>
    <col min="10241" max="10241" width="40.140625" customWidth="1"/>
    <col min="10242" max="10242" width="20" bestFit="1" customWidth="1"/>
    <col min="10243" max="10243" width="15" customWidth="1"/>
    <col min="10244" max="10244" width="19" bestFit="1" customWidth="1"/>
    <col min="10245" max="10245" width="16.5703125" bestFit="1" customWidth="1"/>
    <col min="10246" max="10246" width="13.85546875" bestFit="1" customWidth="1"/>
    <col min="10247" max="10247" width="13.42578125" bestFit="1" customWidth="1"/>
    <col min="10248" max="10248" width="10.140625" bestFit="1" customWidth="1"/>
    <col min="10249" max="10249" width="13.85546875" bestFit="1" customWidth="1"/>
    <col min="10250" max="10250" width="15.28515625" customWidth="1"/>
    <col min="10251" max="10251" width="11.5703125" customWidth="1"/>
    <col min="10252" max="10252" width="12.85546875" customWidth="1"/>
    <col min="10253" max="10253" width="10.140625" bestFit="1" customWidth="1"/>
    <col min="10497" max="10497" width="40.140625" customWidth="1"/>
    <col min="10498" max="10498" width="20" bestFit="1" customWidth="1"/>
    <col min="10499" max="10499" width="15" customWidth="1"/>
    <col min="10500" max="10500" width="19" bestFit="1" customWidth="1"/>
    <col min="10501" max="10501" width="16.5703125" bestFit="1" customWidth="1"/>
    <col min="10502" max="10502" width="13.85546875" bestFit="1" customWidth="1"/>
    <col min="10503" max="10503" width="13.42578125" bestFit="1" customWidth="1"/>
    <col min="10504" max="10504" width="10.140625" bestFit="1" customWidth="1"/>
    <col min="10505" max="10505" width="13.85546875" bestFit="1" customWidth="1"/>
    <col min="10506" max="10506" width="15.28515625" customWidth="1"/>
    <col min="10507" max="10507" width="11.5703125" customWidth="1"/>
    <col min="10508" max="10508" width="12.85546875" customWidth="1"/>
    <col min="10509" max="10509" width="10.140625" bestFit="1" customWidth="1"/>
    <col min="10753" max="10753" width="40.140625" customWidth="1"/>
    <col min="10754" max="10754" width="20" bestFit="1" customWidth="1"/>
    <col min="10755" max="10755" width="15" customWidth="1"/>
    <col min="10756" max="10756" width="19" bestFit="1" customWidth="1"/>
    <col min="10757" max="10757" width="16.5703125" bestFit="1" customWidth="1"/>
    <col min="10758" max="10758" width="13.85546875" bestFit="1" customWidth="1"/>
    <col min="10759" max="10759" width="13.42578125" bestFit="1" customWidth="1"/>
    <col min="10760" max="10760" width="10.140625" bestFit="1" customWidth="1"/>
    <col min="10761" max="10761" width="13.85546875" bestFit="1" customWidth="1"/>
    <col min="10762" max="10762" width="15.28515625" customWidth="1"/>
    <col min="10763" max="10763" width="11.5703125" customWidth="1"/>
    <col min="10764" max="10764" width="12.85546875" customWidth="1"/>
    <col min="10765" max="10765" width="10.140625" bestFit="1" customWidth="1"/>
    <col min="11009" max="11009" width="40.140625" customWidth="1"/>
    <col min="11010" max="11010" width="20" bestFit="1" customWidth="1"/>
    <col min="11011" max="11011" width="15" customWidth="1"/>
    <col min="11012" max="11012" width="19" bestFit="1" customWidth="1"/>
    <col min="11013" max="11013" width="16.5703125" bestFit="1" customWidth="1"/>
    <col min="11014" max="11014" width="13.85546875" bestFit="1" customWidth="1"/>
    <col min="11015" max="11015" width="13.42578125" bestFit="1" customWidth="1"/>
    <col min="11016" max="11016" width="10.140625" bestFit="1" customWidth="1"/>
    <col min="11017" max="11017" width="13.85546875" bestFit="1" customWidth="1"/>
    <col min="11018" max="11018" width="15.28515625" customWidth="1"/>
    <col min="11019" max="11019" width="11.5703125" customWidth="1"/>
    <col min="11020" max="11020" width="12.85546875" customWidth="1"/>
    <col min="11021" max="11021" width="10.140625" bestFit="1" customWidth="1"/>
    <col min="11265" max="11265" width="40.140625" customWidth="1"/>
    <col min="11266" max="11266" width="20" bestFit="1" customWidth="1"/>
    <col min="11267" max="11267" width="15" customWidth="1"/>
    <col min="11268" max="11268" width="19" bestFit="1" customWidth="1"/>
    <col min="11269" max="11269" width="16.5703125" bestFit="1" customWidth="1"/>
    <col min="11270" max="11270" width="13.85546875" bestFit="1" customWidth="1"/>
    <col min="11271" max="11271" width="13.42578125" bestFit="1" customWidth="1"/>
    <col min="11272" max="11272" width="10.140625" bestFit="1" customWidth="1"/>
    <col min="11273" max="11273" width="13.85546875" bestFit="1" customWidth="1"/>
    <col min="11274" max="11274" width="15.28515625" customWidth="1"/>
    <col min="11275" max="11275" width="11.5703125" customWidth="1"/>
    <col min="11276" max="11276" width="12.85546875" customWidth="1"/>
    <col min="11277" max="11277" width="10.140625" bestFit="1" customWidth="1"/>
    <col min="11521" max="11521" width="40.140625" customWidth="1"/>
    <col min="11522" max="11522" width="20" bestFit="1" customWidth="1"/>
    <col min="11523" max="11523" width="15" customWidth="1"/>
    <col min="11524" max="11524" width="19" bestFit="1" customWidth="1"/>
    <col min="11525" max="11525" width="16.5703125" bestFit="1" customWidth="1"/>
    <col min="11526" max="11526" width="13.85546875" bestFit="1" customWidth="1"/>
    <col min="11527" max="11527" width="13.42578125" bestFit="1" customWidth="1"/>
    <col min="11528" max="11528" width="10.140625" bestFit="1" customWidth="1"/>
    <col min="11529" max="11529" width="13.85546875" bestFit="1" customWidth="1"/>
    <col min="11530" max="11530" width="15.28515625" customWidth="1"/>
    <col min="11531" max="11531" width="11.5703125" customWidth="1"/>
    <col min="11532" max="11532" width="12.85546875" customWidth="1"/>
    <col min="11533" max="11533" width="10.140625" bestFit="1" customWidth="1"/>
    <col min="11777" max="11777" width="40.140625" customWidth="1"/>
    <col min="11778" max="11778" width="20" bestFit="1" customWidth="1"/>
    <col min="11779" max="11779" width="15" customWidth="1"/>
    <col min="11780" max="11780" width="19" bestFit="1" customWidth="1"/>
    <col min="11781" max="11781" width="16.5703125" bestFit="1" customWidth="1"/>
    <col min="11782" max="11782" width="13.85546875" bestFit="1" customWidth="1"/>
    <col min="11783" max="11783" width="13.42578125" bestFit="1" customWidth="1"/>
    <col min="11784" max="11784" width="10.140625" bestFit="1" customWidth="1"/>
    <col min="11785" max="11785" width="13.85546875" bestFit="1" customWidth="1"/>
    <col min="11786" max="11786" width="15.28515625" customWidth="1"/>
    <col min="11787" max="11787" width="11.5703125" customWidth="1"/>
    <col min="11788" max="11788" width="12.85546875" customWidth="1"/>
    <col min="11789" max="11789" width="10.140625" bestFit="1" customWidth="1"/>
    <col min="12033" max="12033" width="40.140625" customWidth="1"/>
    <col min="12034" max="12034" width="20" bestFit="1" customWidth="1"/>
    <col min="12035" max="12035" width="15" customWidth="1"/>
    <col min="12036" max="12036" width="19" bestFit="1" customWidth="1"/>
    <col min="12037" max="12037" width="16.5703125" bestFit="1" customWidth="1"/>
    <col min="12038" max="12038" width="13.85546875" bestFit="1" customWidth="1"/>
    <col min="12039" max="12039" width="13.42578125" bestFit="1" customWidth="1"/>
    <col min="12040" max="12040" width="10.140625" bestFit="1" customWidth="1"/>
    <col min="12041" max="12041" width="13.85546875" bestFit="1" customWidth="1"/>
    <col min="12042" max="12042" width="15.28515625" customWidth="1"/>
    <col min="12043" max="12043" width="11.5703125" customWidth="1"/>
    <col min="12044" max="12044" width="12.85546875" customWidth="1"/>
    <col min="12045" max="12045" width="10.140625" bestFit="1" customWidth="1"/>
    <col min="12289" max="12289" width="40.140625" customWidth="1"/>
    <col min="12290" max="12290" width="20" bestFit="1" customWidth="1"/>
    <col min="12291" max="12291" width="15" customWidth="1"/>
    <col min="12292" max="12292" width="19" bestFit="1" customWidth="1"/>
    <col min="12293" max="12293" width="16.5703125" bestFit="1" customWidth="1"/>
    <col min="12294" max="12294" width="13.85546875" bestFit="1" customWidth="1"/>
    <col min="12295" max="12295" width="13.42578125" bestFit="1" customWidth="1"/>
    <col min="12296" max="12296" width="10.140625" bestFit="1" customWidth="1"/>
    <col min="12297" max="12297" width="13.85546875" bestFit="1" customWidth="1"/>
    <col min="12298" max="12298" width="15.28515625" customWidth="1"/>
    <col min="12299" max="12299" width="11.5703125" customWidth="1"/>
    <col min="12300" max="12300" width="12.85546875" customWidth="1"/>
    <col min="12301" max="12301" width="10.140625" bestFit="1" customWidth="1"/>
    <col min="12545" max="12545" width="40.140625" customWidth="1"/>
    <col min="12546" max="12546" width="20" bestFit="1" customWidth="1"/>
    <col min="12547" max="12547" width="15" customWidth="1"/>
    <col min="12548" max="12548" width="19" bestFit="1" customWidth="1"/>
    <col min="12549" max="12549" width="16.5703125" bestFit="1" customWidth="1"/>
    <col min="12550" max="12550" width="13.85546875" bestFit="1" customWidth="1"/>
    <col min="12551" max="12551" width="13.42578125" bestFit="1" customWidth="1"/>
    <col min="12552" max="12552" width="10.140625" bestFit="1" customWidth="1"/>
    <col min="12553" max="12553" width="13.85546875" bestFit="1" customWidth="1"/>
    <col min="12554" max="12554" width="15.28515625" customWidth="1"/>
    <col min="12555" max="12555" width="11.5703125" customWidth="1"/>
    <col min="12556" max="12556" width="12.85546875" customWidth="1"/>
    <col min="12557" max="12557" width="10.140625" bestFit="1" customWidth="1"/>
    <col min="12801" max="12801" width="40.140625" customWidth="1"/>
    <col min="12802" max="12802" width="20" bestFit="1" customWidth="1"/>
    <col min="12803" max="12803" width="15" customWidth="1"/>
    <col min="12804" max="12804" width="19" bestFit="1" customWidth="1"/>
    <col min="12805" max="12805" width="16.5703125" bestFit="1" customWidth="1"/>
    <col min="12806" max="12806" width="13.85546875" bestFit="1" customWidth="1"/>
    <col min="12807" max="12807" width="13.42578125" bestFit="1" customWidth="1"/>
    <col min="12808" max="12808" width="10.140625" bestFit="1" customWidth="1"/>
    <col min="12809" max="12809" width="13.85546875" bestFit="1" customWidth="1"/>
    <col min="12810" max="12810" width="15.28515625" customWidth="1"/>
    <col min="12811" max="12811" width="11.5703125" customWidth="1"/>
    <col min="12812" max="12812" width="12.85546875" customWidth="1"/>
    <col min="12813" max="12813" width="10.140625" bestFit="1" customWidth="1"/>
    <col min="13057" max="13057" width="40.140625" customWidth="1"/>
    <col min="13058" max="13058" width="20" bestFit="1" customWidth="1"/>
    <col min="13059" max="13059" width="15" customWidth="1"/>
    <col min="13060" max="13060" width="19" bestFit="1" customWidth="1"/>
    <col min="13061" max="13061" width="16.5703125" bestFit="1" customWidth="1"/>
    <col min="13062" max="13062" width="13.85546875" bestFit="1" customWidth="1"/>
    <col min="13063" max="13063" width="13.42578125" bestFit="1" customWidth="1"/>
    <col min="13064" max="13064" width="10.140625" bestFit="1" customWidth="1"/>
    <col min="13065" max="13065" width="13.85546875" bestFit="1" customWidth="1"/>
    <col min="13066" max="13066" width="15.28515625" customWidth="1"/>
    <col min="13067" max="13067" width="11.5703125" customWidth="1"/>
    <col min="13068" max="13068" width="12.85546875" customWidth="1"/>
    <col min="13069" max="13069" width="10.140625" bestFit="1" customWidth="1"/>
    <col min="13313" max="13313" width="40.140625" customWidth="1"/>
    <col min="13314" max="13314" width="20" bestFit="1" customWidth="1"/>
    <col min="13315" max="13315" width="15" customWidth="1"/>
    <col min="13316" max="13316" width="19" bestFit="1" customWidth="1"/>
    <col min="13317" max="13317" width="16.5703125" bestFit="1" customWidth="1"/>
    <col min="13318" max="13318" width="13.85546875" bestFit="1" customWidth="1"/>
    <col min="13319" max="13319" width="13.42578125" bestFit="1" customWidth="1"/>
    <col min="13320" max="13320" width="10.140625" bestFit="1" customWidth="1"/>
    <col min="13321" max="13321" width="13.85546875" bestFit="1" customWidth="1"/>
    <col min="13322" max="13322" width="15.28515625" customWidth="1"/>
    <col min="13323" max="13323" width="11.5703125" customWidth="1"/>
    <col min="13324" max="13324" width="12.85546875" customWidth="1"/>
    <col min="13325" max="13325" width="10.140625" bestFit="1" customWidth="1"/>
    <col min="13569" max="13569" width="40.140625" customWidth="1"/>
    <col min="13570" max="13570" width="20" bestFit="1" customWidth="1"/>
    <col min="13571" max="13571" width="15" customWidth="1"/>
    <col min="13572" max="13572" width="19" bestFit="1" customWidth="1"/>
    <col min="13573" max="13573" width="16.5703125" bestFit="1" customWidth="1"/>
    <col min="13574" max="13574" width="13.85546875" bestFit="1" customWidth="1"/>
    <col min="13575" max="13575" width="13.42578125" bestFit="1" customWidth="1"/>
    <col min="13576" max="13576" width="10.140625" bestFit="1" customWidth="1"/>
    <col min="13577" max="13577" width="13.85546875" bestFit="1" customWidth="1"/>
    <col min="13578" max="13578" width="15.28515625" customWidth="1"/>
    <col min="13579" max="13579" width="11.5703125" customWidth="1"/>
    <col min="13580" max="13580" width="12.85546875" customWidth="1"/>
    <col min="13581" max="13581" width="10.140625" bestFit="1" customWidth="1"/>
    <col min="13825" max="13825" width="40.140625" customWidth="1"/>
    <col min="13826" max="13826" width="20" bestFit="1" customWidth="1"/>
    <col min="13827" max="13827" width="15" customWidth="1"/>
    <col min="13828" max="13828" width="19" bestFit="1" customWidth="1"/>
    <col min="13829" max="13829" width="16.5703125" bestFit="1" customWidth="1"/>
    <col min="13830" max="13830" width="13.85546875" bestFit="1" customWidth="1"/>
    <col min="13831" max="13831" width="13.42578125" bestFit="1" customWidth="1"/>
    <col min="13832" max="13832" width="10.140625" bestFit="1" customWidth="1"/>
    <col min="13833" max="13833" width="13.85546875" bestFit="1" customWidth="1"/>
    <col min="13834" max="13834" width="15.28515625" customWidth="1"/>
    <col min="13835" max="13835" width="11.5703125" customWidth="1"/>
    <col min="13836" max="13836" width="12.85546875" customWidth="1"/>
    <col min="13837" max="13837" width="10.140625" bestFit="1" customWidth="1"/>
    <col min="14081" max="14081" width="40.140625" customWidth="1"/>
    <col min="14082" max="14082" width="20" bestFit="1" customWidth="1"/>
    <col min="14083" max="14083" width="15" customWidth="1"/>
    <col min="14084" max="14084" width="19" bestFit="1" customWidth="1"/>
    <col min="14085" max="14085" width="16.5703125" bestFit="1" customWidth="1"/>
    <col min="14086" max="14086" width="13.85546875" bestFit="1" customWidth="1"/>
    <col min="14087" max="14087" width="13.42578125" bestFit="1" customWidth="1"/>
    <col min="14088" max="14088" width="10.140625" bestFit="1" customWidth="1"/>
    <col min="14089" max="14089" width="13.85546875" bestFit="1" customWidth="1"/>
    <col min="14090" max="14090" width="15.28515625" customWidth="1"/>
    <col min="14091" max="14091" width="11.5703125" customWidth="1"/>
    <col min="14092" max="14092" width="12.85546875" customWidth="1"/>
    <col min="14093" max="14093" width="10.140625" bestFit="1" customWidth="1"/>
    <col min="14337" max="14337" width="40.140625" customWidth="1"/>
    <col min="14338" max="14338" width="20" bestFit="1" customWidth="1"/>
    <col min="14339" max="14339" width="15" customWidth="1"/>
    <col min="14340" max="14340" width="19" bestFit="1" customWidth="1"/>
    <col min="14341" max="14341" width="16.5703125" bestFit="1" customWidth="1"/>
    <col min="14342" max="14342" width="13.85546875" bestFit="1" customWidth="1"/>
    <col min="14343" max="14343" width="13.42578125" bestFit="1" customWidth="1"/>
    <col min="14344" max="14344" width="10.140625" bestFit="1" customWidth="1"/>
    <col min="14345" max="14345" width="13.85546875" bestFit="1" customWidth="1"/>
    <col min="14346" max="14346" width="15.28515625" customWidth="1"/>
    <col min="14347" max="14347" width="11.5703125" customWidth="1"/>
    <col min="14348" max="14348" width="12.85546875" customWidth="1"/>
    <col min="14349" max="14349" width="10.140625" bestFit="1" customWidth="1"/>
    <col min="14593" max="14593" width="40.140625" customWidth="1"/>
    <col min="14594" max="14594" width="20" bestFit="1" customWidth="1"/>
    <col min="14595" max="14595" width="15" customWidth="1"/>
    <col min="14596" max="14596" width="19" bestFit="1" customWidth="1"/>
    <col min="14597" max="14597" width="16.5703125" bestFit="1" customWidth="1"/>
    <col min="14598" max="14598" width="13.85546875" bestFit="1" customWidth="1"/>
    <col min="14599" max="14599" width="13.42578125" bestFit="1" customWidth="1"/>
    <col min="14600" max="14600" width="10.140625" bestFit="1" customWidth="1"/>
    <col min="14601" max="14601" width="13.85546875" bestFit="1" customWidth="1"/>
    <col min="14602" max="14602" width="15.28515625" customWidth="1"/>
    <col min="14603" max="14603" width="11.5703125" customWidth="1"/>
    <col min="14604" max="14604" width="12.85546875" customWidth="1"/>
    <col min="14605" max="14605" width="10.140625" bestFit="1" customWidth="1"/>
    <col min="14849" max="14849" width="40.140625" customWidth="1"/>
    <col min="14850" max="14850" width="20" bestFit="1" customWidth="1"/>
    <col min="14851" max="14851" width="15" customWidth="1"/>
    <col min="14852" max="14852" width="19" bestFit="1" customWidth="1"/>
    <col min="14853" max="14853" width="16.5703125" bestFit="1" customWidth="1"/>
    <col min="14854" max="14854" width="13.85546875" bestFit="1" customWidth="1"/>
    <col min="14855" max="14855" width="13.42578125" bestFit="1" customWidth="1"/>
    <col min="14856" max="14856" width="10.140625" bestFit="1" customWidth="1"/>
    <col min="14857" max="14857" width="13.85546875" bestFit="1" customWidth="1"/>
    <col min="14858" max="14858" width="15.28515625" customWidth="1"/>
    <col min="14859" max="14859" width="11.5703125" customWidth="1"/>
    <col min="14860" max="14860" width="12.85546875" customWidth="1"/>
    <col min="14861" max="14861" width="10.140625" bestFit="1" customWidth="1"/>
    <col min="15105" max="15105" width="40.140625" customWidth="1"/>
    <col min="15106" max="15106" width="20" bestFit="1" customWidth="1"/>
    <col min="15107" max="15107" width="15" customWidth="1"/>
    <col min="15108" max="15108" width="19" bestFit="1" customWidth="1"/>
    <col min="15109" max="15109" width="16.5703125" bestFit="1" customWidth="1"/>
    <col min="15110" max="15110" width="13.85546875" bestFit="1" customWidth="1"/>
    <col min="15111" max="15111" width="13.42578125" bestFit="1" customWidth="1"/>
    <col min="15112" max="15112" width="10.140625" bestFit="1" customWidth="1"/>
    <col min="15113" max="15113" width="13.85546875" bestFit="1" customWidth="1"/>
    <col min="15114" max="15114" width="15.28515625" customWidth="1"/>
    <col min="15115" max="15115" width="11.5703125" customWidth="1"/>
    <col min="15116" max="15116" width="12.85546875" customWidth="1"/>
    <col min="15117" max="15117" width="10.140625" bestFit="1" customWidth="1"/>
    <col min="15361" max="15361" width="40.140625" customWidth="1"/>
    <col min="15362" max="15362" width="20" bestFit="1" customWidth="1"/>
    <col min="15363" max="15363" width="15" customWidth="1"/>
    <col min="15364" max="15364" width="19" bestFit="1" customWidth="1"/>
    <col min="15365" max="15365" width="16.5703125" bestFit="1" customWidth="1"/>
    <col min="15366" max="15366" width="13.85546875" bestFit="1" customWidth="1"/>
    <col min="15367" max="15367" width="13.42578125" bestFit="1" customWidth="1"/>
    <col min="15368" max="15368" width="10.140625" bestFit="1" customWidth="1"/>
    <col min="15369" max="15369" width="13.85546875" bestFit="1" customWidth="1"/>
    <col min="15370" max="15370" width="15.28515625" customWidth="1"/>
    <col min="15371" max="15371" width="11.5703125" customWidth="1"/>
    <col min="15372" max="15372" width="12.85546875" customWidth="1"/>
    <col min="15373" max="15373" width="10.140625" bestFit="1" customWidth="1"/>
    <col min="15617" max="15617" width="40.140625" customWidth="1"/>
    <col min="15618" max="15618" width="20" bestFit="1" customWidth="1"/>
    <col min="15619" max="15619" width="15" customWidth="1"/>
    <col min="15620" max="15620" width="19" bestFit="1" customWidth="1"/>
    <col min="15621" max="15621" width="16.5703125" bestFit="1" customWidth="1"/>
    <col min="15622" max="15622" width="13.85546875" bestFit="1" customWidth="1"/>
    <col min="15623" max="15623" width="13.42578125" bestFit="1" customWidth="1"/>
    <col min="15624" max="15624" width="10.140625" bestFit="1" customWidth="1"/>
    <col min="15625" max="15625" width="13.85546875" bestFit="1" customWidth="1"/>
    <col min="15626" max="15626" width="15.28515625" customWidth="1"/>
    <col min="15627" max="15627" width="11.5703125" customWidth="1"/>
    <col min="15628" max="15628" width="12.85546875" customWidth="1"/>
    <col min="15629" max="15629" width="10.140625" bestFit="1" customWidth="1"/>
    <col min="15873" max="15873" width="40.140625" customWidth="1"/>
    <col min="15874" max="15874" width="20" bestFit="1" customWidth="1"/>
    <col min="15875" max="15875" width="15" customWidth="1"/>
    <col min="15876" max="15876" width="19" bestFit="1" customWidth="1"/>
    <col min="15877" max="15877" width="16.5703125" bestFit="1" customWidth="1"/>
    <col min="15878" max="15878" width="13.85546875" bestFit="1" customWidth="1"/>
    <col min="15879" max="15879" width="13.42578125" bestFit="1" customWidth="1"/>
    <col min="15880" max="15880" width="10.140625" bestFit="1" customWidth="1"/>
    <col min="15881" max="15881" width="13.85546875" bestFit="1" customWidth="1"/>
    <col min="15882" max="15882" width="15.28515625" customWidth="1"/>
    <col min="15883" max="15883" width="11.5703125" customWidth="1"/>
    <col min="15884" max="15884" width="12.85546875" customWidth="1"/>
    <col min="15885" max="15885" width="10.140625" bestFit="1" customWidth="1"/>
    <col min="16129" max="16129" width="40.140625" customWidth="1"/>
    <col min="16130" max="16130" width="20" bestFit="1" customWidth="1"/>
    <col min="16131" max="16131" width="15" customWidth="1"/>
    <col min="16132" max="16132" width="19" bestFit="1" customWidth="1"/>
    <col min="16133" max="16133" width="16.5703125" bestFit="1" customWidth="1"/>
    <col min="16134" max="16134" width="13.85546875" bestFit="1" customWidth="1"/>
    <col min="16135" max="16135" width="13.42578125" bestFit="1" customWidth="1"/>
    <col min="16136" max="16136" width="10.140625" bestFit="1" customWidth="1"/>
    <col min="16137" max="16137" width="13.85546875" bestFit="1" customWidth="1"/>
    <col min="16138" max="16138" width="15.28515625" customWidth="1"/>
    <col min="16139" max="16139" width="11.5703125" customWidth="1"/>
    <col min="16140" max="16140" width="12.85546875" customWidth="1"/>
    <col min="16141" max="16141" width="10.140625" bestFit="1" customWidth="1"/>
  </cols>
  <sheetData>
    <row r="1" spans="1:7">
      <c r="A1" s="3" t="s">
        <v>1682</v>
      </c>
    </row>
    <row r="2" spans="1:7">
      <c r="A2" s="3"/>
    </row>
    <row r="3" spans="1:7">
      <c r="A3" s="418" t="s">
        <v>1727</v>
      </c>
    </row>
    <row r="4" spans="1:7">
      <c r="B4" s="1050">
        <v>2020</v>
      </c>
    </row>
    <row r="5" spans="1:7" ht="15">
      <c r="A5" s="1039" t="s">
        <v>1645</v>
      </c>
      <c r="B5" s="1040" t="s">
        <v>1646</v>
      </c>
      <c r="C5" s="1040" t="s">
        <v>1647</v>
      </c>
      <c r="D5" s="1041" t="s">
        <v>1648</v>
      </c>
      <c r="E5" s="1143"/>
      <c r="G5" s="1042"/>
    </row>
    <row r="6" spans="1:7">
      <c r="A6" s="1043" t="s">
        <v>1649</v>
      </c>
      <c r="B6" s="310">
        <f>'7.a  finanszírozás'!B4-4419044</f>
        <v>548623729</v>
      </c>
      <c r="C6" s="310">
        <f>B6*F6/100</f>
        <v>488099646.99651664</v>
      </c>
      <c r="D6" s="848">
        <f>B6-C6</f>
        <v>60524082.003483355</v>
      </c>
      <c r="E6" s="1144">
        <f>100-F6</f>
        <v>11.031983999999994</v>
      </c>
      <c r="F6" s="1142">
        <v>88.968016000000006</v>
      </c>
      <c r="G6" s="1044"/>
    </row>
    <row r="7" spans="1:7">
      <c r="A7" s="1043" t="s">
        <v>1650</v>
      </c>
      <c r="B7" s="310">
        <v>4419044</v>
      </c>
      <c r="C7" s="310">
        <v>3931536</v>
      </c>
      <c r="D7" s="848">
        <f>B7-C7</f>
        <v>487508</v>
      </c>
      <c r="E7" s="1143">
        <f>D7/B7*100</f>
        <v>11.031978862396482</v>
      </c>
    </row>
    <row r="8" spans="1:7" ht="15">
      <c r="A8" s="1039" t="s">
        <v>943</v>
      </c>
      <c r="B8" s="1040">
        <f>B6+B7</f>
        <v>553042773</v>
      </c>
      <c r="C8" s="1040">
        <f>C6+C7</f>
        <v>492031182.99651664</v>
      </c>
      <c r="D8" s="1041">
        <f>D6+D7</f>
        <v>61011590.003483355</v>
      </c>
      <c r="E8" s="1143">
        <f>D8/B8*100</f>
        <v>11.031983958948389</v>
      </c>
    </row>
    <row r="9" spans="1:7" ht="15">
      <c r="A9" s="1039"/>
      <c r="B9" s="1040"/>
      <c r="C9" s="1040"/>
      <c r="D9" s="1041"/>
      <c r="E9" s="1143"/>
    </row>
    <row r="10" spans="1:7" ht="15">
      <c r="A10" s="1045"/>
      <c r="B10" s="1046"/>
      <c r="C10" s="1046"/>
      <c r="D10" s="1046"/>
      <c r="E10" s="1145"/>
    </row>
    <row r="11" spans="1:7" ht="15">
      <c r="A11" s="418" t="s">
        <v>1728</v>
      </c>
      <c r="B11" s="1046"/>
      <c r="C11" s="1046"/>
      <c r="D11" s="1046"/>
      <c r="E11" s="872"/>
    </row>
    <row r="12" spans="1:7">
      <c r="A12" s="1396" t="s">
        <v>1671</v>
      </c>
      <c r="B12" s="1397"/>
      <c r="C12" s="1397"/>
      <c r="F12"/>
    </row>
    <row r="13" spans="1:7" ht="15.75">
      <c r="A13" s="1047"/>
      <c r="B13" s="1048" t="s">
        <v>1651</v>
      </c>
      <c r="C13" s="1047" t="s">
        <v>1729</v>
      </c>
      <c r="F13"/>
    </row>
    <row r="14" spans="1:7" ht="15.75">
      <c r="A14" s="1049">
        <f>B14+C14</f>
        <v>28573412.5</v>
      </c>
      <c r="B14" s="1049">
        <f>'4.beruházás'!D11</f>
        <v>3573412.5</v>
      </c>
      <c r="C14" s="1049">
        <v>25000000</v>
      </c>
      <c r="D14" s="420"/>
      <c r="F14"/>
    </row>
    <row r="15" spans="1:7" ht="15">
      <c r="A15" s="1045"/>
      <c r="B15" s="1046"/>
      <c r="C15" s="1046"/>
      <c r="D15" s="1046"/>
      <c r="E15" s="872"/>
    </row>
    <row r="16" spans="1:7" ht="15.75" thickBot="1">
      <c r="A16" s="418" t="s">
        <v>1730</v>
      </c>
      <c r="B16" s="1046"/>
      <c r="C16" s="1046"/>
      <c r="D16" s="1046"/>
      <c r="E16" s="872"/>
    </row>
    <row r="17" spans="1:9" ht="15.75" thickBot="1">
      <c r="A17" s="1053"/>
      <c r="B17" s="1149"/>
      <c r="C17" s="1057"/>
      <c r="D17" s="1058" t="s">
        <v>1731</v>
      </c>
      <c r="E17" s="1059">
        <v>2016</v>
      </c>
      <c r="F17" s="1060">
        <v>2018</v>
      </c>
      <c r="G17" s="1057">
        <v>2019</v>
      </c>
      <c r="H17" s="1061">
        <v>2020</v>
      </c>
    </row>
    <row r="18" spans="1:9" ht="38.25">
      <c r="A18" s="1148" t="s">
        <v>1734</v>
      </c>
      <c r="B18" s="1062" t="s">
        <v>1652</v>
      </c>
      <c r="C18" s="1062" t="s">
        <v>1653</v>
      </c>
      <c r="D18" s="1062" t="s">
        <v>1654</v>
      </c>
      <c r="E18" s="1062" t="s">
        <v>1652</v>
      </c>
      <c r="F18" s="1063" t="s">
        <v>1652</v>
      </c>
      <c r="G18" s="1062" t="s">
        <v>1652</v>
      </c>
      <c r="H18" s="1063" t="s">
        <v>1652</v>
      </c>
    </row>
    <row r="19" spans="1:9" ht="15">
      <c r="A19" s="1064" t="s">
        <v>1655</v>
      </c>
      <c r="B19" s="1055">
        <v>21908000</v>
      </c>
      <c r="C19" s="1053">
        <v>207000</v>
      </c>
      <c r="D19" s="1053"/>
      <c r="E19" s="1053">
        <v>3175000</v>
      </c>
      <c r="F19" s="1054"/>
      <c r="G19" s="1055">
        <f>B19-E19</f>
        <v>18733000</v>
      </c>
      <c r="H19" s="1055"/>
    </row>
    <row r="20" spans="1:9" ht="15">
      <c r="A20" s="1064" t="s">
        <v>1656</v>
      </c>
      <c r="B20" s="1055">
        <v>111052066</v>
      </c>
      <c r="C20" s="1053"/>
      <c r="D20" s="1053"/>
      <c r="E20" s="1053"/>
      <c r="F20" s="1054"/>
      <c r="G20" s="1055"/>
      <c r="H20" s="1053"/>
    </row>
    <row r="21" spans="1:9" ht="15">
      <c r="A21" s="1064" t="s">
        <v>1657</v>
      </c>
      <c r="B21" s="1055">
        <v>47910750</v>
      </c>
      <c r="C21" s="1053"/>
      <c r="D21" s="1053"/>
      <c r="E21" s="1053"/>
      <c r="F21" s="1054"/>
      <c r="G21" s="1053"/>
      <c r="H21" s="1053"/>
    </row>
    <row r="22" spans="1:9" ht="15">
      <c r="A22" s="1064" t="s">
        <v>1658</v>
      </c>
      <c r="B22" s="1055">
        <v>3000000</v>
      </c>
      <c r="C22" s="1053"/>
      <c r="D22" s="1053"/>
      <c r="E22" s="1053"/>
      <c r="F22" s="1054"/>
      <c r="G22" s="1053"/>
      <c r="H22" s="1053"/>
    </row>
    <row r="23" spans="1:9" ht="15">
      <c r="A23" s="1064" t="s">
        <v>1659</v>
      </c>
      <c r="B23" s="1055">
        <v>4270000</v>
      </c>
      <c r="C23" s="1053"/>
      <c r="D23" s="1053"/>
      <c r="E23" s="1053"/>
      <c r="F23" s="1054"/>
      <c r="G23" s="1053"/>
      <c r="H23" s="1053"/>
    </row>
    <row r="24" spans="1:9" ht="15">
      <c r="A24" s="1064" t="s">
        <v>1660</v>
      </c>
      <c r="B24" s="1055">
        <v>11311255</v>
      </c>
      <c r="C24" s="1053"/>
      <c r="D24" s="1053"/>
      <c r="E24" s="1053"/>
      <c r="F24" s="1054"/>
      <c r="G24" s="1053"/>
      <c r="H24" s="1053"/>
    </row>
    <row r="25" spans="1:9" ht="15">
      <c r="A25" s="1064" t="s">
        <v>1661</v>
      </c>
      <c r="B25" s="1055">
        <v>20209510</v>
      </c>
      <c r="C25" s="1053"/>
      <c r="D25" s="1053"/>
      <c r="E25" s="1053"/>
      <c r="F25" s="1054"/>
      <c r="G25" s="1053"/>
      <c r="H25" s="1053"/>
    </row>
    <row r="26" spans="1:9" ht="15">
      <c r="A26" s="1064" t="s">
        <v>1662</v>
      </c>
      <c r="B26" s="1055">
        <v>4999990</v>
      </c>
      <c r="C26" s="1053">
        <v>2110740</v>
      </c>
      <c r="D26" s="1053"/>
      <c r="E26" s="1053"/>
      <c r="F26" s="1054"/>
      <c r="G26" s="1053"/>
      <c r="H26" s="1053"/>
    </row>
    <row r="27" spans="1:9" ht="15">
      <c r="A27" s="1064" t="s">
        <v>1663</v>
      </c>
      <c r="B27" s="1055">
        <v>2000250</v>
      </c>
      <c r="C27" s="1053"/>
      <c r="D27" s="1053"/>
      <c r="E27" s="1053"/>
      <c r="F27" s="1054"/>
      <c r="G27" s="1053"/>
      <c r="H27" s="1053"/>
    </row>
    <row r="28" spans="1:9" ht="15">
      <c r="A28" s="1064" t="s">
        <v>1664</v>
      </c>
      <c r="B28" s="1055">
        <v>204753821</v>
      </c>
      <c r="C28" s="1053"/>
      <c r="D28" s="1053"/>
      <c r="E28" s="1053"/>
      <c r="F28" s="1054"/>
      <c r="G28" s="1055">
        <f>2580804+25948175-3175000-18733000</f>
        <v>6620979</v>
      </c>
      <c r="H28" s="1055">
        <f>B28-G28</f>
        <v>198132842</v>
      </c>
      <c r="I28" s="419"/>
    </row>
    <row r="29" spans="1:9" ht="15">
      <c r="A29" s="1064" t="s">
        <v>1665</v>
      </c>
      <c r="B29" s="1055">
        <v>4588724</v>
      </c>
      <c r="C29" s="1053">
        <v>78272931</v>
      </c>
      <c r="D29" s="1053"/>
      <c r="E29" s="1053"/>
      <c r="F29" s="1054"/>
      <c r="G29" s="1055">
        <f>B29</f>
        <v>4588724</v>
      </c>
      <c r="H29" s="1055">
        <f>B29-G29</f>
        <v>0</v>
      </c>
      <c r="I29" s="419"/>
    </row>
    <row r="30" spans="1:9" ht="15">
      <c r="A30" s="1064" t="s">
        <v>1666</v>
      </c>
      <c r="B30" s="1055"/>
      <c r="C30" s="1053"/>
      <c r="D30" s="1055"/>
      <c r="E30" s="1053"/>
      <c r="F30" s="1054"/>
      <c r="G30" s="1055">
        <f>B30</f>
        <v>0</v>
      </c>
      <c r="H30" s="1053"/>
    </row>
    <row r="31" spans="1:9" ht="15">
      <c r="A31" s="1064" t="s">
        <v>1667</v>
      </c>
      <c r="B31" s="1055">
        <v>9250000</v>
      </c>
      <c r="C31" s="1053"/>
      <c r="D31" s="1053"/>
      <c r="E31" s="1053"/>
      <c r="F31" s="1054"/>
      <c r="G31" s="1055">
        <f>B31</f>
        <v>9250000</v>
      </c>
      <c r="H31" s="1055">
        <f>B31-G31</f>
        <v>0</v>
      </c>
    </row>
    <row r="32" spans="1:9" ht="15">
      <c r="A32" s="1064" t="s">
        <v>1668</v>
      </c>
      <c r="B32" s="1055"/>
      <c r="C32" s="1053">
        <v>30409329</v>
      </c>
      <c r="D32" s="1053"/>
      <c r="E32" s="1053"/>
      <c r="F32" s="1054"/>
      <c r="G32" s="1055">
        <f>B32</f>
        <v>0</v>
      </c>
      <c r="H32" s="1053"/>
    </row>
    <row r="33" spans="1:10" ht="15">
      <c r="A33" s="1064" t="s">
        <v>1669</v>
      </c>
      <c r="B33" s="1051">
        <v>18499455</v>
      </c>
      <c r="C33" s="1053"/>
      <c r="D33" s="1053"/>
      <c r="E33" s="1055"/>
      <c r="F33" s="1054"/>
      <c r="G33" s="1055">
        <v>0</v>
      </c>
      <c r="H33" s="1055"/>
      <c r="I33" s="1052"/>
    </row>
    <row r="34" spans="1:10" ht="15">
      <c r="A34" s="1053"/>
      <c r="B34" s="1055">
        <f t="shared" ref="B34:G34" si="0">B28+B29+B31+B33+B19</f>
        <v>259000000</v>
      </c>
      <c r="C34" s="1055">
        <f t="shared" si="0"/>
        <v>78479931</v>
      </c>
      <c r="D34" s="1055">
        <f t="shared" si="0"/>
        <v>0</v>
      </c>
      <c r="E34" s="1055">
        <f t="shared" si="0"/>
        <v>3175000</v>
      </c>
      <c r="F34" s="1055">
        <f t="shared" si="0"/>
        <v>0</v>
      </c>
      <c r="G34" s="1055">
        <f t="shared" si="0"/>
        <v>39192703</v>
      </c>
      <c r="H34" s="1055">
        <f>H28+H29+H31+H33</f>
        <v>198132842</v>
      </c>
      <c r="I34" s="1052"/>
      <c r="J34" s="419"/>
    </row>
    <row r="35" spans="1:10" ht="15">
      <c r="A35" s="1066" t="s">
        <v>1670</v>
      </c>
      <c r="B35" s="1067">
        <f>B34-B33</f>
        <v>240500545</v>
      </c>
      <c r="C35" s="1052"/>
      <c r="D35" s="1052"/>
      <c r="E35" s="1052"/>
      <c r="F35" s="1056"/>
      <c r="G35" s="1052"/>
      <c r="H35" s="1052"/>
      <c r="I35" s="1052"/>
    </row>
    <row r="36" spans="1:10" ht="15">
      <c r="A36" s="1068" t="s">
        <v>1733</v>
      </c>
      <c r="B36" s="1065">
        <v>259000000</v>
      </c>
      <c r="C36" s="1065">
        <v>111000000</v>
      </c>
      <c r="D36" s="1065">
        <v>0</v>
      </c>
      <c r="E36" s="1068"/>
      <c r="F36" s="1065">
        <v>240500545</v>
      </c>
      <c r="G36" s="1065">
        <v>0</v>
      </c>
      <c r="H36" s="1065"/>
      <c r="I36" s="1052"/>
    </row>
    <row r="37" spans="1:10">
      <c r="A37" s="1146" t="s">
        <v>1732</v>
      </c>
      <c r="B37" s="1147"/>
      <c r="C37" s="308"/>
      <c r="D37" s="308"/>
      <c r="E37" s="308"/>
      <c r="F37" s="4"/>
      <c r="G37" s="1147">
        <f>G34</f>
        <v>39192703</v>
      </c>
      <c r="H37" s="1147">
        <f>H34</f>
        <v>198132842</v>
      </c>
    </row>
  </sheetData>
  <mergeCells count="1">
    <mergeCell ref="A12:C12"/>
  </mergeCells>
  <pageMargins left="0.19685039370078741" right="0.11811023622047245" top="0.35433070866141736" bottom="0.55118110236220474" header="0.31496062992125984" footer="0.31496062992125984"/>
  <pageSetup paperSize="9" scale="96" fitToHeight="0" orientation="landscape" r:id="rId1"/>
  <headerFooter>
    <oddHeader>&amp;RRáckeve Város 2020 évi költségvetés melléklete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0"/>
  <sheetViews>
    <sheetView topLeftCell="A3" zoomScale="150" zoomScaleNormal="150" workbookViewId="0">
      <selection activeCell="I22" sqref="I22"/>
    </sheetView>
  </sheetViews>
  <sheetFormatPr defaultRowHeight="12.75"/>
  <cols>
    <col min="1" max="1" width="45.7109375" style="181" customWidth="1"/>
    <col min="2" max="2" width="15.140625" style="134" hidden="1" customWidth="1"/>
    <col min="3" max="3" width="18.85546875" style="134" hidden="1" customWidth="1"/>
    <col min="4" max="4" width="16.42578125" style="134" hidden="1" customWidth="1"/>
    <col min="5" max="5" width="17.5703125" style="134" hidden="1" customWidth="1"/>
    <col min="6" max="6" width="17.5703125" style="183" customWidth="1"/>
    <col min="7" max="7" width="5.140625" style="134" hidden="1" customWidth="1"/>
    <col min="8" max="8" width="9.28515625" style="134" hidden="1" customWidth="1"/>
    <col min="9" max="9" width="14.42578125" style="134" customWidth="1"/>
    <col min="10" max="10" width="3.5703125" style="134" hidden="1" customWidth="1"/>
    <col min="11" max="11" width="0" style="134" hidden="1" customWidth="1"/>
    <col min="12" max="12" width="9" style="134" hidden="1" customWidth="1"/>
    <col min="13" max="13" width="9.140625" style="134"/>
    <col min="14" max="14" width="4.140625" style="134" hidden="1" customWidth="1"/>
    <col min="15" max="15" width="11.140625" style="134" customWidth="1"/>
    <col min="16" max="16384" width="9.140625" style="134"/>
  </cols>
  <sheetData>
    <row r="1" spans="1:6" ht="21.75" customHeight="1">
      <c r="A1" s="1398"/>
      <c r="B1" s="1398"/>
      <c r="C1" s="176">
        <v>2019</v>
      </c>
      <c r="D1" s="172"/>
      <c r="E1" s="190" t="s">
        <v>650</v>
      </c>
      <c r="F1" s="1128" t="s">
        <v>650</v>
      </c>
    </row>
    <row r="2" spans="1:6" ht="21.75" customHeight="1">
      <c r="A2" s="1395" t="s">
        <v>655</v>
      </c>
      <c r="B2" s="1395"/>
      <c r="C2" s="175"/>
      <c r="D2" s="173"/>
    </row>
    <row r="3" spans="1:6" ht="31.5" customHeight="1">
      <c r="A3" s="1406" t="s">
        <v>651</v>
      </c>
      <c r="B3" s="1407" t="s">
        <v>597</v>
      </c>
      <c r="C3" s="1407" t="s">
        <v>686</v>
      </c>
      <c r="D3" s="1408" t="s">
        <v>271</v>
      </c>
      <c r="E3" s="1408" t="s">
        <v>1678</v>
      </c>
      <c r="F3" s="1409">
        <v>2020</v>
      </c>
    </row>
    <row r="4" spans="1:6" s="180" customFormat="1" ht="18" hidden="1" customHeight="1">
      <c r="A4" s="1410" t="s">
        <v>656</v>
      </c>
      <c r="B4" s="179">
        <v>750000</v>
      </c>
      <c r="C4" s="1411"/>
      <c r="D4" s="1411"/>
      <c r="E4" s="1411">
        <f>B4+C4+D4</f>
        <v>750000</v>
      </c>
      <c r="F4" s="1411"/>
    </row>
    <row r="5" spans="1:6" s="178" customFormat="1" ht="26.25" hidden="1" customHeight="1">
      <c r="A5" s="1412" t="s">
        <v>657</v>
      </c>
      <c r="B5" s="179">
        <v>500000</v>
      </c>
      <c r="C5" s="1411"/>
      <c r="D5" s="1411"/>
      <c r="E5" s="1411">
        <f t="shared" ref="E5:E21" si="0">B5+C5+D5</f>
        <v>500000</v>
      </c>
      <c r="F5" s="1411"/>
    </row>
    <row r="6" spans="1:6" s="178" customFormat="1" ht="18" customHeight="1">
      <c r="A6" s="1412" t="s">
        <v>1735</v>
      </c>
      <c r="B6" s="177">
        <v>30000000</v>
      </c>
      <c r="C6" s="1411"/>
      <c r="D6" s="1411"/>
      <c r="E6" s="1411">
        <f t="shared" si="0"/>
        <v>30000000</v>
      </c>
      <c r="F6" s="1411">
        <v>15000000</v>
      </c>
    </row>
    <row r="7" spans="1:6" s="180" customFormat="1" ht="18" hidden="1" customHeight="1">
      <c r="A7" s="1413" t="s">
        <v>658</v>
      </c>
      <c r="B7" s="179">
        <v>950000</v>
      </c>
      <c r="C7" s="1411"/>
      <c r="D7" s="1411"/>
      <c r="E7" s="1411">
        <f t="shared" si="0"/>
        <v>950000</v>
      </c>
      <c r="F7" s="1411"/>
    </row>
    <row r="8" spans="1:6" s="180" customFormat="1" ht="18" hidden="1" customHeight="1">
      <c r="A8" s="1413" t="s">
        <v>659</v>
      </c>
      <c r="B8" s="179">
        <v>1000000</v>
      </c>
      <c r="C8" s="1411"/>
      <c r="D8" s="1411"/>
      <c r="E8" s="1411">
        <f t="shared" si="0"/>
        <v>1000000</v>
      </c>
      <c r="F8" s="1411"/>
    </row>
    <row r="9" spans="1:6" s="180" customFormat="1" ht="18" hidden="1" customHeight="1">
      <c r="A9" s="1414" t="s">
        <v>660</v>
      </c>
      <c r="B9" s="179">
        <v>700000</v>
      </c>
      <c r="C9" s="1411"/>
      <c r="D9" s="1411"/>
      <c r="E9" s="1411">
        <f t="shared" si="0"/>
        <v>700000</v>
      </c>
      <c r="F9" s="1411"/>
    </row>
    <row r="10" spans="1:6" s="180" customFormat="1" ht="18" hidden="1" customHeight="1">
      <c r="A10" s="1414" t="s">
        <v>661</v>
      </c>
      <c r="B10" s="179">
        <v>1300000</v>
      </c>
      <c r="C10" s="1411"/>
      <c r="D10" s="1411"/>
      <c r="E10" s="1411">
        <f t="shared" si="0"/>
        <v>1300000</v>
      </c>
      <c r="F10" s="1411"/>
    </row>
    <row r="11" spans="1:6" s="180" customFormat="1" ht="18" hidden="1" customHeight="1">
      <c r="A11" s="1414" t="s">
        <v>662</v>
      </c>
      <c r="B11" s="179">
        <v>650000</v>
      </c>
      <c r="C11" s="1411"/>
      <c r="D11" s="1411"/>
      <c r="E11" s="1411">
        <f t="shared" si="0"/>
        <v>650000</v>
      </c>
      <c r="F11" s="1411"/>
    </row>
    <row r="12" spans="1:6" s="180" customFormat="1" ht="18" hidden="1" customHeight="1">
      <c r="A12" s="1414" t="s">
        <v>663</v>
      </c>
      <c r="B12" s="179">
        <v>750000</v>
      </c>
      <c r="C12" s="1411"/>
      <c r="D12" s="1411"/>
      <c r="E12" s="1411">
        <f t="shared" si="0"/>
        <v>750000</v>
      </c>
      <c r="F12" s="1411"/>
    </row>
    <row r="13" spans="1:6" s="180" customFormat="1" ht="18" hidden="1" customHeight="1">
      <c r="A13" s="1414" t="s">
        <v>664</v>
      </c>
      <c r="B13" s="179">
        <v>450000</v>
      </c>
      <c r="C13" s="1411"/>
      <c r="D13" s="1411"/>
      <c r="E13" s="1411">
        <f t="shared" si="0"/>
        <v>450000</v>
      </c>
      <c r="F13" s="1411"/>
    </row>
    <row r="14" spans="1:6" s="180" customFormat="1" ht="18" hidden="1" customHeight="1">
      <c r="A14" s="1410" t="s">
        <v>653</v>
      </c>
      <c r="B14" s="179">
        <v>57453188</v>
      </c>
      <c r="C14" s="1411">
        <v>-57453188</v>
      </c>
      <c r="D14" s="1411"/>
      <c r="E14" s="1411">
        <f t="shared" si="0"/>
        <v>0</v>
      </c>
      <c r="F14" s="1411"/>
    </row>
    <row r="15" spans="1:6" s="180" customFormat="1" ht="18" hidden="1" customHeight="1">
      <c r="A15" s="1412" t="s">
        <v>687</v>
      </c>
      <c r="B15" s="179">
        <v>47742844</v>
      </c>
      <c r="C15" s="1411">
        <v>-47742844</v>
      </c>
      <c r="D15" s="1411"/>
      <c r="E15" s="1411">
        <f t="shared" si="0"/>
        <v>0</v>
      </c>
      <c r="F15" s="1411"/>
    </row>
    <row r="16" spans="1:6" s="180" customFormat="1" ht="18" hidden="1" customHeight="1">
      <c r="A16" s="1414" t="s">
        <v>665</v>
      </c>
      <c r="B16" s="179">
        <v>0</v>
      </c>
      <c r="C16" s="1411">
        <v>1600000</v>
      </c>
      <c r="D16" s="1411"/>
      <c r="E16" s="1411">
        <f t="shared" si="0"/>
        <v>1600000</v>
      </c>
      <c r="F16" s="1411"/>
    </row>
    <row r="17" spans="1:9" s="180" customFormat="1" ht="18" customHeight="1">
      <c r="A17" s="1414" t="s">
        <v>688</v>
      </c>
      <c r="B17" s="179"/>
      <c r="C17" s="1411"/>
      <c r="D17" s="1411">
        <v>30000000</v>
      </c>
      <c r="E17" s="1411">
        <f t="shared" si="0"/>
        <v>30000000</v>
      </c>
      <c r="F17" s="1076">
        <v>31578947</v>
      </c>
      <c r="I17" s="385"/>
    </row>
    <row r="18" spans="1:9" s="180" customFormat="1" ht="18" hidden="1" customHeight="1">
      <c r="A18" s="1410" t="s">
        <v>666</v>
      </c>
      <c r="B18" s="179">
        <v>1200000</v>
      </c>
      <c r="C18" s="1411"/>
      <c r="D18" s="1411"/>
      <c r="E18" s="1411">
        <f t="shared" si="0"/>
        <v>1200000</v>
      </c>
      <c r="F18" s="1411"/>
    </row>
    <row r="19" spans="1:9" s="180" customFormat="1" ht="18" customHeight="1">
      <c r="A19" s="1421" t="s">
        <v>1479</v>
      </c>
      <c r="B19" s="1422"/>
      <c r="C19" s="1423"/>
      <c r="D19" s="1423"/>
      <c r="E19" s="1423"/>
      <c r="F19" s="1423">
        <v>20000000</v>
      </c>
    </row>
    <row r="20" spans="1:9" s="180" customFormat="1" ht="18" hidden="1" customHeight="1">
      <c r="A20" s="1410" t="s">
        <v>667</v>
      </c>
      <c r="B20" s="179">
        <v>500000</v>
      </c>
      <c r="C20" s="1411"/>
      <c r="D20" s="1411"/>
      <c r="E20" s="1411">
        <f t="shared" si="0"/>
        <v>500000</v>
      </c>
      <c r="F20" s="1411"/>
    </row>
    <row r="21" spans="1:9" s="180" customFormat="1" ht="18" hidden="1" customHeight="1">
      <c r="A21" s="1410" t="s">
        <v>668</v>
      </c>
      <c r="B21" s="179">
        <v>36002354</v>
      </c>
      <c r="C21" s="1411"/>
      <c r="D21" s="1411"/>
      <c r="E21" s="1411">
        <f t="shared" si="0"/>
        <v>36002354</v>
      </c>
      <c r="F21" s="1411">
        <v>0</v>
      </c>
    </row>
    <row r="22" spans="1:9" s="180" customFormat="1" ht="18" customHeight="1">
      <c r="A22" s="1415" t="s">
        <v>1684</v>
      </c>
      <c r="B22" s="179"/>
      <c r="C22" s="1411"/>
      <c r="D22" s="1411"/>
      <c r="E22" s="1411"/>
      <c r="F22" s="1411"/>
    </row>
    <row r="23" spans="1:9" s="1097" customFormat="1" ht="18" customHeight="1">
      <c r="A23" s="1415" t="s">
        <v>1685</v>
      </c>
      <c r="B23" s="1416"/>
      <c r="C23" s="1417"/>
      <c r="D23" s="1417"/>
      <c r="E23" s="1417"/>
      <c r="F23" s="1417">
        <v>500000</v>
      </c>
    </row>
    <row r="24" spans="1:9" s="1097" customFormat="1" ht="18" customHeight="1">
      <c r="A24" s="1415" t="s">
        <v>1686</v>
      </c>
      <c r="B24" s="1416"/>
      <c r="C24" s="1417"/>
      <c r="D24" s="1417"/>
      <c r="E24" s="1417"/>
      <c r="F24" s="1417">
        <v>500000</v>
      </c>
    </row>
    <row r="25" spans="1:9" s="1097" customFormat="1" ht="31.5" customHeight="1">
      <c r="A25" s="1098" t="s">
        <v>1687</v>
      </c>
      <c r="B25" s="1416"/>
      <c r="C25" s="1417"/>
      <c r="D25" s="1417"/>
      <c r="E25" s="1417"/>
      <c r="F25" s="1417">
        <v>100000</v>
      </c>
    </row>
    <row r="26" spans="1:9" s="1097" customFormat="1" ht="18" customHeight="1">
      <c r="A26" s="1099" t="s">
        <v>1707</v>
      </c>
      <c r="B26" s="1416"/>
      <c r="C26" s="1417"/>
      <c r="D26" s="1417"/>
      <c r="E26" s="1417"/>
      <c r="F26" s="1417">
        <v>1500000</v>
      </c>
    </row>
    <row r="27" spans="1:9" s="1097" customFormat="1" ht="28.5" customHeight="1">
      <c r="A27" s="1418" t="s">
        <v>1688</v>
      </c>
      <c r="B27" s="1416"/>
      <c r="C27" s="1417"/>
      <c r="D27" s="1417"/>
      <c r="E27" s="1417"/>
      <c r="F27" s="1100">
        <v>1000000</v>
      </c>
    </row>
    <row r="28" spans="1:9" s="1097" customFormat="1" ht="28.5" customHeight="1">
      <c r="A28" s="1418" t="s">
        <v>1691</v>
      </c>
      <c r="B28" s="1416"/>
      <c r="C28" s="1417"/>
      <c r="D28" s="1417"/>
      <c r="E28" s="1417"/>
      <c r="F28" s="1100">
        <v>3400000</v>
      </c>
    </row>
    <row r="29" spans="1:9" s="1097" customFormat="1" ht="28.5" customHeight="1">
      <c r="A29" s="1418" t="s">
        <v>1692</v>
      </c>
      <c r="B29" s="1416"/>
      <c r="C29" s="1417"/>
      <c r="D29" s="1417"/>
      <c r="E29" s="1417"/>
      <c r="F29" s="1100">
        <v>1000000</v>
      </c>
    </row>
    <row r="30" spans="1:9" s="1097" customFormat="1" ht="28.5" customHeight="1">
      <c r="A30" s="1418" t="s">
        <v>1690</v>
      </c>
      <c r="B30" s="1416"/>
      <c r="C30" s="1417"/>
      <c r="D30" s="1417"/>
      <c r="E30" s="1417"/>
      <c r="F30" s="1100">
        <v>5000000</v>
      </c>
    </row>
    <row r="31" spans="1:9" s="1097" customFormat="1" ht="28.5" customHeight="1">
      <c r="A31" s="1418" t="s">
        <v>1693</v>
      </c>
      <c r="B31" s="1416"/>
      <c r="C31" s="1417"/>
      <c r="D31" s="1417"/>
      <c r="E31" s="1417"/>
      <c r="F31" s="1100">
        <v>1000000</v>
      </c>
    </row>
    <row r="32" spans="1:9" s="1097" customFormat="1" ht="28.5" customHeight="1">
      <c r="A32" s="1415" t="s">
        <v>1689</v>
      </c>
      <c r="B32" s="1416"/>
      <c r="C32" s="1417"/>
      <c r="D32" s="1417"/>
      <c r="E32" s="1417"/>
      <c r="F32" s="1417">
        <v>6000000</v>
      </c>
    </row>
    <row r="33" spans="1:9" ht="27.75" customHeight="1">
      <c r="A33" s="1419" t="s">
        <v>669</v>
      </c>
      <c r="B33" s="1420">
        <f>SUM(B4:B21)</f>
        <v>179948386</v>
      </c>
      <c r="C33" s="1420">
        <f>SUM(C4:C21)</f>
        <v>-103596032</v>
      </c>
      <c r="D33" s="1420">
        <f>SUM(D4:D21)</f>
        <v>30000000</v>
      </c>
      <c r="E33" s="1420">
        <f>SUM(E4:E21)</f>
        <v>106352354</v>
      </c>
      <c r="F33" s="1420">
        <f>SUM(F4:F21)</f>
        <v>66578947</v>
      </c>
    </row>
    <row r="34" spans="1:9" ht="16.5" customHeight="1">
      <c r="F34" s="183">
        <f>F33-'3. melléklet'!D25</f>
        <v>0</v>
      </c>
    </row>
    <row r="35" spans="1:9">
      <c r="I35" s="183"/>
    </row>
    <row r="40" spans="1:9">
      <c r="I40" s="183"/>
    </row>
  </sheetData>
  <mergeCells count="2">
    <mergeCell ref="A1:B1"/>
    <mergeCell ref="A2:B2"/>
  </mergeCells>
  <pageMargins left="0.19685039370078741" right="0.11811023622047245" top="0.35433070866141736" bottom="0.55118110236220474" header="0.31496062992125984" footer="0.31496062992125984"/>
  <pageSetup paperSize="9" firstPageNumber="0" fitToHeight="0" orientation="landscape" r:id="rId1"/>
  <headerFooter>
    <oddHeader>&amp;RRáckeve Város 2020 évi költségvetés melléklete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63"/>
  <sheetViews>
    <sheetView workbookViewId="0">
      <selection activeCell="E5" sqref="E5"/>
    </sheetView>
  </sheetViews>
  <sheetFormatPr defaultRowHeight="15.75"/>
  <cols>
    <col min="1" max="1" width="8.140625" style="721" customWidth="1"/>
    <col min="2" max="2" width="72.28515625" style="721" customWidth="1"/>
    <col min="3" max="3" width="18.5703125" style="722" customWidth="1"/>
    <col min="4" max="4" width="7.7109375" style="627" customWidth="1"/>
    <col min="5" max="256" width="9.140625" style="627"/>
    <col min="257" max="257" width="8.140625" style="627" customWidth="1"/>
    <col min="258" max="258" width="85.140625" style="627" customWidth="1"/>
    <col min="259" max="259" width="18.5703125" style="627" customWidth="1"/>
    <col min="260" max="260" width="7.7109375" style="627" customWidth="1"/>
    <col min="261" max="512" width="9.140625" style="627"/>
    <col min="513" max="513" width="8.140625" style="627" customWidth="1"/>
    <col min="514" max="514" width="85.140625" style="627" customWidth="1"/>
    <col min="515" max="515" width="18.5703125" style="627" customWidth="1"/>
    <col min="516" max="516" width="7.7109375" style="627" customWidth="1"/>
    <col min="517" max="768" width="9.140625" style="627"/>
    <col min="769" max="769" width="8.140625" style="627" customWidth="1"/>
    <col min="770" max="770" width="85.140625" style="627" customWidth="1"/>
    <col min="771" max="771" width="18.5703125" style="627" customWidth="1"/>
    <col min="772" max="772" width="7.7109375" style="627" customWidth="1"/>
    <col min="773" max="1024" width="9.140625" style="627"/>
    <col min="1025" max="1025" width="8.140625" style="627" customWidth="1"/>
    <col min="1026" max="1026" width="85.140625" style="627" customWidth="1"/>
    <col min="1027" max="1027" width="18.5703125" style="627" customWidth="1"/>
    <col min="1028" max="1028" width="7.7109375" style="627" customWidth="1"/>
    <col min="1029" max="1280" width="9.140625" style="627"/>
    <col min="1281" max="1281" width="8.140625" style="627" customWidth="1"/>
    <col min="1282" max="1282" width="85.140625" style="627" customWidth="1"/>
    <col min="1283" max="1283" width="18.5703125" style="627" customWidth="1"/>
    <col min="1284" max="1284" width="7.7109375" style="627" customWidth="1"/>
    <col min="1285" max="1536" width="9.140625" style="627"/>
    <col min="1537" max="1537" width="8.140625" style="627" customWidth="1"/>
    <col min="1538" max="1538" width="85.140625" style="627" customWidth="1"/>
    <col min="1539" max="1539" width="18.5703125" style="627" customWidth="1"/>
    <col min="1540" max="1540" width="7.7109375" style="627" customWidth="1"/>
    <col min="1541" max="1792" width="9.140625" style="627"/>
    <col min="1793" max="1793" width="8.140625" style="627" customWidth="1"/>
    <col min="1794" max="1794" width="85.140625" style="627" customWidth="1"/>
    <col min="1795" max="1795" width="18.5703125" style="627" customWidth="1"/>
    <col min="1796" max="1796" width="7.7109375" style="627" customWidth="1"/>
    <col min="1797" max="2048" width="9.140625" style="627"/>
    <col min="2049" max="2049" width="8.140625" style="627" customWidth="1"/>
    <col min="2050" max="2050" width="85.140625" style="627" customWidth="1"/>
    <col min="2051" max="2051" width="18.5703125" style="627" customWidth="1"/>
    <col min="2052" max="2052" width="7.7109375" style="627" customWidth="1"/>
    <col min="2053" max="2304" width="9.140625" style="627"/>
    <col min="2305" max="2305" width="8.140625" style="627" customWidth="1"/>
    <col min="2306" max="2306" width="85.140625" style="627" customWidth="1"/>
    <col min="2307" max="2307" width="18.5703125" style="627" customWidth="1"/>
    <col min="2308" max="2308" width="7.7109375" style="627" customWidth="1"/>
    <col min="2309" max="2560" width="9.140625" style="627"/>
    <col min="2561" max="2561" width="8.140625" style="627" customWidth="1"/>
    <col min="2562" max="2562" width="85.140625" style="627" customWidth="1"/>
    <col min="2563" max="2563" width="18.5703125" style="627" customWidth="1"/>
    <col min="2564" max="2564" width="7.7109375" style="627" customWidth="1"/>
    <col min="2565" max="2816" width="9.140625" style="627"/>
    <col min="2817" max="2817" width="8.140625" style="627" customWidth="1"/>
    <col min="2818" max="2818" width="85.140625" style="627" customWidth="1"/>
    <col min="2819" max="2819" width="18.5703125" style="627" customWidth="1"/>
    <col min="2820" max="2820" width="7.7109375" style="627" customWidth="1"/>
    <col min="2821" max="3072" width="9.140625" style="627"/>
    <col min="3073" max="3073" width="8.140625" style="627" customWidth="1"/>
    <col min="3074" max="3074" width="85.140625" style="627" customWidth="1"/>
    <col min="3075" max="3075" width="18.5703125" style="627" customWidth="1"/>
    <col min="3076" max="3076" width="7.7109375" style="627" customWidth="1"/>
    <col min="3077" max="3328" width="9.140625" style="627"/>
    <col min="3329" max="3329" width="8.140625" style="627" customWidth="1"/>
    <col min="3330" max="3330" width="85.140625" style="627" customWidth="1"/>
    <col min="3331" max="3331" width="18.5703125" style="627" customWidth="1"/>
    <col min="3332" max="3332" width="7.7109375" style="627" customWidth="1"/>
    <col min="3333" max="3584" width="9.140625" style="627"/>
    <col min="3585" max="3585" width="8.140625" style="627" customWidth="1"/>
    <col min="3586" max="3586" width="85.140625" style="627" customWidth="1"/>
    <col min="3587" max="3587" width="18.5703125" style="627" customWidth="1"/>
    <col min="3588" max="3588" width="7.7109375" style="627" customWidth="1"/>
    <col min="3589" max="3840" width="9.140625" style="627"/>
    <col min="3841" max="3841" width="8.140625" style="627" customWidth="1"/>
    <col min="3842" max="3842" width="85.140625" style="627" customWidth="1"/>
    <col min="3843" max="3843" width="18.5703125" style="627" customWidth="1"/>
    <col min="3844" max="3844" width="7.7109375" style="627" customWidth="1"/>
    <col min="3845" max="4096" width="9.140625" style="627"/>
    <col min="4097" max="4097" width="8.140625" style="627" customWidth="1"/>
    <col min="4098" max="4098" width="85.140625" style="627" customWidth="1"/>
    <col min="4099" max="4099" width="18.5703125" style="627" customWidth="1"/>
    <col min="4100" max="4100" width="7.7109375" style="627" customWidth="1"/>
    <col min="4101" max="4352" width="9.140625" style="627"/>
    <col min="4353" max="4353" width="8.140625" style="627" customWidth="1"/>
    <col min="4354" max="4354" width="85.140625" style="627" customWidth="1"/>
    <col min="4355" max="4355" width="18.5703125" style="627" customWidth="1"/>
    <col min="4356" max="4356" width="7.7109375" style="627" customWidth="1"/>
    <col min="4357" max="4608" width="9.140625" style="627"/>
    <col min="4609" max="4609" width="8.140625" style="627" customWidth="1"/>
    <col min="4610" max="4610" width="85.140625" style="627" customWidth="1"/>
    <col min="4611" max="4611" width="18.5703125" style="627" customWidth="1"/>
    <col min="4612" max="4612" width="7.7109375" style="627" customWidth="1"/>
    <col min="4613" max="4864" width="9.140625" style="627"/>
    <col min="4865" max="4865" width="8.140625" style="627" customWidth="1"/>
    <col min="4866" max="4866" width="85.140625" style="627" customWidth="1"/>
    <col min="4867" max="4867" width="18.5703125" style="627" customWidth="1"/>
    <col min="4868" max="4868" width="7.7109375" style="627" customWidth="1"/>
    <col min="4869" max="5120" width="9.140625" style="627"/>
    <col min="5121" max="5121" width="8.140625" style="627" customWidth="1"/>
    <col min="5122" max="5122" width="85.140625" style="627" customWidth="1"/>
    <col min="5123" max="5123" width="18.5703125" style="627" customWidth="1"/>
    <col min="5124" max="5124" width="7.7109375" style="627" customWidth="1"/>
    <col min="5125" max="5376" width="9.140625" style="627"/>
    <col min="5377" max="5377" width="8.140625" style="627" customWidth="1"/>
    <col min="5378" max="5378" width="85.140625" style="627" customWidth="1"/>
    <col min="5379" max="5379" width="18.5703125" style="627" customWidth="1"/>
    <col min="5380" max="5380" width="7.7109375" style="627" customWidth="1"/>
    <col min="5381" max="5632" width="9.140625" style="627"/>
    <col min="5633" max="5633" width="8.140625" style="627" customWidth="1"/>
    <col min="5634" max="5634" width="85.140625" style="627" customWidth="1"/>
    <col min="5635" max="5635" width="18.5703125" style="627" customWidth="1"/>
    <col min="5636" max="5636" width="7.7109375" style="627" customWidth="1"/>
    <col min="5637" max="5888" width="9.140625" style="627"/>
    <col min="5889" max="5889" width="8.140625" style="627" customWidth="1"/>
    <col min="5890" max="5890" width="85.140625" style="627" customWidth="1"/>
    <col min="5891" max="5891" width="18.5703125" style="627" customWidth="1"/>
    <col min="5892" max="5892" width="7.7109375" style="627" customWidth="1"/>
    <col min="5893" max="6144" width="9.140625" style="627"/>
    <col min="6145" max="6145" width="8.140625" style="627" customWidth="1"/>
    <col min="6146" max="6146" width="85.140625" style="627" customWidth="1"/>
    <col min="6147" max="6147" width="18.5703125" style="627" customWidth="1"/>
    <col min="6148" max="6148" width="7.7109375" style="627" customWidth="1"/>
    <col min="6149" max="6400" width="9.140625" style="627"/>
    <col min="6401" max="6401" width="8.140625" style="627" customWidth="1"/>
    <col min="6402" max="6402" width="85.140625" style="627" customWidth="1"/>
    <col min="6403" max="6403" width="18.5703125" style="627" customWidth="1"/>
    <col min="6404" max="6404" width="7.7109375" style="627" customWidth="1"/>
    <col min="6405" max="6656" width="9.140625" style="627"/>
    <col min="6657" max="6657" width="8.140625" style="627" customWidth="1"/>
    <col min="6658" max="6658" width="85.140625" style="627" customWidth="1"/>
    <col min="6659" max="6659" width="18.5703125" style="627" customWidth="1"/>
    <col min="6660" max="6660" width="7.7109375" style="627" customWidth="1"/>
    <col min="6661" max="6912" width="9.140625" style="627"/>
    <col min="6913" max="6913" width="8.140625" style="627" customWidth="1"/>
    <col min="6914" max="6914" width="85.140625" style="627" customWidth="1"/>
    <col min="6915" max="6915" width="18.5703125" style="627" customWidth="1"/>
    <col min="6916" max="6916" width="7.7109375" style="627" customWidth="1"/>
    <col min="6917" max="7168" width="9.140625" style="627"/>
    <col min="7169" max="7169" width="8.140625" style="627" customWidth="1"/>
    <col min="7170" max="7170" width="85.140625" style="627" customWidth="1"/>
    <col min="7171" max="7171" width="18.5703125" style="627" customWidth="1"/>
    <col min="7172" max="7172" width="7.7109375" style="627" customWidth="1"/>
    <col min="7173" max="7424" width="9.140625" style="627"/>
    <col min="7425" max="7425" width="8.140625" style="627" customWidth="1"/>
    <col min="7426" max="7426" width="85.140625" style="627" customWidth="1"/>
    <col min="7427" max="7427" width="18.5703125" style="627" customWidth="1"/>
    <col min="7428" max="7428" width="7.7109375" style="627" customWidth="1"/>
    <col min="7429" max="7680" width="9.140625" style="627"/>
    <col min="7681" max="7681" width="8.140625" style="627" customWidth="1"/>
    <col min="7682" max="7682" width="85.140625" style="627" customWidth="1"/>
    <col min="7683" max="7683" width="18.5703125" style="627" customWidth="1"/>
    <col min="7684" max="7684" width="7.7109375" style="627" customWidth="1"/>
    <col min="7685" max="7936" width="9.140625" style="627"/>
    <col min="7937" max="7937" width="8.140625" style="627" customWidth="1"/>
    <col min="7938" max="7938" width="85.140625" style="627" customWidth="1"/>
    <col min="7939" max="7939" width="18.5703125" style="627" customWidth="1"/>
    <col min="7940" max="7940" width="7.7109375" style="627" customWidth="1"/>
    <col min="7941" max="8192" width="9.140625" style="627"/>
    <col min="8193" max="8193" width="8.140625" style="627" customWidth="1"/>
    <col min="8194" max="8194" width="85.140625" style="627" customWidth="1"/>
    <col min="8195" max="8195" width="18.5703125" style="627" customWidth="1"/>
    <col min="8196" max="8196" width="7.7109375" style="627" customWidth="1"/>
    <col min="8197" max="8448" width="9.140625" style="627"/>
    <col min="8449" max="8449" width="8.140625" style="627" customWidth="1"/>
    <col min="8450" max="8450" width="85.140625" style="627" customWidth="1"/>
    <col min="8451" max="8451" width="18.5703125" style="627" customWidth="1"/>
    <col min="8452" max="8452" width="7.7109375" style="627" customWidth="1"/>
    <col min="8453" max="8704" width="9.140625" style="627"/>
    <col min="8705" max="8705" width="8.140625" style="627" customWidth="1"/>
    <col min="8706" max="8706" width="85.140625" style="627" customWidth="1"/>
    <col min="8707" max="8707" width="18.5703125" style="627" customWidth="1"/>
    <col min="8708" max="8708" width="7.7109375" style="627" customWidth="1"/>
    <col min="8709" max="8960" width="9.140625" style="627"/>
    <col min="8961" max="8961" width="8.140625" style="627" customWidth="1"/>
    <col min="8962" max="8962" width="85.140625" style="627" customWidth="1"/>
    <col min="8963" max="8963" width="18.5703125" style="627" customWidth="1"/>
    <col min="8964" max="8964" width="7.7109375" style="627" customWidth="1"/>
    <col min="8965" max="9216" width="9.140625" style="627"/>
    <col min="9217" max="9217" width="8.140625" style="627" customWidth="1"/>
    <col min="9218" max="9218" width="85.140625" style="627" customWidth="1"/>
    <col min="9219" max="9219" width="18.5703125" style="627" customWidth="1"/>
    <col min="9220" max="9220" width="7.7109375" style="627" customWidth="1"/>
    <col min="9221" max="9472" width="9.140625" style="627"/>
    <col min="9473" max="9473" width="8.140625" style="627" customWidth="1"/>
    <col min="9474" max="9474" width="85.140625" style="627" customWidth="1"/>
    <col min="9475" max="9475" width="18.5703125" style="627" customWidth="1"/>
    <col min="9476" max="9476" width="7.7109375" style="627" customWidth="1"/>
    <col min="9477" max="9728" width="9.140625" style="627"/>
    <col min="9729" max="9729" width="8.140625" style="627" customWidth="1"/>
    <col min="9730" max="9730" width="85.140625" style="627" customWidth="1"/>
    <col min="9731" max="9731" width="18.5703125" style="627" customWidth="1"/>
    <col min="9732" max="9732" width="7.7109375" style="627" customWidth="1"/>
    <col min="9733" max="9984" width="9.140625" style="627"/>
    <col min="9985" max="9985" width="8.140625" style="627" customWidth="1"/>
    <col min="9986" max="9986" width="85.140625" style="627" customWidth="1"/>
    <col min="9987" max="9987" width="18.5703125" style="627" customWidth="1"/>
    <col min="9988" max="9988" width="7.7109375" style="627" customWidth="1"/>
    <col min="9989" max="10240" width="9.140625" style="627"/>
    <col min="10241" max="10241" width="8.140625" style="627" customWidth="1"/>
    <col min="10242" max="10242" width="85.140625" style="627" customWidth="1"/>
    <col min="10243" max="10243" width="18.5703125" style="627" customWidth="1"/>
    <col min="10244" max="10244" width="7.7109375" style="627" customWidth="1"/>
    <col min="10245" max="10496" width="9.140625" style="627"/>
    <col min="10497" max="10497" width="8.140625" style="627" customWidth="1"/>
    <col min="10498" max="10498" width="85.140625" style="627" customWidth="1"/>
    <col min="10499" max="10499" width="18.5703125" style="627" customWidth="1"/>
    <col min="10500" max="10500" width="7.7109375" style="627" customWidth="1"/>
    <col min="10501" max="10752" width="9.140625" style="627"/>
    <col min="10753" max="10753" width="8.140625" style="627" customWidth="1"/>
    <col min="10754" max="10754" width="85.140625" style="627" customWidth="1"/>
    <col min="10755" max="10755" width="18.5703125" style="627" customWidth="1"/>
    <col min="10756" max="10756" width="7.7109375" style="627" customWidth="1"/>
    <col min="10757" max="11008" width="9.140625" style="627"/>
    <col min="11009" max="11009" width="8.140625" style="627" customWidth="1"/>
    <col min="11010" max="11010" width="85.140625" style="627" customWidth="1"/>
    <col min="11011" max="11011" width="18.5703125" style="627" customWidth="1"/>
    <col min="11012" max="11012" width="7.7109375" style="627" customWidth="1"/>
    <col min="11013" max="11264" width="9.140625" style="627"/>
    <col min="11265" max="11265" width="8.140625" style="627" customWidth="1"/>
    <col min="11266" max="11266" width="85.140625" style="627" customWidth="1"/>
    <col min="11267" max="11267" width="18.5703125" style="627" customWidth="1"/>
    <col min="11268" max="11268" width="7.7109375" style="627" customWidth="1"/>
    <col min="11269" max="11520" width="9.140625" style="627"/>
    <col min="11521" max="11521" width="8.140625" style="627" customWidth="1"/>
    <col min="11522" max="11522" width="85.140625" style="627" customWidth="1"/>
    <col min="11523" max="11523" width="18.5703125" style="627" customWidth="1"/>
    <col min="11524" max="11524" width="7.7109375" style="627" customWidth="1"/>
    <col min="11525" max="11776" width="9.140625" style="627"/>
    <col min="11777" max="11777" width="8.140625" style="627" customWidth="1"/>
    <col min="11778" max="11778" width="85.140625" style="627" customWidth="1"/>
    <col min="11779" max="11779" width="18.5703125" style="627" customWidth="1"/>
    <col min="11780" max="11780" width="7.7109375" style="627" customWidth="1"/>
    <col min="11781" max="12032" width="9.140625" style="627"/>
    <col min="12033" max="12033" width="8.140625" style="627" customWidth="1"/>
    <col min="12034" max="12034" width="85.140625" style="627" customWidth="1"/>
    <col min="12035" max="12035" width="18.5703125" style="627" customWidth="1"/>
    <col min="12036" max="12036" width="7.7109375" style="627" customWidth="1"/>
    <col min="12037" max="12288" width="9.140625" style="627"/>
    <col min="12289" max="12289" width="8.140625" style="627" customWidth="1"/>
    <col min="12290" max="12290" width="85.140625" style="627" customWidth="1"/>
    <col min="12291" max="12291" width="18.5703125" style="627" customWidth="1"/>
    <col min="12292" max="12292" width="7.7109375" style="627" customWidth="1"/>
    <col min="12293" max="12544" width="9.140625" style="627"/>
    <col min="12545" max="12545" width="8.140625" style="627" customWidth="1"/>
    <col min="12546" max="12546" width="85.140625" style="627" customWidth="1"/>
    <col min="12547" max="12547" width="18.5703125" style="627" customWidth="1"/>
    <col min="12548" max="12548" width="7.7109375" style="627" customWidth="1"/>
    <col min="12549" max="12800" width="9.140625" style="627"/>
    <col min="12801" max="12801" width="8.140625" style="627" customWidth="1"/>
    <col min="12802" max="12802" width="85.140625" style="627" customWidth="1"/>
    <col min="12803" max="12803" width="18.5703125" style="627" customWidth="1"/>
    <col min="12804" max="12804" width="7.7109375" style="627" customWidth="1"/>
    <col min="12805" max="13056" width="9.140625" style="627"/>
    <col min="13057" max="13057" width="8.140625" style="627" customWidth="1"/>
    <col min="13058" max="13058" width="85.140625" style="627" customWidth="1"/>
    <col min="13059" max="13059" width="18.5703125" style="627" customWidth="1"/>
    <col min="13060" max="13060" width="7.7109375" style="627" customWidth="1"/>
    <col min="13061" max="13312" width="9.140625" style="627"/>
    <col min="13313" max="13313" width="8.140625" style="627" customWidth="1"/>
    <col min="13314" max="13314" width="85.140625" style="627" customWidth="1"/>
    <col min="13315" max="13315" width="18.5703125" style="627" customWidth="1"/>
    <col min="13316" max="13316" width="7.7109375" style="627" customWidth="1"/>
    <col min="13317" max="13568" width="9.140625" style="627"/>
    <col min="13569" max="13569" width="8.140625" style="627" customWidth="1"/>
    <col min="13570" max="13570" width="85.140625" style="627" customWidth="1"/>
    <col min="13571" max="13571" width="18.5703125" style="627" customWidth="1"/>
    <col min="13572" max="13572" width="7.7109375" style="627" customWidth="1"/>
    <col min="13573" max="13824" width="9.140625" style="627"/>
    <col min="13825" max="13825" width="8.140625" style="627" customWidth="1"/>
    <col min="13826" max="13826" width="85.140625" style="627" customWidth="1"/>
    <col min="13827" max="13827" width="18.5703125" style="627" customWidth="1"/>
    <col min="13828" max="13828" width="7.7109375" style="627" customWidth="1"/>
    <col min="13829" max="14080" width="9.140625" style="627"/>
    <col min="14081" max="14081" width="8.140625" style="627" customWidth="1"/>
    <col min="14082" max="14082" width="85.140625" style="627" customWidth="1"/>
    <col min="14083" max="14083" width="18.5703125" style="627" customWidth="1"/>
    <col min="14084" max="14084" width="7.7109375" style="627" customWidth="1"/>
    <col min="14085" max="14336" width="9.140625" style="627"/>
    <col min="14337" max="14337" width="8.140625" style="627" customWidth="1"/>
    <col min="14338" max="14338" width="85.140625" style="627" customWidth="1"/>
    <col min="14339" max="14339" width="18.5703125" style="627" customWidth="1"/>
    <col min="14340" max="14340" width="7.7109375" style="627" customWidth="1"/>
    <col min="14341" max="14592" width="9.140625" style="627"/>
    <col min="14593" max="14593" width="8.140625" style="627" customWidth="1"/>
    <col min="14594" max="14594" width="85.140625" style="627" customWidth="1"/>
    <col min="14595" max="14595" width="18.5703125" style="627" customWidth="1"/>
    <col min="14596" max="14596" width="7.7109375" style="627" customWidth="1"/>
    <col min="14597" max="14848" width="9.140625" style="627"/>
    <col min="14849" max="14849" width="8.140625" style="627" customWidth="1"/>
    <col min="14850" max="14850" width="85.140625" style="627" customWidth="1"/>
    <col min="14851" max="14851" width="18.5703125" style="627" customWidth="1"/>
    <col min="14852" max="14852" width="7.7109375" style="627" customWidth="1"/>
    <col min="14853" max="15104" width="9.140625" style="627"/>
    <col min="15105" max="15105" width="8.140625" style="627" customWidth="1"/>
    <col min="15106" max="15106" width="85.140625" style="627" customWidth="1"/>
    <col min="15107" max="15107" width="18.5703125" style="627" customWidth="1"/>
    <col min="15108" max="15108" width="7.7109375" style="627" customWidth="1"/>
    <col min="15109" max="15360" width="9.140625" style="627"/>
    <col min="15361" max="15361" width="8.140625" style="627" customWidth="1"/>
    <col min="15362" max="15362" width="85.140625" style="627" customWidth="1"/>
    <col min="15363" max="15363" width="18.5703125" style="627" customWidth="1"/>
    <col min="15364" max="15364" width="7.7109375" style="627" customWidth="1"/>
    <col min="15365" max="15616" width="9.140625" style="627"/>
    <col min="15617" max="15617" width="8.140625" style="627" customWidth="1"/>
    <col min="15618" max="15618" width="85.140625" style="627" customWidth="1"/>
    <col min="15619" max="15619" width="18.5703125" style="627" customWidth="1"/>
    <col min="15620" max="15620" width="7.7109375" style="627" customWidth="1"/>
    <col min="15621" max="15872" width="9.140625" style="627"/>
    <col min="15873" max="15873" width="8.140625" style="627" customWidth="1"/>
    <col min="15874" max="15874" width="85.140625" style="627" customWidth="1"/>
    <col min="15875" max="15875" width="18.5703125" style="627" customWidth="1"/>
    <col min="15876" max="15876" width="7.7109375" style="627" customWidth="1"/>
    <col min="15877" max="16128" width="9.140625" style="627"/>
    <col min="16129" max="16129" width="8.140625" style="627" customWidth="1"/>
    <col min="16130" max="16130" width="85.140625" style="627" customWidth="1"/>
    <col min="16131" max="16131" width="18.5703125" style="627" customWidth="1"/>
    <col min="16132" max="16132" width="7.7109375" style="627" customWidth="1"/>
    <col min="16133" max="16384" width="9.140625" style="627"/>
  </cols>
  <sheetData>
    <row r="1" spans="1:3" ht="21.95" customHeight="1">
      <c r="A1" s="628"/>
      <c r="B1" s="629"/>
      <c r="C1" s="1118" t="s">
        <v>1752</v>
      </c>
    </row>
    <row r="2" spans="1:3" ht="21.95" customHeight="1">
      <c r="A2" s="630"/>
      <c r="B2" s="629" t="s">
        <v>1626</v>
      </c>
      <c r="C2" s="630"/>
    </row>
    <row r="3" spans="1:3" ht="21.95" customHeight="1">
      <c r="A3" s="630"/>
      <c r="B3" s="629" t="s">
        <v>1481</v>
      </c>
      <c r="C3" s="630"/>
    </row>
    <row r="4" spans="1:3" ht="21.95" customHeight="1">
      <c r="A4" s="626"/>
      <c r="B4" s="626"/>
      <c r="C4" s="631"/>
    </row>
    <row r="5" spans="1:3" ht="15.2" customHeight="1">
      <c r="A5" s="1217" t="s">
        <v>301</v>
      </c>
      <c r="B5" s="1217"/>
      <c r="C5" s="1217"/>
    </row>
    <row r="6" spans="1:3" ht="15.2" customHeight="1" thickBot="1">
      <c r="A6" s="1218"/>
      <c r="B6" s="1218"/>
      <c r="C6" s="632" t="str">
        <f>CONCATENATE([1]KV_1.1.sz.mell.!C7)</f>
        <v>Forintban!</v>
      </c>
    </row>
    <row r="7" spans="1:3" ht="24" customHeight="1" thickBot="1">
      <c r="A7" s="633" t="s">
        <v>286</v>
      </c>
      <c r="B7" s="634" t="s">
        <v>302</v>
      </c>
      <c r="C7" s="635" t="str">
        <f>+CONCATENATE(LEFT([1]KV_ÖSSZEFÜGGÉSEK!A5,4),". évi előirányzat")</f>
        <v>2020. évi előirányzat</v>
      </c>
    </row>
    <row r="8" spans="1:3" s="639" customFormat="1" ht="12" customHeight="1" thickBot="1">
      <c r="A8" s="636"/>
      <c r="B8" s="637" t="s">
        <v>287</v>
      </c>
      <c r="C8" s="638" t="s">
        <v>268</v>
      </c>
    </row>
    <row r="9" spans="1:3" s="643" customFormat="1" ht="12" customHeight="1" thickBot="1">
      <c r="A9" s="640" t="s">
        <v>172</v>
      </c>
      <c r="B9" s="641" t="s">
        <v>304</v>
      </c>
      <c r="C9" s="642">
        <f>+C10+C11+C12+C13+C14+C15</f>
        <v>1002597632</v>
      </c>
    </row>
    <row r="10" spans="1:3" s="643" customFormat="1" ht="12" customHeight="1">
      <c r="A10" s="644" t="s">
        <v>305</v>
      </c>
      <c r="B10" s="645" t="s">
        <v>306</v>
      </c>
      <c r="C10" s="646">
        <f>'1.'!C11</f>
        <v>275406451</v>
      </c>
    </row>
    <row r="11" spans="1:3" s="643" customFormat="1" ht="12" customHeight="1">
      <c r="A11" s="647" t="s">
        <v>307</v>
      </c>
      <c r="B11" s="648" t="s">
        <v>308</v>
      </c>
      <c r="C11" s="646">
        <f>'1.'!C12</f>
        <v>263588830</v>
      </c>
    </row>
    <row r="12" spans="1:3" s="643" customFormat="1" ht="12" customHeight="1">
      <c r="A12" s="647" t="s">
        <v>309</v>
      </c>
      <c r="B12" s="648" t="s">
        <v>1483</v>
      </c>
      <c r="C12" s="646">
        <f>'1.'!C13</f>
        <v>413052831</v>
      </c>
    </row>
    <row r="13" spans="1:3" s="643" customFormat="1" ht="12" customHeight="1">
      <c r="A13" s="647" t="s">
        <v>311</v>
      </c>
      <c r="B13" s="648" t="s">
        <v>312</v>
      </c>
      <c r="C13" s="646">
        <f>'1.'!C14-'1.b'!C12</f>
        <v>13160520</v>
      </c>
    </row>
    <row r="14" spans="1:3" s="643" customFormat="1" ht="12" customHeight="1">
      <c r="A14" s="647" t="s">
        <v>313</v>
      </c>
      <c r="B14" s="649" t="s">
        <v>314</v>
      </c>
      <c r="C14" s="646">
        <f>'1.'!C15</f>
        <v>37389000</v>
      </c>
    </row>
    <row r="15" spans="1:3" s="643" customFormat="1" ht="12" customHeight="1" thickBot="1">
      <c r="A15" s="650" t="s">
        <v>315</v>
      </c>
      <c r="B15" s="651" t="s">
        <v>265</v>
      </c>
      <c r="C15" s="646">
        <f>'1.'!C16</f>
        <v>0</v>
      </c>
    </row>
    <row r="16" spans="1:3" s="643" customFormat="1" ht="12" customHeight="1" thickBot="1">
      <c r="A16" s="640" t="s">
        <v>173</v>
      </c>
      <c r="B16" s="652" t="s">
        <v>1484</v>
      </c>
      <c r="C16" s="642">
        <f>+C17+C18+C19+C20+C21</f>
        <v>537913170.96541262</v>
      </c>
    </row>
    <row r="17" spans="1:3" s="643" customFormat="1" ht="12" customHeight="1">
      <c r="A17" s="644" t="s">
        <v>316</v>
      </c>
      <c r="B17" s="645" t="s">
        <v>317</v>
      </c>
      <c r="C17" s="646">
        <f>'1.'!C18</f>
        <v>0</v>
      </c>
    </row>
    <row r="18" spans="1:3" s="643" customFormat="1" ht="12" customHeight="1">
      <c r="A18" s="647" t="s">
        <v>318</v>
      </c>
      <c r="B18" s="648" t="s">
        <v>319</v>
      </c>
      <c r="C18" s="646">
        <f>'1.'!C19</f>
        <v>0</v>
      </c>
    </row>
    <row r="19" spans="1:3" s="643" customFormat="1" ht="12" customHeight="1">
      <c r="A19" s="647" t="s">
        <v>320</v>
      </c>
      <c r="B19" s="648" t="s">
        <v>321</v>
      </c>
      <c r="C19" s="646">
        <f>'1.'!C20-'1.b'!C17</f>
        <v>32000000</v>
      </c>
    </row>
    <row r="20" spans="1:3" s="643" customFormat="1" ht="12" customHeight="1">
      <c r="A20" s="647" t="s">
        <v>322</v>
      </c>
      <c r="B20" s="648" t="s">
        <v>323</v>
      </c>
      <c r="C20" s="646">
        <f>'1.'!C21-'1.b'!C18</f>
        <v>32000000</v>
      </c>
    </row>
    <row r="21" spans="1:3" s="643" customFormat="1" ht="12" customHeight="1">
      <c r="A21" s="647" t="s">
        <v>324</v>
      </c>
      <c r="B21" s="648" t="s">
        <v>1485</v>
      </c>
      <c r="C21" s="646">
        <f>'1.'!C22-'1.b'!C19</f>
        <v>473913170.96541268</v>
      </c>
    </row>
    <row r="22" spans="1:3" s="643" customFormat="1" ht="12" customHeight="1" thickBot="1">
      <c r="A22" s="650" t="s">
        <v>326</v>
      </c>
      <c r="B22" s="651" t="s">
        <v>327</v>
      </c>
      <c r="C22" s="646">
        <f>'1.'!C23</f>
        <v>0</v>
      </c>
    </row>
    <row r="23" spans="1:3" s="643" customFormat="1" ht="12" customHeight="1" thickBot="1">
      <c r="A23" s="640" t="s">
        <v>174</v>
      </c>
      <c r="B23" s="641" t="s">
        <v>1486</v>
      </c>
      <c r="C23" s="642">
        <f>+C24+C25+C26+C27+C28</f>
        <v>708423293</v>
      </c>
    </row>
    <row r="24" spans="1:3" s="643" customFormat="1" ht="12" customHeight="1">
      <c r="A24" s="644" t="s">
        <v>328</v>
      </c>
      <c r="B24" s="645" t="s">
        <v>329</v>
      </c>
      <c r="C24" s="646">
        <f>'1.'!C25-'1.b'!C22</f>
        <v>153703520</v>
      </c>
    </row>
    <row r="25" spans="1:3" s="643" customFormat="1" ht="12" customHeight="1">
      <c r="A25" s="647" t="s">
        <v>330</v>
      </c>
      <c r="B25" s="648" t="s">
        <v>331</v>
      </c>
      <c r="C25" s="646">
        <f>'1.'!C26</f>
        <v>0</v>
      </c>
    </row>
    <row r="26" spans="1:3" s="643" customFormat="1" ht="12" customHeight="1">
      <c r="A26" s="647" t="s">
        <v>332</v>
      </c>
      <c r="B26" s="648" t="s">
        <v>333</v>
      </c>
      <c r="C26" s="646">
        <f>'1.'!C27</f>
        <v>0</v>
      </c>
    </row>
    <row r="27" spans="1:3" s="643" customFormat="1" ht="12" customHeight="1">
      <c r="A27" s="647" t="s">
        <v>334</v>
      </c>
      <c r="B27" s="648" t="s">
        <v>335</v>
      </c>
      <c r="C27" s="646">
        <f>'1.'!C28</f>
        <v>0</v>
      </c>
    </row>
    <row r="28" spans="1:3" s="643" customFormat="1" ht="12" customHeight="1">
      <c r="A28" s="647" t="s">
        <v>336</v>
      </c>
      <c r="B28" s="648" t="s">
        <v>337</v>
      </c>
      <c r="C28" s="646">
        <f>'1.'!C29-'1.b'!C26</f>
        <v>554719773</v>
      </c>
    </row>
    <row r="29" spans="1:3" s="655" customFormat="1" ht="12" customHeight="1" thickBot="1">
      <c r="A29" s="653" t="s">
        <v>338</v>
      </c>
      <c r="B29" s="654" t="s">
        <v>1487</v>
      </c>
      <c r="C29" s="646">
        <f>'1.'!C30-'1.b'!C27</f>
        <v>553042773</v>
      </c>
    </row>
    <row r="30" spans="1:3" s="643" customFormat="1" ht="12" customHeight="1" thickBot="1">
      <c r="A30" s="640" t="s">
        <v>340</v>
      </c>
      <c r="B30" s="641" t="s">
        <v>341</v>
      </c>
      <c r="C30" s="646">
        <f>'1.'!C31</f>
        <v>485095000</v>
      </c>
    </row>
    <row r="31" spans="1:3" s="643" customFormat="1" ht="12" customHeight="1">
      <c r="A31" s="644" t="s">
        <v>342</v>
      </c>
      <c r="B31" s="645" t="str">
        <f>[1]KV_1.1.sz.mell.!B32</f>
        <v>Építményadó</v>
      </c>
      <c r="C31" s="646">
        <f>'1.'!C32-'1.b'!C29</f>
        <v>154000000</v>
      </c>
    </row>
    <row r="32" spans="1:3" s="643" customFormat="1" ht="12" customHeight="1">
      <c r="A32" s="647" t="s">
        <v>344</v>
      </c>
      <c r="B32" s="645" t="str">
        <f>[1]KV_1.1.sz.mell.!B33</f>
        <v>Idegenforgalmi adó</v>
      </c>
      <c r="C32" s="646">
        <f>'1.'!C33-'1.b'!C30</f>
        <v>0</v>
      </c>
    </row>
    <row r="33" spans="1:3" s="643" customFormat="1" ht="12" customHeight="1">
      <c r="A33" s="647" t="s">
        <v>345</v>
      </c>
      <c r="B33" s="645" t="str">
        <f>[1]KV_1.1.sz.mell.!B34</f>
        <v>Iparűzési adó</v>
      </c>
      <c r="C33" s="646">
        <f>'1.'!C34-'1.b'!C31</f>
        <v>278000000</v>
      </c>
    </row>
    <row r="34" spans="1:3" s="643" customFormat="1" ht="12" customHeight="1">
      <c r="A34" s="647" t="s">
        <v>347</v>
      </c>
      <c r="B34" s="645" t="str">
        <f>[1]KV_1.1.sz.mell.!B35</f>
        <v>Talajterhelési díj</v>
      </c>
      <c r="C34" s="646">
        <f>'1.'!C35-'1.b'!C32</f>
        <v>35500000</v>
      </c>
    </row>
    <row r="35" spans="1:3" s="643" customFormat="1" ht="12" customHeight="1">
      <c r="A35" s="647" t="s">
        <v>349</v>
      </c>
      <c r="B35" s="645" t="str">
        <f>[1]KV_1.1.sz.mell.!B36</f>
        <v>Gépjárműadó</v>
      </c>
      <c r="C35" s="646">
        <f>'1.'!C36-'1.b'!C33</f>
        <v>0</v>
      </c>
    </row>
    <row r="36" spans="1:3" s="643" customFormat="1" ht="12" customHeight="1">
      <c r="A36" s="647" t="s">
        <v>350</v>
      </c>
      <c r="B36" s="645" t="str">
        <f>[1]KV_1.1.sz.mell.!B37</f>
        <v>Telekadó</v>
      </c>
      <c r="C36" s="646">
        <f>'1.'!C37-'1.b'!C34</f>
        <v>13000000</v>
      </c>
    </row>
    <row r="37" spans="1:3" s="643" customFormat="1" ht="12" customHeight="1" thickBot="1">
      <c r="A37" s="650" t="s">
        <v>352</v>
      </c>
      <c r="B37" s="645" t="str">
        <f>[1]KV_1.1.sz.mell.!B38</f>
        <v>Kommunális adó</v>
      </c>
      <c r="C37" s="646">
        <f>'1.'!C38-'1.b'!C35</f>
        <v>4595000</v>
      </c>
    </row>
    <row r="38" spans="1:3" s="643" customFormat="1" ht="12" customHeight="1" thickBot="1">
      <c r="A38" s="640" t="s">
        <v>176</v>
      </c>
      <c r="B38" s="641" t="s">
        <v>354</v>
      </c>
      <c r="C38" s="642">
        <f>SUM(C39:C49)</f>
        <v>231665967</v>
      </c>
    </row>
    <row r="39" spans="1:3" s="643" customFormat="1" ht="12" customHeight="1">
      <c r="A39" s="644" t="s">
        <v>355</v>
      </c>
      <c r="B39" s="645" t="s">
        <v>356</v>
      </c>
      <c r="C39" s="646">
        <f>'1.'!C40-'1.b'!C37</f>
        <v>156200</v>
      </c>
    </row>
    <row r="40" spans="1:3" s="643" customFormat="1" ht="12" customHeight="1">
      <c r="A40" s="647" t="s">
        <v>357</v>
      </c>
      <c r="B40" s="648" t="s">
        <v>358</v>
      </c>
      <c r="C40" s="646">
        <f>'1.'!C41-'1.b'!C38</f>
        <v>41802637</v>
      </c>
    </row>
    <row r="41" spans="1:3" s="643" customFormat="1" ht="12" customHeight="1">
      <c r="A41" s="647" t="s">
        <v>359</v>
      </c>
      <c r="B41" s="648" t="s">
        <v>360</v>
      </c>
      <c r="C41" s="646">
        <f>'1.'!C42-'1.b'!C39</f>
        <v>39530622</v>
      </c>
    </row>
    <row r="42" spans="1:3" s="643" customFormat="1" ht="12" customHeight="1">
      <c r="A42" s="647" t="s">
        <v>361</v>
      </c>
      <c r="B42" s="648" t="s">
        <v>362</v>
      </c>
      <c r="C42" s="646">
        <f>'1.'!C43-'1.b'!C40</f>
        <v>14700000</v>
      </c>
    </row>
    <row r="43" spans="1:3" s="643" customFormat="1" ht="12" customHeight="1">
      <c r="A43" s="647" t="s">
        <v>363</v>
      </c>
      <c r="B43" s="648" t="s">
        <v>364</v>
      </c>
      <c r="C43" s="646">
        <f>'1.'!C44-'1.b'!C41</f>
        <v>91013447</v>
      </c>
    </row>
    <row r="44" spans="1:3" s="643" customFormat="1" ht="12" customHeight="1">
      <c r="A44" s="647" t="s">
        <v>365</v>
      </c>
      <c r="B44" s="648" t="s">
        <v>366</v>
      </c>
      <c r="C44" s="646">
        <f>'1.'!C45-'1.b'!C42</f>
        <v>44133031</v>
      </c>
    </row>
    <row r="45" spans="1:3" s="643" customFormat="1" ht="12" customHeight="1">
      <c r="A45" s="647" t="s">
        <v>367</v>
      </c>
      <c r="B45" s="648" t="s">
        <v>368</v>
      </c>
      <c r="C45" s="646">
        <f>'1.'!C46-'1.b'!C43</f>
        <v>0</v>
      </c>
    </row>
    <row r="46" spans="1:3" s="643" customFormat="1" ht="12" customHeight="1">
      <c r="A46" s="647" t="s">
        <v>369</v>
      </c>
      <c r="B46" s="648" t="s">
        <v>370</v>
      </c>
      <c r="C46" s="646">
        <f>'1.'!C47-'1.b'!C44</f>
        <v>10030</v>
      </c>
    </row>
    <row r="47" spans="1:3" s="643" customFormat="1" ht="12" customHeight="1">
      <c r="A47" s="647" t="s">
        <v>371</v>
      </c>
      <c r="B47" s="648" t="s">
        <v>372</v>
      </c>
      <c r="C47" s="646">
        <f>'1.'!C48-'1.b'!C45</f>
        <v>0</v>
      </c>
    </row>
    <row r="48" spans="1:3" s="643" customFormat="1" ht="12" customHeight="1">
      <c r="A48" s="650" t="s">
        <v>373</v>
      </c>
      <c r="B48" s="657" t="s">
        <v>374</v>
      </c>
      <c r="C48" s="646">
        <f>'1.'!C49-'1.b'!C46</f>
        <v>0</v>
      </c>
    </row>
    <row r="49" spans="1:3" s="643" customFormat="1" ht="12" customHeight="1" thickBot="1">
      <c r="A49" s="650" t="s">
        <v>375</v>
      </c>
      <c r="B49" s="651" t="s">
        <v>376</v>
      </c>
      <c r="C49" s="646">
        <f>'1.'!C50-'1.b'!C47</f>
        <v>320000</v>
      </c>
    </row>
    <row r="50" spans="1:3" s="643" customFormat="1" ht="12" customHeight="1" thickBot="1">
      <c r="A50" s="640" t="s">
        <v>177</v>
      </c>
      <c r="B50" s="641" t="s">
        <v>377</v>
      </c>
      <c r="C50" s="642">
        <f>SUM(C51:C55)</f>
        <v>0</v>
      </c>
    </row>
    <row r="51" spans="1:3" s="643" customFormat="1" ht="12" customHeight="1">
      <c r="A51" s="644" t="s">
        <v>378</v>
      </c>
      <c r="B51" s="645" t="s">
        <v>379</v>
      </c>
      <c r="C51" s="646">
        <v>0</v>
      </c>
    </row>
    <row r="52" spans="1:3" s="643" customFormat="1" ht="12" customHeight="1">
      <c r="A52" s="647" t="s">
        <v>380</v>
      </c>
      <c r="B52" s="648" t="s">
        <v>381</v>
      </c>
      <c r="C52" s="646">
        <f>'1.'!C53-'1.b'!C51</f>
        <v>0</v>
      </c>
    </row>
    <row r="53" spans="1:3" s="643" customFormat="1" ht="12" customHeight="1">
      <c r="A53" s="647" t="s">
        <v>382</v>
      </c>
      <c r="B53" s="648" t="s">
        <v>383</v>
      </c>
      <c r="C53" s="646">
        <f>'1.'!C54-'1.b'!C52</f>
        <v>0</v>
      </c>
    </row>
    <row r="54" spans="1:3" s="643" customFormat="1" ht="12" customHeight="1">
      <c r="A54" s="647" t="s">
        <v>384</v>
      </c>
      <c r="B54" s="648" t="s">
        <v>385</v>
      </c>
      <c r="C54" s="646">
        <f>'1.'!C55</f>
        <v>0</v>
      </c>
    </row>
    <row r="55" spans="1:3" s="643" customFormat="1" ht="12" customHeight="1" thickBot="1">
      <c r="A55" s="650" t="s">
        <v>386</v>
      </c>
      <c r="B55" s="651" t="s">
        <v>387</v>
      </c>
      <c r="C55" s="646">
        <f>'1.'!C56</f>
        <v>0</v>
      </c>
    </row>
    <row r="56" spans="1:3" s="643" customFormat="1" ht="12" customHeight="1" thickBot="1">
      <c r="A56" s="640" t="s">
        <v>388</v>
      </c>
      <c r="B56" s="641" t="s">
        <v>389</v>
      </c>
      <c r="C56" s="642">
        <f>SUM(C57:C59)</f>
        <v>0</v>
      </c>
    </row>
    <row r="57" spans="1:3" s="643" customFormat="1" ht="12" customHeight="1">
      <c r="A57" s="644" t="s">
        <v>390</v>
      </c>
      <c r="B57" s="645" t="s">
        <v>391</v>
      </c>
      <c r="C57" s="646">
        <f>'1.'!C58</f>
        <v>0</v>
      </c>
    </row>
    <row r="58" spans="1:3" s="643" customFormat="1" ht="12" customHeight="1">
      <c r="A58" s="647" t="s">
        <v>392</v>
      </c>
      <c r="B58" s="648" t="s">
        <v>393</v>
      </c>
      <c r="C58" s="646">
        <f>'1.'!C59</f>
        <v>0</v>
      </c>
    </row>
    <row r="59" spans="1:3" s="643" customFormat="1" ht="12" customHeight="1">
      <c r="A59" s="647" t="s">
        <v>394</v>
      </c>
      <c r="B59" s="648" t="s">
        <v>395</v>
      </c>
      <c r="C59" s="646">
        <f>'1.'!C60-'1.b'!C58</f>
        <v>0</v>
      </c>
    </row>
    <row r="60" spans="1:3" s="643" customFormat="1" ht="12" customHeight="1" thickBot="1">
      <c r="A60" s="650" t="s">
        <v>396</v>
      </c>
      <c r="B60" s="651" t="s">
        <v>397</v>
      </c>
      <c r="C60" s="646">
        <f>'1.'!C61</f>
        <v>0</v>
      </c>
    </row>
    <row r="61" spans="1:3" s="643" customFormat="1" ht="12" customHeight="1" thickBot="1">
      <c r="A61" s="640" t="s">
        <v>179</v>
      </c>
      <c r="B61" s="652" t="s">
        <v>398</v>
      </c>
      <c r="C61" s="642">
        <f>SUM(C62:C64)</f>
        <v>60459000</v>
      </c>
    </row>
    <row r="62" spans="1:3" s="643" customFormat="1" ht="12" customHeight="1">
      <c r="A62" s="644" t="s">
        <v>399</v>
      </c>
      <c r="B62" s="645" t="s">
        <v>400</v>
      </c>
      <c r="C62" s="646">
        <f>'1.'!C63</f>
        <v>0</v>
      </c>
    </row>
    <row r="63" spans="1:3" s="643" customFormat="1" ht="12" customHeight="1">
      <c r="A63" s="647" t="s">
        <v>401</v>
      </c>
      <c r="B63" s="648" t="s">
        <v>402</v>
      </c>
      <c r="C63" s="646">
        <f>'1.'!C64</f>
        <v>0</v>
      </c>
    </row>
    <row r="64" spans="1:3" s="643" customFormat="1" ht="12" customHeight="1">
      <c r="A64" s="647" t="s">
        <v>403</v>
      </c>
      <c r="B64" s="648" t="s">
        <v>404</v>
      </c>
      <c r="C64" s="646">
        <f>'1.'!C65-'1.b'!C63</f>
        <v>60459000</v>
      </c>
    </row>
    <row r="65" spans="1:3" s="643" customFormat="1" ht="12" customHeight="1" thickBot="1">
      <c r="A65" s="650" t="s">
        <v>405</v>
      </c>
      <c r="B65" s="651" t="s">
        <v>406</v>
      </c>
      <c r="C65" s="646">
        <f>'1.'!C66</f>
        <v>0</v>
      </c>
    </row>
    <row r="66" spans="1:3" s="643" customFormat="1" ht="12" customHeight="1" thickBot="1">
      <c r="A66" s="658" t="s">
        <v>407</v>
      </c>
      <c r="B66" s="641" t="s">
        <v>408</v>
      </c>
      <c r="C66" s="656">
        <f>+C9+C16+C23+C30+C38+C50+C56+C61</f>
        <v>3026154062.9654126</v>
      </c>
    </row>
    <row r="67" spans="1:3" s="643" customFormat="1" ht="12" customHeight="1" thickBot="1">
      <c r="A67" s="659" t="s">
        <v>409</v>
      </c>
      <c r="B67" s="652" t="s">
        <v>410</v>
      </c>
      <c r="C67" s="642">
        <f>SUM(C68:C70)</f>
        <v>283038987</v>
      </c>
    </row>
    <row r="68" spans="1:3" s="643" customFormat="1" ht="12" customHeight="1">
      <c r="A68" s="644" t="s">
        <v>411</v>
      </c>
      <c r="B68" s="645" t="s">
        <v>412</v>
      </c>
      <c r="C68" s="646">
        <f>'1.'!C69-'1.b'!C67</f>
        <v>283038987</v>
      </c>
    </row>
    <row r="69" spans="1:3" s="643" customFormat="1" ht="12" customHeight="1">
      <c r="A69" s="647" t="s">
        <v>413</v>
      </c>
      <c r="B69" s="648" t="s">
        <v>414</v>
      </c>
      <c r="C69" s="646">
        <f>'1.'!C70</f>
        <v>0</v>
      </c>
    </row>
    <row r="70" spans="1:3" s="643" customFormat="1" ht="12" customHeight="1" thickBot="1">
      <c r="A70" s="650" t="s">
        <v>415</v>
      </c>
      <c r="B70" s="660" t="s">
        <v>1488</v>
      </c>
      <c r="C70" s="646">
        <f>'1.'!C71</f>
        <v>0</v>
      </c>
    </row>
    <row r="71" spans="1:3" s="643" customFormat="1" ht="12" customHeight="1" thickBot="1">
      <c r="A71" s="659" t="s">
        <v>417</v>
      </c>
      <c r="B71" s="652" t="s">
        <v>418</v>
      </c>
      <c r="C71" s="642">
        <f>SUM(C72:C75)</f>
        <v>0</v>
      </c>
    </row>
    <row r="72" spans="1:3" s="643" customFormat="1" ht="12" customHeight="1">
      <c r="A72" s="644" t="s">
        <v>419</v>
      </c>
      <c r="B72" s="645" t="s">
        <v>420</v>
      </c>
      <c r="C72" s="646">
        <f>'1.'!C73</f>
        <v>0</v>
      </c>
    </row>
    <row r="73" spans="1:3" s="643" customFormat="1" ht="12" customHeight="1">
      <c r="A73" s="647" t="s">
        <v>421</v>
      </c>
      <c r="B73" s="648" t="s">
        <v>422</v>
      </c>
      <c r="C73" s="646">
        <f>'1.'!C74</f>
        <v>0</v>
      </c>
    </row>
    <row r="74" spans="1:3" s="643" customFormat="1" ht="12" customHeight="1" thickBot="1">
      <c r="A74" s="650" t="s">
        <v>423</v>
      </c>
      <c r="B74" s="657" t="s">
        <v>424</v>
      </c>
      <c r="C74" s="646">
        <f>'1.'!C75</f>
        <v>0</v>
      </c>
    </row>
    <row r="75" spans="1:3" s="643" customFormat="1" ht="12" customHeight="1" thickBot="1">
      <c r="A75" s="661" t="s">
        <v>425</v>
      </c>
      <c r="B75" s="662" t="s">
        <v>426</v>
      </c>
      <c r="C75" s="663"/>
    </row>
    <row r="76" spans="1:3" s="643" customFormat="1" ht="12" customHeight="1" thickBot="1">
      <c r="A76" s="659" t="s">
        <v>427</v>
      </c>
      <c r="B76" s="652" t="s">
        <v>428</v>
      </c>
      <c r="C76" s="646">
        <f>'1.'!C77</f>
        <v>566540065</v>
      </c>
    </row>
    <row r="77" spans="1:3" s="643" customFormat="1" ht="12" customHeight="1" thickBot="1">
      <c r="A77" s="664" t="s">
        <v>429</v>
      </c>
      <c r="B77" s="665" t="s">
        <v>430</v>
      </c>
      <c r="C77" s="646">
        <f>'1.'!C78</f>
        <v>566540065</v>
      </c>
    </row>
    <row r="78" spans="1:3" s="643" customFormat="1" ht="12" customHeight="1" thickBot="1">
      <c r="A78" s="661" t="s">
        <v>431</v>
      </c>
      <c r="B78" s="662" t="s">
        <v>432</v>
      </c>
      <c r="C78" s="663"/>
    </row>
    <row r="79" spans="1:3" s="643" customFormat="1" ht="12" customHeight="1" thickBot="1">
      <c r="A79" s="659" t="s">
        <v>433</v>
      </c>
      <c r="B79" s="652" t="s">
        <v>434</v>
      </c>
      <c r="C79" s="642">
        <f>SUM(C80:C82)</f>
        <v>40868059</v>
      </c>
    </row>
    <row r="80" spans="1:3" s="643" customFormat="1" ht="12" customHeight="1">
      <c r="A80" s="644" t="s">
        <v>435</v>
      </c>
      <c r="B80" s="645" t="s">
        <v>436</v>
      </c>
      <c r="C80" s="646">
        <f>'1.'!C81</f>
        <v>40868059</v>
      </c>
    </row>
    <row r="81" spans="1:3" s="643" customFormat="1" ht="12" customHeight="1">
      <c r="A81" s="647" t="s">
        <v>437</v>
      </c>
      <c r="B81" s="648" t="s">
        <v>438</v>
      </c>
      <c r="C81" s="646">
        <f>'1.'!C82</f>
        <v>0</v>
      </c>
    </row>
    <row r="82" spans="1:3" s="643" customFormat="1" ht="12" customHeight="1" thickBot="1">
      <c r="A82" s="666" t="s">
        <v>439</v>
      </c>
      <c r="B82" s="667" t="s">
        <v>440</v>
      </c>
      <c r="C82" s="646">
        <f>'1.'!C83</f>
        <v>0</v>
      </c>
    </row>
    <row r="83" spans="1:3" s="643" customFormat="1" ht="12" customHeight="1" thickBot="1">
      <c r="A83" s="659" t="s">
        <v>441</v>
      </c>
      <c r="B83" s="652" t="s">
        <v>442</v>
      </c>
      <c r="C83" s="642">
        <f>SUM(C84:C87)</f>
        <v>0</v>
      </c>
    </row>
    <row r="84" spans="1:3" s="643" customFormat="1" ht="12" customHeight="1">
      <c r="A84" s="668" t="s">
        <v>443</v>
      </c>
      <c r="B84" s="645" t="s">
        <v>444</v>
      </c>
      <c r="C84" s="646">
        <f>'1.'!C85</f>
        <v>0</v>
      </c>
    </row>
    <row r="85" spans="1:3" s="643" customFormat="1" ht="12" customHeight="1">
      <c r="A85" s="669" t="s">
        <v>445</v>
      </c>
      <c r="B85" s="648" t="s">
        <v>446</v>
      </c>
      <c r="C85" s="646">
        <f>'1.'!C86</f>
        <v>0</v>
      </c>
    </row>
    <row r="86" spans="1:3" s="643" customFormat="1" ht="12" customHeight="1">
      <c r="A86" s="669" t="s">
        <v>447</v>
      </c>
      <c r="B86" s="648" t="s">
        <v>448</v>
      </c>
      <c r="C86" s="646">
        <f>'1.'!C87</f>
        <v>0</v>
      </c>
    </row>
    <row r="87" spans="1:3" s="643" customFormat="1" ht="12" customHeight="1" thickBot="1">
      <c r="A87" s="670" t="s">
        <v>449</v>
      </c>
      <c r="B87" s="651" t="s">
        <v>450</v>
      </c>
      <c r="C87" s="646">
        <f>'1.'!C88</f>
        <v>0</v>
      </c>
    </row>
    <row r="88" spans="1:3" s="643" customFormat="1" ht="12" customHeight="1" thickBot="1">
      <c r="A88" s="659" t="s">
        <v>451</v>
      </c>
      <c r="B88" s="652" t="s">
        <v>452</v>
      </c>
      <c r="C88" s="646">
        <f>'1.'!C89</f>
        <v>0</v>
      </c>
    </row>
    <row r="89" spans="1:3" s="643" customFormat="1" ht="13.5" customHeight="1" thickBot="1">
      <c r="A89" s="659" t="s">
        <v>453</v>
      </c>
      <c r="B89" s="652" t="s">
        <v>295</v>
      </c>
      <c r="C89" s="646">
        <f>'1.'!C90</f>
        <v>0</v>
      </c>
    </row>
    <row r="90" spans="1:3" s="643" customFormat="1" ht="15.75" customHeight="1" thickBot="1">
      <c r="A90" s="659" t="s">
        <v>454</v>
      </c>
      <c r="B90" s="671" t="s">
        <v>455</v>
      </c>
      <c r="C90" s="656">
        <f>+C67+C71+C76+C79+C83+C89+C88</f>
        <v>890447111</v>
      </c>
    </row>
    <row r="91" spans="1:3" s="643" customFormat="1" ht="16.5" customHeight="1" thickBot="1">
      <c r="A91" s="672" t="s">
        <v>456</v>
      </c>
      <c r="B91" s="673" t="s">
        <v>457</v>
      </c>
      <c r="C91" s="656">
        <f>+C66+C90</f>
        <v>3916601173.9654126</v>
      </c>
    </row>
    <row r="92" spans="1:3" s="643" customFormat="1" ht="11.1" customHeight="1">
      <c r="A92" s="674"/>
      <c r="B92" s="675"/>
      <c r="C92" s="676"/>
    </row>
    <row r="93" spans="1:3" ht="16.5" customHeight="1">
      <c r="A93" s="1219" t="s">
        <v>458</v>
      </c>
      <c r="B93" s="1219"/>
      <c r="C93" s="1219"/>
    </row>
    <row r="94" spans="1:3" s="678" customFormat="1" ht="16.5" customHeight="1" thickBot="1">
      <c r="A94" s="1220" t="s">
        <v>1489</v>
      </c>
      <c r="B94" s="1220"/>
      <c r="C94" s="677" t="str">
        <f>C6</f>
        <v>Forintban!</v>
      </c>
    </row>
    <row r="95" spans="1:3" ht="30" customHeight="1" thickBot="1">
      <c r="A95" s="679" t="s">
        <v>286</v>
      </c>
      <c r="B95" s="680" t="s">
        <v>556</v>
      </c>
      <c r="C95" s="681" t="str">
        <f>+C7</f>
        <v>2020. évi előirányzat</v>
      </c>
    </row>
    <row r="96" spans="1:3" s="639" customFormat="1" ht="12" customHeight="1" thickBot="1">
      <c r="A96" s="679"/>
      <c r="B96" s="680" t="s">
        <v>287</v>
      </c>
      <c r="C96" s="681" t="s">
        <v>268</v>
      </c>
    </row>
    <row r="97" spans="1:3" ht="12" customHeight="1" thickBot="1">
      <c r="A97" s="682" t="s">
        <v>172</v>
      </c>
      <c r="B97" s="683" t="s">
        <v>1490</v>
      </c>
      <c r="C97" s="684">
        <f>C98+C99+C100+C101+C102+C115</f>
        <v>2147971196.8644147</v>
      </c>
    </row>
    <row r="98" spans="1:3" ht="12" customHeight="1" thickBot="1">
      <c r="A98" s="685" t="s">
        <v>305</v>
      </c>
      <c r="B98" s="686" t="s">
        <v>461</v>
      </c>
      <c r="C98" s="687">
        <f>'1.'!C99-'1.b'!C97</f>
        <v>961027538</v>
      </c>
    </row>
    <row r="99" spans="1:3" ht="12" customHeight="1" thickBot="1">
      <c r="A99" s="647" t="s">
        <v>307</v>
      </c>
      <c r="B99" s="688" t="s">
        <v>289</v>
      </c>
      <c r="C99" s="687">
        <f>'1.'!C100-'1.b'!C98</f>
        <v>180287459.5</v>
      </c>
    </row>
    <row r="100" spans="1:3" ht="12" customHeight="1" thickBot="1">
      <c r="A100" s="647" t="s">
        <v>309</v>
      </c>
      <c r="B100" s="688" t="s">
        <v>462</v>
      </c>
      <c r="C100" s="687">
        <f>'1.'!C101-'1.b'!C99</f>
        <v>599535958.01999998</v>
      </c>
    </row>
    <row r="101" spans="1:3" ht="12" customHeight="1" thickBot="1">
      <c r="A101" s="647" t="s">
        <v>311</v>
      </c>
      <c r="B101" s="689" t="s">
        <v>290</v>
      </c>
      <c r="C101" s="687">
        <f>'1.'!C102-'1.b'!C100</f>
        <v>13000000</v>
      </c>
    </row>
    <row r="102" spans="1:3" ht="12" customHeight="1" thickBot="1">
      <c r="A102" s="647" t="s">
        <v>463</v>
      </c>
      <c r="B102" s="690" t="s">
        <v>291</v>
      </c>
      <c r="C102" s="687">
        <f>'1.'!C103-'1.b'!C101</f>
        <v>342602566.34441459</v>
      </c>
    </row>
    <row r="103" spans="1:3" ht="12" customHeight="1" thickBot="1">
      <c r="A103" s="647" t="s">
        <v>315</v>
      </c>
      <c r="B103" s="688" t="s">
        <v>1491</v>
      </c>
      <c r="C103" s="687">
        <f>'1.'!C104</f>
        <v>0</v>
      </c>
    </row>
    <row r="104" spans="1:3" ht="12" customHeight="1" thickBot="1">
      <c r="A104" s="647" t="s">
        <v>464</v>
      </c>
      <c r="B104" s="691" t="s">
        <v>465</v>
      </c>
      <c r="C104" s="687">
        <f>'1.'!C105</f>
        <v>0</v>
      </c>
    </row>
    <row r="105" spans="1:3" ht="12" customHeight="1" thickBot="1">
      <c r="A105" s="647" t="s">
        <v>466</v>
      </c>
      <c r="B105" s="691" t="s">
        <v>467</v>
      </c>
      <c r="C105" s="687">
        <f>'1.'!C106</f>
        <v>0</v>
      </c>
    </row>
    <row r="106" spans="1:3" ht="12" customHeight="1" thickBot="1">
      <c r="A106" s="647" t="s">
        <v>468</v>
      </c>
      <c r="B106" s="692" t="s">
        <v>469</v>
      </c>
      <c r="C106" s="687">
        <f>'1.'!C107</f>
        <v>0</v>
      </c>
    </row>
    <row r="107" spans="1:3" ht="12" customHeight="1" thickBot="1">
      <c r="A107" s="647" t="s">
        <v>470</v>
      </c>
      <c r="B107" s="693" t="s">
        <v>471</v>
      </c>
      <c r="C107" s="687">
        <f>'1.'!C108-'1.b'!C106</f>
        <v>32000000</v>
      </c>
    </row>
    <row r="108" spans="1:3" ht="12" customHeight="1" thickBot="1">
      <c r="A108" s="647" t="s">
        <v>472</v>
      </c>
      <c r="B108" s="693" t="s">
        <v>473</v>
      </c>
      <c r="C108" s="687">
        <f>'1.'!C109-'1.b'!C107</f>
        <v>32000000</v>
      </c>
    </row>
    <row r="109" spans="1:3" ht="12" customHeight="1" thickBot="1">
      <c r="A109" s="647" t="s">
        <v>474</v>
      </c>
      <c r="B109" s="692" t="s">
        <v>475</v>
      </c>
      <c r="C109" s="687">
        <f>'1.'!C110-'1.b'!C108</f>
        <v>260102566.34441459</v>
      </c>
    </row>
    <row r="110" spans="1:3" ht="12" customHeight="1" thickBot="1">
      <c r="A110" s="647" t="s">
        <v>476</v>
      </c>
      <c r="B110" s="692" t="s">
        <v>477</v>
      </c>
      <c r="C110" s="687">
        <f>'1.'!C111</f>
        <v>0</v>
      </c>
    </row>
    <row r="111" spans="1:3" ht="12" customHeight="1" thickBot="1">
      <c r="A111" s="647" t="s">
        <v>478</v>
      </c>
      <c r="B111" s="693" t="s">
        <v>479</v>
      </c>
      <c r="C111" s="687">
        <f>'1.'!C112</f>
        <v>0</v>
      </c>
    </row>
    <row r="112" spans="1:3" ht="12" customHeight="1" thickBot="1">
      <c r="A112" s="664" t="s">
        <v>480</v>
      </c>
      <c r="B112" s="691" t="s">
        <v>481</v>
      </c>
      <c r="C112" s="687">
        <f>'1.'!C113</f>
        <v>0</v>
      </c>
    </row>
    <row r="113" spans="1:3" ht="12" customHeight="1" thickBot="1">
      <c r="A113" s="647" t="s">
        <v>482</v>
      </c>
      <c r="B113" s="691" t="s">
        <v>483</v>
      </c>
      <c r="C113" s="687">
        <f>'1.'!C114</f>
        <v>0</v>
      </c>
    </row>
    <row r="114" spans="1:3" ht="12" customHeight="1" thickBot="1">
      <c r="A114" s="650" t="s">
        <v>484</v>
      </c>
      <c r="B114" s="691" t="s">
        <v>485</v>
      </c>
      <c r="C114" s="687">
        <f>'1.'!C115-'1.b'!C113</f>
        <v>57128586</v>
      </c>
    </row>
    <row r="115" spans="1:3" ht="12" customHeight="1" thickBot="1">
      <c r="A115" s="647" t="s">
        <v>486</v>
      </c>
      <c r="B115" s="689" t="s">
        <v>292</v>
      </c>
      <c r="C115" s="687">
        <f>'1.'!C116-'1.b'!C114</f>
        <v>51517675</v>
      </c>
    </row>
    <row r="116" spans="1:3" ht="12" customHeight="1">
      <c r="A116" s="647" t="s">
        <v>487</v>
      </c>
      <c r="B116" s="688" t="s">
        <v>488</v>
      </c>
      <c r="C116" s="687">
        <f>'1.'!C117-'1.b'!C115</f>
        <v>19817675</v>
      </c>
    </row>
    <row r="117" spans="1:3" ht="12" customHeight="1" thickBot="1">
      <c r="A117" s="666" t="s">
        <v>489</v>
      </c>
      <c r="B117" s="694" t="s">
        <v>490</v>
      </c>
      <c r="C117" s="695"/>
    </row>
    <row r="118" spans="1:3" ht="12" customHeight="1" thickBot="1">
      <c r="A118" s="696" t="s">
        <v>173</v>
      </c>
      <c r="B118" s="697" t="s">
        <v>1492</v>
      </c>
      <c r="C118" s="698">
        <f>+C119+C121+C123</f>
        <v>1534607181.5</v>
      </c>
    </row>
    <row r="119" spans="1:3" ht="12" customHeight="1" thickBot="1">
      <c r="A119" s="644" t="s">
        <v>316</v>
      </c>
      <c r="B119" s="688" t="s">
        <v>296</v>
      </c>
      <c r="C119" s="687">
        <f>'1.'!C120-'1.b'!C118</f>
        <v>1411528234.5</v>
      </c>
    </row>
    <row r="120" spans="1:3" ht="12" customHeight="1" thickBot="1">
      <c r="A120" s="644" t="s">
        <v>318</v>
      </c>
      <c r="B120" s="699" t="s">
        <v>491</v>
      </c>
      <c r="C120" s="687">
        <f>'1.'!C121-'1.b'!C119</f>
        <v>0</v>
      </c>
    </row>
    <row r="121" spans="1:3" ht="12" customHeight="1" thickBot="1">
      <c r="A121" s="644" t="s">
        <v>320</v>
      </c>
      <c r="B121" s="699" t="s">
        <v>297</v>
      </c>
      <c r="C121" s="687">
        <f>'1.'!C122-'1.b'!C120</f>
        <v>66578947</v>
      </c>
    </row>
    <row r="122" spans="1:3" ht="12" customHeight="1" thickBot="1">
      <c r="A122" s="644" t="s">
        <v>322</v>
      </c>
      <c r="B122" s="699" t="s">
        <v>492</v>
      </c>
      <c r="C122" s="687">
        <f>'1.'!C123-'1.b'!C121</f>
        <v>0</v>
      </c>
    </row>
    <row r="123" spans="1:3" ht="12" customHeight="1" thickBot="1">
      <c r="A123" s="644" t="s">
        <v>324</v>
      </c>
      <c r="B123" s="651" t="s">
        <v>1493</v>
      </c>
      <c r="C123" s="687">
        <f>'1.'!C124-'1.b'!C122</f>
        <v>56500000</v>
      </c>
    </row>
    <row r="124" spans="1:3" ht="12" customHeight="1" thickBot="1">
      <c r="A124" s="644" t="s">
        <v>326</v>
      </c>
      <c r="B124" s="649" t="s">
        <v>1494</v>
      </c>
      <c r="C124" s="687">
        <f>'1.'!C125</f>
        <v>0</v>
      </c>
    </row>
    <row r="125" spans="1:3" ht="12" customHeight="1" thickBot="1">
      <c r="A125" s="644" t="s">
        <v>493</v>
      </c>
      <c r="B125" s="701" t="s">
        <v>494</v>
      </c>
      <c r="C125" s="687">
        <f>'1.'!C126</f>
        <v>0</v>
      </c>
    </row>
    <row r="126" spans="1:3" ht="16.5" thickBot="1">
      <c r="A126" s="644" t="s">
        <v>495</v>
      </c>
      <c r="B126" s="693" t="s">
        <v>473</v>
      </c>
      <c r="C126" s="687">
        <f>'1.'!C127</f>
        <v>0</v>
      </c>
    </row>
    <row r="127" spans="1:3" ht="12" customHeight="1" thickBot="1">
      <c r="A127" s="644" t="s">
        <v>496</v>
      </c>
      <c r="B127" s="693" t="s">
        <v>497</v>
      </c>
      <c r="C127" s="687">
        <f>'1.'!C128</f>
        <v>0</v>
      </c>
    </row>
    <row r="128" spans="1:3" ht="12" customHeight="1" thickBot="1">
      <c r="A128" s="644" t="s">
        <v>498</v>
      </c>
      <c r="B128" s="693" t="s">
        <v>499</v>
      </c>
      <c r="C128" s="687">
        <f>'1.'!C129</f>
        <v>0</v>
      </c>
    </row>
    <row r="129" spans="1:3" ht="12" customHeight="1" thickBot="1">
      <c r="A129" s="644" t="s">
        <v>500</v>
      </c>
      <c r="B129" s="693" t="s">
        <v>479</v>
      </c>
      <c r="C129" s="687">
        <f>'1.'!C130</f>
        <v>0</v>
      </c>
    </row>
    <row r="130" spans="1:3" ht="12" customHeight="1" thickBot="1">
      <c r="A130" s="644" t="s">
        <v>501</v>
      </c>
      <c r="B130" s="693" t="s">
        <v>502</v>
      </c>
      <c r="C130" s="687">
        <f>'1.'!C131</f>
        <v>0</v>
      </c>
    </row>
    <row r="131" spans="1:3" ht="16.5" thickBot="1">
      <c r="A131" s="664" t="s">
        <v>503</v>
      </c>
      <c r="B131" s="693" t="s">
        <v>504</v>
      </c>
      <c r="C131" s="687">
        <f>'1.'!C132</f>
        <v>0</v>
      </c>
    </row>
    <row r="132" spans="1:3" ht="12" customHeight="1" thickBot="1">
      <c r="A132" s="640" t="s">
        <v>174</v>
      </c>
      <c r="B132" s="703" t="s">
        <v>505</v>
      </c>
      <c r="C132" s="642">
        <f>+C97+C118</f>
        <v>3682578378.3644147</v>
      </c>
    </row>
    <row r="133" spans="1:3" ht="12" customHeight="1" thickBot="1">
      <c r="A133" s="640" t="s">
        <v>175</v>
      </c>
      <c r="B133" s="703" t="s">
        <v>1495</v>
      </c>
      <c r="C133" s="642">
        <f>+C134+C135+C136</f>
        <v>17121455.861111112</v>
      </c>
    </row>
    <row r="134" spans="1:3" ht="12" customHeight="1" thickBot="1">
      <c r="A134" s="644" t="s">
        <v>342</v>
      </c>
      <c r="B134" s="699" t="s">
        <v>507</v>
      </c>
      <c r="C134" s="687">
        <f>'1.'!C135-'1.b'!C133</f>
        <v>17121455.861111112</v>
      </c>
    </row>
    <row r="135" spans="1:3" ht="12" customHeight="1" thickBot="1">
      <c r="A135" s="644" t="s">
        <v>344</v>
      </c>
      <c r="B135" s="699" t="s">
        <v>508</v>
      </c>
      <c r="C135" s="687">
        <f>'1.'!C136</f>
        <v>0</v>
      </c>
    </row>
    <row r="136" spans="1:3" ht="12" customHeight="1" thickBot="1">
      <c r="A136" s="664" t="s">
        <v>345</v>
      </c>
      <c r="B136" s="699" t="s">
        <v>509</v>
      </c>
      <c r="C136" s="687">
        <f>'1.'!C137</f>
        <v>0</v>
      </c>
    </row>
    <row r="137" spans="1:3" ht="12" customHeight="1" thickBot="1">
      <c r="A137" s="640" t="s">
        <v>176</v>
      </c>
      <c r="B137" s="703" t="s">
        <v>510</v>
      </c>
      <c r="C137" s="642">
        <f>SUM(C138:C143)</f>
        <v>0</v>
      </c>
    </row>
    <row r="138" spans="1:3" ht="12" customHeight="1" thickBot="1">
      <c r="A138" s="644" t="s">
        <v>355</v>
      </c>
      <c r="B138" s="704" t="s">
        <v>511</v>
      </c>
      <c r="C138" s="687">
        <f>'1.'!C139</f>
        <v>0</v>
      </c>
    </row>
    <row r="139" spans="1:3" ht="12" customHeight="1">
      <c r="A139" s="644" t="s">
        <v>357</v>
      </c>
      <c r="B139" s="704" t="s">
        <v>512</v>
      </c>
      <c r="C139" s="687">
        <f>'1.'!C140</f>
        <v>0</v>
      </c>
    </row>
    <row r="140" spans="1:3" ht="12" customHeight="1">
      <c r="A140" s="644" t="s">
        <v>359</v>
      </c>
      <c r="B140" s="704" t="s">
        <v>513</v>
      </c>
      <c r="C140" s="700"/>
    </row>
    <row r="141" spans="1:3" ht="12" customHeight="1">
      <c r="A141" s="644" t="s">
        <v>361</v>
      </c>
      <c r="B141" s="704" t="s">
        <v>514</v>
      </c>
      <c r="C141" s="700"/>
    </row>
    <row r="142" spans="1:3" ht="12" customHeight="1" thickBot="1">
      <c r="A142" s="664" t="s">
        <v>363</v>
      </c>
      <c r="B142" s="705" t="s">
        <v>515</v>
      </c>
      <c r="C142" s="702"/>
    </row>
    <row r="143" spans="1:3" ht="12" customHeight="1" thickBot="1">
      <c r="A143" s="666" t="s">
        <v>365</v>
      </c>
      <c r="B143" s="706" t="s">
        <v>516</v>
      </c>
      <c r="C143" s="687">
        <f>'1.'!C144</f>
        <v>0</v>
      </c>
    </row>
    <row r="144" spans="1:3" ht="12" customHeight="1" thickBot="1">
      <c r="A144" s="640" t="s">
        <v>177</v>
      </c>
      <c r="B144" s="703" t="s">
        <v>517</v>
      </c>
      <c r="C144" s="656">
        <f>+C145+C146+C147+C148</f>
        <v>40868059</v>
      </c>
    </row>
    <row r="145" spans="1:9" ht="12" customHeight="1" thickBot="1">
      <c r="A145" s="644" t="s">
        <v>378</v>
      </c>
      <c r="B145" s="704" t="s">
        <v>518</v>
      </c>
      <c r="C145" s="687">
        <f>'1.'!C146</f>
        <v>0</v>
      </c>
    </row>
    <row r="146" spans="1:9" ht="12" customHeight="1" thickBot="1">
      <c r="A146" s="644" t="s">
        <v>380</v>
      </c>
      <c r="B146" s="704" t="s">
        <v>519</v>
      </c>
      <c r="C146" s="687">
        <f>'1.'!C147-'1.b'!C145</f>
        <v>40868059</v>
      </c>
    </row>
    <row r="147" spans="1:9" ht="12" customHeight="1" thickBot="1">
      <c r="A147" s="664" t="s">
        <v>382</v>
      </c>
      <c r="B147" s="705" t="s">
        <v>293</v>
      </c>
      <c r="C147" s="687">
        <f>'1.'!C148</f>
        <v>0</v>
      </c>
    </row>
    <row r="148" spans="1:9" ht="12" customHeight="1" thickBot="1">
      <c r="A148" s="661" t="s">
        <v>384</v>
      </c>
      <c r="B148" s="707" t="s">
        <v>299</v>
      </c>
      <c r="C148" s="708"/>
    </row>
    <row r="149" spans="1:9" ht="12" customHeight="1" thickBot="1">
      <c r="A149" s="640" t="s">
        <v>178</v>
      </c>
      <c r="B149" s="703" t="s">
        <v>520</v>
      </c>
      <c r="C149" s="709">
        <f>SUM(C150:C154)</f>
        <v>0</v>
      </c>
    </row>
    <row r="150" spans="1:9" ht="12" customHeight="1">
      <c r="A150" s="644" t="s">
        <v>390</v>
      </c>
      <c r="B150" s="704" t="s">
        <v>521</v>
      </c>
      <c r="C150" s="700"/>
    </row>
    <row r="151" spans="1:9" ht="12" customHeight="1">
      <c r="A151" s="644" t="s">
        <v>392</v>
      </c>
      <c r="B151" s="704" t="s">
        <v>522</v>
      </c>
      <c r="C151" s="700"/>
    </row>
    <row r="152" spans="1:9" ht="12" customHeight="1">
      <c r="A152" s="644" t="s">
        <v>394</v>
      </c>
      <c r="B152" s="704" t="s">
        <v>523</v>
      </c>
      <c r="C152" s="700"/>
    </row>
    <row r="153" spans="1:9" ht="12" customHeight="1">
      <c r="A153" s="644" t="s">
        <v>396</v>
      </c>
      <c r="B153" s="704" t="s">
        <v>1496</v>
      </c>
      <c r="C153" s="700"/>
    </row>
    <row r="154" spans="1:9" ht="12" customHeight="1" thickBot="1">
      <c r="A154" s="644" t="s">
        <v>525</v>
      </c>
      <c r="B154" s="704" t="s">
        <v>526</v>
      </c>
      <c r="C154" s="700"/>
    </row>
    <row r="155" spans="1:9" ht="12" customHeight="1" thickBot="1">
      <c r="A155" s="640" t="s">
        <v>179</v>
      </c>
      <c r="B155" s="703" t="s">
        <v>527</v>
      </c>
      <c r="C155" s="710"/>
    </row>
    <row r="156" spans="1:9" ht="12" customHeight="1" thickBot="1">
      <c r="A156" s="640" t="s">
        <v>180</v>
      </c>
      <c r="B156" s="703" t="s">
        <v>294</v>
      </c>
      <c r="C156" s="710"/>
    </row>
    <row r="157" spans="1:9" ht="15.2" customHeight="1" thickBot="1">
      <c r="A157" s="640" t="s">
        <v>181</v>
      </c>
      <c r="B157" s="703" t="s">
        <v>528</v>
      </c>
      <c r="C157" s="687">
        <f>'1.'!C158-'1.b'!C156</f>
        <v>57989514.861111112</v>
      </c>
      <c r="F157" s="712"/>
      <c r="G157" s="713"/>
      <c r="H157" s="713"/>
      <c r="I157" s="713"/>
    </row>
    <row r="158" spans="1:9" s="643" customFormat="1" ht="17.25" customHeight="1" thickBot="1">
      <c r="A158" s="714" t="s">
        <v>182</v>
      </c>
      <c r="B158" s="715" t="s">
        <v>529</v>
      </c>
      <c r="C158" s="711">
        <f>+C132+C157</f>
        <v>3740567893.2255259</v>
      </c>
    </row>
    <row r="159" spans="1:9" ht="15.95" customHeight="1">
      <c r="A159" s="716"/>
      <c r="B159" s="716"/>
      <c r="C159" s="1126">
        <f>C91-C158</f>
        <v>176033280.73988676</v>
      </c>
    </row>
    <row r="160" spans="1:9">
      <c r="A160" s="1221" t="s">
        <v>530</v>
      </c>
      <c r="B160" s="1221"/>
      <c r="C160" s="1221"/>
    </row>
    <row r="161" spans="1:4" ht="15.2" customHeight="1" thickBot="1">
      <c r="A161" s="1216" t="s">
        <v>1497</v>
      </c>
      <c r="B161" s="1216"/>
      <c r="C161" s="718" t="str">
        <f>C94</f>
        <v>Forintban!</v>
      </c>
    </row>
    <row r="162" spans="1:4" ht="20.25" customHeight="1" thickBot="1">
      <c r="A162" s="640">
        <v>1</v>
      </c>
      <c r="B162" s="719" t="s">
        <v>531</v>
      </c>
      <c r="C162" s="642">
        <f>+C66-C132</f>
        <v>-656424315.39900208</v>
      </c>
      <c r="D162" s="720"/>
    </row>
    <row r="163" spans="1:4" ht="27.75" customHeight="1" thickBot="1">
      <c r="A163" s="640" t="s">
        <v>173</v>
      </c>
      <c r="B163" s="719" t="s">
        <v>1498</v>
      </c>
      <c r="C163" s="642">
        <f>+C90-C157</f>
        <v>832457596.13888884</v>
      </c>
    </row>
  </sheetData>
  <mergeCells count="6">
    <mergeCell ref="A161:B161"/>
    <mergeCell ref="A5:C5"/>
    <mergeCell ref="A6:B6"/>
    <mergeCell ref="A93:C93"/>
    <mergeCell ref="A94:B94"/>
    <mergeCell ref="A160:C160"/>
  </mergeCells>
  <pageMargins left="0.19685039370078741" right="0.11811023622047245" top="0.35433070866141736" bottom="0.55118110236220474" header="0.31496062992125984" footer="0.31496062992125984"/>
  <pageSetup paperSize="9" fitToHeight="0" orientation="landscape" r:id="rId1"/>
  <headerFooter>
    <oddHeader>&amp;RRáckeve Város 2020 évi költségvetés melléklete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85"/>
  <sheetViews>
    <sheetView zoomScale="150" zoomScaleNormal="150" workbookViewId="0">
      <selection activeCell="C1" sqref="C1:F1"/>
    </sheetView>
  </sheetViews>
  <sheetFormatPr defaultColWidth="8.85546875" defaultRowHeight="14.25"/>
  <cols>
    <col min="1" max="1" width="48.140625" style="134" customWidth="1"/>
    <col min="2" max="2" width="13.85546875" style="134" hidden="1" customWidth="1"/>
    <col min="3" max="4" width="13.28515625" style="134" hidden="1" customWidth="1"/>
    <col min="5" max="5" width="13" style="134" hidden="1" customWidth="1"/>
    <col min="6" max="6" width="16.7109375" style="1156" customWidth="1"/>
    <col min="7" max="7" width="8.85546875" style="134"/>
    <col min="8" max="8" width="10.5703125" style="134" bestFit="1" customWidth="1"/>
    <col min="9" max="253" width="8.85546875" style="134"/>
    <col min="254" max="254" width="42.140625" style="134" customWidth="1"/>
    <col min="255" max="255" width="13.85546875" style="134" customWidth="1"/>
    <col min="256" max="257" width="13.28515625" style="134" customWidth="1"/>
    <col min="258" max="258" width="13" style="134" customWidth="1"/>
    <col min="259" max="259" width="3.28515625" style="134" customWidth="1"/>
    <col min="260" max="261" width="10" style="134" bestFit="1" customWidth="1"/>
    <col min="262" max="509" width="8.85546875" style="134"/>
    <col min="510" max="510" width="42.140625" style="134" customWidth="1"/>
    <col min="511" max="511" width="13.85546875" style="134" customWidth="1"/>
    <col min="512" max="513" width="13.28515625" style="134" customWidth="1"/>
    <col min="514" max="514" width="13" style="134" customWidth="1"/>
    <col min="515" max="515" width="3.28515625" style="134" customWidth="1"/>
    <col min="516" max="517" width="10" style="134" bestFit="1" customWidth="1"/>
    <col min="518" max="765" width="8.85546875" style="134"/>
    <col min="766" max="766" width="42.140625" style="134" customWidth="1"/>
    <col min="767" max="767" width="13.85546875" style="134" customWidth="1"/>
    <col min="768" max="769" width="13.28515625" style="134" customWidth="1"/>
    <col min="770" max="770" width="13" style="134" customWidth="1"/>
    <col min="771" max="771" width="3.28515625" style="134" customWidth="1"/>
    <col min="772" max="773" width="10" style="134" bestFit="1" customWidth="1"/>
    <col min="774" max="1021" width="8.85546875" style="134"/>
    <col min="1022" max="1022" width="42.140625" style="134" customWidth="1"/>
    <col min="1023" max="1023" width="13.85546875" style="134" customWidth="1"/>
    <col min="1024" max="1025" width="13.28515625" style="134" customWidth="1"/>
    <col min="1026" max="1026" width="13" style="134" customWidth="1"/>
    <col min="1027" max="1027" width="3.28515625" style="134" customWidth="1"/>
    <col min="1028" max="1029" width="10" style="134" bestFit="1" customWidth="1"/>
    <col min="1030" max="1277" width="8.85546875" style="134"/>
    <col min="1278" max="1278" width="42.140625" style="134" customWidth="1"/>
    <col min="1279" max="1279" width="13.85546875" style="134" customWidth="1"/>
    <col min="1280" max="1281" width="13.28515625" style="134" customWidth="1"/>
    <col min="1282" max="1282" width="13" style="134" customWidth="1"/>
    <col min="1283" max="1283" width="3.28515625" style="134" customWidth="1"/>
    <col min="1284" max="1285" width="10" style="134" bestFit="1" customWidth="1"/>
    <col min="1286" max="1533" width="8.85546875" style="134"/>
    <col min="1534" max="1534" width="42.140625" style="134" customWidth="1"/>
    <col min="1535" max="1535" width="13.85546875" style="134" customWidth="1"/>
    <col min="1536" max="1537" width="13.28515625" style="134" customWidth="1"/>
    <col min="1538" max="1538" width="13" style="134" customWidth="1"/>
    <col min="1539" max="1539" width="3.28515625" style="134" customWidth="1"/>
    <col min="1540" max="1541" width="10" style="134" bestFit="1" customWidth="1"/>
    <col min="1542" max="1789" width="8.85546875" style="134"/>
    <col min="1790" max="1790" width="42.140625" style="134" customWidth="1"/>
    <col min="1791" max="1791" width="13.85546875" style="134" customWidth="1"/>
    <col min="1792" max="1793" width="13.28515625" style="134" customWidth="1"/>
    <col min="1794" max="1794" width="13" style="134" customWidth="1"/>
    <col min="1795" max="1795" width="3.28515625" style="134" customWidth="1"/>
    <col min="1796" max="1797" width="10" style="134" bestFit="1" customWidth="1"/>
    <col min="1798" max="2045" width="8.85546875" style="134"/>
    <col min="2046" max="2046" width="42.140625" style="134" customWidth="1"/>
    <col min="2047" max="2047" width="13.85546875" style="134" customWidth="1"/>
    <col min="2048" max="2049" width="13.28515625" style="134" customWidth="1"/>
    <col min="2050" max="2050" width="13" style="134" customWidth="1"/>
    <col min="2051" max="2051" width="3.28515625" style="134" customWidth="1"/>
    <col min="2052" max="2053" width="10" style="134" bestFit="1" customWidth="1"/>
    <col min="2054" max="2301" width="8.85546875" style="134"/>
    <col min="2302" max="2302" width="42.140625" style="134" customWidth="1"/>
    <col min="2303" max="2303" width="13.85546875" style="134" customWidth="1"/>
    <col min="2304" max="2305" width="13.28515625" style="134" customWidth="1"/>
    <col min="2306" max="2306" width="13" style="134" customWidth="1"/>
    <col min="2307" max="2307" width="3.28515625" style="134" customWidth="1"/>
    <col min="2308" max="2309" width="10" style="134" bestFit="1" customWidth="1"/>
    <col min="2310" max="2557" width="8.85546875" style="134"/>
    <col min="2558" max="2558" width="42.140625" style="134" customWidth="1"/>
    <col min="2559" max="2559" width="13.85546875" style="134" customWidth="1"/>
    <col min="2560" max="2561" width="13.28515625" style="134" customWidth="1"/>
    <col min="2562" max="2562" width="13" style="134" customWidth="1"/>
    <col min="2563" max="2563" width="3.28515625" style="134" customWidth="1"/>
    <col min="2564" max="2565" width="10" style="134" bestFit="1" customWidth="1"/>
    <col min="2566" max="2813" width="8.85546875" style="134"/>
    <col min="2814" max="2814" width="42.140625" style="134" customWidth="1"/>
    <col min="2815" max="2815" width="13.85546875" style="134" customWidth="1"/>
    <col min="2816" max="2817" width="13.28515625" style="134" customWidth="1"/>
    <col min="2818" max="2818" width="13" style="134" customWidth="1"/>
    <col min="2819" max="2819" width="3.28515625" style="134" customWidth="1"/>
    <col min="2820" max="2821" width="10" style="134" bestFit="1" customWidth="1"/>
    <col min="2822" max="3069" width="8.85546875" style="134"/>
    <col min="3070" max="3070" width="42.140625" style="134" customWidth="1"/>
    <col min="3071" max="3071" width="13.85546875" style="134" customWidth="1"/>
    <col min="3072" max="3073" width="13.28515625" style="134" customWidth="1"/>
    <col min="3074" max="3074" width="13" style="134" customWidth="1"/>
    <col min="3075" max="3075" width="3.28515625" style="134" customWidth="1"/>
    <col min="3076" max="3077" width="10" style="134" bestFit="1" customWidth="1"/>
    <col min="3078" max="3325" width="8.85546875" style="134"/>
    <col min="3326" max="3326" width="42.140625" style="134" customWidth="1"/>
    <col min="3327" max="3327" width="13.85546875" style="134" customWidth="1"/>
    <col min="3328" max="3329" width="13.28515625" style="134" customWidth="1"/>
    <col min="3330" max="3330" width="13" style="134" customWidth="1"/>
    <col min="3331" max="3331" width="3.28515625" style="134" customWidth="1"/>
    <col min="3332" max="3333" width="10" style="134" bestFit="1" customWidth="1"/>
    <col min="3334" max="3581" width="8.85546875" style="134"/>
    <col min="3582" max="3582" width="42.140625" style="134" customWidth="1"/>
    <col min="3583" max="3583" width="13.85546875" style="134" customWidth="1"/>
    <col min="3584" max="3585" width="13.28515625" style="134" customWidth="1"/>
    <col min="3586" max="3586" width="13" style="134" customWidth="1"/>
    <col min="3587" max="3587" width="3.28515625" style="134" customWidth="1"/>
    <col min="3588" max="3589" width="10" style="134" bestFit="1" customWidth="1"/>
    <col min="3590" max="3837" width="8.85546875" style="134"/>
    <col min="3838" max="3838" width="42.140625" style="134" customWidth="1"/>
    <col min="3839" max="3839" width="13.85546875" style="134" customWidth="1"/>
    <col min="3840" max="3841" width="13.28515625" style="134" customWidth="1"/>
    <col min="3842" max="3842" width="13" style="134" customWidth="1"/>
    <col min="3843" max="3843" width="3.28515625" style="134" customWidth="1"/>
    <col min="3844" max="3845" width="10" style="134" bestFit="1" customWidth="1"/>
    <col min="3846" max="4093" width="8.85546875" style="134"/>
    <col min="4094" max="4094" width="42.140625" style="134" customWidth="1"/>
    <col min="4095" max="4095" width="13.85546875" style="134" customWidth="1"/>
    <col min="4096" max="4097" width="13.28515625" style="134" customWidth="1"/>
    <col min="4098" max="4098" width="13" style="134" customWidth="1"/>
    <col min="4099" max="4099" width="3.28515625" style="134" customWidth="1"/>
    <col min="4100" max="4101" width="10" style="134" bestFit="1" customWidth="1"/>
    <col min="4102" max="4349" width="8.85546875" style="134"/>
    <col min="4350" max="4350" width="42.140625" style="134" customWidth="1"/>
    <col min="4351" max="4351" width="13.85546875" style="134" customWidth="1"/>
    <col min="4352" max="4353" width="13.28515625" style="134" customWidth="1"/>
    <col min="4354" max="4354" width="13" style="134" customWidth="1"/>
    <col min="4355" max="4355" width="3.28515625" style="134" customWidth="1"/>
    <col min="4356" max="4357" width="10" style="134" bestFit="1" customWidth="1"/>
    <col min="4358" max="4605" width="8.85546875" style="134"/>
    <col min="4606" max="4606" width="42.140625" style="134" customWidth="1"/>
    <col min="4607" max="4607" width="13.85546875" style="134" customWidth="1"/>
    <col min="4608" max="4609" width="13.28515625" style="134" customWidth="1"/>
    <col min="4610" max="4610" width="13" style="134" customWidth="1"/>
    <col min="4611" max="4611" width="3.28515625" style="134" customWidth="1"/>
    <col min="4612" max="4613" width="10" style="134" bestFit="1" customWidth="1"/>
    <col min="4614" max="4861" width="8.85546875" style="134"/>
    <col min="4862" max="4862" width="42.140625" style="134" customWidth="1"/>
    <col min="4863" max="4863" width="13.85546875" style="134" customWidth="1"/>
    <col min="4864" max="4865" width="13.28515625" style="134" customWidth="1"/>
    <col min="4866" max="4866" width="13" style="134" customWidth="1"/>
    <col min="4867" max="4867" width="3.28515625" style="134" customWidth="1"/>
    <col min="4868" max="4869" width="10" style="134" bestFit="1" customWidth="1"/>
    <col min="4870" max="5117" width="8.85546875" style="134"/>
    <col min="5118" max="5118" width="42.140625" style="134" customWidth="1"/>
    <col min="5119" max="5119" width="13.85546875" style="134" customWidth="1"/>
    <col min="5120" max="5121" width="13.28515625" style="134" customWidth="1"/>
    <col min="5122" max="5122" width="13" style="134" customWidth="1"/>
    <col min="5123" max="5123" width="3.28515625" style="134" customWidth="1"/>
    <col min="5124" max="5125" width="10" style="134" bestFit="1" customWidth="1"/>
    <col min="5126" max="5373" width="8.85546875" style="134"/>
    <col min="5374" max="5374" width="42.140625" style="134" customWidth="1"/>
    <col min="5375" max="5375" width="13.85546875" style="134" customWidth="1"/>
    <col min="5376" max="5377" width="13.28515625" style="134" customWidth="1"/>
    <col min="5378" max="5378" width="13" style="134" customWidth="1"/>
    <col min="5379" max="5379" width="3.28515625" style="134" customWidth="1"/>
    <col min="5380" max="5381" width="10" style="134" bestFit="1" customWidth="1"/>
    <col min="5382" max="5629" width="8.85546875" style="134"/>
    <col min="5630" max="5630" width="42.140625" style="134" customWidth="1"/>
    <col min="5631" max="5631" width="13.85546875" style="134" customWidth="1"/>
    <col min="5632" max="5633" width="13.28515625" style="134" customWidth="1"/>
    <col min="5634" max="5634" width="13" style="134" customWidth="1"/>
    <col min="5635" max="5635" width="3.28515625" style="134" customWidth="1"/>
    <col min="5636" max="5637" width="10" style="134" bestFit="1" customWidth="1"/>
    <col min="5638" max="5885" width="8.85546875" style="134"/>
    <col min="5886" max="5886" width="42.140625" style="134" customWidth="1"/>
    <col min="5887" max="5887" width="13.85546875" style="134" customWidth="1"/>
    <col min="5888" max="5889" width="13.28515625" style="134" customWidth="1"/>
    <col min="5890" max="5890" width="13" style="134" customWidth="1"/>
    <col min="5891" max="5891" width="3.28515625" style="134" customWidth="1"/>
    <col min="5892" max="5893" width="10" style="134" bestFit="1" customWidth="1"/>
    <col min="5894" max="6141" width="8.85546875" style="134"/>
    <col min="6142" max="6142" width="42.140625" style="134" customWidth="1"/>
    <col min="6143" max="6143" width="13.85546875" style="134" customWidth="1"/>
    <col min="6144" max="6145" width="13.28515625" style="134" customWidth="1"/>
    <col min="6146" max="6146" width="13" style="134" customWidth="1"/>
    <col min="6147" max="6147" width="3.28515625" style="134" customWidth="1"/>
    <col min="6148" max="6149" width="10" style="134" bestFit="1" customWidth="1"/>
    <col min="6150" max="6397" width="8.85546875" style="134"/>
    <col min="6398" max="6398" width="42.140625" style="134" customWidth="1"/>
    <col min="6399" max="6399" width="13.85546875" style="134" customWidth="1"/>
    <col min="6400" max="6401" width="13.28515625" style="134" customWidth="1"/>
    <col min="6402" max="6402" width="13" style="134" customWidth="1"/>
    <col min="6403" max="6403" width="3.28515625" style="134" customWidth="1"/>
    <col min="6404" max="6405" width="10" style="134" bestFit="1" customWidth="1"/>
    <col min="6406" max="6653" width="8.85546875" style="134"/>
    <col min="6654" max="6654" width="42.140625" style="134" customWidth="1"/>
    <col min="6655" max="6655" width="13.85546875" style="134" customWidth="1"/>
    <col min="6656" max="6657" width="13.28515625" style="134" customWidth="1"/>
    <col min="6658" max="6658" width="13" style="134" customWidth="1"/>
    <col min="6659" max="6659" width="3.28515625" style="134" customWidth="1"/>
    <col min="6660" max="6661" width="10" style="134" bestFit="1" customWidth="1"/>
    <col min="6662" max="6909" width="8.85546875" style="134"/>
    <col min="6910" max="6910" width="42.140625" style="134" customWidth="1"/>
    <col min="6911" max="6911" width="13.85546875" style="134" customWidth="1"/>
    <col min="6912" max="6913" width="13.28515625" style="134" customWidth="1"/>
    <col min="6914" max="6914" width="13" style="134" customWidth="1"/>
    <col min="6915" max="6915" width="3.28515625" style="134" customWidth="1"/>
    <col min="6916" max="6917" width="10" style="134" bestFit="1" customWidth="1"/>
    <col min="6918" max="7165" width="8.85546875" style="134"/>
    <col min="7166" max="7166" width="42.140625" style="134" customWidth="1"/>
    <col min="7167" max="7167" width="13.85546875" style="134" customWidth="1"/>
    <col min="7168" max="7169" width="13.28515625" style="134" customWidth="1"/>
    <col min="7170" max="7170" width="13" style="134" customWidth="1"/>
    <col min="7171" max="7171" width="3.28515625" style="134" customWidth="1"/>
    <col min="7172" max="7173" width="10" style="134" bestFit="1" customWidth="1"/>
    <col min="7174" max="7421" width="8.85546875" style="134"/>
    <col min="7422" max="7422" width="42.140625" style="134" customWidth="1"/>
    <col min="7423" max="7423" width="13.85546875" style="134" customWidth="1"/>
    <col min="7424" max="7425" width="13.28515625" style="134" customWidth="1"/>
    <col min="7426" max="7426" width="13" style="134" customWidth="1"/>
    <col min="7427" max="7427" width="3.28515625" style="134" customWidth="1"/>
    <col min="7428" max="7429" width="10" style="134" bestFit="1" customWidth="1"/>
    <col min="7430" max="7677" width="8.85546875" style="134"/>
    <col min="7678" max="7678" width="42.140625" style="134" customWidth="1"/>
    <col min="7679" max="7679" width="13.85546875" style="134" customWidth="1"/>
    <col min="7680" max="7681" width="13.28515625" style="134" customWidth="1"/>
    <col min="7682" max="7682" width="13" style="134" customWidth="1"/>
    <col min="7683" max="7683" width="3.28515625" style="134" customWidth="1"/>
    <col min="7684" max="7685" width="10" style="134" bestFit="1" customWidth="1"/>
    <col min="7686" max="7933" width="8.85546875" style="134"/>
    <col min="7934" max="7934" width="42.140625" style="134" customWidth="1"/>
    <col min="7935" max="7935" width="13.85546875" style="134" customWidth="1"/>
    <col min="7936" max="7937" width="13.28515625" style="134" customWidth="1"/>
    <col min="7938" max="7938" width="13" style="134" customWidth="1"/>
    <col min="7939" max="7939" width="3.28515625" style="134" customWidth="1"/>
    <col min="7940" max="7941" width="10" style="134" bestFit="1" customWidth="1"/>
    <col min="7942" max="8189" width="8.85546875" style="134"/>
    <col min="8190" max="8190" width="42.140625" style="134" customWidth="1"/>
    <col min="8191" max="8191" width="13.85546875" style="134" customWidth="1"/>
    <col min="8192" max="8193" width="13.28515625" style="134" customWidth="1"/>
    <col min="8194" max="8194" width="13" style="134" customWidth="1"/>
    <col min="8195" max="8195" width="3.28515625" style="134" customWidth="1"/>
    <col min="8196" max="8197" width="10" style="134" bestFit="1" customWidth="1"/>
    <col min="8198" max="8445" width="8.85546875" style="134"/>
    <col min="8446" max="8446" width="42.140625" style="134" customWidth="1"/>
    <col min="8447" max="8447" width="13.85546875" style="134" customWidth="1"/>
    <col min="8448" max="8449" width="13.28515625" style="134" customWidth="1"/>
    <col min="8450" max="8450" width="13" style="134" customWidth="1"/>
    <col min="8451" max="8451" width="3.28515625" style="134" customWidth="1"/>
    <col min="8452" max="8453" width="10" style="134" bestFit="1" customWidth="1"/>
    <col min="8454" max="8701" width="8.85546875" style="134"/>
    <col min="8702" max="8702" width="42.140625" style="134" customWidth="1"/>
    <col min="8703" max="8703" width="13.85546875" style="134" customWidth="1"/>
    <col min="8704" max="8705" width="13.28515625" style="134" customWidth="1"/>
    <col min="8706" max="8706" width="13" style="134" customWidth="1"/>
    <col min="8707" max="8707" width="3.28515625" style="134" customWidth="1"/>
    <col min="8708" max="8709" width="10" style="134" bestFit="1" customWidth="1"/>
    <col min="8710" max="8957" width="8.85546875" style="134"/>
    <col min="8958" max="8958" width="42.140625" style="134" customWidth="1"/>
    <col min="8959" max="8959" width="13.85546875" style="134" customWidth="1"/>
    <col min="8960" max="8961" width="13.28515625" style="134" customWidth="1"/>
    <col min="8962" max="8962" width="13" style="134" customWidth="1"/>
    <col min="8963" max="8963" width="3.28515625" style="134" customWidth="1"/>
    <col min="8964" max="8965" width="10" style="134" bestFit="1" customWidth="1"/>
    <col min="8966" max="9213" width="8.85546875" style="134"/>
    <col min="9214" max="9214" width="42.140625" style="134" customWidth="1"/>
    <col min="9215" max="9215" width="13.85546875" style="134" customWidth="1"/>
    <col min="9216" max="9217" width="13.28515625" style="134" customWidth="1"/>
    <col min="9218" max="9218" width="13" style="134" customWidth="1"/>
    <col min="9219" max="9219" width="3.28515625" style="134" customWidth="1"/>
    <col min="9220" max="9221" width="10" style="134" bestFit="1" customWidth="1"/>
    <col min="9222" max="9469" width="8.85546875" style="134"/>
    <col min="9470" max="9470" width="42.140625" style="134" customWidth="1"/>
    <col min="9471" max="9471" width="13.85546875" style="134" customWidth="1"/>
    <col min="9472" max="9473" width="13.28515625" style="134" customWidth="1"/>
    <col min="9474" max="9474" width="13" style="134" customWidth="1"/>
    <col min="9475" max="9475" width="3.28515625" style="134" customWidth="1"/>
    <col min="9476" max="9477" width="10" style="134" bestFit="1" customWidth="1"/>
    <col min="9478" max="9725" width="8.85546875" style="134"/>
    <col min="9726" max="9726" width="42.140625" style="134" customWidth="1"/>
    <col min="9727" max="9727" width="13.85546875" style="134" customWidth="1"/>
    <col min="9728" max="9729" width="13.28515625" style="134" customWidth="1"/>
    <col min="9730" max="9730" width="13" style="134" customWidth="1"/>
    <col min="9731" max="9731" width="3.28515625" style="134" customWidth="1"/>
    <col min="9732" max="9733" width="10" style="134" bestFit="1" customWidth="1"/>
    <col min="9734" max="9981" width="8.85546875" style="134"/>
    <col min="9982" max="9982" width="42.140625" style="134" customWidth="1"/>
    <col min="9983" max="9983" width="13.85546875" style="134" customWidth="1"/>
    <col min="9984" max="9985" width="13.28515625" style="134" customWidth="1"/>
    <col min="9986" max="9986" width="13" style="134" customWidth="1"/>
    <col min="9987" max="9987" width="3.28515625" style="134" customWidth="1"/>
    <col min="9988" max="9989" width="10" style="134" bestFit="1" customWidth="1"/>
    <col min="9990" max="10237" width="8.85546875" style="134"/>
    <col min="10238" max="10238" width="42.140625" style="134" customWidth="1"/>
    <col min="10239" max="10239" width="13.85546875" style="134" customWidth="1"/>
    <col min="10240" max="10241" width="13.28515625" style="134" customWidth="1"/>
    <col min="10242" max="10242" width="13" style="134" customWidth="1"/>
    <col min="10243" max="10243" width="3.28515625" style="134" customWidth="1"/>
    <col min="10244" max="10245" width="10" style="134" bestFit="1" customWidth="1"/>
    <col min="10246" max="10493" width="8.85546875" style="134"/>
    <col min="10494" max="10494" width="42.140625" style="134" customWidth="1"/>
    <col min="10495" max="10495" width="13.85546875" style="134" customWidth="1"/>
    <col min="10496" max="10497" width="13.28515625" style="134" customWidth="1"/>
    <col min="10498" max="10498" width="13" style="134" customWidth="1"/>
    <col min="10499" max="10499" width="3.28515625" style="134" customWidth="1"/>
    <col min="10500" max="10501" width="10" style="134" bestFit="1" customWidth="1"/>
    <col min="10502" max="10749" width="8.85546875" style="134"/>
    <col min="10750" max="10750" width="42.140625" style="134" customWidth="1"/>
    <col min="10751" max="10751" width="13.85546875" style="134" customWidth="1"/>
    <col min="10752" max="10753" width="13.28515625" style="134" customWidth="1"/>
    <col min="10754" max="10754" width="13" style="134" customWidth="1"/>
    <col min="10755" max="10755" width="3.28515625" style="134" customWidth="1"/>
    <col min="10756" max="10757" width="10" style="134" bestFit="1" customWidth="1"/>
    <col min="10758" max="11005" width="8.85546875" style="134"/>
    <col min="11006" max="11006" width="42.140625" style="134" customWidth="1"/>
    <col min="11007" max="11007" width="13.85546875" style="134" customWidth="1"/>
    <col min="11008" max="11009" width="13.28515625" style="134" customWidth="1"/>
    <col min="11010" max="11010" width="13" style="134" customWidth="1"/>
    <col min="11011" max="11011" width="3.28515625" style="134" customWidth="1"/>
    <col min="11012" max="11013" width="10" style="134" bestFit="1" customWidth="1"/>
    <col min="11014" max="11261" width="8.85546875" style="134"/>
    <col min="11262" max="11262" width="42.140625" style="134" customWidth="1"/>
    <col min="11263" max="11263" width="13.85546875" style="134" customWidth="1"/>
    <col min="11264" max="11265" width="13.28515625" style="134" customWidth="1"/>
    <col min="11266" max="11266" width="13" style="134" customWidth="1"/>
    <col min="11267" max="11267" width="3.28515625" style="134" customWidth="1"/>
    <col min="11268" max="11269" width="10" style="134" bestFit="1" customWidth="1"/>
    <col min="11270" max="11517" width="8.85546875" style="134"/>
    <col min="11518" max="11518" width="42.140625" style="134" customWidth="1"/>
    <col min="11519" max="11519" width="13.85546875" style="134" customWidth="1"/>
    <col min="11520" max="11521" width="13.28515625" style="134" customWidth="1"/>
    <col min="11522" max="11522" width="13" style="134" customWidth="1"/>
    <col min="11523" max="11523" width="3.28515625" style="134" customWidth="1"/>
    <col min="11524" max="11525" width="10" style="134" bestFit="1" customWidth="1"/>
    <col min="11526" max="11773" width="8.85546875" style="134"/>
    <col min="11774" max="11774" width="42.140625" style="134" customWidth="1"/>
    <col min="11775" max="11775" width="13.85546875" style="134" customWidth="1"/>
    <col min="11776" max="11777" width="13.28515625" style="134" customWidth="1"/>
    <col min="11778" max="11778" width="13" style="134" customWidth="1"/>
    <col min="11779" max="11779" width="3.28515625" style="134" customWidth="1"/>
    <col min="11780" max="11781" width="10" style="134" bestFit="1" customWidth="1"/>
    <col min="11782" max="12029" width="8.85546875" style="134"/>
    <col min="12030" max="12030" width="42.140625" style="134" customWidth="1"/>
    <col min="12031" max="12031" width="13.85546875" style="134" customWidth="1"/>
    <col min="12032" max="12033" width="13.28515625" style="134" customWidth="1"/>
    <col min="12034" max="12034" width="13" style="134" customWidth="1"/>
    <col min="12035" max="12035" width="3.28515625" style="134" customWidth="1"/>
    <col min="12036" max="12037" width="10" style="134" bestFit="1" customWidth="1"/>
    <col min="12038" max="12285" width="8.85546875" style="134"/>
    <col min="12286" max="12286" width="42.140625" style="134" customWidth="1"/>
    <col min="12287" max="12287" width="13.85546875" style="134" customWidth="1"/>
    <col min="12288" max="12289" width="13.28515625" style="134" customWidth="1"/>
    <col min="12290" max="12290" width="13" style="134" customWidth="1"/>
    <col min="12291" max="12291" width="3.28515625" style="134" customWidth="1"/>
    <col min="12292" max="12293" width="10" style="134" bestFit="1" customWidth="1"/>
    <col min="12294" max="12541" width="8.85546875" style="134"/>
    <col min="12542" max="12542" width="42.140625" style="134" customWidth="1"/>
    <col min="12543" max="12543" width="13.85546875" style="134" customWidth="1"/>
    <col min="12544" max="12545" width="13.28515625" style="134" customWidth="1"/>
    <col min="12546" max="12546" width="13" style="134" customWidth="1"/>
    <col min="12547" max="12547" width="3.28515625" style="134" customWidth="1"/>
    <col min="12548" max="12549" width="10" style="134" bestFit="1" customWidth="1"/>
    <col min="12550" max="12797" width="8.85546875" style="134"/>
    <col min="12798" max="12798" width="42.140625" style="134" customWidth="1"/>
    <col min="12799" max="12799" width="13.85546875" style="134" customWidth="1"/>
    <col min="12800" max="12801" width="13.28515625" style="134" customWidth="1"/>
    <col min="12802" max="12802" width="13" style="134" customWidth="1"/>
    <col min="12803" max="12803" width="3.28515625" style="134" customWidth="1"/>
    <col min="12804" max="12805" width="10" style="134" bestFit="1" customWidth="1"/>
    <col min="12806" max="13053" width="8.85546875" style="134"/>
    <col min="13054" max="13054" width="42.140625" style="134" customWidth="1"/>
    <col min="13055" max="13055" width="13.85546875" style="134" customWidth="1"/>
    <col min="13056" max="13057" width="13.28515625" style="134" customWidth="1"/>
    <col min="13058" max="13058" width="13" style="134" customWidth="1"/>
    <col min="13059" max="13059" width="3.28515625" style="134" customWidth="1"/>
    <col min="13060" max="13061" width="10" style="134" bestFit="1" customWidth="1"/>
    <col min="13062" max="13309" width="8.85546875" style="134"/>
    <col min="13310" max="13310" width="42.140625" style="134" customWidth="1"/>
    <col min="13311" max="13311" width="13.85546875" style="134" customWidth="1"/>
    <col min="13312" max="13313" width="13.28515625" style="134" customWidth="1"/>
    <col min="13314" max="13314" width="13" style="134" customWidth="1"/>
    <col min="13315" max="13315" width="3.28515625" style="134" customWidth="1"/>
    <col min="13316" max="13317" width="10" style="134" bestFit="1" customWidth="1"/>
    <col min="13318" max="13565" width="8.85546875" style="134"/>
    <col min="13566" max="13566" width="42.140625" style="134" customWidth="1"/>
    <col min="13567" max="13567" width="13.85546875" style="134" customWidth="1"/>
    <col min="13568" max="13569" width="13.28515625" style="134" customWidth="1"/>
    <col min="13570" max="13570" width="13" style="134" customWidth="1"/>
    <col min="13571" max="13571" width="3.28515625" style="134" customWidth="1"/>
    <col min="13572" max="13573" width="10" style="134" bestFit="1" customWidth="1"/>
    <col min="13574" max="13821" width="8.85546875" style="134"/>
    <col min="13822" max="13822" width="42.140625" style="134" customWidth="1"/>
    <col min="13823" max="13823" width="13.85546875" style="134" customWidth="1"/>
    <col min="13824" max="13825" width="13.28515625" style="134" customWidth="1"/>
    <col min="13826" max="13826" width="13" style="134" customWidth="1"/>
    <col min="13827" max="13827" width="3.28515625" style="134" customWidth="1"/>
    <col min="13828" max="13829" width="10" style="134" bestFit="1" customWidth="1"/>
    <col min="13830" max="14077" width="8.85546875" style="134"/>
    <col min="14078" max="14078" width="42.140625" style="134" customWidth="1"/>
    <col min="14079" max="14079" width="13.85546875" style="134" customWidth="1"/>
    <col min="14080" max="14081" width="13.28515625" style="134" customWidth="1"/>
    <col min="14082" max="14082" width="13" style="134" customWidth="1"/>
    <col min="14083" max="14083" width="3.28515625" style="134" customWidth="1"/>
    <col min="14084" max="14085" width="10" style="134" bestFit="1" customWidth="1"/>
    <col min="14086" max="14333" width="8.85546875" style="134"/>
    <col min="14334" max="14334" width="42.140625" style="134" customWidth="1"/>
    <col min="14335" max="14335" width="13.85546875" style="134" customWidth="1"/>
    <col min="14336" max="14337" width="13.28515625" style="134" customWidth="1"/>
    <col min="14338" max="14338" width="13" style="134" customWidth="1"/>
    <col min="14339" max="14339" width="3.28515625" style="134" customWidth="1"/>
    <col min="14340" max="14341" width="10" style="134" bestFit="1" customWidth="1"/>
    <col min="14342" max="14589" width="8.85546875" style="134"/>
    <col min="14590" max="14590" width="42.140625" style="134" customWidth="1"/>
    <col min="14591" max="14591" width="13.85546875" style="134" customWidth="1"/>
    <col min="14592" max="14593" width="13.28515625" style="134" customWidth="1"/>
    <col min="14594" max="14594" width="13" style="134" customWidth="1"/>
    <col min="14595" max="14595" width="3.28515625" style="134" customWidth="1"/>
    <col min="14596" max="14597" width="10" style="134" bestFit="1" customWidth="1"/>
    <col min="14598" max="14845" width="8.85546875" style="134"/>
    <col min="14846" max="14846" width="42.140625" style="134" customWidth="1"/>
    <col min="14847" max="14847" width="13.85546875" style="134" customWidth="1"/>
    <col min="14848" max="14849" width="13.28515625" style="134" customWidth="1"/>
    <col min="14850" max="14850" width="13" style="134" customWidth="1"/>
    <col min="14851" max="14851" width="3.28515625" style="134" customWidth="1"/>
    <col min="14852" max="14853" width="10" style="134" bestFit="1" customWidth="1"/>
    <col min="14854" max="15101" width="8.85546875" style="134"/>
    <col min="15102" max="15102" width="42.140625" style="134" customWidth="1"/>
    <col min="15103" max="15103" width="13.85546875" style="134" customWidth="1"/>
    <col min="15104" max="15105" width="13.28515625" style="134" customWidth="1"/>
    <col min="15106" max="15106" width="13" style="134" customWidth="1"/>
    <col min="15107" max="15107" width="3.28515625" style="134" customWidth="1"/>
    <col min="15108" max="15109" width="10" style="134" bestFit="1" customWidth="1"/>
    <col min="15110" max="15357" width="8.85546875" style="134"/>
    <col min="15358" max="15358" width="42.140625" style="134" customWidth="1"/>
    <col min="15359" max="15359" width="13.85546875" style="134" customWidth="1"/>
    <col min="15360" max="15361" width="13.28515625" style="134" customWidth="1"/>
    <col min="15362" max="15362" width="13" style="134" customWidth="1"/>
    <col min="15363" max="15363" width="3.28515625" style="134" customWidth="1"/>
    <col min="15364" max="15365" width="10" style="134" bestFit="1" customWidth="1"/>
    <col min="15366" max="15613" width="8.85546875" style="134"/>
    <col min="15614" max="15614" width="42.140625" style="134" customWidth="1"/>
    <col min="15615" max="15615" width="13.85546875" style="134" customWidth="1"/>
    <col min="15616" max="15617" width="13.28515625" style="134" customWidth="1"/>
    <col min="15618" max="15618" width="13" style="134" customWidth="1"/>
    <col min="15619" max="15619" width="3.28515625" style="134" customWidth="1"/>
    <col min="15620" max="15621" width="10" style="134" bestFit="1" customWidth="1"/>
    <col min="15622" max="15869" width="8.85546875" style="134"/>
    <col min="15870" max="15870" width="42.140625" style="134" customWidth="1"/>
    <col min="15871" max="15871" width="13.85546875" style="134" customWidth="1"/>
    <col min="15872" max="15873" width="13.28515625" style="134" customWidth="1"/>
    <col min="15874" max="15874" width="13" style="134" customWidth="1"/>
    <col min="15875" max="15875" width="3.28515625" style="134" customWidth="1"/>
    <col min="15876" max="15877" width="10" style="134" bestFit="1" customWidth="1"/>
    <col min="15878" max="16125" width="8.85546875" style="134"/>
    <col min="16126" max="16126" width="42.140625" style="134" customWidth="1"/>
    <col min="16127" max="16127" width="13.85546875" style="134" customWidth="1"/>
    <col min="16128" max="16129" width="13.28515625" style="134" customWidth="1"/>
    <col min="16130" max="16130" width="13" style="134" customWidth="1"/>
    <col min="16131" max="16131" width="3.28515625" style="134" customWidth="1"/>
    <col min="16132" max="16133" width="10" style="134" bestFit="1" customWidth="1"/>
    <col min="16134" max="16384" width="8.85546875" style="134"/>
  </cols>
  <sheetData>
    <row r="1" spans="1:26" s="233" customFormat="1" ht="15">
      <c r="A1" s="231"/>
      <c r="B1" s="232">
        <v>2020</v>
      </c>
      <c r="C1" s="1399" t="s">
        <v>604</v>
      </c>
      <c r="D1" s="1399"/>
      <c r="E1" s="1399"/>
      <c r="F1" s="1399"/>
    </row>
    <row r="2" spans="1:26" s="233" customFormat="1" ht="9.75" customHeight="1">
      <c r="A2" s="231"/>
      <c r="B2" s="234"/>
      <c r="F2" s="1155"/>
    </row>
    <row r="3" spans="1:26" ht="15">
      <c r="A3" s="235" t="s">
        <v>1740</v>
      </c>
      <c r="B3" s="235"/>
    </row>
    <row r="4" spans="1:26" ht="18.75" customHeight="1" thickBot="1">
      <c r="A4" s="236"/>
      <c r="B4" s="236"/>
      <c r="E4" s="237" t="s">
        <v>266</v>
      </c>
    </row>
    <row r="5" spans="1:26" s="180" customFormat="1" ht="27" customHeight="1">
      <c r="A5" s="238" t="s">
        <v>605</v>
      </c>
      <c r="B5" s="239" t="s">
        <v>597</v>
      </c>
      <c r="C5" s="240" t="s">
        <v>678</v>
      </c>
      <c r="D5" s="240" t="s">
        <v>271</v>
      </c>
      <c r="E5" s="240" t="s">
        <v>689</v>
      </c>
      <c r="F5" s="1157" t="s">
        <v>1736</v>
      </c>
    </row>
    <row r="6" spans="1:26">
      <c r="A6" s="241" t="s">
        <v>690</v>
      </c>
      <c r="B6" s="242"/>
      <c r="C6" s="243"/>
      <c r="D6" s="243"/>
      <c r="E6" s="244"/>
      <c r="F6" s="1158"/>
    </row>
    <row r="7" spans="1:26" s="197" customFormat="1">
      <c r="A7" s="245" t="s">
        <v>1737</v>
      </c>
      <c r="B7" s="246">
        <v>313260</v>
      </c>
      <c r="C7" s="243"/>
      <c r="D7" s="243"/>
      <c r="E7" s="247">
        <v>313260</v>
      </c>
      <c r="F7" s="1159">
        <v>58000</v>
      </c>
      <c r="G7" s="134"/>
      <c r="H7" s="134"/>
      <c r="I7" s="134"/>
      <c r="J7" s="134"/>
      <c r="K7" s="134"/>
      <c r="L7" s="134"/>
      <c r="M7" s="134"/>
      <c r="N7" s="134"/>
      <c r="O7" s="134"/>
      <c r="P7" s="134"/>
      <c r="Q7" s="134"/>
      <c r="R7" s="134"/>
      <c r="S7" s="134"/>
      <c r="T7" s="134"/>
      <c r="U7" s="134"/>
      <c r="V7" s="134"/>
      <c r="W7" s="134"/>
      <c r="X7" s="134"/>
      <c r="Y7" s="134"/>
      <c r="Z7" s="134"/>
    </row>
    <row r="8" spans="1:26" s="197" customFormat="1" hidden="1">
      <c r="A8" s="245" t="s">
        <v>606</v>
      </c>
      <c r="B8" s="246">
        <v>616000</v>
      </c>
      <c r="C8" s="243"/>
      <c r="D8" s="243"/>
      <c r="E8" s="247">
        <v>616000</v>
      </c>
      <c r="F8" s="1159">
        <v>0</v>
      </c>
      <c r="G8" s="134"/>
      <c r="H8" s="134"/>
      <c r="I8" s="134"/>
      <c r="J8" s="134"/>
      <c r="K8" s="134"/>
      <c r="L8" s="134"/>
      <c r="M8" s="134"/>
      <c r="N8" s="134"/>
      <c r="O8" s="134"/>
      <c r="P8" s="134"/>
      <c r="Q8" s="134"/>
      <c r="R8" s="134"/>
      <c r="S8" s="134"/>
      <c r="T8" s="134"/>
      <c r="U8" s="134"/>
      <c r="V8" s="134"/>
      <c r="W8" s="134"/>
      <c r="X8" s="134"/>
      <c r="Y8" s="134"/>
      <c r="Z8" s="134"/>
    </row>
    <row r="9" spans="1:26" s="197" customFormat="1" ht="13.5" customHeight="1">
      <c r="A9" s="245" t="s">
        <v>607</v>
      </c>
      <c r="B9" s="246">
        <v>25000</v>
      </c>
      <c r="C9" s="243"/>
      <c r="D9" s="243"/>
      <c r="E9" s="247">
        <v>25000</v>
      </c>
      <c r="F9" s="1159">
        <v>25000</v>
      </c>
      <c r="G9" s="134"/>
      <c r="H9" s="134"/>
      <c r="I9" s="134"/>
      <c r="J9" s="134"/>
      <c r="K9" s="134"/>
      <c r="L9" s="134"/>
      <c r="M9" s="134"/>
      <c r="N9" s="134"/>
      <c r="O9" s="134"/>
      <c r="P9" s="134"/>
      <c r="Q9" s="134"/>
      <c r="R9" s="134"/>
      <c r="S9" s="134"/>
      <c r="T9" s="134"/>
      <c r="U9" s="134"/>
      <c r="V9" s="134"/>
      <c r="W9" s="134"/>
      <c r="X9" s="134"/>
      <c r="Y9" s="134"/>
      <c r="Z9" s="134"/>
    </row>
    <row r="10" spans="1:26" s="197" customFormat="1">
      <c r="A10" s="245" t="s">
        <v>608</v>
      </c>
      <c r="B10" s="248">
        <v>650000</v>
      </c>
      <c r="C10" s="243"/>
      <c r="D10" s="243"/>
      <c r="E10" s="249">
        <v>650000</v>
      </c>
      <c r="F10" s="1160">
        <v>650000</v>
      </c>
      <c r="G10" s="134"/>
      <c r="H10" s="134"/>
      <c r="I10" s="134"/>
      <c r="J10" s="134"/>
      <c r="K10" s="134"/>
      <c r="L10" s="134"/>
      <c r="M10" s="134"/>
      <c r="N10" s="134"/>
      <c r="O10" s="134"/>
      <c r="P10" s="134"/>
      <c r="Q10" s="134"/>
      <c r="R10" s="134"/>
      <c r="S10" s="134"/>
      <c r="T10" s="134"/>
      <c r="U10" s="134"/>
      <c r="V10" s="134"/>
      <c r="W10" s="134"/>
      <c r="X10" s="134"/>
      <c r="Y10" s="134"/>
      <c r="Z10" s="134"/>
    </row>
    <row r="11" spans="1:26" s="197" customFormat="1" hidden="1">
      <c r="A11" s="245" t="s">
        <v>609</v>
      </c>
      <c r="B11" s="246">
        <v>2500000</v>
      </c>
      <c r="C11" s="243"/>
      <c r="D11" s="243"/>
      <c r="E11" s="247">
        <v>2500000</v>
      </c>
      <c r="F11" s="1159"/>
      <c r="G11" s="134"/>
      <c r="H11" s="134"/>
      <c r="I11" s="134"/>
      <c r="J11" s="134"/>
      <c r="K11" s="134"/>
      <c r="L11" s="134"/>
      <c r="M11" s="134"/>
      <c r="N11" s="134"/>
      <c r="O11" s="134"/>
      <c r="P11" s="134"/>
      <c r="Q11" s="134"/>
      <c r="R11" s="134"/>
      <c r="S11" s="134"/>
      <c r="T11" s="134"/>
      <c r="U11" s="134"/>
      <c r="V11" s="134"/>
      <c r="W11" s="134"/>
      <c r="X11" s="134"/>
      <c r="Y11" s="134"/>
      <c r="Z11" s="134"/>
    </row>
    <row r="12" spans="1:26" s="197" customFormat="1" hidden="1">
      <c r="A12" s="245" t="s">
        <v>610</v>
      </c>
      <c r="B12" s="246">
        <v>500000</v>
      </c>
      <c r="C12" s="243"/>
      <c r="D12" s="243"/>
      <c r="E12" s="247">
        <v>500000</v>
      </c>
      <c r="F12" s="1159"/>
      <c r="G12" s="134"/>
      <c r="H12" s="134"/>
      <c r="I12" s="134"/>
      <c r="J12" s="134"/>
      <c r="K12" s="134"/>
      <c r="L12" s="134"/>
      <c r="M12" s="134"/>
      <c r="N12" s="134"/>
      <c r="O12" s="134"/>
      <c r="P12" s="134"/>
      <c r="Q12" s="134"/>
      <c r="R12" s="134"/>
      <c r="S12" s="134"/>
      <c r="T12" s="134"/>
      <c r="U12" s="134"/>
      <c r="V12" s="134"/>
      <c r="W12" s="134"/>
      <c r="X12" s="134"/>
      <c r="Y12" s="134"/>
      <c r="Z12" s="134"/>
    </row>
    <row r="13" spans="1:26" s="197" customFormat="1" hidden="1">
      <c r="A13" s="245" t="s">
        <v>611</v>
      </c>
      <c r="B13" s="246">
        <v>654000</v>
      </c>
      <c r="C13" s="243"/>
      <c r="D13" s="243"/>
      <c r="E13" s="247">
        <v>654000</v>
      </c>
      <c r="F13" s="1159"/>
      <c r="G13" s="134"/>
      <c r="H13" s="134"/>
      <c r="I13" s="134"/>
      <c r="J13" s="134"/>
      <c r="K13" s="134"/>
      <c r="L13" s="134"/>
      <c r="M13" s="134"/>
      <c r="N13" s="134"/>
      <c r="O13" s="134"/>
      <c r="P13" s="134"/>
      <c r="Q13" s="134"/>
      <c r="R13" s="134"/>
      <c r="S13" s="134"/>
      <c r="T13" s="134"/>
      <c r="U13" s="134"/>
      <c r="V13" s="134"/>
      <c r="W13" s="134"/>
      <c r="X13" s="134"/>
      <c r="Y13" s="134"/>
      <c r="Z13" s="134"/>
    </row>
    <row r="14" spans="1:26" s="197" customFormat="1" hidden="1">
      <c r="A14" s="245" t="s">
        <v>612</v>
      </c>
      <c r="B14" s="246">
        <v>250000</v>
      </c>
      <c r="C14" s="243"/>
      <c r="D14" s="243"/>
      <c r="E14" s="247">
        <v>250000</v>
      </c>
      <c r="F14" s="1159"/>
      <c r="G14" s="134"/>
      <c r="H14" s="134"/>
      <c r="I14" s="134"/>
      <c r="J14" s="134"/>
      <c r="K14" s="134"/>
      <c r="L14" s="134"/>
      <c r="M14" s="134"/>
      <c r="N14" s="134"/>
      <c r="O14" s="134"/>
      <c r="P14" s="134"/>
      <c r="Q14" s="134"/>
      <c r="R14" s="134"/>
      <c r="S14" s="134"/>
      <c r="T14" s="134"/>
      <c r="U14" s="134"/>
      <c r="V14" s="134"/>
      <c r="W14" s="134"/>
      <c r="X14" s="134"/>
      <c r="Y14" s="134"/>
      <c r="Z14" s="134"/>
    </row>
    <row r="15" spans="1:26" s="197" customFormat="1" hidden="1">
      <c r="A15" s="245" t="s">
        <v>613</v>
      </c>
      <c r="B15" s="246">
        <v>100000</v>
      </c>
      <c r="C15" s="243"/>
      <c r="D15" s="243"/>
      <c r="E15" s="247">
        <v>100000</v>
      </c>
      <c r="F15" s="1159"/>
      <c r="G15" s="134"/>
      <c r="H15" s="134"/>
      <c r="I15" s="134"/>
      <c r="J15" s="134"/>
      <c r="K15" s="134"/>
      <c r="L15" s="134"/>
      <c r="M15" s="134"/>
      <c r="N15" s="134"/>
      <c r="O15" s="134"/>
      <c r="P15" s="134"/>
      <c r="Q15" s="134"/>
      <c r="R15" s="134"/>
      <c r="S15" s="134"/>
      <c r="T15" s="134"/>
      <c r="U15" s="134"/>
      <c r="V15" s="134"/>
      <c r="W15" s="134"/>
      <c r="X15" s="134"/>
      <c r="Y15" s="134"/>
      <c r="Z15" s="134"/>
    </row>
    <row r="16" spans="1:26" s="197" customFormat="1">
      <c r="A16" s="245" t="s">
        <v>614</v>
      </c>
      <c r="B16" s="246">
        <v>500000</v>
      </c>
      <c r="C16" s="243"/>
      <c r="D16" s="243"/>
      <c r="E16" s="247">
        <v>500000</v>
      </c>
      <c r="F16" s="1159">
        <v>500000</v>
      </c>
      <c r="G16" s="134"/>
      <c r="H16" s="134"/>
      <c r="I16" s="134"/>
      <c r="J16" s="134"/>
      <c r="K16" s="134"/>
      <c r="L16" s="134"/>
      <c r="M16" s="134"/>
      <c r="N16" s="134"/>
      <c r="O16" s="134"/>
      <c r="P16" s="134"/>
      <c r="Q16" s="134"/>
      <c r="R16" s="134"/>
      <c r="S16" s="134"/>
      <c r="T16" s="134"/>
      <c r="U16" s="134"/>
      <c r="V16" s="134"/>
      <c r="W16" s="134"/>
      <c r="X16" s="134"/>
      <c r="Y16" s="134"/>
      <c r="Z16" s="134"/>
    </row>
    <row r="17" spans="1:26" s="197" customFormat="1" hidden="1">
      <c r="A17" s="245" t="s">
        <v>615</v>
      </c>
      <c r="B17" s="246">
        <v>8385276</v>
      </c>
      <c r="C17" s="243"/>
      <c r="D17" s="243"/>
      <c r="E17" s="247">
        <v>8385276</v>
      </c>
      <c r="F17" s="1159"/>
      <c r="G17" s="134"/>
      <c r="H17" s="134"/>
      <c r="I17" s="134"/>
      <c r="J17" s="134"/>
      <c r="K17" s="134"/>
      <c r="L17" s="134"/>
      <c r="M17" s="134"/>
      <c r="N17" s="134"/>
      <c r="O17" s="134"/>
      <c r="P17" s="134"/>
      <c r="Q17" s="134"/>
      <c r="R17" s="134"/>
      <c r="S17" s="134"/>
      <c r="T17" s="134"/>
      <c r="U17" s="134"/>
      <c r="V17" s="134"/>
      <c r="W17" s="134"/>
      <c r="X17" s="134"/>
      <c r="Y17" s="134"/>
      <c r="Z17" s="134"/>
    </row>
    <row r="18" spans="1:26" s="197" customFormat="1">
      <c r="A18" s="245" t="s">
        <v>691</v>
      </c>
      <c r="B18" s="246">
        <v>5529500</v>
      </c>
      <c r="C18" s="243"/>
      <c r="D18" s="243"/>
      <c r="E18" s="247">
        <v>5529500</v>
      </c>
      <c r="F18" s="1159">
        <v>8000000</v>
      </c>
      <c r="G18" s="134"/>
      <c r="H18" s="134"/>
      <c r="I18" s="134"/>
      <c r="J18" s="134"/>
      <c r="K18" s="134"/>
      <c r="L18" s="134"/>
      <c r="M18" s="134"/>
      <c r="N18" s="134"/>
      <c r="O18" s="134"/>
      <c r="P18" s="134"/>
      <c r="Q18" s="134"/>
      <c r="R18" s="134"/>
      <c r="S18" s="134"/>
      <c r="T18" s="134"/>
      <c r="U18" s="134"/>
      <c r="V18" s="134"/>
      <c r="W18" s="134"/>
      <c r="X18" s="134"/>
      <c r="Y18" s="134"/>
      <c r="Z18" s="134"/>
    </row>
    <row r="19" spans="1:26" s="197" customFormat="1" hidden="1">
      <c r="A19" s="245" t="s">
        <v>692</v>
      </c>
      <c r="B19" s="246">
        <v>500000</v>
      </c>
      <c r="C19" s="243"/>
      <c r="D19" s="243"/>
      <c r="E19" s="247">
        <v>500000</v>
      </c>
      <c r="F19" s="1159"/>
      <c r="G19" s="134"/>
      <c r="H19" s="134"/>
      <c r="I19" s="134"/>
      <c r="J19" s="134"/>
      <c r="K19" s="134"/>
      <c r="L19" s="134"/>
      <c r="M19" s="134"/>
      <c r="N19" s="134"/>
      <c r="O19" s="134"/>
      <c r="P19" s="134"/>
      <c r="Q19" s="134"/>
      <c r="R19" s="134"/>
      <c r="S19" s="134"/>
      <c r="T19" s="134"/>
      <c r="U19" s="134"/>
      <c r="V19" s="134"/>
      <c r="W19" s="134"/>
      <c r="X19" s="134"/>
      <c r="Y19" s="134"/>
      <c r="Z19" s="134"/>
    </row>
    <row r="20" spans="1:26" s="197" customFormat="1">
      <c r="A20" s="245" t="s">
        <v>616</v>
      </c>
      <c r="B20" s="246">
        <v>27000000</v>
      </c>
      <c r="C20" s="243"/>
      <c r="D20" s="243"/>
      <c r="E20" s="247">
        <v>27000000</v>
      </c>
      <c r="F20" s="1159">
        <v>32000000</v>
      </c>
      <c r="G20" s="134"/>
      <c r="H20" s="134"/>
      <c r="I20" s="134"/>
      <c r="J20" s="134"/>
      <c r="K20" s="134"/>
      <c r="L20" s="134"/>
      <c r="M20" s="134"/>
      <c r="N20" s="134"/>
      <c r="O20" s="134"/>
      <c r="P20" s="134"/>
      <c r="Q20" s="134"/>
      <c r="R20" s="134"/>
      <c r="S20" s="134"/>
      <c r="T20" s="134"/>
      <c r="U20" s="134"/>
      <c r="V20" s="134"/>
      <c r="W20" s="134"/>
      <c r="X20" s="134"/>
      <c r="Y20" s="134"/>
      <c r="Z20" s="134"/>
    </row>
    <row r="21" spans="1:26" s="197" customFormat="1">
      <c r="A21" s="245" t="s">
        <v>693</v>
      </c>
      <c r="B21" s="246">
        <v>240000</v>
      </c>
      <c r="C21" s="243"/>
      <c r="D21" s="243"/>
      <c r="E21" s="247">
        <v>240000</v>
      </c>
      <c r="F21" s="1159">
        <v>240000</v>
      </c>
      <c r="G21" s="134"/>
      <c r="H21" s="134"/>
      <c r="I21" s="134"/>
      <c r="J21" s="134"/>
      <c r="K21" s="134"/>
      <c r="L21" s="134"/>
      <c r="M21" s="134"/>
      <c r="N21" s="134"/>
      <c r="O21" s="134"/>
      <c r="P21" s="134"/>
      <c r="Q21" s="134"/>
      <c r="R21" s="134"/>
      <c r="S21" s="134"/>
      <c r="T21" s="134"/>
      <c r="U21" s="134"/>
      <c r="V21" s="134"/>
      <c r="W21" s="134"/>
      <c r="X21" s="134"/>
      <c r="Y21" s="134"/>
      <c r="Z21" s="134"/>
    </row>
    <row r="22" spans="1:26" s="197" customFormat="1">
      <c r="A22" s="245" t="s">
        <v>617</v>
      </c>
      <c r="B22" s="246">
        <v>600000</v>
      </c>
      <c r="C22" s="243"/>
      <c r="D22" s="243"/>
      <c r="E22" s="247">
        <v>600000</v>
      </c>
      <c r="F22" s="1159">
        <v>150000</v>
      </c>
      <c r="G22" s="134"/>
      <c r="H22" s="134"/>
      <c r="I22" s="134"/>
      <c r="J22" s="134"/>
      <c r="K22" s="134"/>
      <c r="L22" s="134"/>
      <c r="M22" s="134"/>
      <c r="N22" s="134"/>
      <c r="O22" s="134"/>
      <c r="P22" s="134"/>
      <c r="Q22" s="134"/>
      <c r="R22" s="134"/>
      <c r="S22" s="134"/>
      <c r="T22" s="134"/>
      <c r="U22" s="134"/>
      <c r="V22" s="134"/>
      <c r="W22" s="134"/>
      <c r="X22" s="134"/>
      <c r="Y22" s="134"/>
      <c r="Z22" s="134"/>
    </row>
    <row r="23" spans="1:26" s="197" customFormat="1">
      <c r="A23" s="245" t="s">
        <v>618</v>
      </c>
      <c r="B23" s="246">
        <f>42984242+9500000</f>
        <v>52484242</v>
      </c>
      <c r="C23" s="243"/>
      <c r="D23" s="243">
        <v>840000</v>
      </c>
      <c r="E23" s="247">
        <v>53324242</v>
      </c>
      <c r="F23" s="1156">
        <v>20000000</v>
      </c>
      <c r="G23" s="134"/>
      <c r="H23" s="134"/>
      <c r="I23" s="134"/>
      <c r="J23" s="134"/>
      <c r="K23" s="134"/>
      <c r="L23" s="134"/>
      <c r="M23" s="134"/>
      <c r="N23" s="134"/>
      <c r="O23" s="134"/>
      <c r="P23" s="134"/>
      <c r="Q23" s="134"/>
      <c r="R23" s="134"/>
      <c r="S23" s="134"/>
      <c r="T23" s="134"/>
      <c r="U23" s="134"/>
      <c r="V23" s="134"/>
      <c r="W23" s="134"/>
      <c r="X23" s="134"/>
      <c r="Y23" s="134"/>
      <c r="Z23" s="134"/>
    </row>
    <row r="24" spans="1:26" s="197" customFormat="1" ht="15.75" thickBot="1">
      <c r="A24" s="250" t="s">
        <v>619</v>
      </c>
      <c r="B24" s="251">
        <f>SUM(B7:B23)</f>
        <v>100847278</v>
      </c>
      <c r="C24" s="251">
        <f>SUM(C7:C23)</f>
        <v>0</v>
      </c>
      <c r="D24" s="251">
        <f>SUM(D7:D23)</f>
        <v>840000</v>
      </c>
      <c r="E24" s="252">
        <f>SUM(E7:E23)</f>
        <v>101687278</v>
      </c>
      <c r="F24" s="1161">
        <f>SUM(F7:F23)</f>
        <v>61623000</v>
      </c>
      <c r="G24" s="134"/>
      <c r="H24" s="134"/>
      <c r="I24" s="134"/>
      <c r="J24" s="134"/>
      <c r="K24" s="134"/>
      <c r="L24" s="134"/>
      <c r="M24" s="134"/>
      <c r="N24" s="134"/>
      <c r="O24" s="134"/>
      <c r="P24" s="134"/>
      <c r="Q24" s="134"/>
      <c r="R24" s="134"/>
      <c r="S24" s="134"/>
      <c r="T24" s="134"/>
      <c r="U24" s="134"/>
      <c r="V24" s="134"/>
      <c r="W24" s="134"/>
      <c r="X24" s="134"/>
      <c r="Y24" s="134"/>
      <c r="Z24" s="134"/>
    </row>
    <row r="25" spans="1:26" s="197" customFormat="1">
      <c r="A25" s="253" t="s">
        <v>620</v>
      </c>
      <c r="B25" s="254"/>
      <c r="C25" s="255"/>
      <c r="D25" s="255"/>
      <c r="E25" s="256"/>
      <c r="F25" s="1162"/>
      <c r="G25" s="134"/>
      <c r="H25" s="134"/>
      <c r="I25" s="134"/>
      <c r="J25" s="134"/>
      <c r="K25" s="134"/>
      <c r="L25" s="134"/>
      <c r="M25" s="134"/>
      <c r="N25" s="134"/>
      <c r="O25" s="134"/>
      <c r="P25" s="134"/>
      <c r="Q25" s="134"/>
      <c r="R25" s="134"/>
      <c r="S25" s="134"/>
      <c r="T25" s="134"/>
      <c r="U25" s="134"/>
      <c r="V25" s="134"/>
      <c r="W25" s="134"/>
      <c r="X25" s="134"/>
      <c r="Y25" s="134"/>
      <c r="Z25" s="134"/>
    </row>
    <row r="26" spans="1:26">
      <c r="A26" s="257" t="s">
        <v>621</v>
      </c>
      <c r="B26" s="258">
        <v>100000</v>
      </c>
      <c r="C26" s="243"/>
      <c r="D26" s="243"/>
      <c r="E26" s="259">
        <v>100000</v>
      </c>
      <c r="F26" s="1163">
        <v>100000</v>
      </c>
    </row>
    <row r="27" spans="1:26">
      <c r="A27" s="257" t="s">
        <v>622</v>
      </c>
      <c r="B27" s="258">
        <v>100000</v>
      </c>
      <c r="C27" s="243"/>
      <c r="D27" s="243"/>
      <c r="E27" s="259">
        <v>100000</v>
      </c>
      <c r="F27" s="1163">
        <v>100000</v>
      </c>
    </row>
    <row r="28" spans="1:26">
      <c r="A28" s="257" t="s">
        <v>623</v>
      </c>
      <c r="B28" s="258">
        <v>300000</v>
      </c>
      <c r="C28" s="243"/>
      <c r="D28" s="243"/>
      <c r="E28" s="259">
        <v>300000</v>
      </c>
      <c r="F28" s="1163">
        <v>300000</v>
      </c>
    </row>
    <row r="29" spans="1:26">
      <c r="A29" s="257" t="s">
        <v>624</v>
      </c>
      <c r="B29" s="258">
        <v>300000</v>
      </c>
      <c r="C29" s="243"/>
      <c r="D29" s="243"/>
      <c r="E29" s="259">
        <v>300000</v>
      </c>
      <c r="F29" s="1163">
        <v>300000</v>
      </c>
    </row>
    <row r="30" spans="1:26" s="263" customFormat="1" ht="45" customHeight="1">
      <c r="A30" s="1150" t="s">
        <v>1738</v>
      </c>
      <c r="B30" s="261">
        <v>18000000</v>
      </c>
      <c r="C30" s="243"/>
      <c r="D30" s="243"/>
      <c r="E30" s="262">
        <v>18000000</v>
      </c>
      <c r="F30" s="1164">
        <v>16500000</v>
      </c>
      <c r="G30" s="134"/>
      <c r="H30" s="134"/>
      <c r="I30" s="134"/>
      <c r="J30" s="134"/>
      <c r="K30" s="134"/>
      <c r="L30" s="134"/>
      <c r="M30" s="134"/>
      <c r="N30" s="134"/>
      <c r="O30" s="134"/>
      <c r="P30" s="134"/>
      <c r="Q30" s="134"/>
      <c r="R30" s="134"/>
      <c r="S30" s="134"/>
      <c r="T30" s="134"/>
      <c r="U30" s="134"/>
      <c r="V30" s="134"/>
      <c r="W30" s="134"/>
      <c r="X30" s="134"/>
      <c r="Y30" s="134"/>
      <c r="Z30" s="134"/>
    </row>
    <row r="31" spans="1:26" s="263" customFormat="1" ht="15.75" customHeight="1">
      <c r="A31" s="260" t="s">
        <v>625</v>
      </c>
      <c r="B31" s="261">
        <v>1000000</v>
      </c>
      <c r="C31" s="243"/>
      <c r="D31" s="243"/>
      <c r="E31" s="262">
        <v>1000000</v>
      </c>
      <c r="F31" s="1164">
        <v>1000000</v>
      </c>
    </row>
    <row r="32" spans="1:26" s="263" customFormat="1" ht="15.75" hidden="1" customHeight="1">
      <c r="A32" s="260" t="s">
        <v>626</v>
      </c>
      <c r="B32" s="261">
        <v>500000</v>
      </c>
      <c r="C32" s="243"/>
      <c r="D32" s="243"/>
      <c r="E32" s="262">
        <v>500000</v>
      </c>
      <c r="F32" s="1164"/>
    </row>
    <row r="33" spans="1:6" s="263" customFormat="1" ht="14.25" hidden="1" customHeight="1">
      <c r="A33" s="260" t="s">
        <v>627</v>
      </c>
      <c r="B33" s="261">
        <v>330000</v>
      </c>
      <c r="C33" s="243"/>
      <c r="D33" s="243"/>
      <c r="E33" s="262">
        <v>330000</v>
      </c>
      <c r="F33" s="1164"/>
    </row>
    <row r="34" spans="1:6" s="263" customFormat="1" ht="15.75" hidden="1" customHeight="1">
      <c r="A34" s="260" t="s">
        <v>628</v>
      </c>
      <c r="B34" s="261">
        <v>2000000</v>
      </c>
      <c r="C34" s="243"/>
      <c r="D34" s="243"/>
      <c r="E34" s="262">
        <v>2000000</v>
      </c>
      <c r="F34" s="1164"/>
    </row>
    <row r="35" spans="1:6" s="263" customFormat="1">
      <c r="A35" s="260" t="s">
        <v>629</v>
      </c>
      <c r="B35" s="261">
        <v>2000000</v>
      </c>
      <c r="C35" s="243"/>
      <c r="D35" s="243">
        <v>2500000</v>
      </c>
      <c r="E35" s="262">
        <v>4500000</v>
      </c>
      <c r="F35" s="1164">
        <v>2000000</v>
      </c>
    </row>
    <row r="36" spans="1:6" ht="15" hidden="1">
      <c r="A36" s="257" t="s">
        <v>630</v>
      </c>
      <c r="B36" s="258"/>
      <c r="C36" s="243"/>
      <c r="D36" s="243"/>
      <c r="E36" s="259"/>
      <c r="F36" s="1165"/>
    </row>
    <row r="37" spans="1:6" ht="15" hidden="1" customHeight="1">
      <c r="A37" s="257"/>
      <c r="B37" s="258"/>
      <c r="C37" s="243"/>
      <c r="D37" s="243"/>
      <c r="E37" s="259"/>
      <c r="F37" s="1165"/>
    </row>
    <row r="38" spans="1:6" ht="15">
      <c r="A38" s="264" t="s">
        <v>631</v>
      </c>
      <c r="B38" s="265">
        <f>SUM(B26:B36)</f>
        <v>24630000</v>
      </c>
      <c r="C38" s="265">
        <f>SUM(C26:C36)</f>
        <v>0</v>
      </c>
      <c r="D38" s="265">
        <f>SUM(D26:D36)</f>
        <v>2500000</v>
      </c>
      <c r="E38" s="259">
        <f>SUM(E26:E36)</f>
        <v>27130000</v>
      </c>
      <c r="F38" s="1165">
        <f>SUM(F26:F36)</f>
        <v>20300000</v>
      </c>
    </row>
    <row r="39" spans="1:6" ht="15.75" thickBot="1">
      <c r="A39" s="266" t="s">
        <v>632</v>
      </c>
      <c r="B39" s="267">
        <f>B38+B24</f>
        <v>125477278</v>
      </c>
      <c r="C39" s="267">
        <f>C38+C24</f>
        <v>0</v>
      </c>
      <c r="D39" s="267">
        <f>D38+D24</f>
        <v>3340000</v>
      </c>
      <c r="E39" s="268">
        <f>E38+E24</f>
        <v>128817278</v>
      </c>
      <c r="F39" s="1166">
        <f>F38+F24</f>
        <v>81923000</v>
      </c>
    </row>
    <row r="40" spans="1:6" ht="15">
      <c r="A40" s="269" t="s">
        <v>633</v>
      </c>
      <c r="B40" s="270"/>
      <c r="C40" s="271"/>
      <c r="D40" s="271"/>
      <c r="E40" s="271"/>
      <c r="F40" s="1167"/>
    </row>
    <row r="41" spans="1:6" ht="15">
      <c r="A41" s="272" t="s">
        <v>634</v>
      </c>
      <c r="B41" s="258"/>
      <c r="C41" s="243"/>
      <c r="D41" s="243"/>
      <c r="E41" s="259"/>
      <c r="F41" s="1165"/>
    </row>
    <row r="42" spans="1:6">
      <c r="A42" s="257" t="s">
        <v>635</v>
      </c>
      <c r="B42" s="258">
        <v>2000000</v>
      </c>
      <c r="C42" s="243"/>
      <c r="D42" s="243"/>
      <c r="E42" s="259">
        <f>B42+C42+D42</f>
        <v>2000000</v>
      </c>
      <c r="F42" s="1075">
        <v>1900000</v>
      </c>
    </row>
    <row r="43" spans="1:6">
      <c r="A43" s="257" t="s">
        <v>636</v>
      </c>
      <c r="B43" s="258">
        <v>900000</v>
      </c>
      <c r="C43" s="243"/>
      <c r="D43" s="243"/>
      <c r="E43" s="259">
        <f>B43+C43+D43</f>
        <v>900000</v>
      </c>
      <c r="F43" s="1075">
        <v>280000</v>
      </c>
    </row>
    <row r="44" spans="1:6">
      <c r="A44" s="257" t="s">
        <v>637</v>
      </c>
      <c r="B44" s="258">
        <v>14219000</v>
      </c>
      <c r="C44" s="243"/>
      <c r="D44" s="243"/>
      <c r="E44" s="259">
        <f>B44+C44+D44</f>
        <v>14219000</v>
      </c>
      <c r="F44" s="1075">
        <f>13000000-2480000</f>
        <v>10520000</v>
      </c>
    </row>
    <row r="45" spans="1:6">
      <c r="A45" s="257" t="s">
        <v>638</v>
      </c>
      <c r="B45" s="258">
        <v>1381000</v>
      </c>
      <c r="C45" s="273">
        <v>299705</v>
      </c>
      <c r="D45" s="273"/>
      <c r="E45" s="259">
        <f>B45+C45+D45</f>
        <v>1680705</v>
      </c>
      <c r="F45" s="1075"/>
    </row>
    <row r="46" spans="1:6" ht="15">
      <c r="A46" s="274" t="s">
        <v>639</v>
      </c>
      <c r="B46" s="275">
        <v>18500000</v>
      </c>
      <c r="C46" s="273">
        <f>SUM(C42:C45)</f>
        <v>299705</v>
      </c>
      <c r="D46" s="273"/>
      <c r="E46" s="273">
        <f>SUM(E42:E45)</f>
        <v>18799705</v>
      </c>
      <c r="F46" s="1151">
        <f>SUM(F42:F45)</f>
        <v>12700000</v>
      </c>
    </row>
    <row r="47" spans="1:6" ht="15">
      <c r="A47" s="257" t="s">
        <v>640</v>
      </c>
      <c r="B47" s="258"/>
      <c r="C47" s="243"/>
      <c r="D47" s="243"/>
      <c r="E47" s="259"/>
      <c r="F47" s="1165"/>
    </row>
    <row r="48" spans="1:6" ht="15">
      <c r="A48" s="257" t="s">
        <v>641</v>
      </c>
      <c r="B48" s="258">
        <v>1500000</v>
      </c>
      <c r="C48" s="243"/>
      <c r="D48" s="243"/>
      <c r="E48" s="259">
        <v>1500000</v>
      </c>
      <c r="F48" s="1165">
        <v>300000</v>
      </c>
    </row>
    <row r="49" spans="1:6">
      <c r="A49" s="274" t="s">
        <v>642</v>
      </c>
      <c r="B49" s="275">
        <v>1500000</v>
      </c>
      <c r="C49" s="243"/>
      <c r="D49" s="243"/>
      <c r="E49" s="273">
        <v>1500000</v>
      </c>
      <c r="F49" s="1163">
        <v>300000</v>
      </c>
    </row>
    <row r="50" spans="1:6" ht="15">
      <c r="A50" s="264" t="s">
        <v>643</v>
      </c>
      <c r="B50" s="276">
        <f>B49+B46</f>
        <v>20000000</v>
      </c>
      <c r="C50" s="277">
        <f>C49+C46</f>
        <v>299705</v>
      </c>
      <c r="D50" s="277"/>
      <c r="E50" s="277">
        <f>E49+E46</f>
        <v>20299705</v>
      </c>
      <c r="F50" s="1151">
        <f>F49+F46</f>
        <v>13000000</v>
      </c>
    </row>
    <row r="51" spans="1:6" ht="15" thickBot="1">
      <c r="A51" s="278" t="s">
        <v>644</v>
      </c>
      <c r="B51" s="279">
        <f>B50+B39</f>
        <v>145477278</v>
      </c>
      <c r="C51" s="280">
        <f>C50+C39</f>
        <v>299705</v>
      </c>
      <c r="D51" s="280">
        <f>D50+D39</f>
        <v>3340000</v>
      </c>
      <c r="E51" s="280">
        <f>E50+E39</f>
        <v>149116983</v>
      </c>
      <c r="F51" s="1152">
        <f>F50+F39</f>
        <v>94923000</v>
      </c>
    </row>
    <row r="52" spans="1:6">
      <c r="A52" s="269" t="s">
        <v>645</v>
      </c>
      <c r="B52" s="281"/>
      <c r="C52" s="282"/>
      <c r="D52" s="282"/>
      <c r="E52" s="283"/>
      <c r="F52" s="1168"/>
    </row>
    <row r="53" spans="1:6" hidden="1">
      <c r="A53" s="264" t="s">
        <v>646</v>
      </c>
      <c r="B53" s="284"/>
      <c r="C53" s="243"/>
      <c r="D53" s="243"/>
      <c r="E53" s="244"/>
      <c r="F53" s="1158"/>
    </row>
    <row r="54" spans="1:6" ht="15">
      <c r="A54" s="274" t="s">
        <v>1625</v>
      </c>
      <c r="B54" s="285">
        <v>161241450</v>
      </c>
      <c r="C54" s="273">
        <v>1276074</v>
      </c>
      <c r="D54" s="273"/>
      <c r="E54" s="286">
        <f t="shared" ref="E54:E59" si="0">B54+C54+D54</f>
        <v>162517524</v>
      </c>
      <c r="F54" s="1169">
        <v>170934229</v>
      </c>
    </row>
    <row r="55" spans="1:6" ht="15">
      <c r="A55" s="274" t="s">
        <v>647</v>
      </c>
      <c r="B55" s="258">
        <v>13264686</v>
      </c>
      <c r="C55" s="273">
        <v>27320608</v>
      </c>
      <c r="D55" s="273">
        <v>2300000</v>
      </c>
      <c r="E55" s="286">
        <f t="shared" si="0"/>
        <v>42885294</v>
      </c>
      <c r="F55" s="1170">
        <v>15205586</v>
      </c>
    </row>
    <row r="56" spans="1:6" ht="15">
      <c r="A56" s="274" t="s">
        <v>1624</v>
      </c>
      <c r="B56" s="258">
        <v>0</v>
      </c>
      <c r="C56" s="243">
        <v>227523</v>
      </c>
      <c r="D56" s="243"/>
      <c r="E56" s="286">
        <f t="shared" si="0"/>
        <v>227523</v>
      </c>
      <c r="F56" s="1171">
        <v>13729186.344414599</v>
      </c>
    </row>
    <row r="57" spans="1:6" ht="15">
      <c r="A57" s="274" t="s">
        <v>648</v>
      </c>
      <c r="B57" s="258">
        <v>59714580</v>
      </c>
      <c r="C57" s="243">
        <v>5040440</v>
      </c>
      <c r="D57" s="243"/>
      <c r="E57" s="286">
        <f t="shared" si="0"/>
        <v>64755020</v>
      </c>
      <c r="F57" s="1172">
        <v>67439151</v>
      </c>
    </row>
    <row r="58" spans="1:6" ht="15">
      <c r="A58" s="274" t="s">
        <v>649</v>
      </c>
      <c r="B58" s="258">
        <v>27000000</v>
      </c>
      <c r="C58" s="243">
        <v>1159560</v>
      </c>
      <c r="D58" s="243"/>
      <c r="E58" s="286">
        <f t="shared" si="0"/>
        <v>28159560</v>
      </c>
      <c r="F58" s="1171">
        <v>32000000</v>
      </c>
    </row>
    <row r="59" spans="1:6" ht="15">
      <c r="A59" s="264" t="s">
        <v>1739</v>
      </c>
      <c r="B59" s="287">
        <f>SUM(B53:B58)</f>
        <v>261220716</v>
      </c>
      <c r="C59" s="288">
        <f>SUM(C53:C58)</f>
        <v>35024205</v>
      </c>
      <c r="D59" s="288">
        <f>SUM(D53:D58)</f>
        <v>2300000</v>
      </c>
      <c r="E59" s="286">
        <f t="shared" si="0"/>
        <v>298544921</v>
      </c>
      <c r="F59" s="1153">
        <f>SUM(F53:F58)</f>
        <v>299308152.34441459</v>
      </c>
    </row>
    <row r="60" spans="1:6" ht="15.75" thickBot="1">
      <c r="A60" s="289" t="s">
        <v>164</v>
      </c>
      <c r="B60" s="290">
        <f>B59+B51</f>
        <v>406697994</v>
      </c>
      <c r="C60" s="290">
        <f>C59+C51</f>
        <v>35323910</v>
      </c>
      <c r="D60" s="290">
        <f>D59+D51</f>
        <v>5640000</v>
      </c>
      <c r="E60" s="290">
        <f>E59+E51</f>
        <v>447661904</v>
      </c>
      <c r="F60" s="1154">
        <f>F59+F51</f>
        <v>394231152.34441459</v>
      </c>
    </row>
    <row r="61" spans="1:6">
      <c r="A61" s="291"/>
      <c r="B61" s="292"/>
      <c r="C61" s="183"/>
      <c r="D61" s="183"/>
      <c r="E61" s="183"/>
    </row>
    <row r="62" spans="1:6" ht="15.75" customHeight="1">
      <c r="A62" s="168"/>
      <c r="B62" s="169"/>
      <c r="C62" s="169"/>
      <c r="D62" s="169"/>
      <c r="E62" s="169"/>
    </row>
    <row r="63" spans="1:6">
      <c r="A63" s="170"/>
      <c r="B63" s="169"/>
      <c r="C63" s="169"/>
      <c r="D63" s="169"/>
      <c r="E63" s="169"/>
    </row>
    <row r="64" spans="1:6">
      <c r="A64" s="170"/>
      <c r="B64" s="171"/>
      <c r="C64" s="171"/>
      <c r="D64" s="171"/>
      <c r="E64" s="171"/>
    </row>
    <row r="65" spans="1:5">
      <c r="A65" s="296"/>
      <c r="B65" s="295"/>
    </row>
    <row r="66" spans="1:5">
      <c r="A66" s="296"/>
      <c r="B66" s="293"/>
      <c r="C66" s="293"/>
      <c r="D66" s="293"/>
      <c r="E66" s="293"/>
    </row>
    <row r="67" spans="1:5">
      <c r="A67" s="296"/>
      <c r="B67" s="294"/>
      <c r="C67" s="293"/>
      <c r="D67" s="293"/>
      <c r="E67" s="297"/>
    </row>
    <row r="68" spans="1:5">
      <c r="A68" s="296"/>
      <c r="B68" s="295"/>
      <c r="C68" s="295"/>
      <c r="D68" s="295"/>
      <c r="E68" s="295"/>
    </row>
    <row r="69" spans="1:5">
      <c r="A69" s="296"/>
      <c r="B69" s="295"/>
    </row>
    <row r="70" spans="1:5">
      <c r="A70" s="296"/>
      <c r="B70" s="295"/>
    </row>
    <row r="71" spans="1:5">
      <c r="A71" s="296"/>
      <c r="B71" s="295"/>
    </row>
    <row r="72" spans="1:5">
      <c r="A72" s="296"/>
      <c r="B72" s="295"/>
    </row>
    <row r="73" spans="1:5">
      <c r="A73" s="296"/>
      <c r="B73" s="295"/>
    </row>
    <row r="74" spans="1:5">
      <c r="A74" s="296"/>
      <c r="B74" s="295"/>
    </row>
    <row r="75" spans="1:5">
      <c r="A75" s="193"/>
    </row>
    <row r="76" spans="1:5">
      <c r="A76" s="193"/>
    </row>
    <row r="77" spans="1:5">
      <c r="A77" s="193"/>
    </row>
    <row r="78" spans="1:5">
      <c r="A78" s="193"/>
    </row>
    <row r="79" spans="1:5">
      <c r="A79" s="193"/>
    </row>
    <row r="80" spans="1:5">
      <c r="A80" s="193"/>
    </row>
    <row r="81" spans="1:1">
      <c r="A81" s="193"/>
    </row>
    <row r="82" spans="1:1">
      <c r="A82" s="193"/>
    </row>
    <row r="84" spans="1:1">
      <c r="A84" s="133"/>
    </row>
    <row r="85" spans="1:1" ht="1.5" customHeight="1"/>
  </sheetData>
  <mergeCells count="1">
    <mergeCell ref="C1:F1"/>
  </mergeCells>
  <pageMargins left="0.19685039370078741" right="0.11811023622047245" top="0.35433070866141736" bottom="0.55118110236220474" header="0.31496062992125984" footer="0.31496062992125984"/>
  <pageSetup paperSize="9" fitToHeight="0" orientation="landscape" r:id="rId1"/>
  <headerFooter>
    <oddHeader>&amp;RRáckeve Város 2020 évi költségvetés melléklete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89"/>
  <sheetViews>
    <sheetView zoomScale="110" zoomScaleNormal="110" workbookViewId="0">
      <pane xSplit="1" ySplit="3" topLeftCell="B4" activePane="bottomRight" state="frozen"/>
      <selection activeCell="H163" sqref="H163"/>
      <selection pane="topRight" activeCell="H163" sqref="H163"/>
      <selection pane="bottomLeft" activeCell="H163" sqref="H163"/>
      <selection pane="bottomRight" activeCell="L2" sqref="L2"/>
    </sheetView>
  </sheetViews>
  <sheetFormatPr defaultRowHeight="12.75"/>
  <cols>
    <col min="1" max="1" width="32.140625" style="3" customWidth="1"/>
    <col min="2" max="2" width="14.42578125" style="420" customWidth="1"/>
    <col min="3" max="3" width="13.5703125" customWidth="1"/>
    <col min="4" max="4" width="13.85546875" style="419" bestFit="1" customWidth="1"/>
    <col min="5" max="5" width="0" hidden="1" customWidth="1"/>
    <col min="6" max="6" width="12.140625" customWidth="1"/>
    <col min="7" max="7" width="13.85546875" bestFit="1" customWidth="1"/>
    <col min="8" max="8" width="13.42578125" bestFit="1" customWidth="1"/>
    <col min="9" max="9" width="0" hidden="1" customWidth="1"/>
    <col min="10" max="10" width="10.28515625" style="420" bestFit="1" customWidth="1"/>
    <col min="11" max="11" width="12.7109375" bestFit="1" customWidth="1"/>
    <col min="12" max="12" width="13.42578125" bestFit="1" customWidth="1"/>
    <col min="13" max="13" width="9.140625" customWidth="1"/>
    <col min="255" max="255" width="32.140625" customWidth="1"/>
    <col min="256" max="257" width="14.42578125" customWidth="1"/>
    <col min="258" max="259" width="13.5703125" customWidth="1"/>
    <col min="260" max="260" width="13.85546875" bestFit="1" customWidth="1"/>
    <col min="261" max="261" width="0" hidden="1" customWidth="1"/>
    <col min="262" max="262" width="12.140625" customWidth="1"/>
    <col min="263" max="263" width="13.85546875" bestFit="1" customWidth="1"/>
    <col min="264" max="264" width="13.42578125" bestFit="1" customWidth="1"/>
    <col min="265" max="265" width="0" hidden="1" customWidth="1"/>
    <col min="266" max="266" width="10.28515625" bestFit="1" customWidth="1"/>
    <col min="267" max="267" width="12.7109375" bestFit="1" customWidth="1"/>
    <col min="268" max="268" width="13.42578125" bestFit="1" customWidth="1"/>
    <col min="269" max="269" width="9.140625" customWidth="1"/>
    <col min="511" max="511" width="32.140625" customWidth="1"/>
    <col min="512" max="513" width="14.42578125" customWidth="1"/>
    <col min="514" max="515" width="13.5703125" customWidth="1"/>
    <col min="516" max="516" width="13.85546875" bestFit="1" customWidth="1"/>
    <col min="517" max="517" width="0" hidden="1" customWidth="1"/>
    <col min="518" max="518" width="12.140625" customWidth="1"/>
    <col min="519" max="519" width="13.85546875" bestFit="1" customWidth="1"/>
    <col min="520" max="520" width="13.42578125" bestFit="1" customWidth="1"/>
    <col min="521" max="521" width="0" hidden="1" customWidth="1"/>
    <col min="522" max="522" width="10.28515625" bestFit="1" customWidth="1"/>
    <col min="523" max="523" width="12.7109375" bestFit="1" customWidth="1"/>
    <col min="524" max="524" width="13.42578125" bestFit="1" customWidth="1"/>
    <col min="525" max="525" width="9.140625" customWidth="1"/>
    <col min="767" max="767" width="32.140625" customWidth="1"/>
    <col min="768" max="769" width="14.42578125" customWidth="1"/>
    <col min="770" max="771" width="13.5703125" customWidth="1"/>
    <col min="772" max="772" width="13.85546875" bestFit="1" customWidth="1"/>
    <col min="773" max="773" width="0" hidden="1" customWidth="1"/>
    <col min="774" max="774" width="12.140625" customWidth="1"/>
    <col min="775" max="775" width="13.85546875" bestFit="1" customWidth="1"/>
    <col min="776" max="776" width="13.42578125" bestFit="1" customWidth="1"/>
    <col min="777" max="777" width="0" hidden="1" customWidth="1"/>
    <col min="778" max="778" width="10.28515625" bestFit="1" customWidth="1"/>
    <col min="779" max="779" width="12.7109375" bestFit="1" customWidth="1"/>
    <col min="780" max="780" width="13.42578125" bestFit="1" customWidth="1"/>
    <col min="781" max="781" width="9.140625" customWidth="1"/>
    <col min="1023" max="1023" width="32.140625" customWidth="1"/>
    <col min="1024" max="1025" width="14.42578125" customWidth="1"/>
    <col min="1026" max="1027" width="13.5703125" customWidth="1"/>
    <col min="1028" max="1028" width="13.85546875" bestFit="1" customWidth="1"/>
    <col min="1029" max="1029" width="0" hidden="1" customWidth="1"/>
    <col min="1030" max="1030" width="12.140625" customWidth="1"/>
    <col min="1031" max="1031" width="13.85546875" bestFit="1" customWidth="1"/>
    <col min="1032" max="1032" width="13.42578125" bestFit="1" customWidth="1"/>
    <col min="1033" max="1033" width="0" hidden="1" customWidth="1"/>
    <col min="1034" max="1034" width="10.28515625" bestFit="1" customWidth="1"/>
    <col min="1035" max="1035" width="12.7109375" bestFit="1" customWidth="1"/>
    <col min="1036" max="1036" width="13.42578125" bestFit="1" customWidth="1"/>
    <col min="1037" max="1037" width="9.140625" customWidth="1"/>
    <col min="1279" max="1279" width="32.140625" customWidth="1"/>
    <col min="1280" max="1281" width="14.42578125" customWidth="1"/>
    <col min="1282" max="1283" width="13.5703125" customWidth="1"/>
    <col min="1284" max="1284" width="13.85546875" bestFit="1" customWidth="1"/>
    <col min="1285" max="1285" width="0" hidden="1" customWidth="1"/>
    <col min="1286" max="1286" width="12.140625" customWidth="1"/>
    <col min="1287" max="1287" width="13.85546875" bestFit="1" customWidth="1"/>
    <col min="1288" max="1288" width="13.42578125" bestFit="1" customWidth="1"/>
    <col min="1289" max="1289" width="0" hidden="1" customWidth="1"/>
    <col min="1290" max="1290" width="10.28515625" bestFit="1" customWidth="1"/>
    <col min="1291" max="1291" width="12.7109375" bestFit="1" customWidth="1"/>
    <col min="1292" max="1292" width="13.42578125" bestFit="1" customWidth="1"/>
    <col min="1293" max="1293" width="9.140625" customWidth="1"/>
    <col min="1535" max="1535" width="32.140625" customWidth="1"/>
    <col min="1536" max="1537" width="14.42578125" customWidth="1"/>
    <col min="1538" max="1539" width="13.5703125" customWidth="1"/>
    <col min="1540" max="1540" width="13.85546875" bestFit="1" customWidth="1"/>
    <col min="1541" max="1541" width="0" hidden="1" customWidth="1"/>
    <col min="1542" max="1542" width="12.140625" customWidth="1"/>
    <col min="1543" max="1543" width="13.85546875" bestFit="1" customWidth="1"/>
    <col min="1544" max="1544" width="13.42578125" bestFit="1" customWidth="1"/>
    <col min="1545" max="1545" width="0" hidden="1" customWidth="1"/>
    <col min="1546" max="1546" width="10.28515625" bestFit="1" customWidth="1"/>
    <col min="1547" max="1547" width="12.7109375" bestFit="1" customWidth="1"/>
    <col min="1548" max="1548" width="13.42578125" bestFit="1" customWidth="1"/>
    <col min="1549" max="1549" width="9.140625" customWidth="1"/>
    <col min="1791" max="1791" width="32.140625" customWidth="1"/>
    <col min="1792" max="1793" width="14.42578125" customWidth="1"/>
    <col min="1794" max="1795" width="13.5703125" customWidth="1"/>
    <col min="1796" max="1796" width="13.85546875" bestFit="1" customWidth="1"/>
    <col min="1797" max="1797" width="0" hidden="1" customWidth="1"/>
    <col min="1798" max="1798" width="12.140625" customWidth="1"/>
    <col min="1799" max="1799" width="13.85546875" bestFit="1" customWidth="1"/>
    <col min="1800" max="1800" width="13.42578125" bestFit="1" customWidth="1"/>
    <col min="1801" max="1801" width="0" hidden="1" customWidth="1"/>
    <col min="1802" max="1802" width="10.28515625" bestFit="1" customWidth="1"/>
    <col min="1803" max="1803" width="12.7109375" bestFit="1" customWidth="1"/>
    <col min="1804" max="1804" width="13.42578125" bestFit="1" customWidth="1"/>
    <col min="1805" max="1805" width="9.140625" customWidth="1"/>
    <col min="2047" max="2047" width="32.140625" customWidth="1"/>
    <col min="2048" max="2049" width="14.42578125" customWidth="1"/>
    <col min="2050" max="2051" width="13.5703125" customWidth="1"/>
    <col min="2052" max="2052" width="13.85546875" bestFit="1" customWidth="1"/>
    <col min="2053" max="2053" width="0" hidden="1" customWidth="1"/>
    <col min="2054" max="2054" width="12.140625" customWidth="1"/>
    <col min="2055" max="2055" width="13.85546875" bestFit="1" customWidth="1"/>
    <col min="2056" max="2056" width="13.42578125" bestFit="1" customWidth="1"/>
    <col min="2057" max="2057" width="0" hidden="1" customWidth="1"/>
    <col min="2058" max="2058" width="10.28515625" bestFit="1" customWidth="1"/>
    <col min="2059" max="2059" width="12.7109375" bestFit="1" customWidth="1"/>
    <col min="2060" max="2060" width="13.42578125" bestFit="1" customWidth="1"/>
    <col min="2061" max="2061" width="9.140625" customWidth="1"/>
    <col min="2303" max="2303" width="32.140625" customWidth="1"/>
    <col min="2304" max="2305" width="14.42578125" customWidth="1"/>
    <col min="2306" max="2307" width="13.5703125" customWidth="1"/>
    <col min="2308" max="2308" width="13.85546875" bestFit="1" customWidth="1"/>
    <col min="2309" max="2309" width="0" hidden="1" customWidth="1"/>
    <col min="2310" max="2310" width="12.140625" customWidth="1"/>
    <col min="2311" max="2311" width="13.85546875" bestFit="1" customWidth="1"/>
    <col min="2312" max="2312" width="13.42578125" bestFit="1" customWidth="1"/>
    <col min="2313" max="2313" width="0" hidden="1" customWidth="1"/>
    <col min="2314" max="2314" width="10.28515625" bestFit="1" customWidth="1"/>
    <col min="2315" max="2315" width="12.7109375" bestFit="1" customWidth="1"/>
    <col min="2316" max="2316" width="13.42578125" bestFit="1" customWidth="1"/>
    <col min="2317" max="2317" width="9.140625" customWidth="1"/>
    <col min="2559" max="2559" width="32.140625" customWidth="1"/>
    <col min="2560" max="2561" width="14.42578125" customWidth="1"/>
    <col min="2562" max="2563" width="13.5703125" customWidth="1"/>
    <col min="2564" max="2564" width="13.85546875" bestFit="1" customWidth="1"/>
    <col min="2565" max="2565" width="0" hidden="1" customWidth="1"/>
    <col min="2566" max="2566" width="12.140625" customWidth="1"/>
    <col min="2567" max="2567" width="13.85546875" bestFit="1" customWidth="1"/>
    <col min="2568" max="2568" width="13.42578125" bestFit="1" customWidth="1"/>
    <col min="2569" max="2569" width="0" hidden="1" customWidth="1"/>
    <col min="2570" max="2570" width="10.28515625" bestFit="1" customWidth="1"/>
    <col min="2571" max="2571" width="12.7109375" bestFit="1" customWidth="1"/>
    <col min="2572" max="2572" width="13.42578125" bestFit="1" customWidth="1"/>
    <col min="2573" max="2573" width="9.140625" customWidth="1"/>
    <col min="2815" max="2815" width="32.140625" customWidth="1"/>
    <col min="2816" max="2817" width="14.42578125" customWidth="1"/>
    <col min="2818" max="2819" width="13.5703125" customWidth="1"/>
    <col min="2820" max="2820" width="13.85546875" bestFit="1" customWidth="1"/>
    <col min="2821" max="2821" width="0" hidden="1" customWidth="1"/>
    <col min="2822" max="2822" width="12.140625" customWidth="1"/>
    <col min="2823" max="2823" width="13.85546875" bestFit="1" customWidth="1"/>
    <col min="2824" max="2824" width="13.42578125" bestFit="1" customWidth="1"/>
    <col min="2825" max="2825" width="0" hidden="1" customWidth="1"/>
    <col min="2826" max="2826" width="10.28515625" bestFit="1" customWidth="1"/>
    <col min="2827" max="2827" width="12.7109375" bestFit="1" customWidth="1"/>
    <col min="2828" max="2828" width="13.42578125" bestFit="1" customWidth="1"/>
    <col min="2829" max="2829" width="9.140625" customWidth="1"/>
    <col min="3071" max="3071" width="32.140625" customWidth="1"/>
    <col min="3072" max="3073" width="14.42578125" customWidth="1"/>
    <col min="3074" max="3075" width="13.5703125" customWidth="1"/>
    <col min="3076" max="3076" width="13.85546875" bestFit="1" customWidth="1"/>
    <col min="3077" max="3077" width="0" hidden="1" customWidth="1"/>
    <col min="3078" max="3078" width="12.140625" customWidth="1"/>
    <col min="3079" max="3079" width="13.85546875" bestFit="1" customWidth="1"/>
    <col min="3080" max="3080" width="13.42578125" bestFit="1" customWidth="1"/>
    <col min="3081" max="3081" width="0" hidden="1" customWidth="1"/>
    <col min="3082" max="3082" width="10.28515625" bestFit="1" customWidth="1"/>
    <col min="3083" max="3083" width="12.7109375" bestFit="1" customWidth="1"/>
    <col min="3084" max="3084" width="13.42578125" bestFit="1" customWidth="1"/>
    <col min="3085" max="3085" width="9.140625" customWidth="1"/>
    <col min="3327" max="3327" width="32.140625" customWidth="1"/>
    <col min="3328" max="3329" width="14.42578125" customWidth="1"/>
    <col min="3330" max="3331" width="13.5703125" customWidth="1"/>
    <col min="3332" max="3332" width="13.85546875" bestFit="1" customWidth="1"/>
    <col min="3333" max="3333" width="0" hidden="1" customWidth="1"/>
    <col min="3334" max="3334" width="12.140625" customWidth="1"/>
    <col min="3335" max="3335" width="13.85546875" bestFit="1" customWidth="1"/>
    <col min="3336" max="3336" width="13.42578125" bestFit="1" customWidth="1"/>
    <col min="3337" max="3337" width="0" hidden="1" customWidth="1"/>
    <col min="3338" max="3338" width="10.28515625" bestFit="1" customWidth="1"/>
    <col min="3339" max="3339" width="12.7109375" bestFit="1" customWidth="1"/>
    <col min="3340" max="3340" width="13.42578125" bestFit="1" customWidth="1"/>
    <col min="3341" max="3341" width="9.140625" customWidth="1"/>
    <col min="3583" max="3583" width="32.140625" customWidth="1"/>
    <col min="3584" max="3585" width="14.42578125" customWidth="1"/>
    <col min="3586" max="3587" width="13.5703125" customWidth="1"/>
    <col min="3588" max="3588" width="13.85546875" bestFit="1" customWidth="1"/>
    <col min="3589" max="3589" width="0" hidden="1" customWidth="1"/>
    <col min="3590" max="3590" width="12.140625" customWidth="1"/>
    <col min="3591" max="3591" width="13.85546875" bestFit="1" customWidth="1"/>
    <col min="3592" max="3592" width="13.42578125" bestFit="1" customWidth="1"/>
    <col min="3593" max="3593" width="0" hidden="1" customWidth="1"/>
    <col min="3594" max="3594" width="10.28515625" bestFit="1" customWidth="1"/>
    <col min="3595" max="3595" width="12.7109375" bestFit="1" customWidth="1"/>
    <col min="3596" max="3596" width="13.42578125" bestFit="1" customWidth="1"/>
    <col min="3597" max="3597" width="9.140625" customWidth="1"/>
    <col min="3839" max="3839" width="32.140625" customWidth="1"/>
    <col min="3840" max="3841" width="14.42578125" customWidth="1"/>
    <col min="3842" max="3843" width="13.5703125" customWidth="1"/>
    <col min="3844" max="3844" width="13.85546875" bestFit="1" customWidth="1"/>
    <col min="3845" max="3845" width="0" hidden="1" customWidth="1"/>
    <col min="3846" max="3846" width="12.140625" customWidth="1"/>
    <col min="3847" max="3847" width="13.85546875" bestFit="1" customWidth="1"/>
    <col min="3848" max="3848" width="13.42578125" bestFit="1" customWidth="1"/>
    <col min="3849" max="3849" width="0" hidden="1" customWidth="1"/>
    <col min="3850" max="3850" width="10.28515625" bestFit="1" customWidth="1"/>
    <col min="3851" max="3851" width="12.7109375" bestFit="1" customWidth="1"/>
    <col min="3852" max="3852" width="13.42578125" bestFit="1" customWidth="1"/>
    <col min="3853" max="3853" width="9.140625" customWidth="1"/>
    <col min="4095" max="4095" width="32.140625" customWidth="1"/>
    <col min="4096" max="4097" width="14.42578125" customWidth="1"/>
    <col min="4098" max="4099" width="13.5703125" customWidth="1"/>
    <col min="4100" max="4100" width="13.85546875" bestFit="1" customWidth="1"/>
    <col min="4101" max="4101" width="0" hidden="1" customWidth="1"/>
    <col min="4102" max="4102" width="12.140625" customWidth="1"/>
    <col min="4103" max="4103" width="13.85546875" bestFit="1" customWidth="1"/>
    <col min="4104" max="4104" width="13.42578125" bestFit="1" customWidth="1"/>
    <col min="4105" max="4105" width="0" hidden="1" customWidth="1"/>
    <col min="4106" max="4106" width="10.28515625" bestFit="1" customWidth="1"/>
    <col min="4107" max="4107" width="12.7109375" bestFit="1" customWidth="1"/>
    <col min="4108" max="4108" width="13.42578125" bestFit="1" customWidth="1"/>
    <col min="4109" max="4109" width="9.140625" customWidth="1"/>
    <col min="4351" max="4351" width="32.140625" customWidth="1"/>
    <col min="4352" max="4353" width="14.42578125" customWidth="1"/>
    <col min="4354" max="4355" width="13.5703125" customWidth="1"/>
    <col min="4356" max="4356" width="13.85546875" bestFit="1" customWidth="1"/>
    <col min="4357" max="4357" width="0" hidden="1" customWidth="1"/>
    <col min="4358" max="4358" width="12.140625" customWidth="1"/>
    <col min="4359" max="4359" width="13.85546875" bestFit="1" customWidth="1"/>
    <col min="4360" max="4360" width="13.42578125" bestFit="1" customWidth="1"/>
    <col min="4361" max="4361" width="0" hidden="1" customWidth="1"/>
    <col min="4362" max="4362" width="10.28515625" bestFit="1" customWidth="1"/>
    <col min="4363" max="4363" width="12.7109375" bestFit="1" customWidth="1"/>
    <col min="4364" max="4364" width="13.42578125" bestFit="1" customWidth="1"/>
    <col min="4365" max="4365" width="9.140625" customWidth="1"/>
    <col min="4607" max="4607" width="32.140625" customWidth="1"/>
    <col min="4608" max="4609" width="14.42578125" customWidth="1"/>
    <col min="4610" max="4611" width="13.5703125" customWidth="1"/>
    <col min="4612" max="4612" width="13.85546875" bestFit="1" customWidth="1"/>
    <col min="4613" max="4613" width="0" hidden="1" customWidth="1"/>
    <col min="4614" max="4614" width="12.140625" customWidth="1"/>
    <col min="4615" max="4615" width="13.85546875" bestFit="1" customWidth="1"/>
    <col min="4616" max="4616" width="13.42578125" bestFit="1" customWidth="1"/>
    <col min="4617" max="4617" width="0" hidden="1" customWidth="1"/>
    <col min="4618" max="4618" width="10.28515625" bestFit="1" customWidth="1"/>
    <col min="4619" max="4619" width="12.7109375" bestFit="1" customWidth="1"/>
    <col min="4620" max="4620" width="13.42578125" bestFit="1" customWidth="1"/>
    <col min="4621" max="4621" width="9.140625" customWidth="1"/>
    <col min="4863" max="4863" width="32.140625" customWidth="1"/>
    <col min="4864" max="4865" width="14.42578125" customWidth="1"/>
    <col min="4866" max="4867" width="13.5703125" customWidth="1"/>
    <col min="4868" max="4868" width="13.85546875" bestFit="1" customWidth="1"/>
    <col min="4869" max="4869" width="0" hidden="1" customWidth="1"/>
    <col min="4870" max="4870" width="12.140625" customWidth="1"/>
    <col min="4871" max="4871" width="13.85546875" bestFit="1" customWidth="1"/>
    <col min="4872" max="4872" width="13.42578125" bestFit="1" customWidth="1"/>
    <col min="4873" max="4873" width="0" hidden="1" customWidth="1"/>
    <col min="4874" max="4874" width="10.28515625" bestFit="1" customWidth="1"/>
    <col min="4875" max="4875" width="12.7109375" bestFit="1" customWidth="1"/>
    <col min="4876" max="4876" width="13.42578125" bestFit="1" customWidth="1"/>
    <col min="4877" max="4877" width="9.140625" customWidth="1"/>
    <col min="5119" max="5119" width="32.140625" customWidth="1"/>
    <col min="5120" max="5121" width="14.42578125" customWidth="1"/>
    <col min="5122" max="5123" width="13.5703125" customWidth="1"/>
    <col min="5124" max="5124" width="13.85546875" bestFit="1" customWidth="1"/>
    <col min="5125" max="5125" width="0" hidden="1" customWidth="1"/>
    <col min="5126" max="5126" width="12.140625" customWidth="1"/>
    <col min="5127" max="5127" width="13.85546875" bestFit="1" customWidth="1"/>
    <col min="5128" max="5128" width="13.42578125" bestFit="1" customWidth="1"/>
    <col min="5129" max="5129" width="0" hidden="1" customWidth="1"/>
    <col min="5130" max="5130" width="10.28515625" bestFit="1" customWidth="1"/>
    <col min="5131" max="5131" width="12.7109375" bestFit="1" customWidth="1"/>
    <col min="5132" max="5132" width="13.42578125" bestFit="1" customWidth="1"/>
    <col min="5133" max="5133" width="9.140625" customWidth="1"/>
    <col min="5375" max="5375" width="32.140625" customWidth="1"/>
    <col min="5376" max="5377" width="14.42578125" customWidth="1"/>
    <col min="5378" max="5379" width="13.5703125" customWidth="1"/>
    <col min="5380" max="5380" width="13.85546875" bestFit="1" customWidth="1"/>
    <col min="5381" max="5381" width="0" hidden="1" customWidth="1"/>
    <col min="5382" max="5382" width="12.140625" customWidth="1"/>
    <col min="5383" max="5383" width="13.85546875" bestFit="1" customWidth="1"/>
    <col min="5384" max="5384" width="13.42578125" bestFit="1" customWidth="1"/>
    <col min="5385" max="5385" width="0" hidden="1" customWidth="1"/>
    <col min="5386" max="5386" width="10.28515625" bestFit="1" customWidth="1"/>
    <col min="5387" max="5387" width="12.7109375" bestFit="1" customWidth="1"/>
    <col min="5388" max="5388" width="13.42578125" bestFit="1" customWidth="1"/>
    <col min="5389" max="5389" width="9.140625" customWidth="1"/>
    <col min="5631" max="5631" width="32.140625" customWidth="1"/>
    <col min="5632" max="5633" width="14.42578125" customWidth="1"/>
    <col min="5634" max="5635" width="13.5703125" customWidth="1"/>
    <col min="5636" max="5636" width="13.85546875" bestFit="1" customWidth="1"/>
    <col min="5637" max="5637" width="0" hidden="1" customWidth="1"/>
    <col min="5638" max="5638" width="12.140625" customWidth="1"/>
    <col min="5639" max="5639" width="13.85546875" bestFit="1" customWidth="1"/>
    <col min="5640" max="5640" width="13.42578125" bestFit="1" customWidth="1"/>
    <col min="5641" max="5641" width="0" hidden="1" customWidth="1"/>
    <col min="5642" max="5642" width="10.28515625" bestFit="1" customWidth="1"/>
    <col min="5643" max="5643" width="12.7109375" bestFit="1" customWidth="1"/>
    <col min="5644" max="5644" width="13.42578125" bestFit="1" customWidth="1"/>
    <col min="5645" max="5645" width="9.140625" customWidth="1"/>
    <col min="5887" max="5887" width="32.140625" customWidth="1"/>
    <col min="5888" max="5889" width="14.42578125" customWidth="1"/>
    <col min="5890" max="5891" width="13.5703125" customWidth="1"/>
    <col min="5892" max="5892" width="13.85546875" bestFit="1" customWidth="1"/>
    <col min="5893" max="5893" width="0" hidden="1" customWidth="1"/>
    <col min="5894" max="5894" width="12.140625" customWidth="1"/>
    <col min="5895" max="5895" width="13.85546875" bestFit="1" customWidth="1"/>
    <col min="5896" max="5896" width="13.42578125" bestFit="1" customWidth="1"/>
    <col min="5897" max="5897" width="0" hidden="1" customWidth="1"/>
    <col min="5898" max="5898" width="10.28515625" bestFit="1" customWidth="1"/>
    <col min="5899" max="5899" width="12.7109375" bestFit="1" customWidth="1"/>
    <col min="5900" max="5900" width="13.42578125" bestFit="1" customWidth="1"/>
    <col min="5901" max="5901" width="9.140625" customWidth="1"/>
    <col min="6143" max="6143" width="32.140625" customWidth="1"/>
    <col min="6144" max="6145" width="14.42578125" customWidth="1"/>
    <col min="6146" max="6147" width="13.5703125" customWidth="1"/>
    <col min="6148" max="6148" width="13.85546875" bestFit="1" customWidth="1"/>
    <col min="6149" max="6149" width="0" hidden="1" customWidth="1"/>
    <col min="6150" max="6150" width="12.140625" customWidth="1"/>
    <col min="6151" max="6151" width="13.85546875" bestFit="1" customWidth="1"/>
    <col min="6152" max="6152" width="13.42578125" bestFit="1" customWidth="1"/>
    <col min="6153" max="6153" width="0" hidden="1" customWidth="1"/>
    <col min="6154" max="6154" width="10.28515625" bestFit="1" customWidth="1"/>
    <col min="6155" max="6155" width="12.7109375" bestFit="1" customWidth="1"/>
    <col min="6156" max="6156" width="13.42578125" bestFit="1" customWidth="1"/>
    <col min="6157" max="6157" width="9.140625" customWidth="1"/>
    <col min="6399" max="6399" width="32.140625" customWidth="1"/>
    <col min="6400" max="6401" width="14.42578125" customWidth="1"/>
    <col min="6402" max="6403" width="13.5703125" customWidth="1"/>
    <col min="6404" max="6404" width="13.85546875" bestFit="1" customWidth="1"/>
    <col min="6405" max="6405" width="0" hidden="1" customWidth="1"/>
    <col min="6406" max="6406" width="12.140625" customWidth="1"/>
    <col min="6407" max="6407" width="13.85546875" bestFit="1" customWidth="1"/>
    <col min="6408" max="6408" width="13.42578125" bestFit="1" customWidth="1"/>
    <col min="6409" max="6409" width="0" hidden="1" customWidth="1"/>
    <col min="6410" max="6410" width="10.28515625" bestFit="1" customWidth="1"/>
    <col min="6411" max="6411" width="12.7109375" bestFit="1" customWidth="1"/>
    <col min="6412" max="6412" width="13.42578125" bestFit="1" customWidth="1"/>
    <col min="6413" max="6413" width="9.140625" customWidth="1"/>
    <col min="6655" max="6655" width="32.140625" customWidth="1"/>
    <col min="6656" max="6657" width="14.42578125" customWidth="1"/>
    <col min="6658" max="6659" width="13.5703125" customWidth="1"/>
    <col min="6660" max="6660" width="13.85546875" bestFit="1" customWidth="1"/>
    <col min="6661" max="6661" width="0" hidden="1" customWidth="1"/>
    <col min="6662" max="6662" width="12.140625" customWidth="1"/>
    <col min="6663" max="6663" width="13.85546875" bestFit="1" customWidth="1"/>
    <col min="6664" max="6664" width="13.42578125" bestFit="1" customWidth="1"/>
    <col min="6665" max="6665" width="0" hidden="1" customWidth="1"/>
    <col min="6666" max="6666" width="10.28515625" bestFit="1" customWidth="1"/>
    <col min="6667" max="6667" width="12.7109375" bestFit="1" customWidth="1"/>
    <col min="6668" max="6668" width="13.42578125" bestFit="1" customWidth="1"/>
    <col min="6669" max="6669" width="9.140625" customWidth="1"/>
    <col min="6911" max="6911" width="32.140625" customWidth="1"/>
    <col min="6912" max="6913" width="14.42578125" customWidth="1"/>
    <col min="6914" max="6915" width="13.5703125" customWidth="1"/>
    <col min="6916" max="6916" width="13.85546875" bestFit="1" customWidth="1"/>
    <col min="6917" max="6917" width="0" hidden="1" customWidth="1"/>
    <col min="6918" max="6918" width="12.140625" customWidth="1"/>
    <col min="6919" max="6919" width="13.85546875" bestFit="1" customWidth="1"/>
    <col min="6920" max="6920" width="13.42578125" bestFit="1" customWidth="1"/>
    <col min="6921" max="6921" width="0" hidden="1" customWidth="1"/>
    <col min="6922" max="6922" width="10.28515625" bestFit="1" customWidth="1"/>
    <col min="6923" max="6923" width="12.7109375" bestFit="1" customWidth="1"/>
    <col min="6924" max="6924" width="13.42578125" bestFit="1" customWidth="1"/>
    <col min="6925" max="6925" width="9.140625" customWidth="1"/>
    <col min="7167" max="7167" width="32.140625" customWidth="1"/>
    <col min="7168" max="7169" width="14.42578125" customWidth="1"/>
    <col min="7170" max="7171" width="13.5703125" customWidth="1"/>
    <col min="7172" max="7172" width="13.85546875" bestFit="1" customWidth="1"/>
    <col min="7173" max="7173" width="0" hidden="1" customWidth="1"/>
    <col min="7174" max="7174" width="12.140625" customWidth="1"/>
    <col min="7175" max="7175" width="13.85546875" bestFit="1" customWidth="1"/>
    <col min="7176" max="7176" width="13.42578125" bestFit="1" customWidth="1"/>
    <col min="7177" max="7177" width="0" hidden="1" customWidth="1"/>
    <col min="7178" max="7178" width="10.28515625" bestFit="1" customWidth="1"/>
    <col min="7179" max="7179" width="12.7109375" bestFit="1" customWidth="1"/>
    <col min="7180" max="7180" width="13.42578125" bestFit="1" customWidth="1"/>
    <col min="7181" max="7181" width="9.140625" customWidth="1"/>
    <col min="7423" max="7423" width="32.140625" customWidth="1"/>
    <col min="7424" max="7425" width="14.42578125" customWidth="1"/>
    <col min="7426" max="7427" width="13.5703125" customWidth="1"/>
    <col min="7428" max="7428" width="13.85546875" bestFit="1" customWidth="1"/>
    <col min="7429" max="7429" width="0" hidden="1" customWidth="1"/>
    <col min="7430" max="7430" width="12.140625" customWidth="1"/>
    <col min="7431" max="7431" width="13.85546875" bestFit="1" customWidth="1"/>
    <col min="7432" max="7432" width="13.42578125" bestFit="1" customWidth="1"/>
    <col min="7433" max="7433" width="0" hidden="1" customWidth="1"/>
    <col min="7434" max="7434" width="10.28515625" bestFit="1" customWidth="1"/>
    <col min="7435" max="7435" width="12.7109375" bestFit="1" customWidth="1"/>
    <col min="7436" max="7436" width="13.42578125" bestFit="1" customWidth="1"/>
    <col min="7437" max="7437" width="9.140625" customWidth="1"/>
    <col min="7679" max="7679" width="32.140625" customWidth="1"/>
    <col min="7680" max="7681" width="14.42578125" customWidth="1"/>
    <col min="7682" max="7683" width="13.5703125" customWidth="1"/>
    <col min="7684" max="7684" width="13.85546875" bestFit="1" customWidth="1"/>
    <col min="7685" max="7685" width="0" hidden="1" customWidth="1"/>
    <col min="7686" max="7686" width="12.140625" customWidth="1"/>
    <col min="7687" max="7687" width="13.85546875" bestFit="1" customWidth="1"/>
    <col min="7688" max="7688" width="13.42578125" bestFit="1" customWidth="1"/>
    <col min="7689" max="7689" width="0" hidden="1" customWidth="1"/>
    <col min="7690" max="7690" width="10.28515625" bestFit="1" customWidth="1"/>
    <col min="7691" max="7691" width="12.7109375" bestFit="1" customWidth="1"/>
    <col min="7692" max="7692" width="13.42578125" bestFit="1" customWidth="1"/>
    <col min="7693" max="7693" width="9.140625" customWidth="1"/>
    <col min="7935" max="7935" width="32.140625" customWidth="1"/>
    <col min="7936" max="7937" width="14.42578125" customWidth="1"/>
    <col min="7938" max="7939" width="13.5703125" customWidth="1"/>
    <col min="7940" max="7940" width="13.85546875" bestFit="1" customWidth="1"/>
    <col min="7941" max="7941" width="0" hidden="1" customWidth="1"/>
    <col min="7942" max="7942" width="12.140625" customWidth="1"/>
    <col min="7943" max="7943" width="13.85546875" bestFit="1" customWidth="1"/>
    <col min="7944" max="7944" width="13.42578125" bestFit="1" customWidth="1"/>
    <col min="7945" max="7945" width="0" hidden="1" customWidth="1"/>
    <col min="7946" max="7946" width="10.28515625" bestFit="1" customWidth="1"/>
    <col min="7947" max="7947" width="12.7109375" bestFit="1" customWidth="1"/>
    <col min="7948" max="7948" width="13.42578125" bestFit="1" customWidth="1"/>
    <col min="7949" max="7949" width="9.140625" customWidth="1"/>
    <col min="8191" max="8191" width="32.140625" customWidth="1"/>
    <col min="8192" max="8193" width="14.42578125" customWidth="1"/>
    <col min="8194" max="8195" width="13.5703125" customWidth="1"/>
    <col min="8196" max="8196" width="13.85546875" bestFit="1" customWidth="1"/>
    <col min="8197" max="8197" width="0" hidden="1" customWidth="1"/>
    <col min="8198" max="8198" width="12.140625" customWidth="1"/>
    <col min="8199" max="8199" width="13.85546875" bestFit="1" customWidth="1"/>
    <col min="8200" max="8200" width="13.42578125" bestFit="1" customWidth="1"/>
    <col min="8201" max="8201" width="0" hidden="1" customWidth="1"/>
    <col min="8202" max="8202" width="10.28515625" bestFit="1" customWidth="1"/>
    <col min="8203" max="8203" width="12.7109375" bestFit="1" customWidth="1"/>
    <col min="8204" max="8204" width="13.42578125" bestFit="1" customWidth="1"/>
    <col min="8205" max="8205" width="9.140625" customWidth="1"/>
    <col min="8447" max="8447" width="32.140625" customWidth="1"/>
    <col min="8448" max="8449" width="14.42578125" customWidth="1"/>
    <col min="8450" max="8451" width="13.5703125" customWidth="1"/>
    <col min="8452" max="8452" width="13.85546875" bestFit="1" customWidth="1"/>
    <col min="8453" max="8453" width="0" hidden="1" customWidth="1"/>
    <col min="8454" max="8454" width="12.140625" customWidth="1"/>
    <col min="8455" max="8455" width="13.85546875" bestFit="1" customWidth="1"/>
    <col min="8456" max="8456" width="13.42578125" bestFit="1" customWidth="1"/>
    <col min="8457" max="8457" width="0" hidden="1" customWidth="1"/>
    <col min="8458" max="8458" width="10.28515625" bestFit="1" customWidth="1"/>
    <col min="8459" max="8459" width="12.7109375" bestFit="1" customWidth="1"/>
    <col min="8460" max="8460" width="13.42578125" bestFit="1" customWidth="1"/>
    <col min="8461" max="8461" width="9.140625" customWidth="1"/>
    <col min="8703" max="8703" width="32.140625" customWidth="1"/>
    <col min="8704" max="8705" width="14.42578125" customWidth="1"/>
    <col min="8706" max="8707" width="13.5703125" customWidth="1"/>
    <col min="8708" max="8708" width="13.85546875" bestFit="1" customWidth="1"/>
    <col min="8709" max="8709" width="0" hidden="1" customWidth="1"/>
    <col min="8710" max="8710" width="12.140625" customWidth="1"/>
    <col min="8711" max="8711" width="13.85546875" bestFit="1" customWidth="1"/>
    <col min="8712" max="8712" width="13.42578125" bestFit="1" customWidth="1"/>
    <col min="8713" max="8713" width="0" hidden="1" customWidth="1"/>
    <col min="8714" max="8714" width="10.28515625" bestFit="1" customWidth="1"/>
    <col min="8715" max="8715" width="12.7109375" bestFit="1" customWidth="1"/>
    <col min="8716" max="8716" width="13.42578125" bestFit="1" customWidth="1"/>
    <col min="8717" max="8717" width="9.140625" customWidth="1"/>
    <col min="8959" max="8959" width="32.140625" customWidth="1"/>
    <col min="8960" max="8961" width="14.42578125" customWidth="1"/>
    <col min="8962" max="8963" width="13.5703125" customWidth="1"/>
    <col min="8964" max="8964" width="13.85546875" bestFit="1" customWidth="1"/>
    <col min="8965" max="8965" width="0" hidden="1" customWidth="1"/>
    <col min="8966" max="8966" width="12.140625" customWidth="1"/>
    <col min="8967" max="8967" width="13.85546875" bestFit="1" customWidth="1"/>
    <col min="8968" max="8968" width="13.42578125" bestFit="1" customWidth="1"/>
    <col min="8969" max="8969" width="0" hidden="1" customWidth="1"/>
    <col min="8970" max="8970" width="10.28515625" bestFit="1" customWidth="1"/>
    <col min="8971" max="8971" width="12.7109375" bestFit="1" customWidth="1"/>
    <col min="8972" max="8972" width="13.42578125" bestFit="1" customWidth="1"/>
    <col min="8973" max="8973" width="9.140625" customWidth="1"/>
    <col min="9215" max="9215" width="32.140625" customWidth="1"/>
    <col min="9216" max="9217" width="14.42578125" customWidth="1"/>
    <col min="9218" max="9219" width="13.5703125" customWidth="1"/>
    <col min="9220" max="9220" width="13.85546875" bestFit="1" customWidth="1"/>
    <col min="9221" max="9221" width="0" hidden="1" customWidth="1"/>
    <col min="9222" max="9222" width="12.140625" customWidth="1"/>
    <col min="9223" max="9223" width="13.85546875" bestFit="1" customWidth="1"/>
    <col min="9224" max="9224" width="13.42578125" bestFit="1" customWidth="1"/>
    <col min="9225" max="9225" width="0" hidden="1" customWidth="1"/>
    <col min="9226" max="9226" width="10.28515625" bestFit="1" customWidth="1"/>
    <col min="9227" max="9227" width="12.7109375" bestFit="1" customWidth="1"/>
    <col min="9228" max="9228" width="13.42578125" bestFit="1" customWidth="1"/>
    <col min="9229" max="9229" width="9.140625" customWidth="1"/>
    <col min="9471" max="9471" width="32.140625" customWidth="1"/>
    <col min="9472" max="9473" width="14.42578125" customWidth="1"/>
    <col min="9474" max="9475" width="13.5703125" customWidth="1"/>
    <col min="9476" max="9476" width="13.85546875" bestFit="1" customWidth="1"/>
    <col min="9477" max="9477" width="0" hidden="1" customWidth="1"/>
    <col min="9478" max="9478" width="12.140625" customWidth="1"/>
    <col min="9479" max="9479" width="13.85546875" bestFit="1" customWidth="1"/>
    <col min="9480" max="9480" width="13.42578125" bestFit="1" customWidth="1"/>
    <col min="9481" max="9481" width="0" hidden="1" customWidth="1"/>
    <col min="9482" max="9482" width="10.28515625" bestFit="1" customWidth="1"/>
    <col min="9483" max="9483" width="12.7109375" bestFit="1" customWidth="1"/>
    <col min="9484" max="9484" width="13.42578125" bestFit="1" customWidth="1"/>
    <col min="9485" max="9485" width="9.140625" customWidth="1"/>
    <col min="9727" max="9727" width="32.140625" customWidth="1"/>
    <col min="9728" max="9729" width="14.42578125" customWidth="1"/>
    <col min="9730" max="9731" width="13.5703125" customWidth="1"/>
    <col min="9732" max="9732" width="13.85546875" bestFit="1" customWidth="1"/>
    <col min="9733" max="9733" width="0" hidden="1" customWidth="1"/>
    <col min="9734" max="9734" width="12.140625" customWidth="1"/>
    <col min="9735" max="9735" width="13.85546875" bestFit="1" customWidth="1"/>
    <col min="9736" max="9736" width="13.42578125" bestFit="1" customWidth="1"/>
    <col min="9737" max="9737" width="0" hidden="1" customWidth="1"/>
    <col min="9738" max="9738" width="10.28515625" bestFit="1" customWidth="1"/>
    <col min="9739" max="9739" width="12.7109375" bestFit="1" customWidth="1"/>
    <col min="9740" max="9740" width="13.42578125" bestFit="1" customWidth="1"/>
    <col min="9741" max="9741" width="9.140625" customWidth="1"/>
    <col min="9983" max="9983" width="32.140625" customWidth="1"/>
    <col min="9984" max="9985" width="14.42578125" customWidth="1"/>
    <col min="9986" max="9987" width="13.5703125" customWidth="1"/>
    <col min="9988" max="9988" width="13.85546875" bestFit="1" customWidth="1"/>
    <col min="9989" max="9989" width="0" hidden="1" customWidth="1"/>
    <col min="9990" max="9990" width="12.140625" customWidth="1"/>
    <col min="9991" max="9991" width="13.85546875" bestFit="1" customWidth="1"/>
    <col min="9992" max="9992" width="13.42578125" bestFit="1" customWidth="1"/>
    <col min="9993" max="9993" width="0" hidden="1" customWidth="1"/>
    <col min="9994" max="9994" width="10.28515625" bestFit="1" customWidth="1"/>
    <col min="9995" max="9995" width="12.7109375" bestFit="1" customWidth="1"/>
    <col min="9996" max="9996" width="13.42578125" bestFit="1" customWidth="1"/>
    <col min="9997" max="9997" width="9.140625" customWidth="1"/>
    <col min="10239" max="10239" width="32.140625" customWidth="1"/>
    <col min="10240" max="10241" width="14.42578125" customWidth="1"/>
    <col min="10242" max="10243" width="13.5703125" customWidth="1"/>
    <col min="10244" max="10244" width="13.85546875" bestFit="1" customWidth="1"/>
    <col min="10245" max="10245" width="0" hidden="1" customWidth="1"/>
    <col min="10246" max="10246" width="12.140625" customWidth="1"/>
    <col min="10247" max="10247" width="13.85546875" bestFit="1" customWidth="1"/>
    <col min="10248" max="10248" width="13.42578125" bestFit="1" customWidth="1"/>
    <col min="10249" max="10249" width="0" hidden="1" customWidth="1"/>
    <col min="10250" max="10250" width="10.28515625" bestFit="1" customWidth="1"/>
    <col min="10251" max="10251" width="12.7109375" bestFit="1" customWidth="1"/>
    <col min="10252" max="10252" width="13.42578125" bestFit="1" customWidth="1"/>
    <col min="10253" max="10253" width="9.140625" customWidth="1"/>
    <col min="10495" max="10495" width="32.140625" customWidth="1"/>
    <col min="10496" max="10497" width="14.42578125" customWidth="1"/>
    <col min="10498" max="10499" width="13.5703125" customWidth="1"/>
    <col min="10500" max="10500" width="13.85546875" bestFit="1" customWidth="1"/>
    <col min="10501" max="10501" width="0" hidden="1" customWidth="1"/>
    <col min="10502" max="10502" width="12.140625" customWidth="1"/>
    <col min="10503" max="10503" width="13.85546875" bestFit="1" customWidth="1"/>
    <col min="10504" max="10504" width="13.42578125" bestFit="1" customWidth="1"/>
    <col min="10505" max="10505" width="0" hidden="1" customWidth="1"/>
    <col min="10506" max="10506" width="10.28515625" bestFit="1" customWidth="1"/>
    <col min="10507" max="10507" width="12.7109375" bestFit="1" customWidth="1"/>
    <col min="10508" max="10508" width="13.42578125" bestFit="1" customWidth="1"/>
    <col min="10509" max="10509" width="9.140625" customWidth="1"/>
    <col min="10751" max="10751" width="32.140625" customWidth="1"/>
    <col min="10752" max="10753" width="14.42578125" customWidth="1"/>
    <col min="10754" max="10755" width="13.5703125" customWidth="1"/>
    <col min="10756" max="10756" width="13.85546875" bestFit="1" customWidth="1"/>
    <col min="10757" max="10757" width="0" hidden="1" customWidth="1"/>
    <col min="10758" max="10758" width="12.140625" customWidth="1"/>
    <col min="10759" max="10759" width="13.85546875" bestFit="1" customWidth="1"/>
    <col min="10760" max="10760" width="13.42578125" bestFit="1" customWidth="1"/>
    <col min="10761" max="10761" width="0" hidden="1" customWidth="1"/>
    <col min="10762" max="10762" width="10.28515625" bestFit="1" customWidth="1"/>
    <col min="10763" max="10763" width="12.7109375" bestFit="1" customWidth="1"/>
    <col min="10764" max="10764" width="13.42578125" bestFit="1" customWidth="1"/>
    <col min="10765" max="10765" width="9.140625" customWidth="1"/>
    <col min="11007" max="11007" width="32.140625" customWidth="1"/>
    <col min="11008" max="11009" width="14.42578125" customWidth="1"/>
    <col min="11010" max="11011" width="13.5703125" customWidth="1"/>
    <col min="11012" max="11012" width="13.85546875" bestFit="1" customWidth="1"/>
    <col min="11013" max="11013" width="0" hidden="1" customWidth="1"/>
    <col min="11014" max="11014" width="12.140625" customWidth="1"/>
    <col min="11015" max="11015" width="13.85546875" bestFit="1" customWidth="1"/>
    <col min="11016" max="11016" width="13.42578125" bestFit="1" customWidth="1"/>
    <col min="11017" max="11017" width="0" hidden="1" customWidth="1"/>
    <col min="11018" max="11018" width="10.28515625" bestFit="1" customWidth="1"/>
    <col min="11019" max="11019" width="12.7109375" bestFit="1" customWidth="1"/>
    <col min="11020" max="11020" width="13.42578125" bestFit="1" customWidth="1"/>
    <col min="11021" max="11021" width="9.140625" customWidth="1"/>
    <col min="11263" max="11263" width="32.140625" customWidth="1"/>
    <col min="11264" max="11265" width="14.42578125" customWidth="1"/>
    <col min="11266" max="11267" width="13.5703125" customWidth="1"/>
    <col min="11268" max="11268" width="13.85546875" bestFit="1" customWidth="1"/>
    <col min="11269" max="11269" width="0" hidden="1" customWidth="1"/>
    <col min="11270" max="11270" width="12.140625" customWidth="1"/>
    <col min="11271" max="11271" width="13.85546875" bestFit="1" customWidth="1"/>
    <col min="11272" max="11272" width="13.42578125" bestFit="1" customWidth="1"/>
    <col min="11273" max="11273" width="0" hidden="1" customWidth="1"/>
    <col min="11274" max="11274" width="10.28515625" bestFit="1" customWidth="1"/>
    <col min="11275" max="11275" width="12.7109375" bestFit="1" customWidth="1"/>
    <col min="11276" max="11276" width="13.42578125" bestFit="1" customWidth="1"/>
    <col min="11277" max="11277" width="9.140625" customWidth="1"/>
    <col min="11519" max="11519" width="32.140625" customWidth="1"/>
    <col min="11520" max="11521" width="14.42578125" customWidth="1"/>
    <col min="11522" max="11523" width="13.5703125" customWidth="1"/>
    <col min="11524" max="11524" width="13.85546875" bestFit="1" customWidth="1"/>
    <col min="11525" max="11525" width="0" hidden="1" customWidth="1"/>
    <col min="11526" max="11526" width="12.140625" customWidth="1"/>
    <col min="11527" max="11527" width="13.85546875" bestFit="1" customWidth="1"/>
    <col min="11528" max="11528" width="13.42578125" bestFit="1" customWidth="1"/>
    <col min="11529" max="11529" width="0" hidden="1" customWidth="1"/>
    <col min="11530" max="11530" width="10.28515625" bestFit="1" customWidth="1"/>
    <col min="11531" max="11531" width="12.7109375" bestFit="1" customWidth="1"/>
    <col min="11532" max="11532" width="13.42578125" bestFit="1" customWidth="1"/>
    <col min="11533" max="11533" width="9.140625" customWidth="1"/>
    <col min="11775" max="11775" width="32.140625" customWidth="1"/>
    <col min="11776" max="11777" width="14.42578125" customWidth="1"/>
    <col min="11778" max="11779" width="13.5703125" customWidth="1"/>
    <col min="11780" max="11780" width="13.85546875" bestFit="1" customWidth="1"/>
    <col min="11781" max="11781" width="0" hidden="1" customWidth="1"/>
    <col min="11782" max="11782" width="12.140625" customWidth="1"/>
    <col min="11783" max="11783" width="13.85546875" bestFit="1" customWidth="1"/>
    <col min="11784" max="11784" width="13.42578125" bestFit="1" customWidth="1"/>
    <col min="11785" max="11785" width="0" hidden="1" customWidth="1"/>
    <col min="11786" max="11786" width="10.28515625" bestFit="1" customWidth="1"/>
    <col min="11787" max="11787" width="12.7109375" bestFit="1" customWidth="1"/>
    <col min="11788" max="11788" width="13.42578125" bestFit="1" customWidth="1"/>
    <col min="11789" max="11789" width="9.140625" customWidth="1"/>
    <col min="12031" max="12031" width="32.140625" customWidth="1"/>
    <col min="12032" max="12033" width="14.42578125" customWidth="1"/>
    <col min="12034" max="12035" width="13.5703125" customWidth="1"/>
    <col min="12036" max="12036" width="13.85546875" bestFit="1" customWidth="1"/>
    <col min="12037" max="12037" width="0" hidden="1" customWidth="1"/>
    <col min="12038" max="12038" width="12.140625" customWidth="1"/>
    <col min="12039" max="12039" width="13.85546875" bestFit="1" customWidth="1"/>
    <col min="12040" max="12040" width="13.42578125" bestFit="1" customWidth="1"/>
    <col min="12041" max="12041" width="0" hidden="1" customWidth="1"/>
    <col min="12042" max="12042" width="10.28515625" bestFit="1" customWidth="1"/>
    <col min="12043" max="12043" width="12.7109375" bestFit="1" customWidth="1"/>
    <col min="12044" max="12044" width="13.42578125" bestFit="1" customWidth="1"/>
    <col min="12045" max="12045" width="9.140625" customWidth="1"/>
    <col min="12287" max="12287" width="32.140625" customWidth="1"/>
    <col min="12288" max="12289" width="14.42578125" customWidth="1"/>
    <col min="12290" max="12291" width="13.5703125" customWidth="1"/>
    <col min="12292" max="12292" width="13.85546875" bestFit="1" customWidth="1"/>
    <col min="12293" max="12293" width="0" hidden="1" customWidth="1"/>
    <col min="12294" max="12294" width="12.140625" customWidth="1"/>
    <col min="12295" max="12295" width="13.85546875" bestFit="1" customWidth="1"/>
    <col min="12296" max="12296" width="13.42578125" bestFit="1" customWidth="1"/>
    <col min="12297" max="12297" width="0" hidden="1" customWidth="1"/>
    <col min="12298" max="12298" width="10.28515625" bestFit="1" customWidth="1"/>
    <col min="12299" max="12299" width="12.7109375" bestFit="1" customWidth="1"/>
    <col min="12300" max="12300" width="13.42578125" bestFit="1" customWidth="1"/>
    <col min="12301" max="12301" width="9.140625" customWidth="1"/>
    <col min="12543" max="12543" width="32.140625" customWidth="1"/>
    <col min="12544" max="12545" width="14.42578125" customWidth="1"/>
    <col min="12546" max="12547" width="13.5703125" customWidth="1"/>
    <col min="12548" max="12548" width="13.85546875" bestFit="1" customWidth="1"/>
    <col min="12549" max="12549" width="0" hidden="1" customWidth="1"/>
    <col min="12550" max="12550" width="12.140625" customWidth="1"/>
    <col min="12551" max="12551" width="13.85546875" bestFit="1" customWidth="1"/>
    <col min="12552" max="12552" width="13.42578125" bestFit="1" customWidth="1"/>
    <col min="12553" max="12553" width="0" hidden="1" customWidth="1"/>
    <col min="12554" max="12554" width="10.28515625" bestFit="1" customWidth="1"/>
    <col min="12555" max="12555" width="12.7109375" bestFit="1" customWidth="1"/>
    <col min="12556" max="12556" width="13.42578125" bestFit="1" customWidth="1"/>
    <col min="12557" max="12557" width="9.140625" customWidth="1"/>
    <col min="12799" max="12799" width="32.140625" customWidth="1"/>
    <col min="12800" max="12801" width="14.42578125" customWidth="1"/>
    <col min="12802" max="12803" width="13.5703125" customWidth="1"/>
    <col min="12804" max="12804" width="13.85546875" bestFit="1" customWidth="1"/>
    <col min="12805" max="12805" width="0" hidden="1" customWidth="1"/>
    <col min="12806" max="12806" width="12.140625" customWidth="1"/>
    <col min="12807" max="12807" width="13.85546875" bestFit="1" customWidth="1"/>
    <col min="12808" max="12808" width="13.42578125" bestFit="1" customWidth="1"/>
    <col min="12809" max="12809" width="0" hidden="1" customWidth="1"/>
    <col min="12810" max="12810" width="10.28515625" bestFit="1" customWidth="1"/>
    <col min="12811" max="12811" width="12.7109375" bestFit="1" customWidth="1"/>
    <col min="12812" max="12812" width="13.42578125" bestFit="1" customWidth="1"/>
    <col min="12813" max="12813" width="9.140625" customWidth="1"/>
    <col min="13055" max="13055" width="32.140625" customWidth="1"/>
    <col min="13056" max="13057" width="14.42578125" customWidth="1"/>
    <col min="13058" max="13059" width="13.5703125" customWidth="1"/>
    <col min="13060" max="13060" width="13.85546875" bestFit="1" customWidth="1"/>
    <col min="13061" max="13061" width="0" hidden="1" customWidth="1"/>
    <col min="13062" max="13062" width="12.140625" customWidth="1"/>
    <col min="13063" max="13063" width="13.85546875" bestFit="1" customWidth="1"/>
    <col min="13064" max="13064" width="13.42578125" bestFit="1" customWidth="1"/>
    <col min="13065" max="13065" width="0" hidden="1" customWidth="1"/>
    <col min="13066" max="13066" width="10.28515625" bestFit="1" customWidth="1"/>
    <col min="13067" max="13067" width="12.7109375" bestFit="1" customWidth="1"/>
    <col min="13068" max="13068" width="13.42578125" bestFit="1" customWidth="1"/>
    <col min="13069" max="13069" width="9.140625" customWidth="1"/>
    <col min="13311" max="13311" width="32.140625" customWidth="1"/>
    <col min="13312" max="13313" width="14.42578125" customWidth="1"/>
    <col min="13314" max="13315" width="13.5703125" customWidth="1"/>
    <col min="13316" max="13316" width="13.85546875" bestFit="1" customWidth="1"/>
    <col min="13317" max="13317" width="0" hidden="1" customWidth="1"/>
    <col min="13318" max="13318" width="12.140625" customWidth="1"/>
    <col min="13319" max="13319" width="13.85546875" bestFit="1" customWidth="1"/>
    <col min="13320" max="13320" width="13.42578125" bestFit="1" customWidth="1"/>
    <col min="13321" max="13321" width="0" hidden="1" customWidth="1"/>
    <col min="13322" max="13322" width="10.28515625" bestFit="1" customWidth="1"/>
    <col min="13323" max="13323" width="12.7109375" bestFit="1" customWidth="1"/>
    <col min="13324" max="13324" width="13.42578125" bestFit="1" customWidth="1"/>
    <col min="13325" max="13325" width="9.140625" customWidth="1"/>
    <col min="13567" max="13567" width="32.140625" customWidth="1"/>
    <col min="13568" max="13569" width="14.42578125" customWidth="1"/>
    <col min="13570" max="13571" width="13.5703125" customWidth="1"/>
    <col min="13572" max="13572" width="13.85546875" bestFit="1" customWidth="1"/>
    <col min="13573" max="13573" width="0" hidden="1" customWidth="1"/>
    <col min="13574" max="13574" width="12.140625" customWidth="1"/>
    <col min="13575" max="13575" width="13.85546875" bestFit="1" customWidth="1"/>
    <col min="13576" max="13576" width="13.42578125" bestFit="1" customWidth="1"/>
    <col min="13577" max="13577" width="0" hidden="1" customWidth="1"/>
    <col min="13578" max="13578" width="10.28515625" bestFit="1" customWidth="1"/>
    <col min="13579" max="13579" width="12.7109375" bestFit="1" customWidth="1"/>
    <col min="13580" max="13580" width="13.42578125" bestFit="1" customWidth="1"/>
    <col min="13581" max="13581" width="9.140625" customWidth="1"/>
    <col min="13823" max="13823" width="32.140625" customWidth="1"/>
    <col min="13824" max="13825" width="14.42578125" customWidth="1"/>
    <col min="13826" max="13827" width="13.5703125" customWidth="1"/>
    <col min="13828" max="13828" width="13.85546875" bestFit="1" customWidth="1"/>
    <col min="13829" max="13829" width="0" hidden="1" customWidth="1"/>
    <col min="13830" max="13830" width="12.140625" customWidth="1"/>
    <col min="13831" max="13831" width="13.85546875" bestFit="1" customWidth="1"/>
    <col min="13832" max="13832" width="13.42578125" bestFit="1" customWidth="1"/>
    <col min="13833" max="13833" width="0" hidden="1" customWidth="1"/>
    <col min="13834" max="13834" width="10.28515625" bestFit="1" customWidth="1"/>
    <col min="13835" max="13835" width="12.7109375" bestFit="1" customWidth="1"/>
    <col min="13836" max="13836" width="13.42578125" bestFit="1" customWidth="1"/>
    <col min="13837" max="13837" width="9.140625" customWidth="1"/>
    <col min="14079" max="14079" width="32.140625" customWidth="1"/>
    <col min="14080" max="14081" width="14.42578125" customWidth="1"/>
    <col min="14082" max="14083" width="13.5703125" customWidth="1"/>
    <col min="14084" max="14084" width="13.85546875" bestFit="1" customWidth="1"/>
    <col min="14085" max="14085" width="0" hidden="1" customWidth="1"/>
    <col min="14086" max="14086" width="12.140625" customWidth="1"/>
    <col min="14087" max="14087" width="13.85546875" bestFit="1" customWidth="1"/>
    <col min="14088" max="14088" width="13.42578125" bestFit="1" customWidth="1"/>
    <col min="14089" max="14089" width="0" hidden="1" customWidth="1"/>
    <col min="14090" max="14090" width="10.28515625" bestFit="1" customWidth="1"/>
    <col min="14091" max="14091" width="12.7109375" bestFit="1" customWidth="1"/>
    <col min="14092" max="14092" width="13.42578125" bestFit="1" customWidth="1"/>
    <col min="14093" max="14093" width="9.140625" customWidth="1"/>
    <col min="14335" max="14335" width="32.140625" customWidth="1"/>
    <col min="14336" max="14337" width="14.42578125" customWidth="1"/>
    <col min="14338" max="14339" width="13.5703125" customWidth="1"/>
    <col min="14340" max="14340" width="13.85546875" bestFit="1" customWidth="1"/>
    <col min="14341" max="14341" width="0" hidden="1" customWidth="1"/>
    <col min="14342" max="14342" width="12.140625" customWidth="1"/>
    <col min="14343" max="14343" width="13.85546875" bestFit="1" customWidth="1"/>
    <col min="14344" max="14344" width="13.42578125" bestFit="1" customWidth="1"/>
    <col min="14345" max="14345" width="0" hidden="1" customWidth="1"/>
    <col min="14346" max="14346" width="10.28515625" bestFit="1" customWidth="1"/>
    <col min="14347" max="14347" width="12.7109375" bestFit="1" customWidth="1"/>
    <col min="14348" max="14348" width="13.42578125" bestFit="1" customWidth="1"/>
    <col min="14349" max="14349" width="9.140625" customWidth="1"/>
    <col min="14591" max="14591" width="32.140625" customWidth="1"/>
    <col min="14592" max="14593" width="14.42578125" customWidth="1"/>
    <col min="14594" max="14595" width="13.5703125" customWidth="1"/>
    <col min="14596" max="14596" width="13.85546875" bestFit="1" customWidth="1"/>
    <col min="14597" max="14597" width="0" hidden="1" customWidth="1"/>
    <col min="14598" max="14598" width="12.140625" customWidth="1"/>
    <col min="14599" max="14599" width="13.85546875" bestFit="1" customWidth="1"/>
    <col min="14600" max="14600" width="13.42578125" bestFit="1" customWidth="1"/>
    <col min="14601" max="14601" width="0" hidden="1" customWidth="1"/>
    <col min="14602" max="14602" width="10.28515625" bestFit="1" customWidth="1"/>
    <col min="14603" max="14603" width="12.7109375" bestFit="1" customWidth="1"/>
    <col min="14604" max="14604" width="13.42578125" bestFit="1" customWidth="1"/>
    <col min="14605" max="14605" width="9.140625" customWidth="1"/>
    <col min="14847" max="14847" width="32.140625" customWidth="1"/>
    <col min="14848" max="14849" width="14.42578125" customWidth="1"/>
    <col min="14850" max="14851" width="13.5703125" customWidth="1"/>
    <col min="14852" max="14852" width="13.85546875" bestFit="1" customWidth="1"/>
    <col min="14853" max="14853" width="0" hidden="1" customWidth="1"/>
    <col min="14854" max="14854" width="12.140625" customWidth="1"/>
    <col min="14855" max="14855" width="13.85546875" bestFit="1" customWidth="1"/>
    <col min="14856" max="14856" width="13.42578125" bestFit="1" customWidth="1"/>
    <col min="14857" max="14857" width="0" hidden="1" customWidth="1"/>
    <col min="14858" max="14858" width="10.28515625" bestFit="1" customWidth="1"/>
    <col min="14859" max="14859" width="12.7109375" bestFit="1" customWidth="1"/>
    <col min="14860" max="14860" width="13.42578125" bestFit="1" customWidth="1"/>
    <col min="14861" max="14861" width="9.140625" customWidth="1"/>
    <col min="15103" max="15103" width="32.140625" customWidth="1"/>
    <col min="15104" max="15105" width="14.42578125" customWidth="1"/>
    <col min="15106" max="15107" width="13.5703125" customWidth="1"/>
    <col min="15108" max="15108" width="13.85546875" bestFit="1" customWidth="1"/>
    <col min="15109" max="15109" width="0" hidden="1" customWidth="1"/>
    <col min="15110" max="15110" width="12.140625" customWidth="1"/>
    <col min="15111" max="15111" width="13.85546875" bestFit="1" customWidth="1"/>
    <col min="15112" max="15112" width="13.42578125" bestFit="1" customWidth="1"/>
    <col min="15113" max="15113" width="0" hidden="1" customWidth="1"/>
    <col min="15114" max="15114" width="10.28515625" bestFit="1" customWidth="1"/>
    <col min="15115" max="15115" width="12.7109375" bestFit="1" customWidth="1"/>
    <col min="15116" max="15116" width="13.42578125" bestFit="1" customWidth="1"/>
    <col min="15117" max="15117" width="9.140625" customWidth="1"/>
    <col min="15359" max="15359" width="32.140625" customWidth="1"/>
    <col min="15360" max="15361" width="14.42578125" customWidth="1"/>
    <col min="15362" max="15363" width="13.5703125" customWidth="1"/>
    <col min="15364" max="15364" width="13.85546875" bestFit="1" customWidth="1"/>
    <col min="15365" max="15365" width="0" hidden="1" customWidth="1"/>
    <col min="15366" max="15366" width="12.140625" customWidth="1"/>
    <col min="15367" max="15367" width="13.85546875" bestFit="1" customWidth="1"/>
    <col min="15368" max="15368" width="13.42578125" bestFit="1" customWidth="1"/>
    <col min="15369" max="15369" width="0" hidden="1" customWidth="1"/>
    <col min="15370" max="15370" width="10.28515625" bestFit="1" customWidth="1"/>
    <col min="15371" max="15371" width="12.7109375" bestFit="1" customWidth="1"/>
    <col min="15372" max="15372" width="13.42578125" bestFit="1" customWidth="1"/>
    <col min="15373" max="15373" width="9.140625" customWidth="1"/>
    <col min="15615" max="15615" width="32.140625" customWidth="1"/>
    <col min="15616" max="15617" width="14.42578125" customWidth="1"/>
    <col min="15618" max="15619" width="13.5703125" customWidth="1"/>
    <col min="15620" max="15620" width="13.85546875" bestFit="1" customWidth="1"/>
    <col min="15621" max="15621" width="0" hidden="1" customWidth="1"/>
    <col min="15622" max="15622" width="12.140625" customWidth="1"/>
    <col min="15623" max="15623" width="13.85546875" bestFit="1" customWidth="1"/>
    <col min="15624" max="15624" width="13.42578125" bestFit="1" customWidth="1"/>
    <col min="15625" max="15625" width="0" hidden="1" customWidth="1"/>
    <col min="15626" max="15626" width="10.28515625" bestFit="1" customWidth="1"/>
    <col min="15627" max="15627" width="12.7109375" bestFit="1" customWidth="1"/>
    <col min="15628" max="15628" width="13.42578125" bestFit="1" customWidth="1"/>
    <col min="15629" max="15629" width="9.140625" customWidth="1"/>
    <col min="15871" max="15871" width="32.140625" customWidth="1"/>
    <col min="15872" max="15873" width="14.42578125" customWidth="1"/>
    <col min="15874" max="15875" width="13.5703125" customWidth="1"/>
    <col min="15876" max="15876" width="13.85546875" bestFit="1" customWidth="1"/>
    <col min="15877" max="15877" width="0" hidden="1" customWidth="1"/>
    <col min="15878" max="15878" width="12.140625" customWidth="1"/>
    <col min="15879" max="15879" width="13.85546875" bestFit="1" customWidth="1"/>
    <col min="15880" max="15880" width="13.42578125" bestFit="1" customWidth="1"/>
    <col min="15881" max="15881" width="0" hidden="1" customWidth="1"/>
    <col min="15882" max="15882" width="10.28515625" bestFit="1" customWidth="1"/>
    <col min="15883" max="15883" width="12.7109375" bestFit="1" customWidth="1"/>
    <col min="15884" max="15884" width="13.42578125" bestFit="1" customWidth="1"/>
    <col min="15885" max="15885" width="9.140625" customWidth="1"/>
    <col min="16127" max="16127" width="32.140625" customWidth="1"/>
    <col min="16128" max="16129" width="14.42578125" customWidth="1"/>
    <col min="16130" max="16131" width="13.5703125" customWidth="1"/>
    <col min="16132" max="16132" width="13.85546875" bestFit="1" customWidth="1"/>
    <col min="16133" max="16133" width="0" hidden="1" customWidth="1"/>
    <col min="16134" max="16134" width="12.140625" customWidth="1"/>
    <col min="16135" max="16135" width="13.85546875" bestFit="1" customWidth="1"/>
    <col min="16136" max="16136" width="13.42578125" bestFit="1" customWidth="1"/>
    <col min="16137" max="16137" width="0" hidden="1" customWidth="1"/>
    <col min="16138" max="16138" width="10.28515625" bestFit="1" customWidth="1"/>
    <col min="16139" max="16139" width="12.7109375" bestFit="1" customWidth="1"/>
    <col min="16140" max="16140" width="13.42578125" bestFit="1" customWidth="1"/>
    <col min="16141" max="16141" width="9.140625" customWidth="1"/>
  </cols>
  <sheetData>
    <row r="1" spans="1:12" ht="24" customHeight="1">
      <c r="A1" s="416"/>
      <c r="B1" s="417" t="s">
        <v>1057</v>
      </c>
      <c r="C1" s="418"/>
      <c r="H1" s="1128"/>
      <c r="J1" s="1128"/>
      <c r="K1" s="1128"/>
    </row>
    <row r="2" spans="1:12" ht="13.5" thickBot="1">
      <c r="J2" s="350"/>
      <c r="L2" s="1128" t="s">
        <v>1741</v>
      </c>
    </row>
    <row r="3" spans="1:12" s="426" customFormat="1" ht="38.25">
      <c r="A3" s="421" t="s">
        <v>1058</v>
      </c>
      <c r="B3" s="422" t="s">
        <v>1059</v>
      </c>
      <c r="C3" s="423" t="s">
        <v>1060</v>
      </c>
      <c r="D3" s="424" t="s">
        <v>1061</v>
      </c>
      <c r="E3" s="423" t="s">
        <v>1062</v>
      </c>
      <c r="F3" s="423" t="s">
        <v>1063</v>
      </c>
      <c r="G3" s="423" t="s">
        <v>1064</v>
      </c>
      <c r="H3" s="423" t="s">
        <v>1065</v>
      </c>
      <c r="I3" s="423" t="s">
        <v>1066</v>
      </c>
      <c r="J3" s="422" t="s">
        <v>1067</v>
      </c>
      <c r="K3" s="423" t="s">
        <v>943</v>
      </c>
      <c r="L3" s="425" t="s">
        <v>1068</v>
      </c>
    </row>
    <row r="4" spans="1:12" ht="33.75" customHeight="1">
      <c r="A4" s="427" t="str">
        <f>'4.beruházás'!A8</f>
        <v>Vizminőség javító pályázat</v>
      </c>
      <c r="B4" s="428">
        <f>'4.beruházás'!D8</f>
        <v>553042773</v>
      </c>
      <c r="C4" s="428"/>
      <c r="D4" s="310"/>
      <c r="E4" s="310"/>
      <c r="F4" s="310"/>
      <c r="G4" s="310">
        <f>B4</f>
        <v>553042773</v>
      </c>
      <c r="H4" s="310"/>
      <c r="I4" s="310"/>
      <c r="J4" s="310"/>
      <c r="K4" s="310">
        <f>SUM(C4:J4)</f>
        <v>553042773</v>
      </c>
      <c r="L4" s="429">
        <f t="shared" ref="L4:L37" si="0">K4-B4</f>
        <v>0</v>
      </c>
    </row>
    <row r="5" spans="1:12" ht="33.75" customHeight="1">
      <c r="A5" s="427" t="str">
        <f>'4.beruházás'!A9</f>
        <v>Szoc rehab pályázat Ktg</v>
      </c>
      <c r="B5" s="428">
        <f>'4.beruházás'!D9</f>
        <v>198132842</v>
      </c>
      <c r="C5" s="428"/>
      <c r="D5" s="310"/>
      <c r="E5" s="310"/>
      <c r="F5" s="310">
        <f>B5</f>
        <v>198132842</v>
      </c>
      <c r="G5" s="310"/>
      <c r="H5" s="310"/>
      <c r="I5" s="310"/>
      <c r="J5" s="310"/>
      <c r="K5" s="310">
        <f t="shared" ref="K5:K66" si="1">SUM(C5:J5)</f>
        <v>198132842</v>
      </c>
      <c r="L5" s="429">
        <f t="shared" si="0"/>
        <v>0</v>
      </c>
    </row>
    <row r="6" spans="1:12" ht="30" customHeight="1">
      <c r="A6" s="427" t="str">
        <f>'4.beruházás'!A10</f>
        <v>Vízitúra épület csónaktároló/ sporteszközök</v>
      </c>
      <c r="B6" s="428">
        <f>'4.beruházás'!D10</f>
        <v>25000000</v>
      </c>
      <c r="C6" s="428"/>
      <c r="D6" s="310"/>
      <c r="E6" s="310"/>
      <c r="F6" s="310">
        <v>25000000</v>
      </c>
      <c r="G6" s="310"/>
      <c r="H6" s="310"/>
      <c r="I6" s="310"/>
      <c r="J6" s="310"/>
      <c r="K6" s="310">
        <f t="shared" si="1"/>
        <v>25000000</v>
      </c>
      <c r="L6" s="429">
        <f t="shared" si="0"/>
        <v>0</v>
      </c>
    </row>
    <row r="7" spans="1:12" ht="42" customHeight="1">
      <c r="A7" s="427" t="str">
        <f>'4.beruházás'!A11</f>
        <v>sporteszközök aljzata és kerítés</v>
      </c>
      <c r="B7" s="428">
        <f>'4.beruházás'!D11</f>
        <v>3573412.5</v>
      </c>
      <c r="C7" s="428"/>
      <c r="D7" s="310"/>
      <c r="E7" s="310"/>
      <c r="F7" s="310"/>
      <c r="G7" s="310"/>
      <c r="H7" s="310">
        <v>3573413</v>
      </c>
      <c r="I7" s="310"/>
      <c r="J7" s="310"/>
      <c r="K7" s="310">
        <f t="shared" si="1"/>
        <v>3573413</v>
      </c>
      <c r="L7" s="429">
        <f t="shared" si="0"/>
        <v>0.5</v>
      </c>
    </row>
    <row r="8" spans="1:12" ht="42" customHeight="1">
      <c r="A8" s="427" t="str">
        <f>'4.beruházás'!A12</f>
        <v>közvilágítás áthúzódó kiadása</v>
      </c>
      <c r="B8" s="428">
        <f>'4.beruházás'!D12</f>
        <v>2108000</v>
      </c>
      <c r="C8" s="428"/>
      <c r="D8" s="310"/>
      <c r="E8" s="310"/>
      <c r="F8" s="310">
        <v>0</v>
      </c>
      <c r="G8" s="310"/>
      <c r="H8" s="310">
        <v>2108000</v>
      </c>
      <c r="I8" s="310"/>
      <c r="J8" s="310"/>
      <c r="K8" s="310">
        <f t="shared" si="1"/>
        <v>2108000</v>
      </c>
      <c r="L8" s="429">
        <f t="shared" si="0"/>
        <v>0</v>
      </c>
    </row>
    <row r="9" spans="1:12" ht="42" customHeight="1">
      <c r="A9" s="427" t="str">
        <f>'4.beruházás'!A13</f>
        <v>Bíróság  új épületének létrehozása</v>
      </c>
      <c r="B9" s="428">
        <f>'4.beruházás'!D13</f>
        <v>243021956</v>
      </c>
      <c r="C9" s="428">
        <v>59600000</v>
      </c>
      <c r="D9" s="310"/>
      <c r="E9" s="310"/>
      <c r="F9" s="310">
        <f>B9-C9-7400866</f>
        <v>176021090</v>
      </c>
      <c r="G9" s="310"/>
      <c r="H9" s="310">
        <v>7400866</v>
      </c>
      <c r="I9" s="310"/>
      <c r="J9" s="310"/>
      <c r="K9" s="310">
        <f t="shared" si="1"/>
        <v>243021956</v>
      </c>
      <c r="L9" s="429">
        <f t="shared" si="0"/>
        <v>0</v>
      </c>
    </row>
    <row r="10" spans="1:12" ht="39" customHeight="1">
      <c r="A10" s="427" t="str">
        <f>'4.beruházás'!A14</f>
        <v>P+R parkoló hév állomás</v>
      </c>
      <c r="B10" s="428">
        <f>'4.beruházás'!D14</f>
        <v>48000000</v>
      </c>
      <c r="C10" s="428">
        <v>48000000</v>
      </c>
      <c r="D10" s="310"/>
      <c r="E10" s="310"/>
      <c r="F10" s="310"/>
      <c r="G10" s="310"/>
      <c r="H10" s="310"/>
      <c r="I10" s="310"/>
      <c r="J10" s="310"/>
      <c r="K10" s="310">
        <f t="shared" si="1"/>
        <v>48000000</v>
      </c>
      <c r="L10" s="429">
        <f t="shared" si="0"/>
        <v>0</v>
      </c>
    </row>
    <row r="11" spans="1:12" ht="30">
      <c r="A11" s="427" t="str">
        <f>'4.beruházás'!A16</f>
        <v>Kerékpárút létesítésére pályázati önerő</v>
      </c>
      <c r="B11" s="428">
        <f>'4.beruházás'!D16</f>
        <v>147120816</v>
      </c>
      <c r="C11" s="428"/>
      <c r="D11" s="310"/>
      <c r="E11" s="310"/>
      <c r="F11" s="310">
        <f>60785378+7108956+11691404</f>
        <v>79585738</v>
      </c>
      <c r="G11" s="310">
        <v>67535078</v>
      </c>
      <c r="H11" s="310"/>
      <c r="I11" s="310"/>
      <c r="J11" s="310"/>
      <c r="K11" s="310">
        <f t="shared" si="1"/>
        <v>147120816</v>
      </c>
      <c r="L11" s="429">
        <f t="shared" si="0"/>
        <v>0</v>
      </c>
    </row>
    <row r="12" spans="1:12" ht="15">
      <c r="A12" s="427" t="str">
        <f>'4.beruházás'!A17</f>
        <v>Dömsödi út felújítás</v>
      </c>
      <c r="B12" s="428">
        <f>'4.beruházás'!D17</f>
        <v>0</v>
      </c>
      <c r="C12" s="428"/>
      <c r="D12" s="310"/>
      <c r="E12" s="310"/>
      <c r="F12" s="310"/>
      <c r="G12" s="310"/>
      <c r="H12" s="310"/>
      <c r="I12" s="310"/>
      <c r="J12" s="310"/>
      <c r="K12" s="310">
        <f t="shared" si="1"/>
        <v>0</v>
      </c>
      <c r="L12" s="429">
        <f t="shared" si="0"/>
        <v>0</v>
      </c>
    </row>
    <row r="13" spans="1:12" ht="47.25" customHeight="1">
      <c r="A13" s="427" t="str">
        <f>'4.beruházás'!A18</f>
        <v>Piac projekt</v>
      </c>
      <c r="B13" s="428">
        <f>'4.beruházás'!D18</f>
        <v>86223190</v>
      </c>
      <c r="C13" s="428"/>
      <c r="D13" s="310"/>
      <c r="E13" s="310"/>
      <c r="F13" s="310">
        <f>10840075+11110970+14272780</f>
        <v>36223825</v>
      </c>
      <c r="G13" s="310">
        <v>49999365</v>
      </c>
      <c r="H13" s="310"/>
      <c r="I13" s="310"/>
      <c r="J13" s="310"/>
      <c r="K13" s="310">
        <f t="shared" si="1"/>
        <v>86223190</v>
      </c>
      <c r="L13" s="429">
        <f t="shared" si="0"/>
        <v>0</v>
      </c>
    </row>
    <row r="14" spans="1:12" ht="30">
      <c r="A14" s="427" t="str">
        <f>'4.beruházás'!A19</f>
        <v>Szent Vendel utcai telkek engedélyezési terve</v>
      </c>
      <c r="B14" s="428">
        <f>'4.beruházás'!D19</f>
        <v>0</v>
      </c>
      <c r="C14" s="428"/>
      <c r="D14" s="310"/>
      <c r="E14" s="310"/>
      <c r="F14" s="430"/>
      <c r="G14" s="430"/>
      <c r="H14" s="310"/>
      <c r="I14" s="310"/>
      <c r="J14" s="310"/>
      <c r="K14" s="310">
        <f t="shared" si="1"/>
        <v>0</v>
      </c>
      <c r="L14" s="429">
        <f t="shared" si="0"/>
        <v>0</v>
      </c>
    </row>
    <row r="15" spans="1:12" ht="15">
      <c r="A15" s="427" t="str">
        <f>'4.beruházás'!A20</f>
        <v>Kompok Révek támogatés</v>
      </c>
      <c r="B15" s="428">
        <f>'4.beruházás'!D20</f>
        <v>19997623</v>
      </c>
      <c r="C15" s="428"/>
      <c r="D15" s="310"/>
      <c r="E15" s="310"/>
      <c r="F15" s="310">
        <f>B15</f>
        <v>19997623</v>
      </c>
      <c r="G15" s="310"/>
      <c r="H15" s="310"/>
      <c r="I15" s="310"/>
      <c r="J15" s="310"/>
      <c r="K15" s="310">
        <f t="shared" si="1"/>
        <v>19997623</v>
      </c>
      <c r="L15" s="429">
        <f t="shared" si="0"/>
        <v>0</v>
      </c>
    </row>
    <row r="16" spans="1:12" ht="33" hidden="1" customHeight="1">
      <c r="A16" s="427" t="str">
        <f>'4.beruházás'!A21</f>
        <v>Ráckevei csónakos piac pályázat előkésztése II. részlet</v>
      </c>
      <c r="B16" s="428">
        <f>'4.beruházás'!D21</f>
        <v>0</v>
      </c>
      <c r="C16" s="428"/>
      <c r="D16" s="310"/>
      <c r="E16" s="310"/>
      <c r="F16" s="310"/>
      <c r="G16" s="310"/>
      <c r="H16" s="310"/>
      <c r="I16" s="310"/>
      <c r="J16" s="310"/>
      <c r="K16" s="310">
        <f t="shared" si="1"/>
        <v>0</v>
      </c>
      <c r="L16" s="429">
        <f t="shared" si="0"/>
        <v>0</v>
      </c>
    </row>
    <row r="17" spans="1:12" ht="33" hidden="1" customHeight="1">
      <c r="A17" s="427" t="str">
        <f>'4.beruházás'!A22</f>
        <v>Külterületi utak pályázat</v>
      </c>
      <c r="B17" s="428">
        <f>'4.beruházás'!D22</f>
        <v>0</v>
      </c>
      <c r="C17" s="428"/>
      <c r="D17" s="310"/>
      <c r="E17" s="310"/>
      <c r="F17" s="310"/>
      <c r="G17" s="310"/>
      <c r="H17" s="310"/>
      <c r="I17" s="310"/>
      <c r="J17" s="310"/>
      <c r="K17" s="310">
        <f t="shared" si="1"/>
        <v>0</v>
      </c>
      <c r="L17" s="429">
        <f t="shared" si="0"/>
        <v>0</v>
      </c>
    </row>
    <row r="18" spans="1:12" ht="33" customHeight="1">
      <c r="A18" s="427" t="str">
        <f>'4.beruházás'!A23</f>
        <v>járda kialakítás több helyen</v>
      </c>
      <c r="B18" s="428">
        <f>'4.beruházás'!D23</f>
        <v>0</v>
      </c>
      <c r="C18" s="428"/>
      <c r="D18" s="310"/>
      <c r="E18" s="310"/>
      <c r="F18" s="310">
        <f>B18</f>
        <v>0</v>
      </c>
      <c r="G18" s="310"/>
      <c r="H18" s="310"/>
      <c r="I18" s="310"/>
      <c r="J18" s="310"/>
      <c r="K18" s="310">
        <f t="shared" si="1"/>
        <v>0</v>
      </c>
      <c r="L18" s="429">
        <f t="shared" si="0"/>
        <v>0</v>
      </c>
    </row>
    <row r="19" spans="1:12" ht="15">
      <c r="A19" s="427" t="str">
        <f>'4.beruházás'!A24</f>
        <v>Vályogos út kialakítás</v>
      </c>
      <c r="B19" s="428">
        <f>'4.beruházás'!D24</f>
        <v>0</v>
      </c>
      <c r="C19" s="428"/>
      <c r="D19" s="310"/>
      <c r="E19" s="310"/>
      <c r="F19" s="310"/>
      <c r="G19" s="310"/>
      <c r="H19" s="310"/>
      <c r="I19" s="310"/>
      <c r="J19" s="310"/>
      <c r="K19" s="310">
        <f t="shared" si="1"/>
        <v>0</v>
      </c>
      <c r="L19" s="429">
        <f t="shared" si="0"/>
        <v>0</v>
      </c>
    </row>
    <row r="20" spans="1:12" ht="15">
      <c r="A20" s="427" t="str">
        <f>'4.beruházás'!A25</f>
        <v>HÉV WC konténer</v>
      </c>
      <c r="B20" s="428">
        <f>'4.beruházás'!D25</f>
        <v>2735832</v>
      </c>
      <c r="C20" s="428"/>
      <c r="D20" s="310"/>
      <c r="E20" s="310"/>
      <c r="F20" s="310"/>
      <c r="G20" s="310"/>
      <c r="H20" s="310">
        <f>B20</f>
        <v>2735832</v>
      </c>
      <c r="I20" s="310"/>
      <c r="J20" s="310"/>
      <c r="K20" s="310">
        <f t="shared" si="1"/>
        <v>2735832</v>
      </c>
      <c r="L20" s="429">
        <f t="shared" si="0"/>
        <v>0</v>
      </c>
    </row>
    <row r="21" spans="1:12" ht="30" hidden="1">
      <c r="A21" s="427" t="str">
        <f>'4.beruházás'!A27</f>
        <v>Csapadékvíz elvezetés kiadásai</v>
      </c>
      <c r="B21" s="428">
        <f>'4.beruházás'!D27</f>
        <v>0</v>
      </c>
      <c r="C21" s="428"/>
      <c r="D21" s="310"/>
      <c r="E21" s="310"/>
      <c r="F21" s="310"/>
      <c r="G21" s="310"/>
      <c r="H21" s="310"/>
      <c r="I21" s="310"/>
      <c r="J21" s="310"/>
      <c r="K21" s="310">
        <f t="shared" si="1"/>
        <v>0</v>
      </c>
      <c r="L21" s="429">
        <f t="shared" si="0"/>
        <v>0</v>
      </c>
    </row>
    <row r="22" spans="1:12" ht="30">
      <c r="A22" s="427" t="str">
        <f>'4.beruházás'!A28</f>
        <v>Csapadékvíz elvezetés kiadásai</v>
      </c>
      <c r="B22" s="428">
        <f>'4.beruházás'!D28</f>
        <v>10000000</v>
      </c>
      <c r="C22" s="428"/>
      <c r="D22" s="310"/>
      <c r="E22" s="310"/>
      <c r="F22" s="310"/>
      <c r="G22" s="310"/>
      <c r="H22" s="310">
        <f>B22</f>
        <v>10000000</v>
      </c>
      <c r="I22" s="310"/>
      <c r="J22" s="310"/>
      <c r="K22" s="310">
        <f t="shared" si="1"/>
        <v>10000000</v>
      </c>
      <c r="L22" s="429">
        <f t="shared" si="0"/>
        <v>0</v>
      </c>
    </row>
    <row r="23" spans="1:12" ht="30">
      <c r="A23" s="427" t="str">
        <f>'4.beruházás'!A29</f>
        <v>Közbiztonsági eszközök beszerzése</v>
      </c>
      <c r="B23" s="428">
        <f>'4.beruházás'!D29</f>
        <v>3000000</v>
      </c>
      <c r="C23" s="428"/>
      <c r="D23" s="310"/>
      <c r="E23" s="310"/>
      <c r="F23" s="310"/>
      <c r="G23" s="310"/>
      <c r="H23" s="310">
        <f>B23</f>
        <v>3000000</v>
      </c>
      <c r="I23" s="310"/>
      <c r="J23" s="310"/>
      <c r="K23" s="310">
        <f t="shared" si="1"/>
        <v>3000000</v>
      </c>
      <c r="L23" s="429">
        <f t="shared" si="0"/>
        <v>0</v>
      </c>
    </row>
    <row r="24" spans="1:12" ht="15" hidden="1">
      <c r="A24" s="427" t="str">
        <f>'4.beruházás'!A30</f>
        <v>Stégek felújítása</v>
      </c>
      <c r="B24" s="428">
        <f>'4.beruházás'!D30</f>
        <v>0</v>
      </c>
      <c r="C24" s="428"/>
      <c r="D24" s="310"/>
      <c r="E24" s="310"/>
      <c r="F24" s="310"/>
      <c r="G24" s="310"/>
      <c r="H24" s="310">
        <f>B24</f>
        <v>0</v>
      </c>
      <c r="I24" s="310"/>
      <c r="J24" s="310"/>
      <c r="K24" s="310">
        <f t="shared" si="1"/>
        <v>0</v>
      </c>
      <c r="L24" s="429">
        <f t="shared" si="0"/>
        <v>0</v>
      </c>
    </row>
    <row r="25" spans="1:12" ht="15" hidden="1">
      <c r="A25" s="427" t="str">
        <f>'4.beruházás'!A31</f>
        <v>Közvilágítás fejlesztése</v>
      </c>
      <c r="B25" s="428">
        <f>'4.beruházás'!D31</f>
        <v>0</v>
      </c>
      <c r="C25" s="428"/>
      <c r="D25" s="310"/>
      <c r="E25" s="310"/>
      <c r="F25" s="310"/>
      <c r="G25" s="310"/>
      <c r="H25" s="310">
        <f>B25</f>
        <v>0</v>
      </c>
      <c r="I25" s="310"/>
      <c r="J25" s="310"/>
      <c r="K25" s="310">
        <f t="shared" si="1"/>
        <v>0</v>
      </c>
      <c r="L25" s="429">
        <f t="shared" si="0"/>
        <v>0</v>
      </c>
    </row>
    <row r="26" spans="1:12" ht="30" hidden="1">
      <c r="A26" s="427" t="str">
        <f>'4.beruházás'!A32</f>
        <v>Somlyó sziget közvilágítás hálózat kiépítése</v>
      </c>
      <c r="B26" s="428">
        <f>'4.beruházás'!D32</f>
        <v>0</v>
      </c>
      <c r="C26" s="428"/>
      <c r="D26" s="310"/>
      <c r="E26" s="310"/>
      <c r="F26" s="310"/>
      <c r="G26" s="310"/>
      <c r="H26" s="310">
        <f>B26</f>
        <v>0</v>
      </c>
      <c r="I26" s="310"/>
      <c r="J26" s="310"/>
      <c r="K26" s="310">
        <f t="shared" si="1"/>
        <v>0</v>
      </c>
      <c r="L26" s="429">
        <f t="shared" si="0"/>
        <v>0</v>
      </c>
    </row>
    <row r="27" spans="1:12" ht="30">
      <c r="A27" s="427" t="str">
        <f>'4.beruházás'!A33</f>
        <v>1 Ft támogatás terhére  végzendő feladatok</v>
      </c>
      <c r="B27" s="428">
        <f>'4.beruházás'!D33</f>
        <v>16000000</v>
      </c>
      <c r="C27" s="428"/>
      <c r="D27" s="310"/>
      <c r="E27" s="310"/>
      <c r="F27" s="310"/>
      <c r="G27" s="310">
        <v>16000000</v>
      </c>
      <c r="H27" s="310"/>
      <c r="I27" s="310"/>
      <c r="J27" s="310"/>
      <c r="K27" s="310">
        <f t="shared" si="1"/>
        <v>16000000</v>
      </c>
      <c r="L27" s="429">
        <f t="shared" si="0"/>
        <v>0</v>
      </c>
    </row>
    <row r="28" spans="1:12" s="3" customFormat="1" ht="30">
      <c r="A28" s="427" t="str">
        <f>'4.beruházás'!A34</f>
        <v>Szivattyúk beszerzése új rákötések miatt</v>
      </c>
      <c r="B28" s="428">
        <f>'4.beruházás'!D34</f>
        <v>2000000</v>
      </c>
      <c r="C28" s="428"/>
      <c r="D28" s="310"/>
      <c r="E28" s="310"/>
      <c r="F28" s="310"/>
      <c r="G28" s="310"/>
      <c r="H28" s="310">
        <f t="shared" ref="H28:H37" si="2">B28</f>
        <v>2000000</v>
      </c>
      <c r="I28" s="310"/>
      <c r="J28" s="310"/>
      <c r="K28" s="310">
        <f t="shared" si="1"/>
        <v>2000000</v>
      </c>
      <c r="L28" s="429">
        <f t="shared" si="0"/>
        <v>0</v>
      </c>
    </row>
    <row r="29" spans="1:12" s="3" customFormat="1" ht="30" hidden="1">
      <c r="A29" s="427" t="str">
        <f>'4.beruházás'!A35</f>
        <v>Rákötés miatti gerincvezeték csere</v>
      </c>
      <c r="B29" s="428">
        <f>'4.beruházás'!D35</f>
        <v>0</v>
      </c>
      <c r="C29" s="428"/>
      <c r="D29" s="310"/>
      <c r="E29" s="310"/>
      <c r="F29" s="310"/>
      <c r="G29" s="310"/>
      <c r="H29" s="310">
        <f t="shared" si="2"/>
        <v>0</v>
      </c>
      <c r="I29" s="310"/>
      <c r="J29" s="310"/>
      <c r="K29" s="310">
        <f t="shared" si="1"/>
        <v>0</v>
      </c>
      <c r="L29" s="429">
        <f t="shared" si="0"/>
        <v>0</v>
      </c>
    </row>
    <row r="30" spans="1:12" s="3" customFormat="1" ht="15">
      <c r="A30" s="427" t="str">
        <f>'4.beruházás'!A36</f>
        <v xml:space="preserve">Újszülött gyermekek táblája </v>
      </c>
      <c r="B30" s="428">
        <f>'4.beruházás'!D36</f>
        <v>1000000</v>
      </c>
      <c r="C30" s="428"/>
      <c r="D30" s="310"/>
      <c r="E30" s="310"/>
      <c r="F30" s="310"/>
      <c r="G30" s="310"/>
      <c r="H30" s="310">
        <f t="shared" si="2"/>
        <v>1000000</v>
      </c>
      <c r="I30" s="310"/>
      <c r="J30" s="310"/>
      <c r="K30" s="310">
        <f t="shared" si="1"/>
        <v>1000000</v>
      </c>
      <c r="L30" s="429">
        <f t="shared" si="0"/>
        <v>0</v>
      </c>
    </row>
    <row r="31" spans="1:12" s="3" customFormat="1" ht="45" hidden="1">
      <c r="A31" s="427" t="str">
        <f>'4.beruházás'!A37</f>
        <v>Új épületrészben tetőtér beépítése (irodarész, öltöző, szertár, Wc-mosdó)</v>
      </c>
      <c r="B31" s="428">
        <f>'4.beruházás'!D37</f>
        <v>0</v>
      </c>
      <c r="C31" s="428"/>
      <c r="D31" s="310"/>
      <c r="E31" s="310"/>
      <c r="F31" s="310"/>
      <c r="G31" s="310"/>
      <c r="H31" s="310">
        <f t="shared" si="2"/>
        <v>0</v>
      </c>
      <c r="I31" s="310"/>
      <c r="J31" s="310"/>
      <c r="K31" s="310">
        <f t="shared" si="1"/>
        <v>0</v>
      </c>
      <c r="L31" s="429">
        <f t="shared" si="0"/>
        <v>0</v>
      </c>
    </row>
    <row r="32" spans="1:12" s="3" customFormat="1" ht="30" hidden="1">
      <c r="A32" s="427" t="str">
        <f>'4.beruházás'!A38</f>
        <v>Konyha bővítése (konténer konyha)</v>
      </c>
      <c r="B32" s="428">
        <f>'4.beruházás'!D38</f>
        <v>0</v>
      </c>
      <c r="C32" s="428"/>
      <c r="D32" s="310"/>
      <c r="E32" s="310"/>
      <c r="F32" s="310"/>
      <c r="G32" s="310"/>
      <c r="H32" s="310">
        <f t="shared" si="2"/>
        <v>0</v>
      </c>
      <c r="I32" s="310"/>
      <c r="J32" s="310"/>
      <c r="K32" s="310">
        <f t="shared" si="1"/>
        <v>0</v>
      </c>
      <c r="L32" s="429">
        <f t="shared" si="0"/>
        <v>0</v>
      </c>
    </row>
    <row r="33" spans="1:12" s="3" customFormat="1" ht="15" hidden="1">
      <c r="A33" s="427" t="str">
        <f>'4.beruházás'!A39</f>
        <v>Új udvarrész kialakítása</v>
      </c>
      <c r="B33" s="428">
        <f>'4.beruházás'!D39</f>
        <v>0</v>
      </c>
      <c r="C33" s="431"/>
      <c r="D33" s="310"/>
      <c r="E33" s="310"/>
      <c r="F33" s="310"/>
      <c r="G33" s="310"/>
      <c r="H33" s="310">
        <f t="shared" si="2"/>
        <v>0</v>
      </c>
      <c r="I33" s="310"/>
      <c r="J33" s="310"/>
      <c r="K33" s="310">
        <f t="shared" si="1"/>
        <v>0</v>
      </c>
      <c r="L33" s="429">
        <f t="shared" si="0"/>
        <v>0</v>
      </c>
    </row>
    <row r="34" spans="1:12" s="3" customFormat="1" ht="30" hidden="1">
      <c r="A34" s="427" t="str">
        <f>'4.beruházás'!A40</f>
        <v>Villamos energia hálózatfejlesztése</v>
      </c>
      <c r="B34" s="428">
        <f>'4.beruházás'!D40</f>
        <v>0</v>
      </c>
      <c r="C34" s="428"/>
      <c r="D34" s="310"/>
      <c r="E34" s="310"/>
      <c r="F34" s="310"/>
      <c r="G34" s="310"/>
      <c r="H34" s="310">
        <f t="shared" si="2"/>
        <v>0</v>
      </c>
      <c r="I34" s="310"/>
      <c r="J34" s="310"/>
      <c r="K34" s="310">
        <f t="shared" si="1"/>
        <v>0</v>
      </c>
      <c r="L34" s="429">
        <f t="shared" si="0"/>
        <v>0</v>
      </c>
    </row>
    <row r="35" spans="1:12" s="3" customFormat="1" ht="30" hidden="1">
      <c r="A35" s="427" t="str">
        <f>'4.beruházás'!A41</f>
        <v>Épület szigetelése, külső színezés</v>
      </c>
      <c r="B35" s="428">
        <f>'4.beruházás'!D41</f>
        <v>0</v>
      </c>
      <c r="C35" s="428"/>
      <c r="D35" s="310"/>
      <c r="E35" s="310"/>
      <c r="F35" s="310"/>
      <c r="G35" s="310"/>
      <c r="H35" s="310">
        <f t="shared" si="2"/>
        <v>0</v>
      </c>
      <c r="I35" s="310"/>
      <c r="J35" s="310"/>
      <c r="K35" s="310">
        <f t="shared" si="1"/>
        <v>0</v>
      </c>
      <c r="L35" s="429">
        <f t="shared" si="0"/>
        <v>0</v>
      </c>
    </row>
    <row r="36" spans="1:12" s="3" customFormat="1" ht="30" hidden="1">
      <c r="A36" s="427" t="str">
        <f>'4.beruházás'!A42</f>
        <v>Villamos energia hálózatfejlesztése</v>
      </c>
      <c r="B36" s="428">
        <f>'4.beruházás'!D42</f>
        <v>0</v>
      </c>
      <c r="C36" s="428"/>
      <c r="D36" s="310"/>
      <c r="E36" s="310"/>
      <c r="F36" s="310"/>
      <c r="G36" s="310"/>
      <c r="H36" s="310">
        <f t="shared" si="2"/>
        <v>0</v>
      </c>
      <c r="I36" s="310"/>
      <c r="J36" s="310"/>
      <c r="K36" s="310">
        <f t="shared" si="1"/>
        <v>0</v>
      </c>
      <c r="L36" s="429">
        <f t="shared" si="0"/>
        <v>0</v>
      </c>
    </row>
    <row r="37" spans="1:12" s="3" customFormat="1" ht="30" hidden="1">
      <c r="A37" s="427" t="str">
        <f>'4.beruházás'!A43</f>
        <v>új kazán a régi iskola melleti épületnek</v>
      </c>
      <c r="B37" s="428">
        <f>'4.beruházás'!D43</f>
        <v>0</v>
      </c>
      <c r="C37" s="428"/>
      <c r="D37" s="310"/>
      <c r="E37" s="310"/>
      <c r="F37" s="310"/>
      <c r="G37" s="310"/>
      <c r="H37" s="310">
        <f t="shared" si="2"/>
        <v>0</v>
      </c>
      <c r="I37" s="310"/>
      <c r="J37" s="310"/>
      <c r="K37" s="310">
        <f t="shared" si="1"/>
        <v>0</v>
      </c>
      <c r="L37" s="429">
        <f t="shared" si="0"/>
        <v>0</v>
      </c>
    </row>
    <row r="38" spans="1:12" s="3" customFormat="1" ht="30" hidden="1">
      <c r="A38" s="427" t="str">
        <f>'4.beruházás'!A44</f>
        <v>Hátsó homokozó fölé árnyékoló építése</v>
      </c>
      <c r="B38" s="428">
        <f>'4.beruházás'!D44</f>
        <v>0</v>
      </c>
      <c r="C38" s="428"/>
      <c r="D38" s="310"/>
      <c r="E38" s="310"/>
      <c r="F38" s="310"/>
      <c r="G38" s="310"/>
      <c r="H38" s="310"/>
      <c r="I38" s="310"/>
      <c r="J38" s="310"/>
      <c r="K38" s="310">
        <f t="shared" si="1"/>
        <v>0</v>
      </c>
      <c r="L38" s="429"/>
    </row>
    <row r="39" spans="1:12" s="3" customFormat="1" ht="30" hidden="1">
      <c r="A39" s="427" t="str">
        <f>'4.beruházás'!A45</f>
        <v>Épület hátsó részének szigetelése + színezése</v>
      </c>
      <c r="B39" s="428">
        <f>'4.beruházás'!D45</f>
        <v>0</v>
      </c>
      <c r="C39" s="428"/>
      <c r="D39" s="310"/>
      <c r="E39" s="310"/>
      <c r="F39" s="310"/>
      <c r="G39" s="310"/>
      <c r="H39" s="310">
        <f t="shared" ref="H39:H50" si="3">B39</f>
        <v>0</v>
      </c>
      <c r="I39" s="310"/>
      <c r="J39" s="310"/>
      <c r="K39" s="310">
        <f t="shared" si="1"/>
        <v>0</v>
      </c>
      <c r="L39" s="429">
        <f>K39-B39</f>
        <v>0</v>
      </c>
    </row>
    <row r="40" spans="1:12" s="3" customFormat="1" ht="17.25" hidden="1" customHeight="1">
      <c r="A40" s="427" t="str">
        <f>'4.beruházás'!A46</f>
        <v>Tetőtér beépítése</v>
      </c>
      <c r="B40" s="428">
        <f>'4.beruházás'!D46</f>
        <v>0</v>
      </c>
      <c r="C40" s="428"/>
      <c r="D40" s="310"/>
      <c r="E40" s="310"/>
      <c r="F40" s="310"/>
      <c r="G40" s="310"/>
      <c r="H40" s="310">
        <f t="shared" si="3"/>
        <v>0</v>
      </c>
      <c r="I40" s="310"/>
      <c r="J40" s="310"/>
      <c r="K40" s="310">
        <f t="shared" si="1"/>
        <v>0</v>
      </c>
      <c r="L40" s="429">
        <f>K40-B40</f>
        <v>0</v>
      </c>
    </row>
    <row r="41" spans="1:12" s="3" customFormat="1" ht="15">
      <c r="A41" s="427" t="str">
        <f>'4.beruházás'!A48</f>
        <v>Szivárvány óvoda beruházás</v>
      </c>
      <c r="B41" s="428">
        <f>'4.beruházás'!D48</f>
        <v>4700270</v>
      </c>
      <c r="C41" s="428"/>
      <c r="D41" s="310"/>
      <c r="E41" s="310"/>
      <c r="F41" s="310"/>
      <c r="G41" s="310"/>
      <c r="H41" s="310">
        <f t="shared" si="3"/>
        <v>4700270</v>
      </c>
      <c r="I41" s="310"/>
      <c r="J41" s="310"/>
      <c r="K41" s="310">
        <f t="shared" si="1"/>
        <v>4700270</v>
      </c>
      <c r="L41" s="429">
        <f>K41-B41</f>
        <v>0</v>
      </c>
    </row>
    <row r="42" spans="1:12" ht="33.75" customHeight="1">
      <c r="A42" s="427" t="str">
        <f>'4.beruházás'!A49</f>
        <v>ÁKMK beruházás</v>
      </c>
      <c r="B42" s="428">
        <f>'4.beruházás'!D49</f>
        <v>3401427</v>
      </c>
      <c r="C42" s="431"/>
      <c r="D42" s="310"/>
      <c r="E42" s="310"/>
      <c r="F42" s="310"/>
      <c r="G42" s="310"/>
      <c r="H42" s="310">
        <f t="shared" si="3"/>
        <v>3401427</v>
      </c>
      <c r="I42" s="310"/>
      <c r="J42" s="310"/>
      <c r="K42" s="310">
        <f t="shared" si="1"/>
        <v>3401427</v>
      </c>
      <c r="L42" s="429">
        <f t="shared" ref="L42:L70" si="4">K42-B42</f>
        <v>0</v>
      </c>
    </row>
    <row r="43" spans="1:12" ht="15">
      <c r="A43" s="427" t="str">
        <f>'4.beruházás'!A50</f>
        <v>Bölcsőde beruházás</v>
      </c>
      <c r="B43" s="428">
        <f>'4.beruházás'!D50</f>
        <v>2250002</v>
      </c>
      <c r="C43" s="431"/>
      <c r="D43" s="310"/>
      <c r="E43" s="310"/>
      <c r="F43" s="310"/>
      <c r="G43" s="310"/>
      <c r="H43" s="310">
        <f t="shared" si="3"/>
        <v>2250002</v>
      </c>
      <c r="I43" s="310"/>
      <c r="J43" s="310"/>
      <c r="K43" s="310">
        <f t="shared" si="1"/>
        <v>2250002</v>
      </c>
      <c r="L43" s="429">
        <f t="shared" si="4"/>
        <v>0</v>
      </c>
    </row>
    <row r="44" spans="1:12" ht="15">
      <c r="A44" s="427" t="str">
        <f>'4.beruházás'!A51</f>
        <v>Múzeum beruházás</v>
      </c>
      <c r="B44" s="428">
        <f>'4.beruházás'!D51</f>
        <v>2290500</v>
      </c>
      <c r="C44" s="428"/>
      <c r="D44" s="310"/>
      <c r="E44" s="310"/>
      <c r="F44" s="310"/>
      <c r="G44" s="310"/>
      <c r="H44" s="310">
        <f t="shared" si="3"/>
        <v>2290500</v>
      </c>
      <c r="I44" s="310"/>
      <c r="J44" s="310"/>
      <c r="K44" s="310">
        <f t="shared" si="1"/>
        <v>2290500</v>
      </c>
      <c r="L44" s="429">
        <f t="shared" si="4"/>
        <v>0</v>
      </c>
    </row>
    <row r="45" spans="1:12" ht="15">
      <c r="A45" s="427" t="str">
        <f>'4.beruházás'!A52</f>
        <v>szakorvosi beruházás</v>
      </c>
      <c r="B45" s="428">
        <f>'4.beruházás'!D52</f>
        <v>26367091</v>
      </c>
      <c r="C45" s="428"/>
      <c r="D45" s="310"/>
      <c r="E45" s="310"/>
      <c r="F45" s="310"/>
      <c r="G45" s="310"/>
      <c r="H45" s="310">
        <f t="shared" si="3"/>
        <v>26367091</v>
      </c>
      <c r="I45" s="310"/>
      <c r="J45" s="310"/>
      <c r="K45" s="310">
        <f t="shared" si="1"/>
        <v>26367091</v>
      </c>
      <c r="L45" s="429">
        <f t="shared" si="4"/>
        <v>0</v>
      </c>
    </row>
    <row r="46" spans="1:12" ht="15">
      <c r="A46" s="427" t="str">
        <f>'4.beruházás'!A53</f>
        <v>Konyha-vigi</v>
      </c>
      <c r="B46" s="428">
        <f>'4.beruházás'!D53</f>
        <v>5651500</v>
      </c>
      <c r="C46" s="428"/>
      <c r="D46" s="310"/>
      <c r="E46" s="310"/>
      <c r="F46" s="310"/>
      <c r="G46" s="310"/>
      <c r="H46" s="310">
        <f t="shared" si="3"/>
        <v>5651500</v>
      </c>
      <c r="I46" s="310"/>
      <c r="J46" s="310"/>
      <c r="K46" s="310">
        <f t="shared" si="1"/>
        <v>5651500</v>
      </c>
      <c r="L46" s="429">
        <f t="shared" si="4"/>
        <v>0</v>
      </c>
    </row>
    <row r="47" spans="1:12" ht="15">
      <c r="A47" s="427" t="str">
        <f>'4.beruházás'!A54</f>
        <v>PH</v>
      </c>
      <c r="B47" s="428">
        <f>'4.beruházás'!D54</f>
        <v>5276000</v>
      </c>
      <c r="C47" s="428"/>
      <c r="D47" s="310"/>
      <c r="E47" s="310"/>
      <c r="F47" s="310"/>
      <c r="G47" s="310"/>
      <c r="H47" s="310">
        <f t="shared" si="3"/>
        <v>5276000</v>
      </c>
      <c r="I47" s="310"/>
      <c r="J47" s="310"/>
      <c r="K47" s="310">
        <f t="shared" si="1"/>
        <v>5276000</v>
      </c>
      <c r="L47" s="429">
        <f t="shared" si="4"/>
        <v>0</v>
      </c>
    </row>
    <row r="48" spans="1:12" ht="15">
      <c r="A48" s="427" t="str">
        <f>'4.beruházás'!A55</f>
        <v>könyvtár</v>
      </c>
      <c r="B48" s="428">
        <f>'4.beruházás'!D55</f>
        <v>635000</v>
      </c>
      <c r="C48" s="428"/>
      <c r="D48" s="310"/>
      <c r="E48" s="310"/>
      <c r="F48" s="310"/>
      <c r="G48" s="310"/>
      <c r="H48" s="310">
        <f t="shared" si="3"/>
        <v>635000</v>
      </c>
      <c r="I48" s="310"/>
      <c r="J48" s="310"/>
      <c r="K48" s="310">
        <f t="shared" si="1"/>
        <v>635000</v>
      </c>
      <c r="L48" s="429">
        <f t="shared" si="4"/>
        <v>0</v>
      </c>
    </row>
    <row r="49" spans="1:12" ht="30">
      <c r="A49" s="427" t="str">
        <f>'4.beruházás'!A57</f>
        <v>önerő támogatás Halászati Múzeum</v>
      </c>
      <c r="B49" s="428">
        <f>'4.beruházás'!D57</f>
        <v>2000000</v>
      </c>
      <c r="C49" s="428"/>
      <c r="D49" s="310"/>
      <c r="E49" s="310"/>
      <c r="F49" s="310"/>
      <c r="G49" s="310"/>
      <c r="H49" s="310">
        <f t="shared" si="3"/>
        <v>2000000</v>
      </c>
      <c r="I49" s="310"/>
      <c r="J49" s="310"/>
      <c r="K49" s="310">
        <f t="shared" si="1"/>
        <v>2000000</v>
      </c>
      <c r="L49" s="429">
        <f t="shared" si="4"/>
        <v>0</v>
      </c>
    </row>
    <row r="50" spans="1:12" ht="30">
      <c r="A50" s="427" t="str">
        <f>'4.beruházás'!A58</f>
        <v>sportpark fel nem használt része</v>
      </c>
      <c r="B50" s="428">
        <f>'4.beruházás'!D58</f>
        <v>5000000</v>
      </c>
      <c r="C50" s="428"/>
      <c r="D50" s="310"/>
      <c r="E50" s="310"/>
      <c r="F50" s="310"/>
      <c r="G50" s="310"/>
      <c r="H50" s="310">
        <f t="shared" si="3"/>
        <v>5000000</v>
      </c>
      <c r="I50" s="310"/>
      <c r="J50" s="310"/>
      <c r="K50" s="310">
        <f t="shared" si="1"/>
        <v>5000000</v>
      </c>
      <c r="L50" s="429">
        <f t="shared" si="4"/>
        <v>0</v>
      </c>
    </row>
    <row r="51" spans="1:12" ht="15">
      <c r="A51" s="427" t="str">
        <f>'4.beruházás'!A59</f>
        <v>Tornaterem felújítás</v>
      </c>
      <c r="B51" s="428">
        <f>'4.beruházás'!D59</f>
        <v>49500000</v>
      </c>
      <c r="C51" s="428">
        <f>B51</f>
        <v>49500000</v>
      </c>
      <c r="D51" s="310"/>
      <c r="E51" s="310"/>
      <c r="F51" s="310"/>
      <c r="G51" s="310"/>
      <c r="H51" s="310"/>
      <c r="I51" s="310"/>
      <c r="J51" s="310"/>
      <c r="K51" s="310">
        <f t="shared" si="1"/>
        <v>49500000</v>
      </c>
      <c r="L51" s="429">
        <f t="shared" si="4"/>
        <v>0</v>
      </c>
    </row>
    <row r="52" spans="1:12" ht="15">
      <c r="A52" s="427" t="str">
        <f>'5.felújítás'!A6</f>
        <v>Útfelújítás</v>
      </c>
      <c r="B52" s="428">
        <f>'5.felújítás'!F6</f>
        <v>15000000</v>
      </c>
      <c r="C52" s="428"/>
      <c r="D52" s="310">
        <v>15000000</v>
      </c>
      <c r="E52" s="310"/>
      <c r="F52" s="310"/>
      <c r="G52" s="310"/>
      <c r="H52" s="310">
        <v>0</v>
      </c>
      <c r="I52" s="310"/>
      <c r="J52" s="310"/>
      <c r="K52" s="310">
        <f t="shared" si="1"/>
        <v>15000000</v>
      </c>
      <c r="L52" s="429">
        <f t="shared" si="4"/>
        <v>0</v>
      </c>
    </row>
    <row r="53" spans="1:12" ht="15" hidden="1">
      <c r="A53" s="427" t="str">
        <f>'5.felújítás'!A7</f>
        <v>Tourinform bádog csere</v>
      </c>
      <c r="B53" s="428">
        <f>'5.felújítás'!F7</f>
        <v>0</v>
      </c>
      <c r="C53" s="428"/>
      <c r="D53" s="310"/>
      <c r="E53" s="310"/>
      <c r="F53" s="310"/>
      <c r="G53" s="310"/>
      <c r="H53" s="310"/>
      <c r="I53" s="310"/>
      <c r="J53" s="310"/>
      <c r="K53" s="310">
        <f t="shared" si="1"/>
        <v>0</v>
      </c>
      <c r="L53" s="429">
        <f t="shared" si="4"/>
        <v>0</v>
      </c>
    </row>
    <row r="54" spans="1:12" ht="30" hidden="1">
      <c r="A54" s="427" t="str">
        <f>'5.felújítás'!A8</f>
        <v>Régi Városháza vakolat hullás jav.</v>
      </c>
      <c r="B54" s="428">
        <f>'5.felújítás'!F8</f>
        <v>0</v>
      </c>
      <c r="C54" s="428"/>
      <c r="D54" s="310"/>
      <c r="E54" s="310"/>
      <c r="F54" s="310"/>
      <c r="G54" s="310"/>
      <c r="H54" s="310"/>
      <c r="I54" s="310"/>
      <c r="J54" s="310"/>
      <c r="K54" s="310">
        <f t="shared" si="1"/>
        <v>0</v>
      </c>
      <c r="L54" s="429">
        <f t="shared" si="4"/>
        <v>0</v>
      </c>
    </row>
    <row r="55" spans="1:12" ht="15" hidden="1">
      <c r="A55" s="427" t="str">
        <f>'5.felújítás'!A9</f>
        <v>Bíróság kerítés bontás</v>
      </c>
      <c r="B55" s="428">
        <f>'5.felújítás'!F9</f>
        <v>0</v>
      </c>
      <c r="C55" s="428"/>
      <c r="D55" s="310"/>
      <c r="E55" s="310"/>
      <c r="F55" s="310"/>
      <c r="G55" s="310"/>
      <c r="H55" s="310"/>
      <c r="I55" s="310"/>
      <c r="J55" s="310"/>
      <c r="K55" s="310">
        <f t="shared" si="1"/>
        <v>0</v>
      </c>
      <c r="L55" s="429">
        <f t="shared" si="4"/>
        <v>0</v>
      </c>
    </row>
    <row r="56" spans="1:12" ht="30" hidden="1">
      <c r="A56" s="427" t="str">
        <f>'5.felújítás'!A10</f>
        <v>ÁKMK öltözők felújítása színpad mögött</v>
      </c>
      <c r="B56" s="428">
        <f>'5.felújítás'!F10</f>
        <v>0</v>
      </c>
      <c r="C56" s="428"/>
      <c r="D56" s="310"/>
      <c r="E56" s="310"/>
      <c r="F56" s="310"/>
      <c r="G56" s="310"/>
      <c r="H56" s="310"/>
      <c r="I56" s="310"/>
      <c r="J56" s="310"/>
      <c r="K56" s="310">
        <f t="shared" si="1"/>
        <v>0</v>
      </c>
      <c r="L56" s="429">
        <f t="shared" si="4"/>
        <v>0</v>
      </c>
    </row>
    <row r="57" spans="1:12" ht="30" hidden="1">
      <c r="A57" s="427" t="str">
        <f>'5.felújítás'!A11</f>
        <v>Skarica Máté V.K. padlás lépcső</v>
      </c>
      <c r="B57" s="428">
        <f>'5.felújítás'!F11</f>
        <v>0</v>
      </c>
      <c r="C57" s="428"/>
      <c r="D57" s="310"/>
      <c r="E57" s="310"/>
      <c r="F57" s="310"/>
      <c r="G57" s="310"/>
      <c r="H57" s="310"/>
      <c r="I57" s="310"/>
      <c r="J57" s="310"/>
      <c r="K57" s="310">
        <f t="shared" si="1"/>
        <v>0</v>
      </c>
      <c r="L57" s="429">
        <f t="shared" si="4"/>
        <v>0</v>
      </c>
    </row>
    <row r="58" spans="1:12" ht="15" hidden="1">
      <c r="A58" s="427" t="str">
        <f>'5.felújítás'!A12</f>
        <v>Ifjúság u. óvoda (Bölcsőde)</v>
      </c>
      <c r="B58" s="428">
        <f>'5.felújítás'!F12</f>
        <v>0</v>
      </c>
      <c r="C58" s="428"/>
      <c r="D58" s="310"/>
      <c r="E58" s="310"/>
      <c r="F58" s="310"/>
      <c r="G58" s="310"/>
      <c r="H58" s="310"/>
      <c r="I58" s="310"/>
      <c r="J58" s="310"/>
      <c r="K58" s="310">
        <f t="shared" si="1"/>
        <v>0</v>
      </c>
      <c r="L58" s="429">
        <f t="shared" si="4"/>
        <v>0</v>
      </c>
    </row>
    <row r="59" spans="1:12" ht="15" hidden="1">
      <c r="A59" s="427" t="str">
        <f>'5.felújítás'!A13</f>
        <v>Ifjúság u. óvoda kerítés</v>
      </c>
      <c r="B59" s="428">
        <f>'5.felújítás'!F13</f>
        <v>0</v>
      </c>
      <c r="C59" s="428"/>
      <c r="D59" s="310"/>
      <c r="E59" s="310"/>
      <c r="F59" s="310"/>
      <c r="G59" s="310"/>
      <c r="H59" s="310"/>
      <c r="I59" s="310"/>
      <c r="J59" s="310"/>
      <c r="K59" s="310">
        <f t="shared" si="1"/>
        <v>0</v>
      </c>
      <c r="L59" s="429">
        <f t="shared" si="4"/>
        <v>0</v>
      </c>
    </row>
    <row r="60" spans="1:12" ht="15" hidden="1">
      <c r="A60" s="427" t="str">
        <f>'5.felújítás'!A14</f>
        <v>Szürke épület felújítása</v>
      </c>
      <c r="B60" s="428">
        <f>'5.felújítás'!F14</f>
        <v>0</v>
      </c>
      <c r="C60" s="428"/>
      <c r="D60" s="310"/>
      <c r="E60" s="310"/>
      <c r="F60" s="310"/>
      <c r="G60" s="310"/>
      <c r="H60" s="310"/>
      <c r="I60" s="310"/>
      <c r="J60" s="310"/>
      <c r="K60" s="310">
        <f t="shared" si="1"/>
        <v>0</v>
      </c>
      <c r="L60" s="429">
        <f t="shared" si="4"/>
        <v>0</v>
      </c>
    </row>
    <row r="61" spans="1:12" ht="15" hidden="1">
      <c r="A61" s="427" t="str">
        <f>'5.felújítás'!A15</f>
        <v>járdák felújítása több helyen</v>
      </c>
      <c r="B61" s="428">
        <f>'5.felújítás'!F15</f>
        <v>0</v>
      </c>
      <c r="C61" s="428"/>
      <c r="D61" s="310"/>
      <c r="E61" s="310"/>
      <c r="F61" s="310"/>
      <c r="G61" s="310"/>
      <c r="H61" s="310"/>
      <c r="I61" s="310"/>
      <c r="J61" s="310"/>
      <c r="K61" s="310">
        <f t="shared" si="1"/>
        <v>0</v>
      </c>
      <c r="L61" s="429">
        <f t="shared" si="4"/>
        <v>0</v>
      </c>
    </row>
    <row r="62" spans="1:12" ht="15" hidden="1">
      <c r="A62" s="427" t="str">
        <f>'5.felújítás'!A16</f>
        <v>Ifjúság u. óvoda ablakcsere</v>
      </c>
      <c r="B62" s="428">
        <f>'5.felújítás'!F16</f>
        <v>0</v>
      </c>
      <c r="C62" s="428"/>
      <c r="D62" s="310"/>
      <c r="E62" s="310"/>
      <c r="F62" s="310"/>
      <c r="G62" s="310"/>
      <c r="H62" s="310"/>
      <c r="I62" s="310"/>
      <c r="J62" s="310"/>
      <c r="K62" s="310">
        <f t="shared" si="1"/>
        <v>0</v>
      </c>
      <c r="L62" s="429">
        <f t="shared" si="4"/>
        <v>0</v>
      </c>
    </row>
    <row r="63" spans="1:12" ht="15">
      <c r="A63" s="427" t="str">
        <f>'5.felújítás'!A17</f>
        <v>Iskola úti ovi felújítás</v>
      </c>
      <c r="B63" s="428">
        <f>'5.felújítás'!F17</f>
        <v>31578947</v>
      </c>
      <c r="C63" s="428"/>
      <c r="D63" s="310"/>
      <c r="E63" s="310"/>
      <c r="F63" s="310">
        <f>B63</f>
        <v>31578947</v>
      </c>
      <c r="G63" s="310"/>
      <c r="H63" s="310"/>
      <c r="I63" s="310"/>
      <c r="J63" s="310"/>
      <c r="K63" s="310">
        <f t="shared" si="1"/>
        <v>31578947</v>
      </c>
      <c r="L63" s="429">
        <f t="shared" si="4"/>
        <v>0</v>
      </c>
    </row>
    <row r="64" spans="1:12" ht="30" hidden="1">
      <c r="A64" s="427" t="str">
        <f>'5.felújítás'!A18</f>
        <v>Vörösmarty óvoda balesetveszélyes kerítés</v>
      </c>
      <c r="B64" s="428">
        <f>'5.felújítás'!F18</f>
        <v>0</v>
      </c>
      <c r="C64" s="428"/>
      <c r="D64" s="310"/>
      <c r="E64" s="310"/>
      <c r="F64" s="310"/>
      <c r="G64" s="310"/>
      <c r="H64" s="310"/>
      <c r="I64" s="310"/>
      <c r="J64" s="310"/>
      <c r="K64" s="310">
        <f t="shared" si="1"/>
        <v>0</v>
      </c>
      <c r="L64" s="429">
        <f t="shared" si="4"/>
        <v>0</v>
      </c>
    </row>
    <row r="65" spans="1:13" ht="15">
      <c r="A65" s="427" t="str">
        <f>'5.felújítás'!A19</f>
        <v>intézmény felújítások</v>
      </c>
      <c r="B65" s="428">
        <f>'5.felújítás'!F19</f>
        <v>20000000</v>
      </c>
      <c r="C65" s="428"/>
      <c r="D65" s="310">
        <v>20000000</v>
      </c>
      <c r="E65" s="310"/>
      <c r="F65" s="310"/>
      <c r="G65" s="310"/>
      <c r="H65" s="310">
        <v>0</v>
      </c>
      <c r="I65" s="310"/>
      <c r="J65" s="310"/>
      <c r="K65" s="310">
        <f t="shared" si="1"/>
        <v>20000000</v>
      </c>
      <c r="L65" s="429">
        <f t="shared" si="4"/>
        <v>0</v>
      </c>
    </row>
    <row r="66" spans="1:13" ht="30" hidden="1">
      <c r="A66" s="427" t="str">
        <f>'5.felújítás'!A20</f>
        <v>Vörösmarty óvoda csatorna jav.</v>
      </c>
      <c r="B66" s="428">
        <f>'5.felújítás'!F20</f>
        <v>0</v>
      </c>
      <c r="C66" s="428"/>
      <c r="D66" s="310"/>
      <c r="E66" s="310"/>
      <c r="F66" s="310"/>
      <c r="G66" s="310"/>
      <c r="H66" s="310"/>
      <c r="I66" s="310"/>
      <c r="J66" s="310"/>
      <c r="K66" s="310">
        <f t="shared" si="1"/>
        <v>0</v>
      </c>
      <c r="L66" s="429">
        <f t="shared" si="4"/>
        <v>0</v>
      </c>
    </row>
    <row r="67" spans="1:13" ht="15" hidden="1">
      <c r="A67" s="427" t="str">
        <f>'5.felújítás'!A21</f>
        <v>További útfelújítások</v>
      </c>
      <c r="B67" s="428">
        <f>'5.felújítás'!F21</f>
        <v>0</v>
      </c>
      <c r="C67" s="428"/>
      <c r="D67" s="310"/>
      <c r="E67" s="310"/>
      <c r="F67" s="310"/>
      <c r="G67" s="310"/>
      <c r="H67" s="310"/>
      <c r="I67" s="310"/>
      <c r="J67" s="310"/>
      <c r="K67" s="310">
        <f t="shared" ref="K67:K70" si="5">SUM(C67:J67)</f>
        <v>0</v>
      </c>
      <c r="L67" s="429">
        <f t="shared" si="4"/>
        <v>0</v>
      </c>
    </row>
    <row r="68" spans="1:13" ht="30">
      <c r="A68" s="427" t="str">
        <f>'3.c. tartalék'!A8</f>
        <v>bérleti díj terhére DAKÖV kft által végzett</v>
      </c>
      <c r="B68" s="428">
        <f>'3.c. tartalék'!F8</f>
        <v>14700000</v>
      </c>
      <c r="C68" s="428"/>
      <c r="D68" s="310"/>
      <c r="E68" s="310"/>
      <c r="F68" s="310"/>
      <c r="G68" s="310"/>
      <c r="H68" s="310">
        <f>B68</f>
        <v>14700000</v>
      </c>
      <c r="I68" s="310"/>
      <c r="J68" s="310"/>
      <c r="K68" s="310">
        <f t="shared" si="5"/>
        <v>14700000</v>
      </c>
      <c r="L68" s="429">
        <f t="shared" si="4"/>
        <v>0</v>
      </c>
    </row>
    <row r="69" spans="1:13" ht="30">
      <c r="A69" s="427" t="str">
        <f>'3.c. tartalék'!A9</f>
        <v>További turisztikai fejlesztések</v>
      </c>
      <c r="B69" s="428">
        <f>'3.c. tartalék'!F9</f>
        <v>10000000</v>
      </c>
      <c r="C69" s="428"/>
      <c r="D69" s="310"/>
      <c r="E69" s="310"/>
      <c r="F69" s="310"/>
      <c r="G69" s="310"/>
      <c r="H69" s="310">
        <v>0</v>
      </c>
      <c r="I69" s="310"/>
      <c r="J69" s="310">
        <v>10000000</v>
      </c>
      <c r="K69" s="310">
        <f t="shared" si="5"/>
        <v>10000000</v>
      </c>
      <c r="L69" s="429">
        <f t="shared" si="4"/>
        <v>0</v>
      </c>
    </row>
    <row r="70" spans="1:13" ht="15">
      <c r="A70" s="427" t="str">
        <f>'3.c. tartalék'!A10</f>
        <v>pályázatelőkészítő alap</v>
      </c>
      <c r="B70" s="428">
        <f>'3.c. tartalék'!F10</f>
        <v>30000000</v>
      </c>
      <c r="C70" s="428"/>
      <c r="D70" s="310"/>
      <c r="E70" s="310"/>
      <c r="F70" s="310"/>
      <c r="G70" s="310"/>
      <c r="H70" s="310">
        <f>B70</f>
        <v>30000000</v>
      </c>
      <c r="I70" s="310"/>
      <c r="J70" s="310"/>
      <c r="K70" s="310">
        <f t="shared" si="5"/>
        <v>30000000</v>
      </c>
      <c r="L70" s="429">
        <f t="shared" si="4"/>
        <v>0</v>
      </c>
      <c r="M70" s="317"/>
    </row>
    <row r="71" spans="1:13" ht="15" hidden="1">
      <c r="A71" s="427" t="e">
        <f>'3.c. tartalék'!#REF!</f>
        <v>#REF!</v>
      </c>
      <c r="B71" s="428">
        <f>'4.beruházás'!D71</f>
        <v>0</v>
      </c>
      <c r="C71" s="428"/>
      <c r="D71" s="310"/>
      <c r="E71" s="310"/>
      <c r="F71" s="310"/>
      <c r="G71" s="310"/>
      <c r="H71" s="310"/>
      <c r="I71" s="310"/>
      <c r="J71" s="310"/>
      <c r="K71" s="310"/>
      <c r="L71" s="429"/>
    </row>
    <row r="72" spans="1:13" ht="15" hidden="1">
      <c r="A72" s="427" t="str">
        <f>'3.c. tartalék'!A10</f>
        <v>pályázatelőkészítő alap</v>
      </c>
      <c r="B72" s="428">
        <f>'4.beruházás'!D72</f>
        <v>0</v>
      </c>
      <c r="C72" s="428"/>
      <c r="D72" s="310"/>
      <c r="E72" s="310"/>
      <c r="F72" s="310"/>
      <c r="G72" s="310"/>
      <c r="H72" s="310"/>
      <c r="I72" s="310"/>
      <c r="J72" s="310"/>
      <c r="K72" s="310"/>
      <c r="L72" s="429"/>
    </row>
    <row r="73" spans="1:13" ht="15" hidden="1">
      <c r="A73" s="427" t="e">
        <f>'3.c. tartalék'!#REF!</f>
        <v>#REF!</v>
      </c>
      <c r="B73" s="428">
        <f>'4.beruházás'!D73</f>
        <v>0</v>
      </c>
      <c r="C73" s="428"/>
      <c r="D73" s="310"/>
      <c r="E73" s="310"/>
      <c r="F73" s="310"/>
      <c r="G73" s="310"/>
      <c r="H73" s="310"/>
      <c r="I73" s="310"/>
      <c r="J73" s="310"/>
      <c r="K73" s="310"/>
      <c r="L73" s="429"/>
    </row>
    <row r="74" spans="1:13" ht="30" hidden="1">
      <c r="A74" s="427" t="str">
        <f>'3.c. tartalék'!A11</f>
        <v>FELHALMOZÁSI CÉLÚ TARTALÉK ÖSSZESEN</v>
      </c>
      <c r="B74" s="428">
        <f>'4.beruházás'!D74</f>
        <v>0</v>
      </c>
      <c r="C74" s="428"/>
      <c r="D74" s="310"/>
      <c r="E74" s="310"/>
      <c r="F74" s="310"/>
      <c r="G74" s="310"/>
      <c r="H74" s="310"/>
      <c r="I74" s="310"/>
      <c r="J74" s="310"/>
      <c r="K74" s="310"/>
      <c r="L74" s="429"/>
    </row>
    <row r="75" spans="1:13" ht="15" hidden="1">
      <c r="A75" s="427" t="str">
        <f>'3.c. tartalék'!A12</f>
        <v>CÉLTARTALÉK ÖSSZESEN</v>
      </c>
      <c r="B75" s="428">
        <f>'4.beruházás'!D75</f>
        <v>0</v>
      </c>
      <c r="C75" s="428"/>
      <c r="D75" s="310"/>
      <c r="E75" s="310"/>
      <c r="F75" s="310"/>
      <c r="G75" s="310"/>
      <c r="H75" s="310"/>
      <c r="I75" s="310"/>
      <c r="J75" s="310"/>
      <c r="K75" s="310"/>
      <c r="L75" s="429"/>
    </row>
    <row r="76" spans="1:13" ht="15" hidden="1">
      <c r="A76" s="427">
        <f>'3.c. tartalék'!A13</f>
        <v>0</v>
      </c>
      <c r="B76" s="428">
        <f>'4.beruházás'!D76</f>
        <v>0</v>
      </c>
      <c r="C76" s="428"/>
      <c r="D76" s="310"/>
      <c r="E76" s="310"/>
      <c r="F76" s="310"/>
      <c r="G76" s="310"/>
      <c r="H76" s="310"/>
      <c r="I76" s="310"/>
      <c r="J76" s="310"/>
      <c r="K76" s="310"/>
      <c r="L76" s="429"/>
    </row>
    <row r="77" spans="1:13" ht="13.5" thickBot="1">
      <c r="A77" s="432"/>
      <c r="B77" s="433">
        <f t="shared" ref="B77:H77" si="6">SUM(B4:B76)</f>
        <v>1589307181.5</v>
      </c>
      <c r="C77" s="433">
        <f t="shared" si="6"/>
        <v>157100000</v>
      </c>
      <c r="D77" s="433">
        <f t="shared" si="6"/>
        <v>35000000</v>
      </c>
      <c r="E77" s="433">
        <f t="shared" si="6"/>
        <v>0</v>
      </c>
      <c r="F77" s="433">
        <f t="shared" si="6"/>
        <v>566540065</v>
      </c>
      <c r="G77" s="433">
        <f t="shared" si="6"/>
        <v>686577216</v>
      </c>
      <c r="H77" s="433">
        <f t="shared" si="6"/>
        <v>134089901</v>
      </c>
      <c r="I77" s="433" t="e">
        <f>#N/A</f>
        <v>#N/A</v>
      </c>
      <c r="J77" s="433">
        <f>SUM(J4:J76)</f>
        <v>10000000</v>
      </c>
      <c r="K77" s="433">
        <f>SUM(K4:K76)</f>
        <v>1589307182</v>
      </c>
      <c r="L77" s="434">
        <f>SUM(L4:L76)</f>
        <v>0.5</v>
      </c>
    </row>
    <row r="78" spans="1:13">
      <c r="B78" s="420">
        <f>'4.beruházás'!D60+'5.felújítás'!F33+'3.c. tartalék'!F11</f>
        <v>1589307181.5</v>
      </c>
      <c r="C78" s="420"/>
      <c r="D78" s="420"/>
      <c r="E78" s="420"/>
      <c r="F78" s="420">
        <f>'1.'!C78</f>
        <v>566540065</v>
      </c>
      <c r="G78" s="420"/>
      <c r="H78" s="420"/>
      <c r="I78" s="420"/>
      <c r="K78" s="420"/>
      <c r="L78" s="420"/>
    </row>
    <row r="79" spans="1:13" ht="13.5" thickBot="1">
      <c r="C79" s="420"/>
      <c r="D79" s="420"/>
      <c r="E79" s="420"/>
      <c r="F79" s="420">
        <f>F78-F77</f>
        <v>0</v>
      </c>
      <c r="G79" s="420"/>
      <c r="H79" s="420"/>
      <c r="I79" s="420"/>
      <c r="K79" s="420"/>
      <c r="L79" s="420"/>
    </row>
    <row r="80" spans="1:13" ht="13.5" thickBot="1">
      <c r="A80" s="435"/>
      <c r="B80" s="436"/>
      <c r="C80" s="436"/>
      <c r="D80" s="436"/>
      <c r="E80" s="436"/>
      <c r="F80" s="436"/>
      <c r="G80" s="436"/>
      <c r="H80" s="436"/>
      <c r="I80" s="436"/>
      <c r="J80" s="436"/>
      <c r="K80" s="436"/>
      <c r="L80" s="437"/>
    </row>
    <row r="81" spans="1:12" ht="25.5" customHeight="1">
      <c r="C81" s="420"/>
      <c r="D81" s="420"/>
      <c r="E81" s="420"/>
      <c r="F81" s="420"/>
      <c r="G81" s="420"/>
      <c r="H81" s="420"/>
      <c r="I81" s="420"/>
      <c r="K81" s="420"/>
      <c r="L81" s="420"/>
    </row>
    <row r="82" spans="1:12" ht="13.5" thickBot="1"/>
    <row r="83" spans="1:12" ht="15">
      <c r="A83" s="439" t="s">
        <v>653</v>
      </c>
      <c r="B83" s="440">
        <v>27453188</v>
      </c>
    </row>
    <row r="84" spans="1:12">
      <c r="A84" s="338" t="s">
        <v>1069</v>
      </c>
      <c r="B84" s="441">
        <v>17437799</v>
      </c>
    </row>
    <row r="85" spans="1:12">
      <c r="A85" s="338" t="s">
        <v>1070</v>
      </c>
      <c r="B85" s="441">
        <v>15000000</v>
      </c>
    </row>
    <row r="86" spans="1:12">
      <c r="A86" s="338" t="s">
        <v>1072</v>
      </c>
      <c r="B86" s="441">
        <v>31048000</v>
      </c>
    </row>
    <row r="87" spans="1:12" ht="13.5" thickBot="1">
      <c r="A87" s="442" t="s">
        <v>1071</v>
      </c>
      <c r="B87" s="443">
        <f>SUM(B83:B86)</f>
        <v>90938987</v>
      </c>
    </row>
    <row r="88" spans="1:12" ht="13.5" thickBot="1"/>
    <row r="89" spans="1:12" ht="13.5" thickBot="1">
      <c r="A89" s="444" t="s">
        <v>1073</v>
      </c>
      <c r="B89" s="445">
        <f>B87+C77+D77</f>
        <v>283038987</v>
      </c>
    </row>
  </sheetData>
  <pageMargins left="0.19685039370078741" right="0.11811023622047245" top="0.35433070866141736" bottom="0.55118110236220474" header="0.31496062992125984" footer="0.31496062992125984"/>
  <pageSetup paperSize="9" scale="98" fitToHeight="0" orientation="landscape" r:id="rId1"/>
  <headerFooter>
    <oddHeader>&amp;RRáckeve Város 2020 évi költségvetés melléklete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81"/>
  <sheetViews>
    <sheetView workbookViewId="0">
      <pane xSplit="1" ySplit="3" topLeftCell="B4" activePane="bottomRight" state="frozen"/>
      <selection activeCell="H163" sqref="H163"/>
      <selection pane="topRight" activeCell="H163" sqref="H163"/>
      <selection pane="bottomLeft" activeCell="H163" sqref="H163"/>
      <selection pane="bottomRight" activeCell="M2" sqref="M2"/>
    </sheetView>
  </sheetViews>
  <sheetFormatPr defaultRowHeight="12.75"/>
  <cols>
    <col min="1" max="1" width="32.140625" style="3" customWidth="1"/>
    <col min="2" max="2" width="14.42578125" style="420" customWidth="1"/>
    <col min="3" max="3" width="13.5703125" customWidth="1"/>
    <col min="4" max="4" width="13.85546875" style="419" bestFit="1" customWidth="1"/>
    <col min="5" max="5" width="0" hidden="1" customWidth="1"/>
    <col min="6" max="6" width="10.140625" bestFit="1" customWidth="1"/>
    <col min="7" max="7" width="12.140625" customWidth="1"/>
    <col min="8" max="8" width="13.85546875" bestFit="1" customWidth="1"/>
    <col min="9" max="9" width="13.42578125" bestFit="1" customWidth="1"/>
    <col min="10" max="10" width="0" hidden="1" customWidth="1"/>
    <col min="11" max="11" width="10.28515625" style="420" bestFit="1" customWidth="1"/>
    <col min="12" max="12" width="12.7109375" bestFit="1" customWidth="1"/>
    <col min="13" max="13" width="13.42578125" bestFit="1" customWidth="1"/>
    <col min="14" max="14" width="9.140625" customWidth="1"/>
    <col min="256" max="256" width="32.140625" customWidth="1"/>
    <col min="257" max="258" width="14.42578125" customWidth="1"/>
    <col min="259" max="260" width="13.5703125" customWidth="1"/>
    <col min="261" max="261" width="13.85546875" bestFit="1" customWidth="1"/>
    <col min="262" max="262" width="0" hidden="1" customWidth="1"/>
    <col min="263" max="263" width="12.140625" customWidth="1"/>
    <col min="264" max="264" width="13.85546875" bestFit="1" customWidth="1"/>
    <col min="265" max="265" width="13.42578125" bestFit="1" customWidth="1"/>
    <col min="266" max="266" width="0" hidden="1" customWidth="1"/>
    <col min="267" max="267" width="10.28515625" bestFit="1" customWidth="1"/>
    <col min="268" max="268" width="12.7109375" bestFit="1" customWidth="1"/>
    <col min="269" max="269" width="13.42578125" bestFit="1" customWidth="1"/>
    <col min="270" max="270" width="9.140625" customWidth="1"/>
    <col min="512" max="512" width="32.140625" customWidth="1"/>
    <col min="513" max="514" width="14.42578125" customWidth="1"/>
    <col min="515" max="516" width="13.5703125" customWidth="1"/>
    <col min="517" max="517" width="13.85546875" bestFit="1" customWidth="1"/>
    <col min="518" max="518" width="0" hidden="1" customWidth="1"/>
    <col min="519" max="519" width="12.140625" customWidth="1"/>
    <col min="520" max="520" width="13.85546875" bestFit="1" customWidth="1"/>
    <col min="521" max="521" width="13.42578125" bestFit="1" customWidth="1"/>
    <col min="522" max="522" width="0" hidden="1" customWidth="1"/>
    <col min="523" max="523" width="10.28515625" bestFit="1" customWidth="1"/>
    <col min="524" max="524" width="12.7109375" bestFit="1" customWidth="1"/>
    <col min="525" max="525" width="13.42578125" bestFit="1" customWidth="1"/>
    <col min="526" max="526" width="9.140625" customWidth="1"/>
    <col min="768" max="768" width="32.140625" customWidth="1"/>
    <col min="769" max="770" width="14.42578125" customWidth="1"/>
    <col min="771" max="772" width="13.5703125" customWidth="1"/>
    <col min="773" max="773" width="13.85546875" bestFit="1" customWidth="1"/>
    <col min="774" max="774" width="0" hidden="1" customWidth="1"/>
    <col min="775" max="775" width="12.140625" customWidth="1"/>
    <col min="776" max="776" width="13.85546875" bestFit="1" customWidth="1"/>
    <col min="777" max="777" width="13.42578125" bestFit="1" customWidth="1"/>
    <col min="778" max="778" width="0" hidden="1" customWidth="1"/>
    <col min="779" max="779" width="10.28515625" bestFit="1" customWidth="1"/>
    <col min="780" max="780" width="12.7109375" bestFit="1" customWidth="1"/>
    <col min="781" max="781" width="13.42578125" bestFit="1" customWidth="1"/>
    <col min="782" max="782" width="9.140625" customWidth="1"/>
    <col min="1024" max="1024" width="32.140625" customWidth="1"/>
    <col min="1025" max="1026" width="14.42578125" customWidth="1"/>
    <col min="1027" max="1028" width="13.5703125" customWidth="1"/>
    <col min="1029" max="1029" width="13.85546875" bestFit="1" customWidth="1"/>
    <col min="1030" max="1030" width="0" hidden="1" customWidth="1"/>
    <col min="1031" max="1031" width="12.140625" customWidth="1"/>
    <col min="1032" max="1032" width="13.85546875" bestFit="1" customWidth="1"/>
    <col min="1033" max="1033" width="13.42578125" bestFit="1" customWidth="1"/>
    <col min="1034" max="1034" width="0" hidden="1" customWidth="1"/>
    <col min="1035" max="1035" width="10.28515625" bestFit="1" customWidth="1"/>
    <col min="1036" max="1036" width="12.7109375" bestFit="1" customWidth="1"/>
    <col min="1037" max="1037" width="13.42578125" bestFit="1" customWidth="1"/>
    <col min="1038" max="1038" width="9.140625" customWidth="1"/>
    <col min="1280" max="1280" width="32.140625" customWidth="1"/>
    <col min="1281" max="1282" width="14.42578125" customWidth="1"/>
    <col min="1283" max="1284" width="13.5703125" customWidth="1"/>
    <col min="1285" max="1285" width="13.85546875" bestFit="1" customWidth="1"/>
    <col min="1286" max="1286" width="0" hidden="1" customWidth="1"/>
    <col min="1287" max="1287" width="12.140625" customWidth="1"/>
    <col min="1288" max="1288" width="13.85546875" bestFit="1" customWidth="1"/>
    <col min="1289" max="1289" width="13.42578125" bestFit="1" customWidth="1"/>
    <col min="1290" max="1290" width="0" hidden="1" customWidth="1"/>
    <col min="1291" max="1291" width="10.28515625" bestFit="1" customWidth="1"/>
    <col min="1292" max="1292" width="12.7109375" bestFit="1" customWidth="1"/>
    <col min="1293" max="1293" width="13.42578125" bestFit="1" customWidth="1"/>
    <col min="1294" max="1294" width="9.140625" customWidth="1"/>
    <col min="1536" max="1536" width="32.140625" customWidth="1"/>
    <col min="1537" max="1538" width="14.42578125" customWidth="1"/>
    <col min="1539" max="1540" width="13.5703125" customWidth="1"/>
    <col min="1541" max="1541" width="13.85546875" bestFit="1" customWidth="1"/>
    <col min="1542" max="1542" width="0" hidden="1" customWidth="1"/>
    <col min="1543" max="1543" width="12.140625" customWidth="1"/>
    <col min="1544" max="1544" width="13.85546875" bestFit="1" customWidth="1"/>
    <col min="1545" max="1545" width="13.42578125" bestFit="1" customWidth="1"/>
    <col min="1546" max="1546" width="0" hidden="1" customWidth="1"/>
    <col min="1547" max="1547" width="10.28515625" bestFit="1" customWidth="1"/>
    <col min="1548" max="1548" width="12.7109375" bestFit="1" customWidth="1"/>
    <col min="1549" max="1549" width="13.42578125" bestFit="1" customWidth="1"/>
    <col min="1550" max="1550" width="9.140625" customWidth="1"/>
    <col min="1792" max="1792" width="32.140625" customWidth="1"/>
    <col min="1793" max="1794" width="14.42578125" customWidth="1"/>
    <col min="1795" max="1796" width="13.5703125" customWidth="1"/>
    <col min="1797" max="1797" width="13.85546875" bestFit="1" customWidth="1"/>
    <col min="1798" max="1798" width="0" hidden="1" customWidth="1"/>
    <col min="1799" max="1799" width="12.140625" customWidth="1"/>
    <col min="1800" max="1800" width="13.85546875" bestFit="1" customWidth="1"/>
    <col min="1801" max="1801" width="13.42578125" bestFit="1" customWidth="1"/>
    <col min="1802" max="1802" width="0" hidden="1" customWidth="1"/>
    <col min="1803" max="1803" width="10.28515625" bestFit="1" customWidth="1"/>
    <col min="1804" max="1804" width="12.7109375" bestFit="1" customWidth="1"/>
    <col min="1805" max="1805" width="13.42578125" bestFit="1" customWidth="1"/>
    <col min="1806" max="1806" width="9.140625" customWidth="1"/>
    <col min="2048" max="2048" width="32.140625" customWidth="1"/>
    <col min="2049" max="2050" width="14.42578125" customWidth="1"/>
    <col min="2051" max="2052" width="13.5703125" customWidth="1"/>
    <col min="2053" max="2053" width="13.85546875" bestFit="1" customWidth="1"/>
    <col min="2054" max="2054" width="0" hidden="1" customWidth="1"/>
    <col min="2055" max="2055" width="12.140625" customWidth="1"/>
    <col min="2056" max="2056" width="13.85546875" bestFit="1" customWidth="1"/>
    <col min="2057" max="2057" width="13.42578125" bestFit="1" customWidth="1"/>
    <col min="2058" max="2058" width="0" hidden="1" customWidth="1"/>
    <col min="2059" max="2059" width="10.28515625" bestFit="1" customWidth="1"/>
    <col min="2060" max="2060" width="12.7109375" bestFit="1" customWidth="1"/>
    <col min="2061" max="2061" width="13.42578125" bestFit="1" customWidth="1"/>
    <col min="2062" max="2062" width="9.140625" customWidth="1"/>
    <col min="2304" max="2304" width="32.140625" customWidth="1"/>
    <col min="2305" max="2306" width="14.42578125" customWidth="1"/>
    <col min="2307" max="2308" width="13.5703125" customWidth="1"/>
    <col min="2309" max="2309" width="13.85546875" bestFit="1" customWidth="1"/>
    <col min="2310" max="2310" width="0" hidden="1" customWidth="1"/>
    <col min="2311" max="2311" width="12.140625" customWidth="1"/>
    <col min="2312" max="2312" width="13.85546875" bestFit="1" customWidth="1"/>
    <col min="2313" max="2313" width="13.42578125" bestFit="1" customWidth="1"/>
    <col min="2314" max="2314" width="0" hidden="1" customWidth="1"/>
    <col min="2315" max="2315" width="10.28515625" bestFit="1" customWidth="1"/>
    <col min="2316" max="2316" width="12.7109375" bestFit="1" customWidth="1"/>
    <col min="2317" max="2317" width="13.42578125" bestFit="1" customWidth="1"/>
    <col min="2318" max="2318" width="9.140625" customWidth="1"/>
    <col min="2560" max="2560" width="32.140625" customWidth="1"/>
    <col min="2561" max="2562" width="14.42578125" customWidth="1"/>
    <col min="2563" max="2564" width="13.5703125" customWidth="1"/>
    <col min="2565" max="2565" width="13.85546875" bestFit="1" customWidth="1"/>
    <col min="2566" max="2566" width="0" hidden="1" customWidth="1"/>
    <col min="2567" max="2567" width="12.140625" customWidth="1"/>
    <col min="2568" max="2568" width="13.85546875" bestFit="1" customWidth="1"/>
    <col min="2569" max="2569" width="13.42578125" bestFit="1" customWidth="1"/>
    <col min="2570" max="2570" width="0" hidden="1" customWidth="1"/>
    <col min="2571" max="2571" width="10.28515625" bestFit="1" customWidth="1"/>
    <col min="2572" max="2572" width="12.7109375" bestFit="1" customWidth="1"/>
    <col min="2573" max="2573" width="13.42578125" bestFit="1" customWidth="1"/>
    <col min="2574" max="2574" width="9.140625" customWidth="1"/>
    <col min="2816" max="2816" width="32.140625" customWidth="1"/>
    <col min="2817" max="2818" width="14.42578125" customWidth="1"/>
    <col min="2819" max="2820" width="13.5703125" customWidth="1"/>
    <col min="2821" max="2821" width="13.85546875" bestFit="1" customWidth="1"/>
    <col min="2822" max="2822" width="0" hidden="1" customWidth="1"/>
    <col min="2823" max="2823" width="12.140625" customWidth="1"/>
    <col min="2824" max="2824" width="13.85546875" bestFit="1" customWidth="1"/>
    <col min="2825" max="2825" width="13.42578125" bestFit="1" customWidth="1"/>
    <col min="2826" max="2826" width="0" hidden="1" customWidth="1"/>
    <col min="2827" max="2827" width="10.28515625" bestFit="1" customWidth="1"/>
    <col min="2828" max="2828" width="12.7109375" bestFit="1" customWidth="1"/>
    <col min="2829" max="2829" width="13.42578125" bestFit="1" customWidth="1"/>
    <col min="2830" max="2830" width="9.140625" customWidth="1"/>
    <col min="3072" max="3072" width="32.140625" customWidth="1"/>
    <col min="3073" max="3074" width="14.42578125" customWidth="1"/>
    <col min="3075" max="3076" width="13.5703125" customWidth="1"/>
    <col min="3077" max="3077" width="13.85546875" bestFit="1" customWidth="1"/>
    <col min="3078" max="3078" width="0" hidden="1" customWidth="1"/>
    <col min="3079" max="3079" width="12.140625" customWidth="1"/>
    <col min="3080" max="3080" width="13.85546875" bestFit="1" customWidth="1"/>
    <col min="3081" max="3081" width="13.42578125" bestFit="1" customWidth="1"/>
    <col min="3082" max="3082" width="0" hidden="1" customWidth="1"/>
    <col min="3083" max="3083" width="10.28515625" bestFit="1" customWidth="1"/>
    <col min="3084" max="3084" width="12.7109375" bestFit="1" customWidth="1"/>
    <col min="3085" max="3085" width="13.42578125" bestFit="1" customWidth="1"/>
    <col min="3086" max="3086" width="9.140625" customWidth="1"/>
    <col min="3328" max="3328" width="32.140625" customWidth="1"/>
    <col min="3329" max="3330" width="14.42578125" customWidth="1"/>
    <col min="3331" max="3332" width="13.5703125" customWidth="1"/>
    <col min="3333" max="3333" width="13.85546875" bestFit="1" customWidth="1"/>
    <col min="3334" max="3334" width="0" hidden="1" customWidth="1"/>
    <col min="3335" max="3335" width="12.140625" customWidth="1"/>
    <col min="3336" max="3336" width="13.85546875" bestFit="1" customWidth="1"/>
    <col min="3337" max="3337" width="13.42578125" bestFit="1" customWidth="1"/>
    <col min="3338" max="3338" width="0" hidden="1" customWidth="1"/>
    <col min="3339" max="3339" width="10.28515625" bestFit="1" customWidth="1"/>
    <col min="3340" max="3340" width="12.7109375" bestFit="1" customWidth="1"/>
    <col min="3341" max="3341" width="13.42578125" bestFit="1" customWidth="1"/>
    <col min="3342" max="3342" width="9.140625" customWidth="1"/>
    <col min="3584" max="3584" width="32.140625" customWidth="1"/>
    <col min="3585" max="3586" width="14.42578125" customWidth="1"/>
    <col min="3587" max="3588" width="13.5703125" customWidth="1"/>
    <col min="3589" max="3589" width="13.85546875" bestFit="1" customWidth="1"/>
    <col min="3590" max="3590" width="0" hidden="1" customWidth="1"/>
    <col min="3591" max="3591" width="12.140625" customWidth="1"/>
    <col min="3592" max="3592" width="13.85546875" bestFit="1" customWidth="1"/>
    <col min="3593" max="3593" width="13.42578125" bestFit="1" customWidth="1"/>
    <col min="3594" max="3594" width="0" hidden="1" customWidth="1"/>
    <col min="3595" max="3595" width="10.28515625" bestFit="1" customWidth="1"/>
    <col min="3596" max="3596" width="12.7109375" bestFit="1" customWidth="1"/>
    <col min="3597" max="3597" width="13.42578125" bestFit="1" customWidth="1"/>
    <col min="3598" max="3598" width="9.140625" customWidth="1"/>
    <col min="3840" max="3840" width="32.140625" customWidth="1"/>
    <col min="3841" max="3842" width="14.42578125" customWidth="1"/>
    <col min="3843" max="3844" width="13.5703125" customWidth="1"/>
    <col min="3845" max="3845" width="13.85546875" bestFit="1" customWidth="1"/>
    <col min="3846" max="3846" width="0" hidden="1" customWidth="1"/>
    <col min="3847" max="3847" width="12.140625" customWidth="1"/>
    <col min="3848" max="3848" width="13.85546875" bestFit="1" customWidth="1"/>
    <col min="3849" max="3849" width="13.42578125" bestFit="1" customWidth="1"/>
    <col min="3850" max="3850" width="0" hidden="1" customWidth="1"/>
    <col min="3851" max="3851" width="10.28515625" bestFit="1" customWidth="1"/>
    <col min="3852" max="3852" width="12.7109375" bestFit="1" customWidth="1"/>
    <col min="3853" max="3853" width="13.42578125" bestFit="1" customWidth="1"/>
    <col min="3854" max="3854" width="9.140625" customWidth="1"/>
    <col min="4096" max="4096" width="32.140625" customWidth="1"/>
    <col min="4097" max="4098" width="14.42578125" customWidth="1"/>
    <col min="4099" max="4100" width="13.5703125" customWidth="1"/>
    <col min="4101" max="4101" width="13.85546875" bestFit="1" customWidth="1"/>
    <col min="4102" max="4102" width="0" hidden="1" customWidth="1"/>
    <col min="4103" max="4103" width="12.140625" customWidth="1"/>
    <col min="4104" max="4104" width="13.85546875" bestFit="1" customWidth="1"/>
    <col min="4105" max="4105" width="13.42578125" bestFit="1" customWidth="1"/>
    <col min="4106" max="4106" width="0" hidden="1" customWidth="1"/>
    <col min="4107" max="4107" width="10.28515625" bestFit="1" customWidth="1"/>
    <col min="4108" max="4108" width="12.7109375" bestFit="1" customWidth="1"/>
    <col min="4109" max="4109" width="13.42578125" bestFit="1" customWidth="1"/>
    <col min="4110" max="4110" width="9.140625" customWidth="1"/>
    <col min="4352" max="4352" width="32.140625" customWidth="1"/>
    <col min="4353" max="4354" width="14.42578125" customWidth="1"/>
    <col min="4355" max="4356" width="13.5703125" customWidth="1"/>
    <col min="4357" max="4357" width="13.85546875" bestFit="1" customWidth="1"/>
    <col min="4358" max="4358" width="0" hidden="1" customWidth="1"/>
    <col min="4359" max="4359" width="12.140625" customWidth="1"/>
    <col min="4360" max="4360" width="13.85546875" bestFit="1" customWidth="1"/>
    <col min="4361" max="4361" width="13.42578125" bestFit="1" customWidth="1"/>
    <col min="4362" max="4362" width="0" hidden="1" customWidth="1"/>
    <col min="4363" max="4363" width="10.28515625" bestFit="1" customWidth="1"/>
    <col min="4364" max="4364" width="12.7109375" bestFit="1" customWidth="1"/>
    <col min="4365" max="4365" width="13.42578125" bestFit="1" customWidth="1"/>
    <col min="4366" max="4366" width="9.140625" customWidth="1"/>
    <col min="4608" max="4608" width="32.140625" customWidth="1"/>
    <col min="4609" max="4610" width="14.42578125" customWidth="1"/>
    <col min="4611" max="4612" width="13.5703125" customWidth="1"/>
    <col min="4613" max="4613" width="13.85546875" bestFit="1" customWidth="1"/>
    <col min="4614" max="4614" width="0" hidden="1" customWidth="1"/>
    <col min="4615" max="4615" width="12.140625" customWidth="1"/>
    <col min="4616" max="4616" width="13.85546875" bestFit="1" customWidth="1"/>
    <col min="4617" max="4617" width="13.42578125" bestFit="1" customWidth="1"/>
    <col min="4618" max="4618" width="0" hidden="1" customWidth="1"/>
    <col min="4619" max="4619" width="10.28515625" bestFit="1" customWidth="1"/>
    <col min="4620" max="4620" width="12.7109375" bestFit="1" customWidth="1"/>
    <col min="4621" max="4621" width="13.42578125" bestFit="1" customWidth="1"/>
    <col min="4622" max="4622" width="9.140625" customWidth="1"/>
    <col min="4864" max="4864" width="32.140625" customWidth="1"/>
    <col min="4865" max="4866" width="14.42578125" customWidth="1"/>
    <col min="4867" max="4868" width="13.5703125" customWidth="1"/>
    <col min="4869" max="4869" width="13.85546875" bestFit="1" customWidth="1"/>
    <col min="4870" max="4870" width="0" hidden="1" customWidth="1"/>
    <col min="4871" max="4871" width="12.140625" customWidth="1"/>
    <col min="4872" max="4872" width="13.85546875" bestFit="1" customWidth="1"/>
    <col min="4873" max="4873" width="13.42578125" bestFit="1" customWidth="1"/>
    <col min="4874" max="4874" width="0" hidden="1" customWidth="1"/>
    <col min="4875" max="4875" width="10.28515625" bestFit="1" customWidth="1"/>
    <col min="4876" max="4876" width="12.7109375" bestFit="1" customWidth="1"/>
    <col min="4877" max="4877" width="13.42578125" bestFit="1" customWidth="1"/>
    <col min="4878" max="4878" width="9.140625" customWidth="1"/>
    <col min="5120" max="5120" width="32.140625" customWidth="1"/>
    <col min="5121" max="5122" width="14.42578125" customWidth="1"/>
    <col min="5123" max="5124" width="13.5703125" customWidth="1"/>
    <col min="5125" max="5125" width="13.85546875" bestFit="1" customWidth="1"/>
    <col min="5126" max="5126" width="0" hidden="1" customWidth="1"/>
    <col min="5127" max="5127" width="12.140625" customWidth="1"/>
    <col min="5128" max="5128" width="13.85546875" bestFit="1" customWidth="1"/>
    <col min="5129" max="5129" width="13.42578125" bestFit="1" customWidth="1"/>
    <col min="5130" max="5130" width="0" hidden="1" customWidth="1"/>
    <col min="5131" max="5131" width="10.28515625" bestFit="1" customWidth="1"/>
    <col min="5132" max="5132" width="12.7109375" bestFit="1" customWidth="1"/>
    <col min="5133" max="5133" width="13.42578125" bestFit="1" customWidth="1"/>
    <col min="5134" max="5134" width="9.140625" customWidth="1"/>
    <col min="5376" max="5376" width="32.140625" customWidth="1"/>
    <col min="5377" max="5378" width="14.42578125" customWidth="1"/>
    <col min="5379" max="5380" width="13.5703125" customWidth="1"/>
    <col min="5381" max="5381" width="13.85546875" bestFit="1" customWidth="1"/>
    <col min="5382" max="5382" width="0" hidden="1" customWidth="1"/>
    <col min="5383" max="5383" width="12.140625" customWidth="1"/>
    <col min="5384" max="5384" width="13.85546875" bestFit="1" customWidth="1"/>
    <col min="5385" max="5385" width="13.42578125" bestFit="1" customWidth="1"/>
    <col min="5386" max="5386" width="0" hidden="1" customWidth="1"/>
    <col min="5387" max="5387" width="10.28515625" bestFit="1" customWidth="1"/>
    <col min="5388" max="5388" width="12.7109375" bestFit="1" customWidth="1"/>
    <col min="5389" max="5389" width="13.42578125" bestFit="1" customWidth="1"/>
    <col min="5390" max="5390" width="9.140625" customWidth="1"/>
    <col min="5632" max="5632" width="32.140625" customWidth="1"/>
    <col min="5633" max="5634" width="14.42578125" customWidth="1"/>
    <col min="5635" max="5636" width="13.5703125" customWidth="1"/>
    <col min="5637" max="5637" width="13.85546875" bestFit="1" customWidth="1"/>
    <col min="5638" max="5638" width="0" hidden="1" customWidth="1"/>
    <col min="5639" max="5639" width="12.140625" customWidth="1"/>
    <col min="5640" max="5640" width="13.85546875" bestFit="1" customWidth="1"/>
    <col min="5641" max="5641" width="13.42578125" bestFit="1" customWidth="1"/>
    <col min="5642" max="5642" width="0" hidden="1" customWidth="1"/>
    <col min="5643" max="5643" width="10.28515625" bestFit="1" customWidth="1"/>
    <col min="5644" max="5644" width="12.7109375" bestFit="1" customWidth="1"/>
    <col min="5645" max="5645" width="13.42578125" bestFit="1" customWidth="1"/>
    <col min="5646" max="5646" width="9.140625" customWidth="1"/>
    <col min="5888" max="5888" width="32.140625" customWidth="1"/>
    <col min="5889" max="5890" width="14.42578125" customWidth="1"/>
    <col min="5891" max="5892" width="13.5703125" customWidth="1"/>
    <col min="5893" max="5893" width="13.85546875" bestFit="1" customWidth="1"/>
    <col min="5894" max="5894" width="0" hidden="1" customWidth="1"/>
    <col min="5895" max="5895" width="12.140625" customWidth="1"/>
    <col min="5896" max="5896" width="13.85546875" bestFit="1" customWidth="1"/>
    <col min="5897" max="5897" width="13.42578125" bestFit="1" customWidth="1"/>
    <col min="5898" max="5898" width="0" hidden="1" customWidth="1"/>
    <col min="5899" max="5899" width="10.28515625" bestFit="1" customWidth="1"/>
    <col min="5900" max="5900" width="12.7109375" bestFit="1" customWidth="1"/>
    <col min="5901" max="5901" width="13.42578125" bestFit="1" customWidth="1"/>
    <col min="5902" max="5902" width="9.140625" customWidth="1"/>
    <col min="6144" max="6144" width="32.140625" customWidth="1"/>
    <col min="6145" max="6146" width="14.42578125" customWidth="1"/>
    <col min="6147" max="6148" width="13.5703125" customWidth="1"/>
    <col min="6149" max="6149" width="13.85546875" bestFit="1" customWidth="1"/>
    <col min="6150" max="6150" width="0" hidden="1" customWidth="1"/>
    <col min="6151" max="6151" width="12.140625" customWidth="1"/>
    <col min="6152" max="6152" width="13.85546875" bestFit="1" customWidth="1"/>
    <col min="6153" max="6153" width="13.42578125" bestFit="1" customWidth="1"/>
    <col min="6154" max="6154" width="0" hidden="1" customWidth="1"/>
    <col min="6155" max="6155" width="10.28515625" bestFit="1" customWidth="1"/>
    <col min="6156" max="6156" width="12.7109375" bestFit="1" customWidth="1"/>
    <col min="6157" max="6157" width="13.42578125" bestFit="1" customWidth="1"/>
    <col min="6158" max="6158" width="9.140625" customWidth="1"/>
    <col min="6400" max="6400" width="32.140625" customWidth="1"/>
    <col min="6401" max="6402" width="14.42578125" customWidth="1"/>
    <col min="6403" max="6404" width="13.5703125" customWidth="1"/>
    <col min="6405" max="6405" width="13.85546875" bestFit="1" customWidth="1"/>
    <col min="6406" max="6406" width="0" hidden="1" customWidth="1"/>
    <col min="6407" max="6407" width="12.140625" customWidth="1"/>
    <col min="6408" max="6408" width="13.85546875" bestFit="1" customWidth="1"/>
    <col min="6409" max="6409" width="13.42578125" bestFit="1" customWidth="1"/>
    <col min="6410" max="6410" width="0" hidden="1" customWidth="1"/>
    <col min="6411" max="6411" width="10.28515625" bestFit="1" customWidth="1"/>
    <col min="6412" max="6412" width="12.7109375" bestFit="1" customWidth="1"/>
    <col min="6413" max="6413" width="13.42578125" bestFit="1" customWidth="1"/>
    <col min="6414" max="6414" width="9.140625" customWidth="1"/>
    <col min="6656" max="6656" width="32.140625" customWidth="1"/>
    <col min="6657" max="6658" width="14.42578125" customWidth="1"/>
    <col min="6659" max="6660" width="13.5703125" customWidth="1"/>
    <col min="6661" max="6661" width="13.85546875" bestFit="1" customWidth="1"/>
    <col min="6662" max="6662" width="0" hidden="1" customWidth="1"/>
    <col min="6663" max="6663" width="12.140625" customWidth="1"/>
    <col min="6664" max="6664" width="13.85546875" bestFit="1" customWidth="1"/>
    <col min="6665" max="6665" width="13.42578125" bestFit="1" customWidth="1"/>
    <col min="6666" max="6666" width="0" hidden="1" customWidth="1"/>
    <col min="6667" max="6667" width="10.28515625" bestFit="1" customWidth="1"/>
    <col min="6668" max="6668" width="12.7109375" bestFit="1" customWidth="1"/>
    <col min="6669" max="6669" width="13.42578125" bestFit="1" customWidth="1"/>
    <col min="6670" max="6670" width="9.140625" customWidth="1"/>
    <col min="6912" max="6912" width="32.140625" customWidth="1"/>
    <col min="6913" max="6914" width="14.42578125" customWidth="1"/>
    <col min="6915" max="6916" width="13.5703125" customWidth="1"/>
    <col min="6917" max="6917" width="13.85546875" bestFit="1" customWidth="1"/>
    <col min="6918" max="6918" width="0" hidden="1" customWidth="1"/>
    <col min="6919" max="6919" width="12.140625" customWidth="1"/>
    <col min="6920" max="6920" width="13.85546875" bestFit="1" customWidth="1"/>
    <col min="6921" max="6921" width="13.42578125" bestFit="1" customWidth="1"/>
    <col min="6922" max="6922" width="0" hidden="1" customWidth="1"/>
    <col min="6923" max="6923" width="10.28515625" bestFit="1" customWidth="1"/>
    <col min="6924" max="6924" width="12.7109375" bestFit="1" customWidth="1"/>
    <col min="6925" max="6925" width="13.42578125" bestFit="1" customWidth="1"/>
    <col min="6926" max="6926" width="9.140625" customWidth="1"/>
    <col min="7168" max="7168" width="32.140625" customWidth="1"/>
    <col min="7169" max="7170" width="14.42578125" customWidth="1"/>
    <col min="7171" max="7172" width="13.5703125" customWidth="1"/>
    <col min="7173" max="7173" width="13.85546875" bestFit="1" customWidth="1"/>
    <col min="7174" max="7174" width="0" hidden="1" customWidth="1"/>
    <col min="7175" max="7175" width="12.140625" customWidth="1"/>
    <col min="7176" max="7176" width="13.85546875" bestFit="1" customWidth="1"/>
    <col min="7177" max="7177" width="13.42578125" bestFit="1" customWidth="1"/>
    <col min="7178" max="7178" width="0" hidden="1" customWidth="1"/>
    <col min="7179" max="7179" width="10.28515625" bestFit="1" customWidth="1"/>
    <col min="7180" max="7180" width="12.7109375" bestFit="1" customWidth="1"/>
    <col min="7181" max="7181" width="13.42578125" bestFit="1" customWidth="1"/>
    <col min="7182" max="7182" width="9.140625" customWidth="1"/>
    <col min="7424" max="7424" width="32.140625" customWidth="1"/>
    <col min="7425" max="7426" width="14.42578125" customWidth="1"/>
    <col min="7427" max="7428" width="13.5703125" customWidth="1"/>
    <col min="7429" max="7429" width="13.85546875" bestFit="1" customWidth="1"/>
    <col min="7430" max="7430" width="0" hidden="1" customWidth="1"/>
    <col min="7431" max="7431" width="12.140625" customWidth="1"/>
    <col min="7432" max="7432" width="13.85546875" bestFit="1" customWidth="1"/>
    <col min="7433" max="7433" width="13.42578125" bestFit="1" customWidth="1"/>
    <col min="7434" max="7434" width="0" hidden="1" customWidth="1"/>
    <col min="7435" max="7435" width="10.28515625" bestFit="1" customWidth="1"/>
    <col min="7436" max="7436" width="12.7109375" bestFit="1" customWidth="1"/>
    <col min="7437" max="7437" width="13.42578125" bestFit="1" customWidth="1"/>
    <col min="7438" max="7438" width="9.140625" customWidth="1"/>
    <col min="7680" max="7680" width="32.140625" customWidth="1"/>
    <col min="7681" max="7682" width="14.42578125" customWidth="1"/>
    <col min="7683" max="7684" width="13.5703125" customWidth="1"/>
    <col min="7685" max="7685" width="13.85546875" bestFit="1" customWidth="1"/>
    <col min="7686" max="7686" width="0" hidden="1" customWidth="1"/>
    <col min="7687" max="7687" width="12.140625" customWidth="1"/>
    <col min="7688" max="7688" width="13.85546875" bestFit="1" customWidth="1"/>
    <col min="7689" max="7689" width="13.42578125" bestFit="1" customWidth="1"/>
    <col min="7690" max="7690" width="0" hidden="1" customWidth="1"/>
    <col min="7691" max="7691" width="10.28515625" bestFit="1" customWidth="1"/>
    <col min="7692" max="7692" width="12.7109375" bestFit="1" customWidth="1"/>
    <col min="7693" max="7693" width="13.42578125" bestFit="1" customWidth="1"/>
    <col min="7694" max="7694" width="9.140625" customWidth="1"/>
    <col min="7936" max="7936" width="32.140625" customWidth="1"/>
    <col min="7937" max="7938" width="14.42578125" customWidth="1"/>
    <col min="7939" max="7940" width="13.5703125" customWidth="1"/>
    <col min="7941" max="7941" width="13.85546875" bestFit="1" customWidth="1"/>
    <col min="7942" max="7942" width="0" hidden="1" customWidth="1"/>
    <col min="7943" max="7943" width="12.140625" customWidth="1"/>
    <col min="7944" max="7944" width="13.85546875" bestFit="1" customWidth="1"/>
    <col min="7945" max="7945" width="13.42578125" bestFit="1" customWidth="1"/>
    <col min="7946" max="7946" width="0" hidden="1" customWidth="1"/>
    <col min="7947" max="7947" width="10.28515625" bestFit="1" customWidth="1"/>
    <col min="7948" max="7948" width="12.7109375" bestFit="1" customWidth="1"/>
    <col min="7949" max="7949" width="13.42578125" bestFit="1" customWidth="1"/>
    <col min="7950" max="7950" width="9.140625" customWidth="1"/>
    <col min="8192" max="8192" width="32.140625" customWidth="1"/>
    <col min="8193" max="8194" width="14.42578125" customWidth="1"/>
    <col min="8195" max="8196" width="13.5703125" customWidth="1"/>
    <col min="8197" max="8197" width="13.85546875" bestFit="1" customWidth="1"/>
    <col min="8198" max="8198" width="0" hidden="1" customWidth="1"/>
    <col min="8199" max="8199" width="12.140625" customWidth="1"/>
    <col min="8200" max="8200" width="13.85546875" bestFit="1" customWidth="1"/>
    <col min="8201" max="8201" width="13.42578125" bestFit="1" customWidth="1"/>
    <col min="8202" max="8202" width="0" hidden="1" customWidth="1"/>
    <col min="8203" max="8203" width="10.28515625" bestFit="1" customWidth="1"/>
    <col min="8204" max="8204" width="12.7109375" bestFit="1" customWidth="1"/>
    <col min="8205" max="8205" width="13.42578125" bestFit="1" customWidth="1"/>
    <col min="8206" max="8206" width="9.140625" customWidth="1"/>
    <col min="8448" max="8448" width="32.140625" customWidth="1"/>
    <col min="8449" max="8450" width="14.42578125" customWidth="1"/>
    <col min="8451" max="8452" width="13.5703125" customWidth="1"/>
    <col min="8453" max="8453" width="13.85546875" bestFit="1" customWidth="1"/>
    <col min="8454" max="8454" width="0" hidden="1" customWidth="1"/>
    <col min="8455" max="8455" width="12.140625" customWidth="1"/>
    <col min="8456" max="8456" width="13.85546875" bestFit="1" customWidth="1"/>
    <col min="8457" max="8457" width="13.42578125" bestFit="1" customWidth="1"/>
    <col min="8458" max="8458" width="0" hidden="1" customWidth="1"/>
    <col min="8459" max="8459" width="10.28515625" bestFit="1" customWidth="1"/>
    <col min="8460" max="8460" width="12.7109375" bestFit="1" customWidth="1"/>
    <col min="8461" max="8461" width="13.42578125" bestFit="1" customWidth="1"/>
    <col min="8462" max="8462" width="9.140625" customWidth="1"/>
    <col min="8704" max="8704" width="32.140625" customWidth="1"/>
    <col min="8705" max="8706" width="14.42578125" customWidth="1"/>
    <col min="8707" max="8708" width="13.5703125" customWidth="1"/>
    <col min="8709" max="8709" width="13.85546875" bestFit="1" customWidth="1"/>
    <col min="8710" max="8710" width="0" hidden="1" customWidth="1"/>
    <col min="8711" max="8711" width="12.140625" customWidth="1"/>
    <col min="8712" max="8712" width="13.85546875" bestFit="1" customWidth="1"/>
    <col min="8713" max="8713" width="13.42578125" bestFit="1" customWidth="1"/>
    <col min="8714" max="8714" width="0" hidden="1" customWidth="1"/>
    <col min="8715" max="8715" width="10.28515625" bestFit="1" customWidth="1"/>
    <col min="8716" max="8716" width="12.7109375" bestFit="1" customWidth="1"/>
    <col min="8717" max="8717" width="13.42578125" bestFit="1" customWidth="1"/>
    <col min="8718" max="8718" width="9.140625" customWidth="1"/>
    <col min="8960" max="8960" width="32.140625" customWidth="1"/>
    <col min="8961" max="8962" width="14.42578125" customWidth="1"/>
    <col min="8963" max="8964" width="13.5703125" customWidth="1"/>
    <col min="8965" max="8965" width="13.85546875" bestFit="1" customWidth="1"/>
    <col min="8966" max="8966" width="0" hidden="1" customWidth="1"/>
    <col min="8967" max="8967" width="12.140625" customWidth="1"/>
    <col min="8968" max="8968" width="13.85546875" bestFit="1" customWidth="1"/>
    <col min="8969" max="8969" width="13.42578125" bestFit="1" customWidth="1"/>
    <col min="8970" max="8970" width="0" hidden="1" customWidth="1"/>
    <col min="8971" max="8971" width="10.28515625" bestFit="1" customWidth="1"/>
    <col min="8972" max="8972" width="12.7109375" bestFit="1" customWidth="1"/>
    <col min="8973" max="8973" width="13.42578125" bestFit="1" customWidth="1"/>
    <col min="8974" max="8974" width="9.140625" customWidth="1"/>
    <col min="9216" max="9216" width="32.140625" customWidth="1"/>
    <col min="9217" max="9218" width="14.42578125" customWidth="1"/>
    <col min="9219" max="9220" width="13.5703125" customWidth="1"/>
    <col min="9221" max="9221" width="13.85546875" bestFit="1" customWidth="1"/>
    <col min="9222" max="9222" width="0" hidden="1" customWidth="1"/>
    <col min="9223" max="9223" width="12.140625" customWidth="1"/>
    <col min="9224" max="9224" width="13.85546875" bestFit="1" customWidth="1"/>
    <col min="9225" max="9225" width="13.42578125" bestFit="1" customWidth="1"/>
    <col min="9226" max="9226" width="0" hidden="1" customWidth="1"/>
    <col min="9227" max="9227" width="10.28515625" bestFit="1" customWidth="1"/>
    <col min="9228" max="9228" width="12.7109375" bestFit="1" customWidth="1"/>
    <col min="9229" max="9229" width="13.42578125" bestFit="1" customWidth="1"/>
    <col min="9230" max="9230" width="9.140625" customWidth="1"/>
    <col min="9472" max="9472" width="32.140625" customWidth="1"/>
    <col min="9473" max="9474" width="14.42578125" customWidth="1"/>
    <col min="9475" max="9476" width="13.5703125" customWidth="1"/>
    <col min="9477" max="9477" width="13.85546875" bestFit="1" customWidth="1"/>
    <col min="9478" max="9478" width="0" hidden="1" customWidth="1"/>
    <col min="9479" max="9479" width="12.140625" customWidth="1"/>
    <col min="9480" max="9480" width="13.85546875" bestFit="1" customWidth="1"/>
    <col min="9481" max="9481" width="13.42578125" bestFit="1" customWidth="1"/>
    <col min="9482" max="9482" width="0" hidden="1" customWidth="1"/>
    <col min="9483" max="9483" width="10.28515625" bestFit="1" customWidth="1"/>
    <col min="9484" max="9484" width="12.7109375" bestFit="1" customWidth="1"/>
    <col min="9485" max="9485" width="13.42578125" bestFit="1" customWidth="1"/>
    <col min="9486" max="9486" width="9.140625" customWidth="1"/>
    <col min="9728" max="9728" width="32.140625" customWidth="1"/>
    <col min="9729" max="9730" width="14.42578125" customWidth="1"/>
    <col min="9731" max="9732" width="13.5703125" customWidth="1"/>
    <col min="9733" max="9733" width="13.85546875" bestFit="1" customWidth="1"/>
    <col min="9734" max="9734" width="0" hidden="1" customWidth="1"/>
    <col min="9735" max="9735" width="12.140625" customWidth="1"/>
    <col min="9736" max="9736" width="13.85546875" bestFit="1" customWidth="1"/>
    <col min="9737" max="9737" width="13.42578125" bestFit="1" customWidth="1"/>
    <col min="9738" max="9738" width="0" hidden="1" customWidth="1"/>
    <col min="9739" max="9739" width="10.28515625" bestFit="1" customWidth="1"/>
    <col min="9740" max="9740" width="12.7109375" bestFit="1" customWidth="1"/>
    <col min="9741" max="9741" width="13.42578125" bestFit="1" customWidth="1"/>
    <col min="9742" max="9742" width="9.140625" customWidth="1"/>
    <col min="9984" max="9984" width="32.140625" customWidth="1"/>
    <col min="9985" max="9986" width="14.42578125" customWidth="1"/>
    <col min="9987" max="9988" width="13.5703125" customWidth="1"/>
    <col min="9989" max="9989" width="13.85546875" bestFit="1" customWidth="1"/>
    <col min="9990" max="9990" width="0" hidden="1" customWidth="1"/>
    <col min="9991" max="9991" width="12.140625" customWidth="1"/>
    <col min="9992" max="9992" width="13.85546875" bestFit="1" customWidth="1"/>
    <col min="9993" max="9993" width="13.42578125" bestFit="1" customWidth="1"/>
    <col min="9994" max="9994" width="0" hidden="1" customWidth="1"/>
    <col min="9995" max="9995" width="10.28515625" bestFit="1" customWidth="1"/>
    <col min="9996" max="9996" width="12.7109375" bestFit="1" customWidth="1"/>
    <col min="9997" max="9997" width="13.42578125" bestFit="1" customWidth="1"/>
    <col min="9998" max="9998" width="9.140625" customWidth="1"/>
    <col min="10240" max="10240" width="32.140625" customWidth="1"/>
    <col min="10241" max="10242" width="14.42578125" customWidth="1"/>
    <col min="10243" max="10244" width="13.5703125" customWidth="1"/>
    <col min="10245" max="10245" width="13.85546875" bestFit="1" customWidth="1"/>
    <col min="10246" max="10246" width="0" hidden="1" customWidth="1"/>
    <col min="10247" max="10247" width="12.140625" customWidth="1"/>
    <col min="10248" max="10248" width="13.85546875" bestFit="1" customWidth="1"/>
    <col min="10249" max="10249" width="13.42578125" bestFit="1" customWidth="1"/>
    <col min="10250" max="10250" width="0" hidden="1" customWidth="1"/>
    <col min="10251" max="10251" width="10.28515625" bestFit="1" customWidth="1"/>
    <col min="10252" max="10252" width="12.7109375" bestFit="1" customWidth="1"/>
    <col min="10253" max="10253" width="13.42578125" bestFit="1" customWidth="1"/>
    <col min="10254" max="10254" width="9.140625" customWidth="1"/>
    <col min="10496" max="10496" width="32.140625" customWidth="1"/>
    <col min="10497" max="10498" width="14.42578125" customWidth="1"/>
    <col min="10499" max="10500" width="13.5703125" customWidth="1"/>
    <col min="10501" max="10501" width="13.85546875" bestFit="1" customWidth="1"/>
    <col min="10502" max="10502" width="0" hidden="1" customWidth="1"/>
    <col min="10503" max="10503" width="12.140625" customWidth="1"/>
    <col min="10504" max="10504" width="13.85546875" bestFit="1" customWidth="1"/>
    <col min="10505" max="10505" width="13.42578125" bestFit="1" customWidth="1"/>
    <col min="10506" max="10506" width="0" hidden="1" customWidth="1"/>
    <col min="10507" max="10507" width="10.28515625" bestFit="1" customWidth="1"/>
    <col min="10508" max="10508" width="12.7109375" bestFit="1" customWidth="1"/>
    <col min="10509" max="10509" width="13.42578125" bestFit="1" customWidth="1"/>
    <col min="10510" max="10510" width="9.140625" customWidth="1"/>
    <col min="10752" max="10752" width="32.140625" customWidth="1"/>
    <col min="10753" max="10754" width="14.42578125" customWidth="1"/>
    <col min="10755" max="10756" width="13.5703125" customWidth="1"/>
    <col min="10757" max="10757" width="13.85546875" bestFit="1" customWidth="1"/>
    <col min="10758" max="10758" width="0" hidden="1" customWidth="1"/>
    <col min="10759" max="10759" width="12.140625" customWidth="1"/>
    <col min="10760" max="10760" width="13.85546875" bestFit="1" customWidth="1"/>
    <col min="10761" max="10761" width="13.42578125" bestFit="1" customWidth="1"/>
    <col min="10762" max="10762" width="0" hidden="1" customWidth="1"/>
    <col min="10763" max="10763" width="10.28515625" bestFit="1" customWidth="1"/>
    <col min="10764" max="10764" width="12.7109375" bestFit="1" customWidth="1"/>
    <col min="10765" max="10765" width="13.42578125" bestFit="1" customWidth="1"/>
    <col min="10766" max="10766" width="9.140625" customWidth="1"/>
    <col min="11008" max="11008" width="32.140625" customWidth="1"/>
    <col min="11009" max="11010" width="14.42578125" customWidth="1"/>
    <col min="11011" max="11012" width="13.5703125" customWidth="1"/>
    <col min="11013" max="11013" width="13.85546875" bestFit="1" customWidth="1"/>
    <col min="11014" max="11014" width="0" hidden="1" customWidth="1"/>
    <col min="11015" max="11015" width="12.140625" customWidth="1"/>
    <col min="11016" max="11016" width="13.85546875" bestFit="1" customWidth="1"/>
    <col min="11017" max="11017" width="13.42578125" bestFit="1" customWidth="1"/>
    <col min="11018" max="11018" width="0" hidden="1" customWidth="1"/>
    <col min="11019" max="11019" width="10.28515625" bestFit="1" customWidth="1"/>
    <col min="11020" max="11020" width="12.7109375" bestFit="1" customWidth="1"/>
    <col min="11021" max="11021" width="13.42578125" bestFit="1" customWidth="1"/>
    <col min="11022" max="11022" width="9.140625" customWidth="1"/>
    <col min="11264" max="11264" width="32.140625" customWidth="1"/>
    <col min="11265" max="11266" width="14.42578125" customWidth="1"/>
    <col min="11267" max="11268" width="13.5703125" customWidth="1"/>
    <col min="11269" max="11269" width="13.85546875" bestFit="1" customWidth="1"/>
    <col min="11270" max="11270" width="0" hidden="1" customWidth="1"/>
    <col min="11271" max="11271" width="12.140625" customWidth="1"/>
    <col min="11272" max="11272" width="13.85546875" bestFit="1" customWidth="1"/>
    <col min="11273" max="11273" width="13.42578125" bestFit="1" customWidth="1"/>
    <col min="11274" max="11274" width="0" hidden="1" customWidth="1"/>
    <col min="11275" max="11275" width="10.28515625" bestFit="1" customWidth="1"/>
    <col min="11276" max="11276" width="12.7109375" bestFit="1" customWidth="1"/>
    <col min="11277" max="11277" width="13.42578125" bestFit="1" customWidth="1"/>
    <col min="11278" max="11278" width="9.140625" customWidth="1"/>
    <col min="11520" max="11520" width="32.140625" customWidth="1"/>
    <col min="11521" max="11522" width="14.42578125" customWidth="1"/>
    <col min="11523" max="11524" width="13.5703125" customWidth="1"/>
    <col min="11525" max="11525" width="13.85546875" bestFit="1" customWidth="1"/>
    <col min="11526" max="11526" width="0" hidden="1" customWidth="1"/>
    <col min="11527" max="11527" width="12.140625" customWidth="1"/>
    <col min="11528" max="11528" width="13.85546875" bestFit="1" customWidth="1"/>
    <col min="11529" max="11529" width="13.42578125" bestFit="1" customWidth="1"/>
    <col min="11530" max="11530" width="0" hidden="1" customWidth="1"/>
    <col min="11531" max="11531" width="10.28515625" bestFit="1" customWidth="1"/>
    <col min="11532" max="11532" width="12.7109375" bestFit="1" customWidth="1"/>
    <col min="11533" max="11533" width="13.42578125" bestFit="1" customWidth="1"/>
    <col min="11534" max="11534" width="9.140625" customWidth="1"/>
    <col min="11776" max="11776" width="32.140625" customWidth="1"/>
    <col min="11777" max="11778" width="14.42578125" customWidth="1"/>
    <col min="11779" max="11780" width="13.5703125" customWidth="1"/>
    <col min="11781" max="11781" width="13.85546875" bestFit="1" customWidth="1"/>
    <col min="11782" max="11782" width="0" hidden="1" customWidth="1"/>
    <col min="11783" max="11783" width="12.140625" customWidth="1"/>
    <col min="11784" max="11784" width="13.85546875" bestFit="1" customWidth="1"/>
    <col min="11785" max="11785" width="13.42578125" bestFit="1" customWidth="1"/>
    <col min="11786" max="11786" width="0" hidden="1" customWidth="1"/>
    <col min="11787" max="11787" width="10.28515625" bestFit="1" customWidth="1"/>
    <col min="11788" max="11788" width="12.7109375" bestFit="1" customWidth="1"/>
    <col min="11789" max="11789" width="13.42578125" bestFit="1" customWidth="1"/>
    <col min="11790" max="11790" width="9.140625" customWidth="1"/>
    <col min="12032" max="12032" width="32.140625" customWidth="1"/>
    <col min="12033" max="12034" width="14.42578125" customWidth="1"/>
    <col min="12035" max="12036" width="13.5703125" customWidth="1"/>
    <col min="12037" max="12037" width="13.85546875" bestFit="1" customWidth="1"/>
    <col min="12038" max="12038" width="0" hidden="1" customWidth="1"/>
    <col min="12039" max="12039" width="12.140625" customWidth="1"/>
    <col min="12040" max="12040" width="13.85546875" bestFit="1" customWidth="1"/>
    <col min="12041" max="12041" width="13.42578125" bestFit="1" customWidth="1"/>
    <col min="12042" max="12042" width="0" hidden="1" customWidth="1"/>
    <col min="12043" max="12043" width="10.28515625" bestFit="1" customWidth="1"/>
    <col min="12044" max="12044" width="12.7109375" bestFit="1" customWidth="1"/>
    <col min="12045" max="12045" width="13.42578125" bestFit="1" customWidth="1"/>
    <col min="12046" max="12046" width="9.140625" customWidth="1"/>
    <col min="12288" max="12288" width="32.140625" customWidth="1"/>
    <col min="12289" max="12290" width="14.42578125" customWidth="1"/>
    <col min="12291" max="12292" width="13.5703125" customWidth="1"/>
    <col min="12293" max="12293" width="13.85546875" bestFit="1" customWidth="1"/>
    <col min="12294" max="12294" width="0" hidden="1" customWidth="1"/>
    <col min="12295" max="12295" width="12.140625" customWidth="1"/>
    <col min="12296" max="12296" width="13.85546875" bestFit="1" customWidth="1"/>
    <col min="12297" max="12297" width="13.42578125" bestFit="1" customWidth="1"/>
    <col min="12298" max="12298" width="0" hidden="1" customWidth="1"/>
    <col min="12299" max="12299" width="10.28515625" bestFit="1" customWidth="1"/>
    <col min="12300" max="12300" width="12.7109375" bestFit="1" customWidth="1"/>
    <col min="12301" max="12301" width="13.42578125" bestFit="1" customWidth="1"/>
    <col min="12302" max="12302" width="9.140625" customWidth="1"/>
    <col min="12544" max="12544" width="32.140625" customWidth="1"/>
    <col min="12545" max="12546" width="14.42578125" customWidth="1"/>
    <col min="12547" max="12548" width="13.5703125" customWidth="1"/>
    <col min="12549" max="12549" width="13.85546875" bestFit="1" customWidth="1"/>
    <col min="12550" max="12550" width="0" hidden="1" customWidth="1"/>
    <col min="12551" max="12551" width="12.140625" customWidth="1"/>
    <col min="12552" max="12552" width="13.85546875" bestFit="1" customWidth="1"/>
    <col min="12553" max="12553" width="13.42578125" bestFit="1" customWidth="1"/>
    <col min="12554" max="12554" width="0" hidden="1" customWidth="1"/>
    <col min="12555" max="12555" width="10.28515625" bestFit="1" customWidth="1"/>
    <col min="12556" max="12556" width="12.7109375" bestFit="1" customWidth="1"/>
    <col min="12557" max="12557" width="13.42578125" bestFit="1" customWidth="1"/>
    <col min="12558" max="12558" width="9.140625" customWidth="1"/>
    <col min="12800" max="12800" width="32.140625" customWidth="1"/>
    <col min="12801" max="12802" width="14.42578125" customWidth="1"/>
    <col min="12803" max="12804" width="13.5703125" customWidth="1"/>
    <col min="12805" max="12805" width="13.85546875" bestFit="1" customWidth="1"/>
    <col min="12806" max="12806" width="0" hidden="1" customWidth="1"/>
    <col min="12807" max="12807" width="12.140625" customWidth="1"/>
    <col min="12808" max="12808" width="13.85546875" bestFit="1" customWidth="1"/>
    <col min="12809" max="12809" width="13.42578125" bestFit="1" customWidth="1"/>
    <col min="12810" max="12810" width="0" hidden="1" customWidth="1"/>
    <col min="12811" max="12811" width="10.28515625" bestFit="1" customWidth="1"/>
    <col min="12812" max="12812" width="12.7109375" bestFit="1" customWidth="1"/>
    <col min="12813" max="12813" width="13.42578125" bestFit="1" customWidth="1"/>
    <col min="12814" max="12814" width="9.140625" customWidth="1"/>
    <col min="13056" max="13056" width="32.140625" customWidth="1"/>
    <col min="13057" max="13058" width="14.42578125" customWidth="1"/>
    <col min="13059" max="13060" width="13.5703125" customWidth="1"/>
    <col min="13061" max="13061" width="13.85546875" bestFit="1" customWidth="1"/>
    <col min="13062" max="13062" width="0" hidden="1" customWidth="1"/>
    <col min="13063" max="13063" width="12.140625" customWidth="1"/>
    <col min="13064" max="13064" width="13.85546875" bestFit="1" customWidth="1"/>
    <col min="13065" max="13065" width="13.42578125" bestFit="1" customWidth="1"/>
    <col min="13066" max="13066" width="0" hidden="1" customWidth="1"/>
    <col min="13067" max="13067" width="10.28515625" bestFit="1" customWidth="1"/>
    <col min="13068" max="13068" width="12.7109375" bestFit="1" customWidth="1"/>
    <col min="13069" max="13069" width="13.42578125" bestFit="1" customWidth="1"/>
    <col min="13070" max="13070" width="9.140625" customWidth="1"/>
    <col min="13312" max="13312" width="32.140625" customWidth="1"/>
    <col min="13313" max="13314" width="14.42578125" customWidth="1"/>
    <col min="13315" max="13316" width="13.5703125" customWidth="1"/>
    <col min="13317" max="13317" width="13.85546875" bestFit="1" customWidth="1"/>
    <col min="13318" max="13318" width="0" hidden="1" customWidth="1"/>
    <col min="13319" max="13319" width="12.140625" customWidth="1"/>
    <col min="13320" max="13320" width="13.85546875" bestFit="1" customWidth="1"/>
    <col min="13321" max="13321" width="13.42578125" bestFit="1" customWidth="1"/>
    <col min="13322" max="13322" width="0" hidden="1" customWidth="1"/>
    <col min="13323" max="13323" width="10.28515625" bestFit="1" customWidth="1"/>
    <col min="13324" max="13324" width="12.7109375" bestFit="1" customWidth="1"/>
    <col min="13325" max="13325" width="13.42578125" bestFit="1" customWidth="1"/>
    <col min="13326" max="13326" width="9.140625" customWidth="1"/>
    <col min="13568" max="13568" width="32.140625" customWidth="1"/>
    <col min="13569" max="13570" width="14.42578125" customWidth="1"/>
    <col min="13571" max="13572" width="13.5703125" customWidth="1"/>
    <col min="13573" max="13573" width="13.85546875" bestFit="1" customWidth="1"/>
    <col min="13574" max="13574" width="0" hidden="1" customWidth="1"/>
    <col min="13575" max="13575" width="12.140625" customWidth="1"/>
    <col min="13576" max="13576" width="13.85546875" bestFit="1" customWidth="1"/>
    <col min="13577" max="13577" width="13.42578125" bestFit="1" customWidth="1"/>
    <col min="13578" max="13578" width="0" hidden="1" customWidth="1"/>
    <col min="13579" max="13579" width="10.28515625" bestFit="1" customWidth="1"/>
    <col min="13580" max="13580" width="12.7109375" bestFit="1" customWidth="1"/>
    <col min="13581" max="13581" width="13.42578125" bestFit="1" customWidth="1"/>
    <col min="13582" max="13582" width="9.140625" customWidth="1"/>
    <col min="13824" max="13824" width="32.140625" customWidth="1"/>
    <col min="13825" max="13826" width="14.42578125" customWidth="1"/>
    <col min="13827" max="13828" width="13.5703125" customWidth="1"/>
    <col min="13829" max="13829" width="13.85546875" bestFit="1" customWidth="1"/>
    <col min="13830" max="13830" width="0" hidden="1" customWidth="1"/>
    <col min="13831" max="13831" width="12.140625" customWidth="1"/>
    <col min="13832" max="13832" width="13.85546875" bestFit="1" customWidth="1"/>
    <col min="13833" max="13833" width="13.42578125" bestFit="1" customWidth="1"/>
    <col min="13834" max="13834" width="0" hidden="1" customWidth="1"/>
    <col min="13835" max="13835" width="10.28515625" bestFit="1" customWidth="1"/>
    <col min="13836" max="13836" width="12.7109375" bestFit="1" customWidth="1"/>
    <col min="13837" max="13837" width="13.42578125" bestFit="1" customWidth="1"/>
    <col min="13838" max="13838" width="9.140625" customWidth="1"/>
    <col min="14080" max="14080" width="32.140625" customWidth="1"/>
    <col min="14081" max="14082" width="14.42578125" customWidth="1"/>
    <col min="14083" max="14084" width="13.5703125" customWidth="1"/>
    <col min="14085" max="14085" width="13.85546875" bestFit="1" customWidth="1"/>
    <col min="14086" max="14086" width="0" hidden="1" customWidth="1"/>
    <col min="14087" max="14087" width="12.140625" customWidth="1"/>
    <col min="14088" max="14088" width="13.85546875" bestFit="1" customWidth="1"/>
    <col min="14089" max="14089" width="13.42578125" bestFit="1" customWidth="1"/>
    <col min="14090" max="14090" width="0" hidden="1" customWidth="1"/>
    <col min="14091" max="14091" width="10.28515625" bestFit="1" customWidth="1"/>
    <col min="14092" max="14092" width="12.7109375" bestFit="1" customWidth="1"/>
    <col min="14093" max="14093" width="13.42578125" bestFit="1" customWidth="1"/>
    <col min="14094" max="14094" width="9.140625" customWidth="1"/>
    <col min="14336" max="14336" width="32.140625" customWidth="1"/>
    <col min="14337" max="14338" width="14.42578125" customWidth="1"/>
    <col min="14339" max="14340" width="13.5703125" customWidth="1"/>
    <col min="14341" max="14341" width="13.85546875" bestFit="1" customWidth="1"/>
    <col min="14342" max="14342" width="0" hidden="1" customWidth="1"/>
    <col min="14343" max="14343" width="12.140625" customWidth="1"/>
    <col min="14344" max="14344" width="13.85546875" bestFit="1" customWidth="1"/>
    <col min="14345" max="14345" width="13.42578125" bestFit="1" customWidth="1"/>
    <col min="14346" max="14346" width="0" hidden="1" customWidth="1"/>
    <col min="14347" max="14347" width="10.28515625" bestFit="1" customWidth="1"/>
    <col min="14348" max="14348" width="12.7109375" bestFit="1" customWidth="1"/>
    <col min="14349" max="14349" width="13.42578125" bestFit="1" customWidth="1"/>
    <col min="14350" max="14350" width="9.140625" customWidth="1"/>
    <col min="14592" max="14592" width="32.140625" customWidth="1"/>
    <col min="14593" max="14594" width="14.42578125" customWidth="1"/>
    <col min="14595" max="14596" width="13.5703125" customWidth="1"/>
    <col min="14597" max="14597" width="13.85546875" bestFit="1" customWidth="1"/>
    <col min="14598" max="14598" width="0" hidden="1" customWidth="1"/>
    <col min="14599" max="14599" width="12.140625" customWidth="1"/>
    <col min="14600" max="14600" width="13.85546875" bestFit="1" customWidth="1"/>
    <col min="14601" max="14601" width="13.42578125" bestFit="1" customWidth="1"/>
    <col min="14602" max="14602" width="0" hidden="1" customWidth="1"/>
    <col min="14603" max="14603" width="10.28515625" bestFit="1" customWidth="1"/>
    <col min="14604" max="14604" width="12.7109375" bestFit="1" customWidth="1"/>
    <col min="14605" max="14605" width="13.42578125" bestFit="1" customWidth="1"/>
    <col min="14606" max="14606" width="9.140625" customWidth="1"/>
    <col min="14848" max="14848" width="32.140625" customWidth="1"/>
    <col min="14849" max="14850" width="14.42578125" customWidth="1"/>
    <col min="14851" max="14852" width="13.5703125" customWidth="1"/>
    <col min="14853" max="14853" width="13.85546875" bestFit="1" customWidth="1"/>
    <col min="14854" max="14854" width="0" hidden="1" customWidth="1"/>
    <col min="14855" max="14855" width="12.140625" customWidth="1"/>
    <col min="14856" max="14856" width="13.85546875" bestFit="1" customWidth="1"/>
    <col min="14857" max="14857" width="13.42578125" bestFit="1" customWidth="1"/>
    <col min="14858" max="14858" width="0" hidden="1" customWidth="1"/>
    <col min="14859" max="14859" width="10.28515625" bestFit="1" customWidth="1"/>
    <col min="14860" max="14860" width="12.7109375" bestFit="1" customWidth="1"/>
    <col min="14861" max="14861" width="13.42578125" bestFit="1" customWidth="1"/>
    <col min="14862" max="14862" width="9.140625" customWidth="1"/>
    <col min="15104" max="15104" width="32.140625" customWidth="1"/>
    <col min="15105" max="15106" width="14.42578125" customWidth="1"/>
    <col min="15107" max="15108" width="13.5703125" customWidth="1"/>
    <col min="15109" max="15109" width="13.85546875" bestFit="1" customWidth="1"/>
    <col min="15110" max="15110" width="0" hidden="1" customWidth="1"/>
    <col min="15111" max="15111" width="12.140625" customWidth="1"/>
    <col min="15112" max="15112" width="13.85546875" bestFit="1" customWidth="1"/>
    <col min="15113" max="15113" width="13.42578125" bestFit="1" customWidth="1"/>
    <col min="15114" max="15114" width="0" hidden="1" customWidth="1"/>
    <col min="15115" max="15115" width="10.28515625" bestFit="1" customWidth="1"/>
    <col min="15116" max="15116" width="12.7109375" bestFit="1" customWidth="1"/>
    <col min="15117" max="15117" width="13.42578125" bestFit="1" customWidth="1"/>
    <col min="15118" max="15118" width="9.140625" customWidth="1"/>
    <col min="15360" max="15360" width="32.140625" customWidth="1"/>
    <col min="15361" max="15362" width="14.42578125" customWidth="1"/>
    <col min="15363" max="15364" width="13.5703125" customWidth="1"/>
    <col min="15365" max="15365" width="13.85546875" bestFit="1" customWidth="1"/>
    <col min="15366" max="15366" width="0" hidden="1" customWidth="1"/>
    <col min="15367" max="15367" width="12.140625" customWidth="1"/>
    <col min="15368" max="15368" width="13.85546875" bestFit="1" customWidth="1"/>
    <col min="15369" max="15369" width="13.42578125" bestFit="1" customWidth="1"/>
    <col min="15370" max="15370" width="0" hidden="1" customWidth="1"/>
    <col min="15371" max="15371" width="10.28515625" bestFit="1" customWidth="1"/>
    <col min="15372" max="15372" width="12.7109375" bestFit="1" customWidth="1"/>
    <col min="15373" max="15373" width="13.42578125" bestFit="1" customWidth="1"/>
    <col min="15374" max="15374" width="9.140625" customWidth="1"/>
    <col min="15616" max="15616" width="32.140625" customWidth="1"/>
    <col min="15617" max="15618" width="14.42578125" customWidth="1"/>
    <col min="15619" max="15620" width="13.5703125" customWidth="1"/>
    <col min="15621" max="15621" width="13.85546875" bestFit="1" customWidth="1"/>
    <col min="15622" max="15622" width="0" hidden="1" customWidth="1"/>
    <col min="15623" max="15623" width="12.140625" customWidth="1"/>
    <col min="15624" max="15624" width="13.85546875" bestFit="1" customWidth="1"/>
    <col min="15625" max="15625" width="13.42578125" bestFit="1" customWidth="1"/>
    <col min="15626" max="15626" width="0" hidden="1" customWidth="1"/>
    <col min="15627" max="15627" width="10.28515625" bestFit="1" customWidth="1"/>
    <col min="15628" max="15628" width="12.7109375" bestFit="1" customWidth="1"/>
    <col min="15629" max="15629" width="13.42578125" bestFit="1" customWidth="1"/>
    <col min="15630" max="15630" width="9.140625" customWidth="1"/>
    <col min="15872" max="15872" width="32.140625" customWidth="1"/>
    <col min="15873" max="15874" width="14.42578125" customWidth="1"/>
    <col min="15875" max="15876" width="13.5703125" customWidth="1"/>
    <col min="15877" max="15877" width="13.85546875" bestFit="1" customWidth="1"/>
    <col min="15878" max="15878" width="0" hidden="1" customWidth="1"/>
    <col min="15879" max="15879" width="12.140625" customWidth="1"/>
    <col min="15880" max="15880" width="13.85546875" bestFit="1" customWidth="1"/>
    <col min="15881" max="15881" width="13.42578125" bestFit="1" customWidth="1"/>
    <col min="15882" max="15882" width="0" hidden="1" customWidth="1"/>
    <col min="15883" max="15883" width="10.28515625" bestFit="1" customWidth="1"/>
    <col min="15884" max="15884" width="12.7109375" bestFit="1" customWidth="1"/>
    <col min="15885" max="15885" width="13.42578125" bestFit="1" customWidth="1"/>
    <col min="15886" max="15886" width="9.140625" customWidth="1"/>
    <col min="16128" max="16128" width="32.140625" customWidth="1"/>
    <col min="16129" max="16130" width="14.42578125" customWidth="1"/>
    <col min="16131" max="16132" width="13.5703125" customWidth="1"/>
    <col min="16133" max="16133" width="13.85546875" bestFit="1" customWidth="1"/>
    <col min="16134" max="16134" width="0" hidden="1" customWidth="1"/>
    <col min="16135" max="16135" width="12.140625" customWidth="1"/>
    <col min="16136" max="16136" width="13.85546875" bestFit="1" customWidth="1"/>
    <col min="16137" max="16137" width="13.42578125" bestFit="1" customWidth="1"/>
    <col min="16138" max="16138" width="0" hidden="1" customWidth="1"/>
    <col min="16139" max="16139" width="10.28515625" bestFit="1" customWidth="1"/>
    <col min="16140" max="16140" width="12.7109375" bestFit="1" customWidth="1"/>
    <col min="16141" max="16141" width="13.42578125" bestFit="1" customWidth="1"/>
    <col min="16142" max="16142" width="9.140625" customWidth="1"/>
  </cols>
  <sheetData>
    <row r="1" spans="1:13">
      <c r="A1" s="416"/>
      <c r="B1" s="417" t="s">
        <v>1579</v>
      </c>
      <c r="C1" s="418"/>
    </row>
    <row r="2" spans="1:13" ht="13.5" thickBot="1">
      <c r="K2" s="350"/>
      <c r="M2" s="1128" t="s">
        <v>1742</v>
      </c>
    </row>
    <row r="3" spans="1:13" s="426" customFormat="1" ht="38.25">
      <c r="A3" s="421" t="s">
        <v>1058</v>
      </c>
      <c r="B3" s="422" t="s">
        <v>1059</v>
      </c>
      <c r="C3" s="423" t="s">
        <v>1060</v>
      </c>
      <c r="D3" s="424" t="s">
        <v>1580</v>
      </c>
      <c r="E3" s="423" t="s">
        <v>1062</v>
      </c>
      <c r="F3" s="423" t="s">
        <v>1581</v>
      </c>
      <c r="G3" s="423" t="s">
        <v>1063</v>
      </c>
      <c r="H3" s="423" t="s">
        <v>1064</v>
      </c>
      <c r="I3" s="423" t="s">
        <v>1065</v>
      </c>
      <c r="J3" s="423" t="s">
        <v>1066</v>
      </c>
      <c r="K3" s="422" t="s">
        <v>1067</v>
      </c>
      <c r="L3" s="423" t="s">
        <v>943</v>
      </c>
      <c r="M3" s="425" t="s">
        <v>1068</v>
      </c>
    </row>
    <row r="4" spans="1:13" ht="33.75" customHeight="1">
      <c r="A4" s="427" t="str">
        <f>'4.beruházás'!A8</f>
        <v>Vizminőség javító pályázat</v>
      </c>
      <c r="B4" s="428">
        <f>'4.beruházás'!D8</f>
        <v>553042773</v>
      </c>
      <c r="C4" s="428"/>
      <c r="D4" s="310"/>
      <c r="E4" s="310"/>
      <c r="F4" s="310"/>
      <c r="G4" s="310"/>
      <c r="H4" s="310">
        <f>B4</f>
        <v>553042773</v>
      </c>
      <c r="I4" s="310"/>
      <c r="J4" s="310"/>
      <c r="K4" s="310"/>
      <c r="L4" s="310">
        <f>SUM(C4:K4)</f>
        <v>553042773</v>
      </c>
      <c r="M4" s="429">
        <f t="shared" ref="M4:M37" si="0">L4-B4</f>
        <v>0</v>
      </c>
    </row>
    <row r="5" spans="1:13" ht="33.75" customHeight="1">
      <c r="A5" s="427" t="str">
        <f>'4.beruházás'!A9</f>
        <v>Szoc rehab pályázat Ktg</v>
      </c>
      <c r="B5" s="428">
        <f>'4.beruházás'!D9</f>
        <v>198132842</v>
      </c>
      <c r="C5" s="428"/>
      <c r="D5" s="310"/>
      <c r="E5" s="310"/>
      <c r="F5" s="310"/>
      <c r="G5" s="310">
        <f>B5</f>
        <v>198132842</v>
      </c>
      <c r="H5" s="310"/>
      <c r="I5" s="310"/>
      <c r="J5" s="310"/>
      <c r="K5" s="310"/>
      <c r="L5" s="310">
        <f t="shared" ref="L5:L66" si="1">SUM(C5:K5)</f>
        <v>198132842</v>
      </c>
      <c r="M5" s="429">
        <f t="shared" si="0"/>
        <v>0</v>
      </c>
    </row>
    <row r="6" spans="1:13" ht="30" customHeight="1">
      <c r="A6" s="427" t="str">
        <f>'4.beruházás'!A10</f>
        <v>Vízitúra épület csónaktároló/ sporteszközök</v>
      </c>
      <c r="B6" s="428">
        <f>'4.beruházás'!D10</f>
        <v>25000000</v>
      </c>
      <c r="C6" s="428"/>
      <c r="D6" s="310"/>
      <c r="E6" s="310"/>
      <c r="F6" s="310"/>
      <c r="G6" s="310">
        <v>25000000</v>
      </c>
      <c r="H6" s="310"/>
      <c r="I6" s="310"/>
      <c r="J6" s="310"/>
      <c r="K6" s="310"/>
      <c r="L6" s="310">
        <f t="shared" si="1"/>
        <v>25000000</v>
      </c>
      <c r="M6" s="429">
        <f t="shared" si="0"/>
        <v>0</v>
      </c>
    </row>
    <row r="7" spans="1:13" ht="42" customHeight="1">
      <c r="A7" s="427" t="str">
        <f>'4.beruházás'!A11</f>
        <v>sporteszközök aljzata és kerítés</v>
      </c>
      <c r="B7" s="428">
        <f>'4.beruházás'!D11</f>
        <v>3573412.5</v>
      </c>
      <c r="C7" s="428"/>
      <c r="D7" s="310"/>
      <c r="E7" s="310"/>
      <c r="F7" s="310"/>
      <c r="G7" s="310"/>
      <c r="H7" s="310"/>
      <c r="I7" s="310">
        <v>3573413</v>
      </c>
      <c r="J7" s="310"/>
      <c r="K7" s="310"/>
      <c r="L7" s="310">
        <f t="shared" si="1"/>
        <v>3573413</v>
      </c>
      <c r="M7" s="429">
        <f t="shared" si="0"/>
        <v>0.5</v>
      </c>
    </row>
    <row r="8" spans="1:13" ht="42" customHeight="1">
      <c r="A8" s="427" t="str">
        <f>'4.beruházás'!A12</f>
        <v>közvilágítás áthúzódó kiadása</v>
      </c>
      <c r="B8" s="428">
        <f>'4.beruházás'!D12</f>
        <v>2108000</v>
      </c>
      <c r="C8" s="428"/>
      <c r="D8" s="310"/>
      <c r="E8" s="310"/>
      <c r="F8" s="310"/>
      <c r="G8" s="310">
        <v>0</v>
      </c>
      <c r="H8" s="310"/>
      <c r="I8" s="310">
        <v>2108000</v>
      </c>
      <c r="J8" s="310"/>
      <c r="K8" s="310"/>
      <c r="L8" s="310">
        <f t="shared" si="1"/>
        <v>2108000</v>
      </c>
      <c r="M8" s="429">
        <f t="shared" si="0"/>
        <v>0</v>
      </c>
    </row>
    <row r="9" spans="1:13" ht="42" customHeight="1">
      <c r="A9" s="427" t="str">
        <f>'4.beruházás'!A13</f>
        <v>Bíróság  új épületének létrehozása</v>
      </c>
      <c r="B9" s="428">
        <f>'4.beruházás'!D13</f>
        <v>243021956</v>
      </c>
      <c r="C9" s="428">
        <v>59600000</v>
      </c>
      <c r="D9" s="310"/>
      <c r="E9" s="310"/>
      <c r="F9" s="310"/>
      <c r="G9" s="310">
        <f>B9-C9-7400866</f>
        <v>176021090</v>
      </c>
      <c r="H9" s="310"/>
      <c r="I9" s="310">
        <v>7400866</v>
      </c>
      <c r="J9" s="310"/>
      <c r="K9" s="310"/>
      <c r="L9" s="310">
        <f t="shared" si="1"/>
        <v>243021956</v>
      </c>
      <c r="M9" s="429">
        <f t="shared" si="0"/>
        <v>0</v>
      </c>
    </row>
    <row r="10" spans="1:13" ht="39" customHeight="1">
      <c r="A10" s="427" t="str">
        <f>'4.beruházás'!A14</f>
        <v>P+R parkoló hév állomás</v>
      </c>
      <c r="B10" s="428">
        <f>'4.beruházás'!D14</f>
        <v>48000000</v>
      </c>
      <c r="C10" s="428">
        <v>48000000</v>
      </c>
      <c r="D10" s="310"/>
      <c r="E10" s="310"/>
      <c r="F10" s="310"/>
      <c r="G10" s="310"/>
      <c r="H10" s="310"/>
      <c r="I10" s="310"/>
      <c r="J10" s="310"/>
      <c r="K10" s="310"/>
      <c r="L10" s="310">
        <f t="shared" si="1"/>
        <v>48000000</v>
      </c>
      <c r="M10" s="429">
        <f t="shared" si="0"/>
        <v>0</v>
      </c>
    </row>
    <row r="11" spans="1:13" ht="30">
      <c r="A11" s="427" t="str">
        <f>'4.beruházás'!A16</f>
        <v>Kerékpárút létesítésére pályázati önerő</v>
      </c>
      <c r="B11" s="428">
        <f>'4.beruházás'!D16</f>
        <v>147120816</v>
      </c>
      <c r="C11" s="428"/>
      <c r="D11" s="310"/>
      <c r="E11" s="310"/>
      <c r="F11" s="310"/>
      <c r="G11" s="310">
        <f>60785378+7108956+11691404</f>
        <v>79585738</v>
      </c>
      <c r="H11" s="310">
        <v>67535078</v>
      </c>
      <c r="I11" s="310"/>
      <c r="J11" s="310"/>
      <c r="K11" s="310"/>
      <c r="L11" s="310">
        <f t="shared" si="1"/>
        <v>147120816</v>
      </c>
      <c r="M11" s="429">
        <f t="shared" si="0"/>
        <v>0</v>
      </c>
    </row>
    <row r="12" spans="1:13" ht="15">
      <c r="A12" s="427" t="str">
        <f>'4.beruházás'!A17</f>
        <v>Dömsödi út felújítás</v>
      </c>
      <c r="B12" s="428">
        <f>'4.beruházás'!D17</f>
        <v>0</v>
      </c>
      <c r="C12" s="428"/>
      <c r="D12" s="310"/>
      <c r="E12" s="310"/>
      <c r="F12" s="310"/>
      <c r="G12" s="310"/>
      <c r="H12" s="310"/>
      <c r="I12" s="310"/>
      <c r="J12" s="310"/>
      <c r="K12" s="310"/>
      <c r="L12" s="310">
        <f t="shared" si="1"/>
        <v>0</v>
      </c>
      <c r="M12" s="429">
        <f t="shared" si="0"/>
        <v>0</v>
      </c>
    </row>
    <row r="13" spans="1:13" ht="47.25" customHeight="1">
      <c r="A13" s="427" t="str">
        <f>'4.beruházás'!A18</f>
        <v>Piac projekt</v>
      </c>
      <c r="B13" s="428">
        <f>'4.beruházás'!D18</f>
        <v>86223190</v>
      </c>
      <c r="C13" s="428"/>
      <c r="D13" s="310"/>
      <c r="E13" s="310"/>
      <c r="F13" s="310"/>
      <c r="G13" s="310">
        <f>10840075+11110970+14272780</f>
        <v>36223825</v>
      </c>
      <c r="H13" s="310">
        <v>49999365</v>
      </c>
      <c r="I13" s="310"/>
      <c r="J13" s="310"/>
      <c r="K13" s="310"/>
      <c r="L13" s="310">
        <f t="shared" si="1"/>
        <v>86223190</v>
      </c>
      <c r="M13" s="429">
        <f t="shared" si="0"/>
        <v>0</v>
      </c>
    </row>
    <row r="14" spans="1:13" ht="30">
      <c r="A14" s="427" t="str">
        <f>'4.beruházás'!A19</f>
        <v>Szent Vendel utcai telkek engedélyezési terve</v>
      </c>
      <c r="B14" s="428">
        <f>'4.beruházás'!D19</f>
        <v>0</v>
      </c>
      <c r="C14" s="428"/>
      <c r="D14" s="310"/>
      <c r="E14" s="310"/>
      <c r="F14" s="310"/>
      <c r="G14" s="430"/>
      <c r="H14" s="430"/>
      <c r="I14" s="310"/>
      <c r="J14" s="310"/>
      <c r="K14" s="310"/>
      <c r="L14" s="310">
        <f t="shared" si="1"/>
        <v>0</v>
      </c>
      <c r="M14" s="429">
        <f t="shared" si="0"/>
        <v>0</v>
      </c>
    </row>
    <row r="15" spans="1:13" ht="15">
      <c r="A15" s="427" t="str">
        <f>'4.beruházás'!A20</f>
        <v>Kompok Révek támogatés</v>
      </c>
      <c r="B15" s="428">
        <f>'4.beruházás'!D20</f>
        <v>19997623</v>
      </c>
      <c r="C15" s="428"/>
      <c r="D15" s="310"/>
      <c r="E15" s="310"/>
      <c r="F15" s="310"/>
      <c r="G15" s="310">
        <f>B15</f>
        <v>19997623</v>
      </c>
      <c r="H15" s="310"/>
      <c r="I15" s="310"/>
      <c r="J15" s="310"/>
      <c r="K15" s="310"/>
      <c r="L15" s="310">
        <f t="shared" si="1"/>
        <v>19997623</v>
      </c>
      <c r="M15" s="429">
        <f t="shared" si="0"/>
        <v>0</v>
      </c>
    </row>
    <row r="16" spans="1:13" ht="33" hidden="1" customHeight="1">
      <c r="A16" s="427" t="str">
        <f>'4.beruházás'!A21</f>
        <v>Ráckevei csónakos piac pályázat előkésztése II. részlet</v>
      </c>
      <c r="B16" s="428">
        <f>'4.beruházás'!D21</f>
        <v>0</v>
      </c>
      <c r="C16" s="428"/>
      <c r="D16" s="310"/>
      <c r="E16" s="310"/>
      <c r="F16" s="310"/>
      <c r="G16" s="310"/>
      <c r="H16" s="310"/>
      <c r="I16" s="310"/>
      <c r="J16" s="310"/>
      <c r="K16" s="310"/>
      <c r="L16" s="310">
        <f t="shared" si="1"/>
        <v>0</v>
      </c>
      <c r="M16" s="429">
        <f t="shared" si="0"/>
        <v>0</v>
      </c>
    </row>
    <row r="17" spans="1:13" ht="33" hidden="1" customHeight="1">
      <c r="A17" s="427" t="str">
        <f>'4.beruházás'!A22</f>
        <v>Külterületi utak pályázat</v>
      </c>
      <c r="B17" s="428">
        <f>'4.beruházás'!D22</f>
        <v>0</v>
      </c>
      <c r="C17" s="428"/>
      <c r="D17" s="310"/>
      <c r="E17" s="310"/>
      <c r="F17" s="310"/>
      <c r="G17" s="310"/>
      <c r="H17" s="310"/>
      <c r="I17" s="310"/>
      <c r="J17" s="310"/>
      <c r="K17" s="310"/>
      <c r="L17" s="310">
        <f t="shared" si="1"/>
        <v>0</v>
      </c>
      <c r="M17" s="429">
        <f t="shared" si="0"/>
        <v>0</v>
      </c>
    </row>
    <row r="18" spans="1:13" ht="33" customHeight="1">
      <c r="A18" s="427" t="str">
        <f>'4.beruházás'!A23</f>
        <v>járda kialakítás több helyen</v>
      </c>
      <c r="B18" s="428">
        <f>'4.beruházás'!D23</f>
        <v>0</v>
      </c>
      <c r="C18" s="428"/>
      <c r="D18" s="310"/>
      <c r="E18" s="310"/>
      <c r="F18" s="310"/>
      <c r="G18" s="310">
        <f>B18</f>
        <v>0</v>
      </c>
      <c r="H18" s="310"/>
      <c r="I18" s="310"/>
      <c r="J18" s="310"/>
      <c r="K18" s="310"/>
      <c r="L18" s="310">
        <f t="shared" si="1"/>
        <v>0</v>
      </c>
      <c r="M18" s="429">
        <f t="shared" si="0"/>
        <v>0</v>
      </c>
    </row>
    <row r="19" spans="1:13" ht="15">
      <c r="A19" s="427" t="str">
        <f>'4.beruházás'!A24</f>
        <v>Vályogos út kialakítás</v>
      </c>
      <c r="B19" s="428">
        <f>'4.beruházás'!D24</f>
        <v>0</v>
      </c>
      <c r="C19" s="428"/>
      <c r="D19" s="310"/>
      <c r="E19" s="310"/>
      <c r="F19" s="310"/>
      <c r="G19" s="310"/>
      <c r="H19" s="310"/>
      <c r="I19" s="310"/>
      <c r="J19" s="310"/>
      <c r="K19" s="310"/>
      <c r="L19" s="310">
        <f t="shared" si="1"/>
        <v>0</v>
      </c>
      <c r="M19" s="429">
        <f t="shared" si="0"/>
        <v>0</v>
      </c>
    </row>
    <row r="20" spans="1:13" ht="15">
      <c r="A20" s="427" t="str">
        <f>'4.beruházás'!A25</f>
        <v>HÉV WC konténer</v>
      </c>
      <c r="B20" s="428">
        <f>'4.beruházás'!D25</f>
        <v>2735832</v>
      </c>
      <c r="C20" s="428"/>
      <c r="D20" s="310"/>
      <c r="E20" s="310"/>
      <c r="F20" s="310"/>
      <c r="G20" s="310"/>
      <c r="H20" s="310"/>
      <c r="I20" s="310">
        <f>B20</f>
        <v>2735832</v>
      </c>
      <c r="J20" s="310"/>
      <c r="K20" s="310"/>
      <c r="L20" s="310">
        <f t="shared" si="1"/>
        <v>2735832</v>
      </c>
      <c r="M20" s="429">
        <f t="shared" si="0"/>
        <v>0</v>
      </c>
    </row>
    <row r="21" spans="1:13" ht="30" hidden="1">
      <c r="A21" s="427" t="str">
        <f>'4.beruházás'!A27</f>
        <v>Csapadékvíz elvezetés kiadásai</v>
      </c>
      <c r="B21" s="428">
        <f>'4.beruházás'!D27</f>
        <v>0</v>
      </c>
      <c r="C21" s="428"/>
      <c r="D21" s="310"/>
      <c r="E21" s="310"/>
      <c r="F21" s="310"/>
      <c r="G21" s="310"/>
      <c r="H21" s="310"/>
      <c r="I21" s="310"/>
      <c r="J21" s="310"/>
      <c r="K21" s="310"/>
      <c r="L21" s="310">
        <f t="shared" si="1"/>
        <v>0</v>
      </c>
      <c r="M21" s="429">
        <f t="shared" si="0"/>
        <v>0</v>
      </c>
    </row>
    <row r="22" spans="1:13" ht="30">
      <c r="A22" s="427" t="str">
        <f>'4.beruházás'!A28</f>
        <v>Csapadékvíz elvezetés kiadásai</v>
      </c>
      <c r="B22" s="428">
        <f>'4.beruházás'!D28</f>
        <v>10000000</v>
      </c>
      <c r="C22" s="428"/>
      <c r="D22" s="310"/>
      <c r="E22" s="310"/>
      <c r="F22" s="310"/>
      <c r="G22" s="310"/>
      <c r="H22" s="310"/>
      <c r="I22" s="310">
        <f>B22</f>
        <v>10000000</v>
      </c>
      <c r="J22" s="310"/>
      <c r="K22" s="310"/>
      <c r="L22" s="310">
        <f t="shared" si="1"/>
        <v>10000000</v>
      </c>
      <c r="M22" s="429">
        <f t="shared" si="0"/>
        <v>0</v>
      </c>
    </row>
    <row r="23" spans="1:13" ht="30">
      <c r="A23" s="427" t="str">
        <f>'4.beruházás'!A29</f>
        <v>Közbiztonsági eszközök beszerzése</v>
      </c>
      <c r="B23" s="428">
        <f>'4.beruházás'!D29</f>
        <v>3000000</v>
      </c>
      <c r="C23" s="428"/>
      <c r="D23" s="310"/>
      <c r="E23" s="310"/>
      <c r="F23" s="310"/>
      <c r="G23" s="310"/>
      <c r="H23" s="310"/>
      <c r="I23" s="310">
        <f>B23</f>
        <v>3000000</v>
      </c>
      <c r="J23" s="310"/>
      <c r="K23" s="310"/>
      <c r="L23" s="310">
        <f t="shared" si="1"/>
        <v>3000000</v>
      </c>
      <c r="M23" s="429">
        <f t="shared" si="0"/>
        <v>0</v>
      </c>
    </row>
    <row r="24" spans="1:13" ht="15" hidden="1">
      <c r="A24" s="427" t="str">
        <f>'4.beruházás'!A30</f>
        <v>Stégek felújítása</v>
      </c>
      <c r="B24" s="428">
        <f>'4.beruházás'!D30</f>
        <v>0</v>
      </c>
      <c r="C24" s="428"/>
      <c r="D24" s="310"/>
      <c r="E24" s="310"/>
      <c r="F24" s="310"/>
      <c r="G24" s="310"/>
      <c r="H24" s="310"/>
      <c r="I24" s="310">
        <f>B24</f>
        <v>0</v>
      </c>
      <c r="J24" s="310"/>
      <c r="K24" s="310"/>
      <c r="L24" s="310">
        <f t="shared" si="1"/>
        <v>0</v>
      </c>
      <c r="M24" s="429">
        <f t="shared" si="0"/>
        <v>0</v>
      </c>
    </row>
    <row r="25" spans="1:13" ht="15" hidden="1">
      <c r="A25" s="427" t="str">
        <f>'4.beruházás'!A31</f>
        <v>Közvilágítás fejlesztése</v>
      </c>
      <c r="B25" s="428">
        <f>'4.beruházás'!D31</f>
        <v>0</v>
      </c>
      <c r="C25" s="428"/>
      <c r="D25" s="310"/>
      <c r="E25" s="310"/>
      <c r="F25" s="310"/>
      <c r="G25" s="310"/>
      <c r="H25" s="310"/>
      <c r="I25" s="310">
        <f>B25</f>
        <v>0</v>
      </c>
      <c r="J25" s="310"/>
      <c r="K25" s="310"/>
      <c r="L25" s="310">
        <f t="shared" si="1"/>
        <v>0</v>
      </c>
      <c r="M25" s="429">
        <f t="shared" si="0"/>
        <v>0</v>
      </c>
    </row>
    <row r="26" spans="1:13" ht="30" hidden="1">
      <c r="A26" s="427" t="str">
        <f>'4.beruházás'!A32</f>
        <v>Somlyó sziget közvilágítás hálózat kiépítése</v>
      </c>
      <c r="B26" s="428">
        <f>'4.beruházás'!D32</f>
        <v>0</v>
      </c>
      <c r="C26" s="428"/>
      <c r="D26" s="310"/>
      <c r="E26" s="310"/>
      <c r="F26" s="310"/>
      <c r="G26" s="310"/>
      <c r="H26" s="310"/>
      <c r="I26" s="310">
        <f>B26</f>
        <v>0</v>
      </c>
      <c r="J26" s="310"/>
      <c r="K26" s="310"/>
      <c r="L26" s="310">
        <f t="shared" si="1"/>
        <v>0</v>
      </c>
      <c r="M26" s="429">
        <f t="shared" si="0"/>
        <v>0</v>
      </c>
    </row>
    <row r="27" spans="1:13" ht="30">
      <c r="A27" s="427" t="str">
        <f>'4.beruházás'!A33</f>
        <v>1 Ft támogatás terhére  végzendő feladatok</v>
      </c>
      <c r="B27" s="428">
        <f>'4.beruházás'!D33</f>
        <v>16000000</v>
      </c>
      <c r="C27" s="428"/>
      <c r="D27" s="310"/>
      <c r="E27" s="310"/>
      <c r="F27" s="310"/>
      <c r="G27" s="310"/>
      <c r="H27" s="310">
        <v>16000000</v>
      </c>
      <c r="I27" s="310"/>
      <c r="J27" s="310"/>
      <c r="K27" s="310"/>
      <c r="L27" s="310">
        <f t="shared" si="1"/>
        <v>16000000</v>
      </c>
      <c r="M27" s="429">
        <f t="shared" si="0"/>
        <v>0</v>
      </c>
    </row>
    <row r="28" spans="1:13" s="3" customFormat="1" ht="30">
      <c r="A28" s="427" t="str">
        <f>'4.beruházás'!A34</f>
        <v>Szivattyúk beszerzése új rákötések miatt</v>
      </c>
      <c r="B28" s="428">
        <f>'4.beruházás'!D34</f>
        <v>2000000</v>
      </c>
      <c r="C28" s="428"/>
      <c r="D28" s="310"/>
      <c r="E28" s="310"/>
      <c r="F28" s="310"/>
      <c r="G28" s="310"/>
      <c r="H28" s="310"/>
      <c r="I28" s="310">
        <f t="shared" ref="I28:I37" si="2">B28</f>
        <v>2000000</v>
      </c>
      <c r="J28" s="310"/>
      <c r="K28" s="310"/>
      <c r="L28" s="310">
        <f t="shared" si="1"/>
        <v>2000000</v>
      </c>
      <c r="M28" s="429">
        <f t="shared" si="0"/>
        <v>0</v>
      </c>
    </row>
    <row r="29" spans="1:13" s="3" customFormat="1" ht="30" hidden="1">
      <c r="A29" s="427" t="str">
        <f>'4.beruházás'!A35</f>
        <v>Rákötés miatti gerincvezeték csere</v>
      </c>
      <c r="B29" s="428">
        <f>'4.beruházás'!D35</f>
        <v>0</v>
      </c>
      <c r="C29" s="428"/>
      <c r="D29" s="310"/>
      <c r="E29" s="310"/>
      <c r="F29" s="310"/>
      <c r="G29" s="310"/>
      <c r="H29" s="310"/>
      <c r="I29" s="310">
        <f t="shared" si="2"/>
        <v>0</v>
      </c>
      <c r="J29" s="310"/>
      <c r="K29" s="310"/>
      <c r="L29" s="310">
        <f t="shared" si="1"/>
        <v>0</v>
      </c>
      <c r="M29" s="429">
        <f t="shared" si="0"/>
        <v>0</v>
      </c>
    </row>
    <row r="30" spans="1:13" s="3" customFormat="1" ht="15">
      <c r="A30" s="427" t="str">
        <f>'4.beruházás'!A36</f>
        <v xml:space="preserve">Újszülött gyermekek táblája </v>
      </c>
      <c r="B30" s="428">
        <f>'4.beruházás'!D36</f>
        <v>1000000</v>
      </c>
      <c r="C30" s="428"/>
      <c r="D30" s="310"/>
      <c r="E30" s="310"/>
      <c r="F30" s="310"/>
      <c r="G30" s="310"/>
      <c r="H30" s="310"/>
      <c r="I30" s="310">
        <f t="shared" si="2"/>
        <v>1000000</v>
      </c>
      <c r="J30" s="310"/>
      <c r="K30" s="310"/>
      <c r="L30" s="310">
        <f t="shared" si="1"/>
        <v>1000000</v>
      </c>
      <c r="M30" s="429">
        <f t="shared" si="0"/>
        <v>0</v>
      </c>
    </row>
    <row r="31" spans="1:13" s="3" customFormat="1" ht="45" hidden="1">
      <c r="A31" s="427" t="str">
        <f>'4.beruházás'!A37</f>
        <v>Új épületrészben tetőtér beépítése (irodarész, öltöző, szertár, Wc-mosdó)</v>
      </c>
      <c r="B31" s="428">
        <f>'4.beruházás'!D37</f>
        <v>0</v>
      </c>
      <c r="C31" s="428"/>
      <c r="D31" s="310"/>
      <c r="E31" s="310"/>
      <c r="F31" s="310"/>
      <c r="G31" s="310"/>
      <c r="H31" s="310"/>
      <c r="I31" s="310">
        <f t="shared" si="2"/>
        <v>0</v>
      </c>
      <c r="J31" s="310"/>
      <c r="K31" s="310"/>
      <c r="L31" s="310">
        <f t="shared" si="1"/>
        <v>0</v>
      </c>
      <c r="M31" s="429">
        <f t="shared" si="0"/>
        <v>0</v>
      </c>
    </row>
    <row r="32" spans="1:13" s="3" customFormat="1" ht="30" hidden="1">
      <c r="A32" s="427" t="str">
        <f>'4.beruházás'!A38</f>
        <v>Konyha bővítése (konténer konyha)</v>
      </c>
      <c r="B32" s="428">
        <f>'4.beruházás'!D38</f>
        <v>0</v>
      </c>
      <c r="C32" s="428"/>
      <c r="D32" s="310"/>
      <c r="E32" s="310"/>
      <c r="F32" s="310"/>
      <c r="G32" s="310"/>
      <c r="H32" s="310"/>
      <c r="I32" s="310">
        <f t="shared" si="2"/>
        <v>0</v>
      </c>
      <c r="J32" s="310"/>
      <c r="K32" s="310"/>
      <c r="L32" s="310">
        <f t="shared" si="1"/>
        <v>0</v>
      </c>
      <c r="M32" s="429">
        <f t="shared" si="0"/>
        <v>0</v>
      </c>
    </row>
    <row r="33" spans="1:13" s="3" customFormat="1" ht="15" hidden="1">
      <c r="A33" s="427" t="str">
        <f>'4.beruházás'!A39</f>
        <v>Új udvarrész kialakítása</v>
      </c>
      <c r="B33" s="428">
        <f>'4.beruházás'!D39</f>
        <v>0</v>
      </c>
      <c r="C33" s="431"/>
      <c r="D33" s="310"/>
      <c r="E33" s="310"/>
      <c r="F33" s="310"/>
      <c r="G33" s="310"/>
      <c r="H33" s="310"/>
      <c r="I33" s="310">
        <f t="shared" si="2"/>
        <v>0</v>
      </c>
      <c r="J33" s="310"/>
      <c r="K33" s="310"/>
      <c r="L33" s="310">
        <f t="shared" si="1"/>
        <v>0</v>
      </c>
      <c r="M33" s="429">
        <f t="shared" si="0"/>
        <v>0</v>
      </c>
    </row>
    <row r="34" spans="1:13" s="3" customFormat="1" ht="30" hidden="1">
      <c r="A34" s="427" t="str">
        <f>'4.beruházás'!A40</f>
        <v>Villamos energia hálózatfejlesztése</v>
      </c>
      <c r="B34" s="428">
        <f>'4.beruházás'!D40</f>
        <v>0</v>
      </c>
      <c r="C34" s="428"/>
      <c r="D34" s="310"/>
      <c r="E34" s="310"/>
      <c r="F34" s="310"/>
      <c r="G34" s="310"/>
      <c r="H34" s="310"/>
      <c r="I34" s="310">
        <f t="shared" si="2"/>
        <v>0</v>
      </c>
      <c r="J34" s="310"/>
      <c r="K34" s="310"/>
      <c r="L34" s="310">
        <f t="shared" si="1"/>
        <v>0</v>
      </c>
      <c r="M34" s="429">
        <f t="shared" si="0"/>
        <v>0</v>
      </c>
    </row>
    <row r="35" spans="1:13" s="3" customFormat="1" ht="30" hidden="1">
      <c r="A35" s="427" t="str">
        <f>'4.beruházás'!A41</f>
        <v>Épület szigetelése, külső színezés</v>
      </c>
      <c r="B35" s="428">
        <f>'4.beruházás'!D41</f>
        <v>0</v>
      </c>
      <c r="C35" s="428"/>
      <c r="D35" s="310"/>
      <c r="E35" s="310"/>
      <c r="F35" s="310"/>
      <c r="G35" s="310"/>
      <c r="H35" s="310"/>
      <c r="I35" s="310">
        <f t="shared" si="2"/>
        <v>0</v>
      </c>
      <c r="J35" s="310"/>
      <c r="K35" s="310"/>
      <c r="L35" s="310">
        <f t="shared" si="1"/>
        <v>0</v>
      </c>
      <c r="M35" s="429">
        <f t="shared" si="0"/>
        <v>0</v>
      </c>
    </row>
    <row r="36" spans="1:13" s="3" customFormat="1" ht="30" hidden="1">
      <c r="A36" s="427" t="str">
        <f>'4.beruházás'!A42</f>
        <v>Villamos energia hálózatfejlesztése</v>
      </c>
      <c r="B36" s="428">
        <f>'4.beruházás'!D42</f>
        <v>0</v>
      </c>
      <c r="C36" s="428"/>
      <c r="D36" s="310"/>
      <c r="E36" s="310"/>
      <c r="F36" s="310"/>
      <c r="G36" s="310"/>
      <c r="H36" s="310"/>
      <c r="I36" s="310">
        <f t="shared" si="2"/>
        <v>0</v>
      </c>
      <c r="J36" s="310"/>
      <c r="K36" s="310"/>
      <c r="L36" s="310">
        <f t="shared" si="1"/>
        <v>0</v>
      </c>
      <c r="M36" s="429">
        <f t="shared" si="0"/>
        <v>0</v>
      </c>
    </row>
    <row r="37" spans="1:13" s="3" customFormat="1" ht="30" hidden="1">
      <c r="A37" s="427" t="str">
        <f>'4.beruházás'!A43</f>
        <v>új kazán a régi iskola melleti épületnek</v>
      </c>
      <c r="B37" s="428">
        <f>'4.beruházás'!D43</f>
        <v>0</v>
      </c>
      <c r="C37" s="428"/>
      <c r="D37" s="310"/>
      <c r="E37" s="310"/>
      <c r="F37" s="310"/>
      <c r="G37" s="310"/>
      <c r="H37" s="310"/>
      <c r="I37" s="310">
        <f t="shared" si="2"/>
        <v>0</v>
      </c>
      <c r="J37" s="310"/>
      <c r="K37" s="310"/>
      <c r="L37" s="310">
        <f t="shared" si="1"/>
        <v>0</v>
      </c>
      <c r="M37" s="429">
        <f t="shared" si="0"/>
        <v>0</v>
      </c>
    </row>
    <row r="38" spans="1:13" s="3" customFormat="1" ht="30" hidden="1">
      <c r="A38" s="427" t="str">
        <f>'4.beruházás'!A44</f>
        <v>Hátsó homokozó fölé árnyékoló építése</v>
      </c>
      <c r="B38" s="428">
        <f>'4.beruházás'!D44</f>
        <v>0</v>
      </c>
      <c r="C38" s="428"/>
      <c r="D38" s="310"/>
      <c r="E38" s="310"/>
      <c r="F38" s="310"/>
      <c r="G38" s="310"/>
      <c r="H38" s="310"/>
      <c r="I38" s="310"/>
      <c r="J38" s="310"/>
      <c r="K38" s="310"/>
      <c r="L38" s="310">
        <f t="shared" si="1"/>
        <v>0</v>
      </c>
      <c r="M38" s="429"/>
    </row>
    <row r="39" spans="1:13" s="3" customFormat="1" ht="30" hidden="1">
      <c r="A39" s="427" t="str">
        <f>'4.beruházás'!A45</f>
        <v>Épület hátsó részének szigetelése + színezése</v>
      </c>
      <c r="B39" s="428">
        <f>'4.beruházás'!D45</f>
        <v>0</v>
      </c>
      <c r="C39" s="428"/>
      <c r="D39" s="310"/>
      <c r="E39" s="310"/>
      <c r="F39" s="310"/>
      <c r="G39" s="310"/>
      <c r="H39" s="310"/>
      <c r="I39" s="310">
        <f t="shared" ref="I39:I50" si="3">B39</f>
        <v>0</v>
      </c>
      <c r="J39" s="310"/>
      <c r="K39" s="310"/>
      <c r="L39" s="310">
        <f t="shared" si="1"/>
        <v>0</v>
      </c>
      <c r="M39" s="429">
        <f>L39-B39</f>
        <v>0</v>
      </c>
    </row>
    <row r="40" spans="1:13" s="3" customFormat="1" ht="17.25" hidden="1" customHeight="1">
      <c r="A40" s="427" t="str">
        <f>'4.beruházás'!A46</f>
        <v>Tetőtér beépítése</v>
      </c>
      <c r="B40" s="428">
        <f>'4.beruházás'!D46</f>
        <v>0</v>
      </c>
      <c r="C40" s="428"/>
      <c r="D40" s="310"/>
      <c r="E40" s="310"/>
      <c r="F40" s="310"/>
      <c r="G40" s="310"/>
      <c r="H40" s="310"/>
      <c r="I40" s="310">
        <f t="shared" si="3"/>
        <v>0</v>
      </c>
      <c r="J40" s="310"/>
      <c r="K40" s="310"/>
      <c r="L40" s="310">
        <f t="shared" si="1"/>
        <v>0</v>
      </c>
      <c r="M40" s="429">
        <f>L40-B40</f>
        <v>0</v>
      </c>
    </row>
    <row r="41" spans="1:13" s="3" customFormat="1" ht="15">
      <c r="A41" s="427" t="str">
        <f>'4.beruházás'!A48</f>
        <v>Szivárvány óvoda beruházás</v>
      </c>
      <c r="B41" s="428">
        <f>'4.beruházás'!D48</f>
        <v>4700270</v>
      </c>
      <c r="C41" s="428"/>
      <c r="D41" s="310"/>
      <c r="E41" s="310"/>
      <c r="F41" s="310"/>
      <c r="G41" s="310"/>
      <c r="H41" s="310"/>
      <c r="I41" s="310">
        <f t="shared" si="3"/>
        <v>4700270</v>
      </c>
      <c r="J41" s="310"/>
      <c r="K41" s="310"/>
      <c r="L41" s="310">
        <f t="shared" si="1"/>
        <v>4700270</v>
      </c>
      <c r="M41" s="429">
        <f>L41-B41</f>
        <v>0</v>
      </c>
    </row>
    <row r="42" spans="1:13" ht="33.75" customHeight="1">
      <c r="A42" s="427" t="str">
        <f>'4.beruházás'!A49</f>
        <v>ÁKMK beruházás</v>
      </c>
      <c r="B42" s="428">
        <f>'4.beruházás'!D49</f>
        <v>3401427</v>
      </c>
      <c r="C42" s="431"/>
      <c r="D42" s="310"/>
      <c r="E42" s="310"/>
      <c r="F42" s="310"/>
      <c r="G42" s="310"/>
      <c r="H42" s="310"/>
      <c r="I42" s="310">
        <f t="shared" si="3"/>
        <v>3401427</v>
      </c>
      <c r="J42" s="310"/>
      <c r="K42" s="310"/>
      <c r="L42" s="310">
        <f t="shared" si="1"/>
        <v>3401427</v>
      </c>
      <c r="M42" s="429">
        <f t="shared" ref="M42:M70" si="4">L42-B42</f>
        <v>0</v>
      </c>
    </row>
    <row r="43" spans="1:13" ht="15">
      <c r="A43" s="427" t="str">
        <f>'4.beruházás'!A50</f>
        <v>Bölcsőde beruházás</v>
      </c>
      <c r="B43" s="428">
        <f>'4.beruházás'!D50</f>
        <v>2250002</v>
      </c>
      <c r="C43" s="431"/>
      <c r="D43" s="310"/>
      <c r="E43" s="310"/>
      <c r="F43" s="310"/>
      <c r="G43" s="310"/>
      <c r="H43" s="310"/>
      <c r="I43" s="310">
        <f t="shared" si="3"/>
        <v>2250002</v>
      </c>
      <c r="J43" s="310"/>
      <c r="K43" s="310"/>
      <c r="L43" s="310">
        <f t="shared" si="1"/>
        <v>2250002</v>
      </c>
      <c r="M43" s="429">
        <f t="shared" si="4"/>
        <v>0</v>
      </c>
    </row>
    <row r="44" spans="1:13" ht="15">
      <c r="A44" s="427" t="str">
        <f>'4.beruházás'!A51</f>
        <v>Múzeum beruházás</v>
      </c>
      <c r="B44" s="428">
        <f>'4.beruházás'!D51</f>
        <v>2290500</v>
      </c>
      <c r="C44" s="428"/>
      <c r="D44" s="310"/>
      <c r="E44" s="310"/>
      <c r="F44" s="310"/>
      <c r="G44" s="310"/>
      <c r="H44" s="310"/>
      <c r="I44" s="310">
        <f t="shared" si="3"/>
        <v>2290500</v>
      </c>
      <c r="J44" s="310"/>
      <c r="K44" s="310"/>
      <c r="L44" s="310">
        <f t="shared" si="1"/>
        <v>2290500</v>
      </c>
      <c r="M44" s="429">
        <f t="shared" si="4"/>
        <v>0</v>
      </c>
    </row>
    <row r="45" spans="1:13" ht="15">
      <c r="A45" s="427" t="str">
        <f>'4.beruházás'!A52</f>
        <v>szakorvosi beruházás</v>
      </c>
      <c r="B45" s="428">
        <f>'4.beruházás'!D52</f>
        <v>26367091</v>
      </c>
      <c r="C45" s="428"/>
      <c r="D45" s="310"/>
      <c r="E45" s="310"/>
      <c r="F45" s="310"/>
      <c r="G45" s="310"/>
      <c r="H45" s="310"/>
      <c r="I45" s="310">
        <f t="shared" si="3"/>
        <v>26367091</v>
      </c>
      <c r="J45" s="310"/>
      <c r="K45" s="310"/>
      <c r="L45" s="310">
        <f t="shared" si="1"/>
        <v>26367091</v>
      </c>
      <c r="M45" s="429">
        <f t="shared" si="4"/>
        <v>0</v>
      </c>
    </row>
    <row r="46" spans="1:13" ht="15">
      <c r="A46" s="427" t="str">
        <f>'4.beruházás'!A53</f>
        <v>Konyha-vigi</v>
      </c>
      <c r="B46" s="428">
        <f>'4.beruházás'!D53</f>
        <v>5651500</v>
      </c>
      <c r="C46" s="428"/>
      <c r="D46" s="310"/>
      <c r="E46" s="310"/>
      <c r="F46" s="310"/>
      <c r="G46" s="310"/>
      <c r="H46" s="310"/>
      <c r="I46" s="310">
        <f t="shared" si="3"/>
        <v>5651500</v>
      </c>
      <c r="J46" s="310"/>
      <c r="K46" s="310"/>
      <c r="L46" s="310">
        <f t="shared" si="1"/>
        <v>5651500</v>
      </c>
      <c r="M46" s="429">
        <f t="shared" si="4"/>
        <v>0</v>
      </c>
    </row>
    <row r="47" spans="1:13" ht="15">
      <c r="A47" s="427" t="str">
        <f>'4.beruházás'!A54</f>
        <v>PH</v>
      </c>
      <c r="B47" s="428">
        <f>'4.beruházás'!D54</f>
        <v>5276000</v>
      </c>
      <c r="C47" s="428"/>
      <c r="D47" s="310"/>
      <c r="E47" s="310"/>
      <c r="F47" s="310"/>
      <c r="G47" s="310"/>
      <c r="H47" s="310"/>
      <c r="I47" s="310">
        <f t="shared" si="3"/>
        <v>5276000</v>
      </c>
      <c r="J47" s="310"/>
      <c r="K47" s="310"/>
      <c r="L47" s="310">
        <f t="shared" si="1"/>
        <v>5276000</v>
      </c>
      <c r="M47" s="429">
        <f t="shared" si="4"/>
        <v>0</v>
      </c>
    </row>
    <row r="48" spans="1:13" ht="15">
      <c r="A48" s="427" t="str">
        <f>'4.beruházás'!A55</f>
        <v>könyvtár</v>
      </c>
      <c r="B48" s="428">
        <f>'4.beruházás'!D55</f>
        <v>635000</v>
      </c>
      <c r="C48" s="428"/>
      <c r="D48" s="310"/>
      <c r="E48" s="310"/>
      <c r="F48" s="310"/>
      <c r="G48" s="310"/>
      <c r="H48" s="310"/>
      <c r="I48" s="310">
        <f t="shared" si="3"/>
        <v>635000</v>
      </c>
      <c r="J48" s="310"/>
      <c r="K48" s="310"/>
      <c r="L48" s="310">
        <f t="shared" si="1"/>
        <v>635000</v>
      </c>
      <c r="M48" s="429">
        <f t="shared" si="4"/>
        <v>0</v>
      </c>
    </row>
    <row r="49" spans="1:13" ht="30">
      <c r="A49" s="427" t="str">
        <f>'4.beruházás'!A57</f>
        <v>önerő támogatás Halászati Múzeum</v>
      </c>
      <c r="B49" s="428">
        <f>'4.beruházás'!D57</f>
        <v>2000000</v>
      </c>
      <c r="C49" s="428"/>
      <c r="D49" s="310"/>
      <c r="E49" s="310"/>
      <c r="F49" s="310"/>
      <c r="G49" s="310"/>
      <c r="H49" s="310"/>
      <c r="I49" s="310">
        <f t="shared" si="3"/>
        <v>2000000</v>
      </c>
      <c r="J49" s="310"/>
      <c r="K49" s="310"/>
      <c r="L49" s="310">
        <f t="shared" si="1"/>
        <v>2000000</v>
      </c>
      <c r="M49" s="429">
        <f t="shared" si="4"/>
        <v>0</v>
      </c>
    </row>
    <row r="50" spans="1:13" ht="30">
      <c r="A50" s="427" t="str">
        <f>'4.beruházás'!A58</f>
        <v>sportpark fel nem használt része</v>
      </c>
      <c r="B50" s="428">
        <f>'4.beruházás'!D58</f>
        <v>5000000</v>
      </c>
      <c r="C50" s="428"/>
      <c r="D50" s="310"/>
      <c r="E50" s="310"/>
      <c r="F50" s="310"/>
      <c r="G50" s="310"/>
      <c r="H50" s="310"/>
      <c r="I50" s="310">
        <f t="shared" si="3"/>
        <v>5000000</v>
      </c>
      <c r="J50" s="310"/>
      <c r="K50" s="310"/>
      <c r="L50" s="310">
        <f t="shared" si="1"/>
        <v>5000000</v>
      </c>
      <c r="M50" s="429">
        <f t="shared" si="4"/>
        <v>0</v>
      </c>
    </row>
    <row r="51" spans="1:13" ht="15">
      <c r="A51" s="427" t="str">
        <f>'4.beruházás'!A59</f>
        <v>Tornaterem felújítás</v>
      </c>
      <c r="B51" s="428">
        <f>'4.beruházás'!D59</f>
        <v>49500000</v>
      </c>
      <c r="C51" s="428">
        <f>B51</f>
        <v>49500000</v>
      </c>
      <c r="D51" s="310"/>
      <c r="E51" s="310"/>
      <c r="F51" s="310"/>
      <c r="G51" s="310"/>
      <c r="H51" s="310"/>
      <c r="I51" s="310"/>
      <c r="J51" s="310"/>
      <c r="K51" s="310"/>
      <c r="L51" s="310">
        <f t="shared" si="1"/>
        <v>49500000</v>
      </c>
      <c r="M51" s="429">
        <f t="shared" si="4"/>
        <v>0</v>
      </c>
    </row>
    <row r="52" spans="1:13" ht="15">
      <c r="A52" s="427" t="str">
        <f>'5.felújítás'!A6</f>
        <v>Útfelújítás</v>
      </c>
      <c r="B52" s="428">
        <f>'5.felújítás'!F6</f>
        <v>15000000</v>
      </c>
      <c r="C52" s="428"/>
      <c r="D52" s="310">
        <v>15000000</v>
      </c>
      <c r="E52" s="310"/>
      <c r="F52" s="310"/>
      <c r="G52" s="310"/>
      <c r="H52" s="310"/>
      <c r="I52" s="310">
        <v>0</v>
      </c>
      <c r="J52" s="310"/>
      <c r="K52" s="310"/>
      <c r="L52" s="310">
        <f t="shared" si="1"/>
        <v>15000000</v>
      </c>
      <c r="M52" s="429">
        <f t="shared" si="4"/>
        <v>0</v>
      </c>
    </row>
    <row r="53" spans="1:13" ht="15" hidden="1">
      <c r="A53" s="427" t="str">
        <f>'5.felújítás'!A7</f>
        <v>Tourinform bádog csere</v>
      </c>
      <c r="B53" s="428">
        <f>'5.felújítás'!F7</f>
        <v>0</v>
      </c>
      <c r="C53" s="428"/>
      <c r="D53" s="310"/>
      <c r="E53" s="310"/>
      <c r="F53" s="310"/>
      <c r="G53" s="310"/>
      <c r="H53" s="310"/>
      <c r="I53" s="310"/>
      <c r="J53" s="310"/>
      <c r="K53" s="310"/>
      <c r="L53" s="310">
        <f t="shared" si="1"/>
        <v>0</v>
      </c>
      <c r="M53" s="429">
        <f t="shared" si="4"/>
        <v>0</v>
      </c>
    </row>
    <row r="54" spans="1:13" ht="30" hidden="1">
      <c r="A54" s="427" t="str">
        <f>'5.felújítás'!A8</f>
        <v>Régi Városháza vakolat hullás jav.</v>
      </c>
      <c r="B54" s="428">
        <f>'5.felújítás'!F8</f>
        <v>0</v>
      </c>
      <c r="C54" s="428"/>
      <c r="D54" s="310"/>
      <c r="E54" s="310"/>
      <c r="F54" s="310"/>
      <c r="G54" s="310"/>
      <c r="H54" s="310"/>
      <c r="I54" s="310"/>
      <c r="J54" s="310"/>
      <c r="K54" s="310"/>
      <c r="L54" s="310">
        <f t="shared" si="1"/>
        <v>0</v>
      </c>
      <c r="M54" s="429">
        <f t="shared" si="4"/>
        <v>0</v>
      </c>
    </row>
    <row r="55" spans="1:13" ht="15" hidden="1">
      <c r="A55" s="427" t="str">
        <f>'5.felújítás'!A9</f>
        <v>Bíróság kerítés bontás</v>
      </c>
      <c r="B55" s="428">
        <f>'5.felújítás'!F9</f>
        <v>0</v>
      </c>
      <c r="C55" s="428"/>
      <c r="D55" s="310"/>
      <c r="E55" s="310"/>
      <c r="F55" s="310"/>
      <c r="G55" s="310"/>
      <c r="H55" s="310"/>
      <c r="I55" s="310"/>
      <c r="J55" s="310"/>
      <c r="K55" s="310"/>
      <c r="L55" s="310">
        <f t="shared" si="1"/>
        <v>0</v>
      </c>
      <c r="M55" s="429">
        <f t="shared" si="4"/>
        <v>0</v>
      </c>
    </row>
    <row r="56" spans="1:13" ht="30" hidden="1">
      <c r="A56" s="427" t="str">
        <f>'5.felújítás'!A10</f>
        <v>ÁKMK öltözők felújítása színpad mögött</v>
      </c>
      <c r="B56" s="428">
        <f>'5.felújítás'!F10</f>
        <v>0</v>
      </c>
      <c r="C56" s="428"/>
      <c r="D56" s="310"/>
      <c r="E56" s="310"/>
      <c r="F56" s="310"/>
      <c r="G56" s="310"/>
      <c r="H56" s="310"/>
      <c r="I56" s="310"/>
      <c r="J56" s="310"/>
      <c r="K56" s="310"/>
      <c r="L56" s="310">
        <f t="shared" si="1"/>
        <v>0</v>
      </c>
      <c r="M56" s="429">
        <f t="shared" si="4"/>
        <v>0</v>
      </c>
    </row>
    <row r="57" spans="1:13" ht="30" hidden="1">
      <c r="A57" s="427" t="str">
        <f>'5.felújítás'!A11</f>
        <v>Skarica Máté V.K. padlás lépcső</v>
      </c>
      <c r="B57" s="428">
        <f>'5.felújítás'!F11</f>
        <v>0</v>
      </c>
      <c r="C57" s="428"/>
      <c r="D57" s="310"/>
      <c r="E57" s="310"/>
      <c r="F57" s="310"/>
      <c r="G57" s="310"/>
      <c r="H57" s="310"/>
      <c r="I57" s="310"/>
      <c r="J57" s="310"/>
      <c r="K57" s="310"/>
      <c r="L57" s="310">
        <f t="shared" si="1"/>
        <v>0</v>
      </c>
      <c r="M57" s="429">
        <f t="shared" si="4"/>
        <v>0</v>
      </c>
    </row>
    <row r="58" spans="1:13" ht="15" hidden="1">
      <c r="A58" s="427" t="str">
        <f>'5.felújítás'!A12</f>
        <v>Ifjúság u. óvoda (Bölcsőde)</v>
      </c>
      <c r="B58" s="428">
        <f>'5.felújítás'!F12</f>
        <v>0</v>
      </c>
      <c r="C58" s="428"/>
      <c r="D58" s="310"/>
      <c r="E58" s="310"/>
      <c r="F58" s="310"/>
      <c r="G58" s="310"/>
      <c r="H58" s="310"/>
      <c r="I58" s="310"/>
      <c r="J58" s="310"/>
      <c r="K58" s="310"/>
      <c r="L58" s="310">
        <f t="shared" si="1"/>
        <v>0</v>
      </c>
      <c r="M58" s="429">
        <f t="shared" si="4"/>
        <v>0</v>
      </c>
    </row>
    <row r="59" spans="1:13" ht="15" hidden="1">
      <c r="A59" s="427" t="str">
        <f>'5.felújítás'!A13</f>
        <v>Ifjúság u. óvoda kerítés</v>
      </c>
      <c r="B59" s="428">
        <f>'5.felújítás'!F13</f>
        <v>0</v>
      </c>
      <c r="C59" s="428"/>
      <c r="D59" s="310"/>
      <c r="E59" s="310"/>
      <c r="F59" s="310"/>
      <c r="G59" s="310"/>
      <c r="H59" s="310"/>
      <c r="I59" s="310"/>
      <c r="J59" s="310"/>
      <c r="K59" s="310"/>
      <c r="L59" s="310">
        <f t="shared" si="1"/>
        <v>0</v>
      </c>
      <c r="M59" s="429">
        <f t="shared" si="4"/>
        <v>0</v>
      </c>
    </row>
    <row r="60" spans="1:13" ht="15" hidden="1">
      <c r="A60" s="427" t="str">
        <f>'5.felújítás'!A14</f>
        <v>Szürke épület felújítása</v>
      </c>
      <c r="B60" s="428">
        <f>'5.felújítás'!F14</f>
        <v>0</v>
      </c>
      <c r="C60" s="428"/>
      <c r="D60" s="310"/>
      <c r="E60" s="310"/>
      <c r="F60" s="310"/>
      <c r="G60" s="310"/>
      <c r="H60" s="310"/>
      <c r="I60" s="310"/>
      <c r="J60" s="310"/>
      <c r="K60" s="310"/>
      <c r="L60" s="310">
        <f t="shared" si="1"/>
        <v>0</v>
      </c>
      <c r="M60" s="429">
        <f t="shared" si="4"/>
        <v>0</v>
      </c>
    </row>
    <row r="61" spans="1:13" ht="15" hidden="1">
      <c r="A61" s="427" t="str">
        <f>'5.felújítás'!A15</f>
        <v>járdák felújítása több helyen</v>
      </c>
      <c r="B61" s="428">
        <f>'5.felújítás'!F15</f>
        <v>0</v>
      </c>
      <c r="C61" s="428"/>
      <c r="D61" s="310"/>
      <c r="E61" s="310"/>
      <c r="F61" s="310"/>
      <c r="G61" s="310"/>
      <c r="H61" s="310"/>
      <c r="I61" s="310"/>
      <c r="J61" s="310"/>
      <c r="K61" s="310"/>
      <c r="L61" s="310">
        <f t="shared" si="1"/>
        <v>0</v>
      </c>
      <c r="M61" s="429">
        <f t="shared" si="4"/>
        <v>0</v>
      </c>
    </row>
    <row r="62" spans="1:13" ht="15" hidden="1">
      <c r="A62" s="427" t="str">
        <f>'5.felújítás'!A16</f>
        <v>Ifjúság u. óvoda ablakcsere</v>
      </c>
      <c r="B62" s="428">
        <f>'5.felújítás'!F16</f>
        <v>0</v>
      </c>
      <c r="C62" s="428"/>
      <c r="D62" s="310"/>
      <c r="E62" s="310"/>
      <c r="F62" s="310"/>
      <c r="G62" s="310"/>
      <c r="H62" s="310"/>
      <c r="I62" s="310"/>
      <c r="J62" s="310"/>
      <c r="K62" s="310"/>
      <c r="L62" s="310">
        <f t="shared" si="1"/>
        <v>0</v>
      </c>
      <c r="M62" s="429">
        <f t="shared" si="4"/>
        <v>0</v>
      </c>
    </row>
    <row r="63" spans="1:13" ht="15">
      <c r="A63" s="427" t="str">
        <f>'5.felújítás'!A17</f>
        <v>Iskola úti ovi felújítás</v>
      </c>
      <c r="B63" s="428">
        <f>'5.felújítás'!F17</f>
        <v>31578947</v>
      </c>
      <c r="C63" s="428"/>
      <c r="D63" s="310"/>
      <c r="E63" s="310"/>
      <c r="F63" s="310"/>
      <c r="G63" s="310">
        <f>B63</f>
        <v>31578947</v>
      </c>
      <c r="H63" s="310"/>
      <c r="I63" s="310"/>
      <c r="J63" s="310"/>
      <c r="K63" s="310"/>
      <c r="L63" s="310">
        <f t="shared" si="1"/>
        <v>31578947</v>
      </c>
      <c r="M63" s="429">
        <f t="shared" si="4"/>
        <v>0</v>
      </c>
    </row>
    <row r="64" spans="1:13" ht="30" hidden="1">
      <c r="A64" s="427" t="str">
        <f>'5.felújítás'!A18</f>
        <v>Vörösmarty óvoda balesetveszélyes kerítés</v>
      </c>
      <c r="B64" s="428">
        <f>'5.felújítás'!F18</f>
        <v>0</v>
      </c>
      <c r="C64" s="428"/>
      <c r="D64" s="310"/>
      <c r="E64" s="310"/>
      <c r="F64" s="310"/>
      <c r="G64" s="310"/>
      <c r="H64" s="310"/>
      <c r="I64" s="310"/>
      <c r="J64" s="310"/>
      <c r="K64" s="310"/>
      <c r="L64" s="310">
        <f t="shared" si="1"/>
        <v>0</v>
      </c>
      <c r="M64" s="429">
        <f t="shared" si="4"/>
        <v>0</v>
      </c>
    </row>
    <row r="65" spans="1:14" ht="15">
      <c r="A65" s="427" t="str">
        <f>'5.felújítás'!A19</f>
        <v>intézmény felújítások</v>
      </c>
      <c r="B65" s="428">
        <f>'5.felújítás'!F19</f>
        <v>20000000</v>
      </c>
      <c r="C65" s="428"/>
      <c r="D65" s="310">
        <v>20000000</v>
      </c>
      <c r="E65" s="310"/>
      <c r="F65" s="310"/>
      <c r="G65" s="310"/>
      <c r="H65" s="310"/>
      <c r="I65" s="310">
        <v>0</v>
      </c>
      <c r="J65" s="310"/>
      <c r="K65" s="310"/>
      <c r="L65" s="310">
        <f t="shared" si="1"/>
        <v>20000000</v>
      </c>
      <c r="M65" s="429">
        <f t="shared" si="4"/>
        <v>0</v>
      </c>
    </row>
    <row r="66" spans="1:14" ht="30" hidden="1">
      <c r="A66" s="427" t="str">
        <f>'5.felújítás'!A20</f>
        <v>Vörösmarty óvoda csatorna jav.</v>
      </c>
      <c r="B66" s="428">
        <f>'5.felújítás'!F20</f>
        <v>0</v>
      </c>
      <c r="C66" s="428"/>
      <c r="D66" s="310"/>
      <c r="E66" s="310"/>
      <c r="F66" s="310"/>
      <c r="G66" s="310"/>
      <c r="H66" s="310"/>
      <c r="I66" s="310"/>
      <c r="J66" s="310"/>
      <c r="K66" s="310"/>
      <c r="L66" s="310">
        <f t="shared" si="1"/>
        <v>0</v>
      </c>
      <c r="M66" s="429">
        <f t="shared" si="4"/>
        <v>0</v>
      </c>
    </row>
    <row r="67" spans="1:14" ht="15" hidden="1">
      <c r="A67" s="427" t="str">
        <f>'5.felújítás'!A21</f>
        <v>További útfelújítások</v>
      </c>
      <c r="B67" s="428">
        <f>'5.felújítás'!F21</f>
        <v>0</v>
      </c>
      <c r="C67" s="428"/>
      <c r="D67" s="310"/>
      <c r="E67" s="310"/>
      <c r="F67" s="310"/>
      <c r="G67" s="310"/>
      <c r="H67" s="310"/>
      <c r="I67" s="310"/>
      <c r="J67" s="310"/>
      <c r="K67" s="310"/>
      <c r="L67" s="310">
        <f t="shared" ref="L67:L70" si="5">SUM(C67:K67)</f>
        <v>0</v>
      </c>
      <c r="M67" s="429">
        <f t="shared" si="4"/>
        <v>0</v>
      </c>
    </row>
    <row r="68" spans="1:14" ht="30">
      <c r="A68" s="427" t="str">
        <f>'3.c. tartalék'!A8</f>
        <v>bérleti díj terhére DAKÖV kft által végzett</v>
      </c>
      <c r="B68" s="428">
        <f>'3.c. tartalék'!F8</f>
        <v>14700000</v>
      </c>
      <c r="C68" s="428"/>
      <c r="D68" s="310"/>
      <c r="E68" s="310"/>
      <c r="F68" s="310"/>
      <c r="G68" s="310"/>
      <c r="H68" s="310"/>
      <c r="I68" s="310">
        <f>B68</f>
        <v>14700000</v>
      </c>
      <c r="J68" s="310"/>
      <c r="K68" s="310"/>
      <c r="L68" s="310">
        <f t="shared" si="5"/>
        <v>14700000</v>
      </c>
      <c r="M68" s="429">
        <f t="shared" si="4"/>
        <v>0</v>
      </c>
    </row>
    <row r="69" spans="1:14" ht="30">
      <c r="A69" s="427" t="str">
        <f>'3.c. tartalék'!A9</f>
        <v>További turisztikai fejlesztések</v>
      </c>
      <c r="B69" s="428">
        <f>'3.c. tartalék'!F9</f>
        <v>10000000</v>
      </c>
      <c r="C69" s="428"/>
      <c r="D69" s="310"/>
      <c r="E69" s="310"/>
      <c r="F69" s="310"/>
      <c r="G69" s="310"/>
      <c r="H69" s="310"/>
      <c r="I69" s="310">
        <v>0</v>
      </c>
      <c r="J69" s="310"/>
      <c r="K69" s="310">
        <v>10000000</v>
      </c>
      <c r="L69" s="310">
        <f t="shared" si="5"/>
        <v>10000000</v>
      </c>
      <c r="M69" s="429">
        <f t="shared" si="4"/>
        <v>0</v>
      </c>
    </row>
    <row r="70" spans="1:14" ht="15">
      <c r="A70" s="427" t="str">
        <f>'3.c. tartalék'!A10</f>
        <v>pályázatelőkészítő alap</v>
      </c>
      <c r="B70" s="428">
        <f>'3.c. tartalék'!F10</f>
        <v>30000000</v>
      </c>
      <c r="C70" s="428"/>
      <c r="D70" s="310"/>
      <c r="E70" s="310"/>
      <c r="F70" s="310"/>
      <c r="G70" s="310"/>
      <c r="H70" s="310"/>
      <c r="I70" s="310">
        <f>B70</f>
        <v>30000000</v>
      </c>
      <c r="J70" s="310"/>
      <c r="K70" s="310"/>
      <c r="L70" s="310">
        <f t="shared" si="5"/>
        <v>30000000</v>
      </c>
      <c r="M70" s="429">
        <f t="shared" si="4"/>
        <v>0</v>
      </c>
      <c r="N70" s="317"/>
    </row>
    <row r="71" spans="1:14" ht="15" hidden="1">
      <c r="A71" s="427" t="e">
        <f>'3.c. tartalék'!#REF!</f>
        <v>#REF!</v>
      </c>
      <c r="B71" s="428">
        <f>'4.beruházás'!D71</f>
        <v>0</v>
      </c>
      <c r="C71" s="428"/>
      <c r="D71" s="310"/>
      <c r="E71" s="310"/>
      <c r="F71" s="310"/>
      <c r="G71" s="310"/>
      <c r="H71" s="310"/>
      <c r="I71" s="310"/>
      <c r="J71" s="310"/>
      <c r="K71" s="310"/>
      <c r="L71" s="310"/>
      <c r="M71" s="429"/>
    </row>
    <row r="72" spans="1:14" ht="15" hidden="1">
      <c r="A72" s="427" t="str">
        <f>'3.c. tartalék'!A10</f>
        <v>pályázatelőkészítő alap</v>
      </c>
      <c r="B72" s="428">
        <f>'4.beruházás'!D72</f>
        <v>0</v>
      </c>
      <c r="C72" s="428"/>
      <c r="D72" s="310"/>
      <c r="E72" s="310"/>
      <c r="F72" s="310"/>
      <c r="G72" s="310"/>
      <c r="H72" s="310"/>
      <c r="I72" s="310"/>
      <c r="J72" s="310"/>
      <c r="K72" s="310"/>
      <c r="L72" s="310"/>
      <c r="M72" s="429"/>
    </row>
    <row r="73" spans="1:14" ht="15" hidden="1">
      <c r="A73" s="427" t="e">
        <f>'3.c. tartalék'!#REF!</f>
        <v>#REF!</v>
      </c>
      <c r="B73" s="428">
        <f>'4.beruházás'!D73</f>
        <v>0</v>
      </c>
      <c r="C73" s="428"/>
      <c r="D73" s="310"/>
      <c r="E73" s="310"/>
      <c r="F73" s="310"/>
      <c r="G73" s="310"/>
      <c r="H73" s="310"/>
      <c r="I73" s="310"/>
      <c r="J73" s="310"/>
      <c r="K73" s="310"/>
      <c r="L73" s="310"/>
      <c r="M73" s="429"/>
    </row>
    <row r="74" spans="1:14" ht="30" hidden="1">
      <c r="A74" s="427" t="str">
        <f>'3.c. tartalék'!A11</f>
        <v>FELHALMOZÁSI CÉLÚ TARTALÉK ÖSSZESEN</v>
      </c>
      <c r="B74" s="428">
        <f>'4.beruházás'!D74</f>
        <v>0</v>
      </c>
      <c r="C74" s="428"/>
      <c r="D74" s="310"/>
      <c r="E74" s="310"/>
      <c r="F74" s="310"/>
      <c r="G74" s="310"/>
      <c r="H74" s="310"/>
      <c r="I74" s="310"/>
      <c r="J74" s="310"/>
      <c r="K74" s="310"/>
      <c r="L74" s="310"/>
      <c r="M74" s="429"/>
    </row>
    <row r="75" spans="1:14" ht="15" hidden="1">
      <c r="A75" s="427" t="str">
        <f>'3.c. tartalék'!A12</f>
        <v>CÉLTARTALÉK ÖSSZESEN</v>
      </c>
      <c r="B75" s="428">
        <f>'4.beruházás'!D75</f>
        <v>0</v>
      </c>
      <c r="C75" s="428"/>
      <c r="D75" s="310"/>
      <c r="E75" s="310"/>
      <c r="F75" s="310"/>
      <c r="G75" s="310"/>
      <c r="H75" s="310"/>
      <c r="I75" s="310"/>
      <c r="J75" s="310"/>
      <c r="K75" s="310"/>
      <c r="L75" s="310"/>
      <c r="M75" s="429"/>
    </row>
    <row r="76" spans="1:14" ht="15" hidden="1">
      <c r="A76" s="427">
        <f>'3.c. tartalék'!A13</f>
        <v>0</v>
      </c>
      <c r="B76" s="428">
        <f>'4.beruházás'!D76</f>
        <v>0</v>
      </c>
      <c r="C76" s="428"/>
      <c r="D76" s="310"/>
      <c r="E76" s="310"/>
      <c r="F76" s="310"/>
      <c r="G76" s="310"/>
      <c r="H76" s="310"/>
      <c r="I76" s="310"/>
      <c r="J76" s="310"/>
      <c r="K76" s="310"/>
      <c r="L76" s="310"/>
      <c r="M76" s="429"/>
    </row>
    <row r="77" spans="1:14" ht="13.5" thickBot="1">
      <c r="A77" s="432"/>
      <c r="B77" s="433">
        <f t="shared" ref="B77:I77" si="6">SUM(B4:B76)</f>
        <v>1589307181.5</v>
      </c>
      <c r="C77" s="433">
        <f t="shared" si="6"/>
        <v>157100000</v>
      </c>
      <c r="D77" s="433">
        <f t="shared" si="6"/>
        <v>35000000</v>
      </c>
      <c r="E77" s="433">
        <f t="shared" si="6"/>
        <v>0</v>
      </c>
      <c r="F77" s="433"/>
      <c r="G77" s="433">
        <f t="shared" si="6"/>
        <v>566540065</v>
      </c>
      <c r="H77" s="433">
        <f t="shared" si="6"/>
        <v>686577216</v>
      </c>
      <c r="I77" s="433">
        <f t="shared" si="6"/>
        <v>134089901</v>
      </c>
      <c r="J77" s="433" t="e">
        <f>#N/A</f>
        <v>#N/A</v>
      </c>
      <c r="K77" s="433">
        <f>SUM(K4:K76)</f>
        <v>10000000</v>
      </c>
      <c r="L77" s="433">
        <f>SUM(L4:L76)</f>
        <v>1589307182</v>
      </c>
      <c r="M77" s="434">
        <f>SUM(M4:M76)</f>
        <v>0.5</v>
      </c>
    </row>
    <row r="78" spans="1:14">
      <c r="B78" s="420">
        <f>'4.beruházás'!D60+'5.felújítás'!F33+'3.c. tartalék'!F11</f>
        <v>1589307181.5</v>
      </c>
      <c r="C78" s="420"/>
      <c r="D78" s="420"/>
      <c r="E78" s="420"/>
      <c r="F78" s="420"/>
      <c r="G78" s="420">
        <f>'1.'!C78</f>
        <v>566540065</v>
      </c>
      <c r="H78" s="420"/>
      <c r="I78" s="420"/>
      <c r="J78" s="420"/>
      <c r="L78" s="420"/>
      <c r="M78" s="420"/>
    </row>
    <row r="79" spans="1:14" ht="13.5" thickBot="1">
      <c r="C79" s="420"/>
      <c r="D79" s="420"/>
      <c r="E79" s="420"/>
      <c r="F79" s="420"/>
      <c r="G79" s="420">
        <f>G78-G77</f>
        <v>0</v>
      </c>
      <c r="H79" s="420"/>
      <c r="I79" s="420"/>
      <c r="J79" s="420"/>
      <c r="L79" s="420"/>
      <c r="M79" s="420"/>
    </row>
    <row r="80" spans="1:14" ht="13.5" thickBot="1">
      <c r="A80" s="435"/>
      <c r="B80" s="436"/>
      <c r="C80" s="436"/>
      <c r="D80" s="436"/>
      <c r="E80" s="436"/>
      <c r="F80" s="436"/>
      <c r="G80" s="436"/>
      <c r="H80" s="436"/>
      <c r="I80" s="436"/>
      <c r="J80" s="436"/>
      <c r="K80" s="436"/>
      <c r="L80" s="436"/>
      <c r="M80" s="437"/>
    </row>
    <row r="81" spans="3:13" ht="25.5" customHeight="1">
      <c r="C81" s="420"/>
      <c r="D81" s="420"/>
      <c r="E81" s="420"/>
      <c r="F81" s="420"/>
      <c r="G81" s="420"/>
      <c r="H81" s="420"/>
      <c r="I81" s="420"/>
      <c r="J81" s="420"/>
      <c r="L81" s="420"/>
      <c r="M81" s="420"/>
    </row>
  </sheetData>
  <pageMargins left="0.19685039370078741" right="0.11811023622047245" top="0.35433070866141736" bottom="0.55118110236220474" header="0.31496062992125984" footer="0.31496062992125984"/>
  <pageSetup paperSize="9" scale="92" fitToHeight="0" orientation="landscape" r:id="rId1"/>
  <headerFooter>
    <oddHeader>&amp;RRáckeve Város 2020 évi költségvetés melléklete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4"/>
  <sheetViews>
    <sheetView workbookViewId="0">
      <selection activeCell="J13" sqref="J13"/>
    </sheetView>
  </sheetViews>
  <sheetFormatPr defaultRowHeight="12.75"/>
  <cols>
    <col min="3" max="3" width="21.85546875" customWidth="1"/>
    <col min="4" max="4" width="25" customWidth="1"/>
  </cols>
  <sheetData>
    <row r="1" spans="1:4" ht="15.75">
      <c r="A1" s="1007"/>
      <c r="B1" s="1008" t="s">
        <v>1743</v>
      </c>
      <c r="C1" s="1007"/>
      <c r="D1" s="1025"/>
    </row>
    <row r="2" spans="1:4" ht="15.75">
      <c r="A2" s="1007"/>
      <c r="B2" s="1007"/>
      <c r="C2" s="1008"/>
      <c r="D2" s="1025"/>
    </row>
    <row r="3" spans="1:4" ht="13.5" thickBot="1">
      <c r="A3" s="1009"/>
      <c r="B3" s="1007"/>
      <c r="C3" s="1007"/>
      <c r="D3" s="1128" t="s">
        <v>1751</v>
      </c>
    </row>
    <row r="4" spans="1:4">
      <c r="A4" s="1010" t="s">
        <v>1629</v>
      </c>
      <c r="B4" s="1011"/>
      <c r="C4" s="1011"/>
      <c r="D4" s="1026">
        <v>2020</v>
      </c>
    </row>
    <row r="5" spans="1:4" ht="13.5" thickBot="1">
      <c r="A5" s="1012"/>
      <c r="B5" s="1012"/>
      <c r="C5" s="1012"/>
      <c r="D5" s="1027" t="s">
        <v>1630</v>
      </c>
    </row>
    <row r="6" spans="1:4" ht="15">
      <c r="A6" s="1013" t="s">
        <v>119</v>
      </c>
      <c r="B6" s="1014"/>
      <c r="C6" s="1014"/>
      <c r="D6" s="1036">
        <v>33</v>
      </c>
    </row>
    <row r="7" spans="1:4" ht="15.75">
      <c r="A7" s="1015" t="s">
        <v>1631</v>
      </c>
      <c r="B7" s="1016"/>
      <c r="C7" s="1016"/>
      <c r="D7" s="1028">
        <v>3</v>
      </c>
    </row>
    <row r="8" spans="1:4" ht="15.75" thickBot="1">
      <c r="A8" s="1016" t="s">
        <v>1632</v>
      </c>
      <c r="B8" s="1016"/>
      <c r="C8" s="1016"/>
      <c r="D8" s="1028">
        <v>1</v>
      </c>
    </row>
    <row r="9" spans="1:4" ht="16.5" thickBot="1">
      <c r="A9" s="1017" t="s">
        <v>1631</v>
      </c>
      <c r="B9" s="1017"/>
      <c r="C9" s="1017"/>
      <c r="D9" s="1029">
        <f>D7+D6</f>
        <v>36</v>
      </c>
    </row>
    <row r="10" spans="1:4" ht="15.75">
      <c r="A10" s="1018" t="s">
        <v>1633</v>
      </c>
      <c r="B10" s="1018"/>
      <c r="C10" s="1018"/>
      <c r="D10" s="1038">
        <v>72</v>
      </c>
    </row>
    <row r="11" spans="1:4" ht="15">
      <c r="A11" s="1019" t="s">
        <v>1634</v>
      </c>
      <c r="B11" s="1019"/>
      <c r="C11" s="1019"/>
      <c r="D11" s="1030">
        <v>33</v>
      </c>
    </row>
    <row r="12" spans="1:4" ht="15">
      <c r="A12" s="1022" t="s">
        <v>1635</v>
      </c>
      <c r="B12" s="1023"/>
      <c r="C12" s="1023"/>
      <c r="D12" s="1031">
        <v>10</v>
      </c>
    </row>
    <row r="13" spans="1:4" ht="15">
      <c r="A13" s="1022" t="s">
        <v>1636</v>
      </c>
      <c r="B13" s="1024"/>
      <c r="C13" s="1024"/>
      <c r="D13" s="1032">
        <v>1</v>
      </c>
    </row>
    <row r="14" spans="1:4" ht="15">
      <c r="A14" s="1022" t="s">
        <v>1637</v>
      </c>
      <c r="B14" s="1023"/>
      <c r="C14" s="1023"/>
      <c r="D14" s="1031">
        <v>21</v>
      </c>
    </row>
    <row r="15" spans="1:4" ht="15">
      <c r="A15" s="1022" t="s">
        <v>1638</v>
      </c>
      <c r="B15" s="1024"/>
      <c r="C15" s="1024"/>
      <c r="D15" s="1032">
        <v>1</v>
      </c>
    </row>
    <row r="16" spans="1:4" ht="15">
      <c r="A16" s="1019" t="s">
        <v>1639</v>
      </c>
      <c r="B16" s="1019"/>
      <c r="C16" s="1019"/>
      <c r="D16" s="1030">
        <v>28.5</v>
      </c>
    </row>
    <row r="17" spans="1:4" ht="15">
      <c r="A17" s="1016" t="s">
        <v>1640</v>
      </c>
      <c r="B17" s="1016"/>
      <c r="C17" s="1016"/>
      <c r="D17" s="1028">
        <v>6</v>
      </c>
    </row>
    <row r="18" spans="1:4" ht="15.75" thickBot="1">
      <c r="A18" s="1019" t="s">
        <v>122</v>
      </c>
      <c r="B18" s="1019"/>
      <c r="C18" s="1019"/>
      <c r="D18" s="1033">
        <v>7</v>
      </c>
    </row>
    <row r="19" spans="1:4" ht="15.75" thickBot="1">
      <c r="A19" s="1019" t="s">
        <v>1641</v>
      </c>
      <c r="B19" s="1019"/>
      <c r="C19" s="1019"/>
      <c r="D19" s="1034">
        <v>8</v>
      </c>
    </row>
    <row r="20" spans="1:4" ht="15.75" thickBot="1">
      <c r="A20" s="1019" t="s">
        <v>1642</v>
      </c>
      <c r="B20" s="1019"/>
      <c r="C20" s="1019"/>
      <c r="D20" s="1033">
        <v>2</v>
      </c>
    </row>
    <row r="21" spans="1:4" ht="16.5" thickBot="1">
      <c r="A21" s="1017" t="s">
        <v>1643</v>
      </c>
      <c r="B21" s="1017"/>
      <c r="C21" s="1017"/>
      <c r="D21" s="1029">
        <f>D10+D11+D16+D17+D18+D19</f>
        <v>154.5</v>
      </c>
    </row>
    <row r="22" spans="1:4" ht="16.5" thickBot="1">
      <c r="A22" s="1020" t="s">
        <v>123</v>
      </c>
      <c r="B22" s="1020"/>
      <c r="C22" s="1020"/>
      <c r="D22" s="1037">
        <v>42</v>
      </c>
    </row>
    <row r="23" spans="1:4" ht="16.5" thickBot="1">
      <c r="A23" s="1021" t="s">
        <v>124</v>
      </c>
      <c r="B23" s="1021"/>
      <c r="C23" s="1021"/>
      <c r="D23" s="1037">
        <v>18</v>
      </c>
    </row>
    <row r="24" spans="1:4" ht="16.5" thickBot="1">
      <c r="A24" s="1017" t="s">
        <v>164</v>
      </c>
      <c r="B24" s="1017"/>
      <c r="C24" s="1017"/>
      <c r="D24" s="1035">
        <f>D21+D22+D23+D9</f>
        <v>250.5</v>
      </c>
    </row>
  </sheetData>
  <pageMargins left="0.19685039370078741" right="0.11811023622047245" top="0.35433070866141736" bottom="0.55118110236220474" header="0.31496062992125984" footer="0.31496062992125984"/>
  <pageSetup paperSize="9" fitToHeight="0" orientation="landscape" r:id="rId1"/>
  <headerFooter>
    <oddHeader>&amp;RRáckeve Város 2020 évi költségvetés melléklete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0"/>
  <sheetViews>
    <sheetView workbookViewId="0">
      <selection activeCell="A2" sqref="A2:F2"/>
    </sheetView>
  </sheetViews>
  <sheetFormatPr defaultRowHeight="15.75"/>
  <cols>
    <col min="1" max="1" width="7.7109375" style="721" customWidth="1"/>
    <col min="2" max="2" width="56.85546875" style="721" bestFit="1" customWidth="1"/>
    <col min="3" max="3" width="19.85546875" style="1079" customWidth="1"/>
    <col min="4" max="4" width="14.28515625" style="722" bestFit="1" customWidth="1"/>
    <col min="5" max="5" width="14.28515625" style="721" bestFit="1" customWidth="1"/>
    <col min="6" max="6" width="14.28515625" style="721" customWidth="1"/>
    <col min="7" max="7" width="7.7109375" style="627" customWidth="1"/>
    <col min="8" max="9" width="9.5703125" style="627" bestFit="1" customWidth="1"/>
    <col min="10" max="257" width="9.140625" style="627"/>
    <col min="258" max="258" width="7.7109375" style="627" customWidth="1"/>
    <col min="259" max="259" width="56.85546875" style="627" bestFit="1" customWidth="1"/>
    <col min="260" max="262" width="13.28515625" style="627" customWidth="1"/>
    <col min="263" max="263" width="7.7109375" style="627" customWidth="1"/>
    <col min="264" max="513" width="9.140625" style="627"/>
    <col min="514" max="514" width="7.7109375" style="627" customWidth="1"/>
    <col min="515" max="515" width="56.85546875" style="627" bestFit="1" customWidth="1"/>
    <col min="516" max="518" width="13.28515625" style="627" customWidth="1"/>
    <col min="519" max="519" width="7.7109375" style="627" customWidth="1"/>
    <col min="520" max="769" width="9.140625" style="627"/>
    <col min="770" max="770" width="7.7109375" style="627" customWidth="1"/>
    <col min="771" max="771" width="56.85546875" style="627" bestFit="1" customWidth="1"/>
    <col min="772" max="774" width="13.28515625" style="627" customWidth="1"/>
    <col min="775" max="775" width="7.7109375" style="627" customWidth="1"/>
    <col min="776" max="1025" width="9.140625" style="627"/>
    <col min="1026" max="1026" width="7.7109375" style="627" customWidth="1"/>
    <col min="1027" max="1027" width="56.85546875" style="627" bestFit="1" customWidth="1"/>
    <col min="1028" max="1030" width="13.28515625" style="627" customWidth="1"/>
    <col min="1031" max="1031" width="7.7109375" style="627" customWidth="1"/>
    <col min="1032" max="1281" width="9.140625" style="627"/>
    <col min="1282" max="1282" width="7.7109375" style="627" customWidth="1"/>
    <col min="1283" max="1283" width="56.85546875" style="627" bestFit="1" customWidth="1"/>
    <col min="1284" max="1286" width="13.28515625" style="627" customWidth="1"/>
    <col min="1287" max="1287" width="7.7109375" style="627" customWidth="1"/>
    <col min="1288" max="1537" width="9.140625" style="627"/>
    <col min="1538" max="1538" width="7.7109375" style="627" customWidth="1"/>
    <col min="1539" max="1539" width="56.85546875" style="627" bestFit="1" customWidth="1"/>
    <col min="1540" max="1542" width="13.28515625" style="627" customWidth="1"/>
    <col min="1543" max="1543" width="7.7109375" style="627" customWidth="1"/>
    <col min="1544" max="1793" width="9.140625" style="627"/>
    <col min="1794" max="1794" width="7.7109375" style="627" customWidth="1"/>
    <col min="1795" max="1795" width="56.85546875" style="627" bestFit="1" customWidth="1"/>
    <col min="1796" max="1798" width="13.28515625" style="627" customWidth="1"/>
    <col min="1799" max="1799" width="7.7109375" style="627" customWidth="1"/>
    <col min="1800" max="2049" width="9.140625" style="627"/>
    <col min="2050" max="2050" width="7.7109375" style="627" customWidth="1"/>
    <col min="2051" max="2051" width="56.85546875" style="627" bestFit="1" customWidth="1"/>
    <col min="2052" max="2054" width="13.28515625" style="627" customWidth="1"/>
    <col min="2055" max="2055" width="7.7109375" style="627" customWidth="1"/>
    <col min="2056" max="2305" width="9.140625" style="627"/>
    <col min="2306" max="2306" width="7.7109375" style="627" customWidth="1"/>
    <col min="2307" max="2307" width="56.85546875" style="627" bestFit="1" customWidth="1"/>
    <col min="2308" max="2310" width="13.28515625" style="627" customWidth="1"/>
    <col min="2311" max="2311" width="7.7109375" style="627" customWidth="1"/>
    <col min="2312" max="2561" width="9.140625" style="627"/>
    <col min="2562" max="2562" width="7.7109375" style="627" customWidth="1"/>
    <col min="2563" max="2563" width="56.85546875" style="627" bestFit="1" customWidth="1"/>
    <col min="2564" max="2566" width="13.28515625" style="627" customWidth="1"/>
    <col min="2567" max="2567" width="7.7109375" style="627" customWidth="1"/>
    <col min="2568" max="2817" width="9.140625" style="627"/>
    <col min="2818" max="2818" width="7.7109375" style="627" customWidth="1"/>
    <col min="2819" max="2819" width="56.85546875" style="627" bestFit="1" customWidth="1"/>
    <col min="2820" max="2822" width="13.28515625" style="627" customWidth="1"/>
    <col min="2823" max="2823" width="7.7109375" style="627" customWidth="1"/>
    <col min="2824" max="3073" width="9.140625" style="627"/>
    <col min="3074" max="3074" width="7.7109375" style="627" customWidth="1"/>
    <col min="3075" max="3075" width="56.85546875" style="627" bestFit="1" customWidth="1"/>
    <col min="3076" max="3078" width="13.28515625" style="627" customWidth="1"/>
    <col min="3079" max="3079" width="7.7109375" style="627" customWidth="1"/>
    <col min="3080" max="3329" width="9.140625" style="627"/>
    <col min="3330" max="3330" width="7.7109375" style="627" customWidth="1"/>
    <col min="3331" max="3331" width="56.85546875" style="627" bestFit="1" customWidth="1"/>
    <col min="3332" max="3334" width="13.28515625" style="627" customWidth="1"/>
    <col min="3335" max="3335" width="7.7109375" style="627" customWidth="1"/>
    <col min="3336" max="3585" width="9.140625" style="627"/>
    <col min="3586" max="3586" width="7.7109375" style="627" customWidth="1"/>
    <col min="3587" max="3587" width="56.85546875" style="627" bestFit="1" customWidth="1"/>
    <col min="3588" max="3590" width="13.28515625" style="627" customWidth="1"/>
    <col min="3591" max="3591" width="7.7109375" style="627" customWidth="1"/>
    <col min="3592" max="3841" width="9.140625" style="627"/>
    <col min="3842" max="3842" width="7.7109375" style="627" customWidth="1"/>
    <col min="3843" max="3843" width="56.85546875" style="627" bestFit="1" customWidth="1"/>
    <col min="3844" max="3846" width="13.28515625" style="627" customWidth="1"/>
    <col min="3847" max="3847" width="7.7109375" style="627" customWidth="1"/>
    <col min="3848" max="4097" width="9.140625" style="627"/>
    <col min="4098" max="4098" width="7.7109375" style="627" customWidth="1"/>
    <col min="4099" max="4099" width="56.85546875" style="627" bestFit="1" customWidth="1"/>
    <col min="4100" max="4102" width="13.28515625" style="627" customWidth="1"/>
    <col min="4103" max="4103" width="7.7109375" style="627" customWidth="1"/>
    <col min="4104" max="4353" width="9.140625" style="627"/>
    <col min="4354" max="4354" width="7.7109375" style="627" customWidth="1"/>
    <col min="4355" max="4355" width="56.85546875" style="627" bestFit="1" customWidth="1"/>
    <col min="4356" max="4358" width="13.28515625" style="627" customWidth="1"/>
    <col min="4359" max="4359" width="7.7109375" style="627" customWidth="1"/>
    <col min="4360" max="4609" width="9.140625" style="627"/>
    <col min="4610" max="4610" width="7.7109375" style="627" customWidth="1"/>
    <col min="4611" max="4611" width="56.85546875" style="627" bestFit="1" customWidth="1"/>
    <col min="4612" max="4614" width="13.28515625" style="627" customWidth="1"/>
    <col min="4615" max="4615" width="7.7109375" style="627" customWidth="1"/>
    <col min="4616" max="4865" width="9.140625" style="627"/>
    <col min="4866" max="4866" width="7.7109375" style="627" customWidth="1"/>
    <col min="4867" max="4867" width="56.85546875" style="627" bestFit="1" customWidth="1"/>
    <col min="4868" max="4870" width="13.28515625" style="627" customWidth="1"/>
    <col min="4871" max="4871" width="7.7109375" style="627" customWidth="1"/>
    <col min="4872" max="5121" width="9.140625" style="627"/>
    <col min="5122" max="5122" width="7.7109375" style="627" customWidth="1"/>
    <col min="5123" max="5123" width="56.85546875" style="627" bestFit="1" customWidth="1"/>
    <col min="5124" max="5126" width="13.28515625" style="627" customWidth="1"/>
    <col min="5127" max="5127" width="7.7109375" style="627" customWidth="1"/>
    <col min="5128" max="5377" width="9.140625" style="627"/>
    <col min="5378" max="5378" width="7.7109375" style="627" customWidth="1"/>
    <col min="5379" max="5379" width="56.85546875" style="627" bestFit="1" customWidth="1"/>
    <col min="5380" max="5382" width="13.28515625" style="627" customWidth="1"/>
    <col min="5383" max="5383" width="7.7109375" style="627" customWidth="1"/>
    <col min="5384" max="5633" width="9.140625" style="627"/>
    <col min="5634" max="5634" width="7.7109375" style="627" customWidth="1"/>
    <col min="5635" max="5635" width="56.85546875" style="627" bestFit="1" customWidth="1"/>
    <col min="5636" max="5638" width="13.28515625" style="627" customWidth="1"/>
    <col min="5639" max="5639" width="7.7109375" style="627" customWidth="1"/>
    <col min="5640" max="5889" width="9.140625" style="627"/>
    <col min="5890" max="5890" width="7.7109375" style="627" customWidth="1"/>
    <col min="5891" max="5891" width="56.85546875" style="627" bestFit="1" customWidth="1"/>
    <col min="5892" max="5894" width="13.28515625" style="627" customWidth="1"/>
    <col min="5895" max="5895" width="7.7109375" style="627" customWidth="1"/>
    <col min="5896" max="6145" width="9.140625" style="627"/>
    <col min="6146" max="6146" width="7.7109375" style="627" customWidth="1"/>
    <col min="6147" max="6147" width="56.85546875" style="627" bestFit="1" customWidth="1"/>
    <col min="6148" max="6150" width="13.28515625" style="627" customWidth="1"/>
    <col min="6151" max="6151" width="7.7109375" style="627" customWidth="1"/>
    <col min="6152" max="6401" width="9.140625" style="627"/>
    <col min="6402" max="6402" width="7.7109375" style="627" customWidth="1"/>
    <col min="6403" max="6403" width="56.85546875" style="627" bestFit="1" customWidth="1"/>
    <col min="6404" max="6406" width="13.28515625" style="627" customWidth="1"/>
    <col min="6407" max="6407" width="7.7109375" style="627" customWidth="1"/>
    <col min="6408" max="6657" width="9.140625" style="627"/>
    <col min="6658" max="6658" width="7.7109375" style="627" customWidth="1"/>
    <col min="6659" max="6659" width="56.85546875" style="627" bestFit="1" customWidth="1"/>
    <col min="6660" max="6662" width="13.28515625" style="627" customWidth="1"/>
    <col min="6663" max="6663" width="7.7109375" style="627" customWidth="1"/>
    <col min="6664" max="6913" width="9.140625" style="627"/>
    <col min="6914" max="6914" width="7.7109375" style="627" customWidth="1"/>
    <col min="6915" max="6915" width="56.85546875" style="627" bestFit="1" customWidth="1"/>
    <col min="6916" max="6918" width="13.28515625" style="627" customWidth="1"/>
    <col min="6919" max="6919" width="7.7109375" style="627" customWidth="1"/>
    <col min="6920" max="7169" width="9.140625" style="627"/>
    <col min="7170" max="7170" width="7.7109375" style="627" customWidth="1"/>
    <col min="7171" max="7171" width="56.85546875" style="627" bestFit="1" customWidth="1"/>
    <col min="7172" max="7174" width="13.28515625" style="627" customWidth="1"/>
    <col min="7175" max="7175" width="7.7109375" style="627" customWidth="1"/>
    <col min="7176" max="7425" width="9.140625" style="627"/>
    <col min="7426" max="7426" width="7.7109375" style="627" customWidth="1"/>
    <col min="7427" max="7427" width="56.85546875" style="627" bestFit="1" customWidth="1"/>
    <col min="7428" max="7430" width="13.28515625" style="627" customWidth="1"/>
    <col min="7431" max="7431" width="7.7109375" style="627" customWidth="1"/>
    <col min="7432" max="7681" width="9.140625" style="627"/>
    <col min="7682" max="7682" width="7.7109375" style="627" customWidth="1"/>
    <col min="7683" max="7683" width="56.85546875" style="627" bestFit="1" customWidth="1"/>
    <col min="7684" max="7686" width="13.28515625" style="627" customWidth="1"/>
    <col min="7687" max="7687" width="7.7109375" style="627" customWidth="1"/>
    <col min="7688" max="7937" width="9.140625" style="627"/>
    <col min="7938" max="7938" width="7.7109375" style="627" customWidth="1"/>
    <col min="7939" max="7939" width="56.85546875" style="627" bestFit="1" customWidth="1"/>
    <col min="7940" max="7942" width="13.28515625" style="627" customWidth="1"/>
    <col min="7943" max="7943" width="7.7109375" style="627" customWidth="1"/>
    <col min="7944" max="8193" width="9.140625" style="627"/>
    <col min="8194" max="8194" width="7.7109375" style="627" customWidth="1"/>
    <col min="8195" max="8195" width="56.85546875" style="627" bestFit="1" customWidth="1"/>
    <col min="8196" max="8198" width="13.28515625" style="627" customWidth="1"/>
    <col min="8199" max="8199" width="7.7109375" style="627" customWidth="1"/>
    <col min="8200" max="8449" width="9.140625" style="627"/>
    <col min="8450" max="8450" width="7.7109375" style="627" customWidth="1"/>
    <col min="8451" max="8451" width="56.85546875" style="627" bestFit="1" customWidth="1"/>
    <col min="8452" max="8454" width="13.28515625" style="627" customWidth="1"/>
    <col min="8455" max="8455" width="7.7109375" style="627" customWidth="1"/>
    <col min="8456" max="8705" width="9.140625" style="627"/>
    <col min="8706" max="8706" width="7.7109375" style="627" customWidth="1"/>
    <col min="8707" max="8707" width="56.85546875" style="627" bestFit="1" customWidth="1"/>
    <col min="8708" max="8710" width="13.28515625" style="627" customWidth="1"/>
    <col min="8711" max="8711" width="7.7109375" style="627" customWidth="1"/>
    <col min="8712" max="8961" width="9.140625" style="627"/>
    <col min="8962" max="8962" width="7.7109375" style="627" customWidth="1"/>
    <col min="8963" max="8963" width="56.85546875" style="627" bestFit="1" customWidth="1"/>
    <col min="8964" max="8966" width="13.28515625" style="627" customWidth="1"/>
    <col min="8967" max="8967" width="7.7109375" style="627" customWidth="1"/>
    <col min="8968" max="9217" width="9.140625" style="627"/>
    <col min="9218" max="9218" width="7.7109375" style="627" customWidth="1"/>
    <col min="9219" max="9219" width="56.85546875" style="627" bestFit="1" customWidth="1"/>
    <col min="9220" max="9222" width="13.28515625" style="627" customWidth="1"/>
    <col min="9223" max="9223" width="7.7109375" style="627" customWidth="1"/>
    <col min="9224" max="9473" width="9.140625" style="627"/>
    <col min="9474" max="9474" width="7.7109375" style="627" customWidth="1"/>
    <col min="9475" max="9475" width="56.85546875" style="627" bestFit="1" customWidth="1"/>
    <col min="9476" max="9478" width="13.28515625" style="627" customWidth="1"/>
    <col min="9479" max="9479" width="7.7109375" style="627" customWidth="1"/>
    <col min="9480" max="9729" width="9.140625" style="627"/>
    <col min="9730" max="9730" width="7.7109375" style="627" customWidth="1"/>
    <col min="9731" max="9731" width="56.85546875" style="627" bestFit="1" customWidth="1"/>
    <col min="9732" max="9734" width="13.28515625" style="627" customWidth="1"/>
    <col min="9735" max="9735" width="7.7109375" style="627" customWidth="1"/>
    <col min="9736" max="9985" width="9.140625" style="627"/>
    <col min="9986" max="9986" width="7.7109375" style="627" customWidth="1"/>
    <col min="9987" max="9987" width="56.85546875" style="627" bestFit="1" customWidth="1"/>
    <col min="9988" max="9990" width="13.28515625" style="627" customWidth="1"/>
    <col min="9991" max="9991" width="7.7109375" style="627" customWidth="1"/>
    <col min="9992" max="10241" width="9.140625" style="627"/>
    <col min="10242" max="10242" width="7.7109375" style="627" customWidth="1"/>
    <col min="10243" max="10243" width="56.85546875" style="627" bestFit="1" customWidth="1"/>
    <col min="10244" max="10246" width="13.28515625" style="627" customWidth="1"/>
    <col min="10247" max="10247" width="7.7109375" style="627" customWidth="1"/>
    <col min="10248" max="10497" width="9.140625" style="627"/>
    <col min="10498" max="10498" width="7.7109375" style="627" customWidth="1"/>
    <col min="10499" max="10499" width="56.85546875" style="627" bestFit="1" customWidth="1"/>
    <col min="10500" max="10502" width="13.28515625" style="627" customWidth="1"/>
    <col min="10503" max="10503" width="7.7109375" style="627" customWidth="1"/>
    <col min="10504" max="10753" width="9.140625" style="627"/>
    <col min="10754" max="10754" width="7.7109375" style="627" customWidth="1"/>
    <col min="10755" max="10755" width="56.85546875" style="627" bestFit="1" customWidth="1"/>
    <col min="10756" max="10758" width="13.28515625" style="627" customWidth="1"/>
    <col min="10759" max="10759" width="7.7109375" style="627" customWidth="1"/>
    <col min="10760" max="11009" width="9.140625" style="627"/>
    <col min="11010" max="11010" width="7.7109375" style="627" customWidth="1"/>
    <col min="11011" max="11011" width="56.85546875" style="627" bestFit="1" customWidth="1"/>
    <col min="11012" max="11014" width="13.28515625" style="627" customWidth="1"/>
    <col min="11015" max="11015" width="7.7109375" style="627" customWidth="1"/>
    <col min="11016" max="11265" width="9.140625" style="627"/>
    <col min="11266" max="11266" width="7.7109375" style="627" customWidth="1"/>
    <col min="11267" max="11267" width="56.85546875" style="627" bestFit="1" customWidth="1"/>
    <col min="11268" max="11270" width="13.28515625" style="627" customWidth="1"/>
    <col min="11271" max="11271" width="7.7109375" style="627" customWidth="1"/>
    <col min="11272" max="11521" width="9.140625" style="627"/>
    <col min="11522" max="11522" width="7.7109375" style="627" customWidth="1"/>
    <col min="11523" max="11523" width="56.85546875" style="627" bestFit="1" customWidth="1"/>
    <col min="11524" max="11526" width="13.28515625" style="627" customWidth="1"/>
    <col min="11527" max="11527" width="7.7109375" style="627" customWidth="1"/>
    <col min="11528" max="11777" width="9.140625" style="627"/>
    <col min="11778" max="11778" width="7.7109375" style="627" customWidth="1"/>
    <col min="11779" max="11779" width="56.85546875" style="627" bestFit="1" customWidth="1"/>
    <col min="11780" max="11782" width="13.28515625" style="627" customWidth="1"/>
    <col min="11783" max="11783" width="7.7109375" style="627" customWidth="1"/>
    <col min="11784" max="12033" width="9.140625" style="627"/>
    <col min="12034" max="12034" width="7.7109375" style="627" customWidth="1"/>
    <col min="12035" max="12035" width="56.85546875" style="627" bestFit="1" customWidth="1"/>
    <col min="12036" max="12038" width="13.28515625" style="627" customWidth="1"/>
    <col min="12039" max="12039" width="7.7109375" style="627" customWidth="1"/>
    <col min="12040" max="12289" width="9.140625" style="627"/>
    <col min="12290" max="12290" width="7.7109375" style="627" customWidth="1"/>
    <col min="12291" max="12291" width="56.85546875" style="627" bestFit="1" customWidth="1"/>
    <col min="12292" max="12294" width="13.28515625" style="627" customWidth="1"/>
    <col min="12295" max="12295" width="7.7109375" style="627" customWidth="1"/>
    <col min="12296" max="12545" width="9.140625" style="627"/>
    <col min="12546" max="12546" width="7.7109375" style="627" customWidth="1"/>
    <col min="12547" max="12547" width="56.85546875" style="627" bestFit="1" customWidth="1"/>
    <col min="12548" max="12550" width="13.28515625" style="627" customWidth="1"/>
    <col min="12551" max="12551" width="7.7109375" style="627" customWidth="1"/>
    <col min="12552" max="12801" width="9.140625" style="627"/>
    <col min="12802" max="12802" width="7.7109375" style="627" customWidth="1"/>
    <col min="12803" max="12803" width="56.85546875" style="627" bestFit="1" customWidth="1"/>
    <col min="12804" max="12806" width="13.28515625" style="627" customWidth="1"/>
    <col min="12807" max="12807" width="7.7109375" style="627" customWidth="1"/>
    <col min="12808" max="13057" width="9.140625" style="627"/>
    <col min="13058" max="13058" width="7.7109375" style="627" customWidth="1"/>
    <col min="13059" max="13059" width="56.85546875" style="627" bestFit="1" customWidth="1"/>
    <col min="13060" max="13062" width="13.28515625" style="627" customWidth="1"/>
    <col min="13063" max="13063" width="7.7109375" style="627" customWidth="1"/>
    <col min="13064" max="13313" width="9.140625" style="627"/>
    <col min="13314" max="13314" width="7.7109375" style="627" customWidth="1"/>
    <col min="13315" max="13315" width="56.85546875" style="627" bestFit="1" customWidth="1"/>
    <col min="13316" max="13318" width="13.28515625" style="627" customWidth="1"/>
    <col min="13319" max="13319" width="7.7109375" style="627" customWidth="1"/>
    <col min="13320" max="13569" width="9.140625" style="627"/>
    <col min="13570" max="13570" width="7.7109375" style="627" customWidth="1"/>
    <col min="13571" max="13571" width="56.85546875" style="627" bestFit="1" customWidth="1"/>
    <col min="13572" max="13574" width="13.28515625" style="627" customWidth="1"/>
    <col min="13575" max="13575" width="7.7109375" style="627" customWidth="1"/>
    <col min="13576" max="13825" width="9.140625" style="627"/>
    <col min="13826" max="13826" width="7.7109375" style="627" customWidth="1"/>
    <col min="13827" max="13827" width="56.85546875" style="627" bestFit="1" customWidth="1"/>
    <col min="13828" max="13830" width="13.28515625" style="627" customWidth="1"/>
    <col min="13831" max="13831" width="7.7109375" style="627" customWidth="1"/>
    <col min="13832" max="14081" width="9.140625" style="627"/>
    <col min="14082" max="14082" width="7.7109375" style="627" customWidth="1"/>
    <col min="14083" max="14083" width="56.85546875" style="627" bestFit="1" customWidth="1"/>
    <col min="14084" max="14086" width="13.28515625" style="627" customWidth="1"/>
    <col min="14087" max="14087" width="7.7109375" style="627" customWidth="1"/>
    <col min="14088" max="14337" width="9.140625" style="627"/>
    <col min="14338" max="14338" width="7.7109375" style="627" customWidth="1"/>
    <col min="14339" max="14339" width="56.85546875" style="627" bestFit="1" customWidth="1"/>
    <col min="14340" max="14342" width="13.28515625" style="627" customWidth="1"/>
    <col min="14343" max="14343" width="7.7109375" style="627" customWidth="1"/>
    <col min="14344" max="14593" width="9.140625" style="627"/>
    <col min="14594" max="14594" width="7.7109375" style="627" customWidth="1"/>
    <col min="14595" max="14595" width="56.85546875" style="627" bestFit="1" customWidth="1"/>
    <col min="14596" max="14598" width="13.28515625" style="627" customWidth="1"/>
    <col min="14599" max="14599" width="7.7109375" style="627" customWidth="1"/>
    <col min="14600" max="14849" width="9.140625" style="627"/>
    <col min="14850" max="14850" width="7.7109375" style="627" customWidth="1"/>
    <col min="14851" max="14851" width="56.85546875" style="627" bestFit="1" customWidth="1"/>
    <col min="14852" max="14854" width="13.28515625" style="627" customWidth="1"/>
    <col min="14855" max="14855" width="7.7109375" style="627" customWidth="1"/>
    <col min="14856" max="15105" width="9.140625" style="627"/>
    <col min="15106" max="15106" width="7.7109375" style="627" customWidth="1"/>
    <col min="15107" max="15107" width="56.85546875" style="627" bestFit="1" customWidth="1"/>
    <col min="15108" max="15110" width="13.28515625" style="627" customWidth="1"/>
    <col min="15111" max="15111" width="7.7109375" style="627" customWidth="1"/>
    <col min="15112" max="15361" width="9.140625" style="627"/>
    <col min="15362" max="15362" width="7.7109375" style="627" customWidth="1"/>
    <col min="15363" max="15363" width="56.85546875" style="627" bestFit="1" customWidth="1"/>
    <col min="15364" max="15366" width="13.28515625" style="627" customWidth="1"/>
    <col min="15367" max="15367" width="7.7109375" style="627" customWidth="1"/>
    <col min="15368" max="15617" width="9.140625" style="627"/>
    <col min="15618" max="15618" width="7.7109375" style="627" customWidth="1"/>
    <col min="15619" max="15619" width="56.85546875" style="627" bestFit="1" customWidth="1"/>
    <col min="15620" max="15622" width="13.28515625" style="627" customWidth="1"/>
    <col min="15623" max="15623" width="7.7109375" style="627" customWidth="1"/>
    <col min="15624" max="15873" width="9.140625" style="627"/>
    <col min="15874" max="15874" width="7.7109375" style="627" customWidth="1"/>
    <col min="15875" max="15875" width="56.85546875" style="627" bestFit="1" customWidth="1"/>
    <col min="15876" max="15878" width="13.28515625" style="627" customWidth="1"/>
    <col min="15879" max="15879" width="7.7109375" style="627" customWidth="1"/>
    <col min="15880" max="16129" width="9.140625" style="627"/>
    <col min="16130" max="16130" width="7.7109375" style="627" customWidth="1"/>
    <col min="16131" max="16131" width="56.85546875" style="627" bestFit="1" customWidth="1"/>
    <col min="16132" max="16134" width="13.28515625" style="627" customWidth="1"/>
    <col min="16135" max="16135" width="7.7109375" style="627" customWidth="1"/>
    <col min="16136" max="16384" width="9.140625" style="627"/>
  </cols>
  <sheetData>
    <row r="1" spans="1:9">
      <c r="D1" s="791"/>
      <c r="E1" s="792"/>
      <c r="F1" s="1128"/>
    </row>
    <row r="2" spans="1:9">
      <c r="A2" s="1400" t="s">
        <v>1744</v>
      </c>
      <c r="B2" s="1401"/>
      <c r="C2" s="1401"/>
      <c r="D2" s="1401"/>
      <c r="E2" s="1401"/>
      <c r="F2" s="1401"/>
    </row>
    <row r="3" spans="1:9" ht="15.95" customHeight="1">
      <c r="A3" s="1219" t="s">
        <v>1565</v>
      </c>
      <c r="B3" s="1219"/>
      <c r="C3" s="1219"/>
      <c r="D3" s="1219"/>
      <c r="E3" s="1219"/>
      <c r="F3" s="1219"/>
    </row>
    <row r="4" spans="1:9" ht="15.95" customHeight="1" thickBot="1">
      <c r="A4" s="1216" t="s">
        <v>1482</v>
      </c>
      <c r="B4" s="1216"/>
      <c r="C4" s="1080"/>
      <c r="E4" s="793"/>
      <c r="F4" s="794" t="str">
        <f>[1]KV_4.sz.tájékoztató_t.!O3</f>
        <v>Forintban!</v>
      </c>
    </row>
    <row r="5" spans="1:9" ht="38.1" customHeight="1" thickBot="1">
      <c r="A5" s="795" t="s">
        <v>286</v>
      </c>
      <c r="B5" s="796" t="s">
        <v>302</v>
      </c>
      <c r="C5" s="1081">
        <v>2020</v>
      </c>
      <c r="D5" s="796" t="str">
        <f>+CONCATENATE(LEFT([1]KV_ÖSSZEFÜGGÉSEK!A5,4)+1,". évi")</f>
        <v>2021. évi</v>
      </c>
      <c r="E5" s="797" t="str">
        <f>+CONCATENATE(LEFT([1]KV_ÖSSZEFÜGGÉSEK!A5,4)+2,". évi")</f>
        <v>2022. évi</v>
      </c>
      <c r="F5" s="798" t="str">
        <f>+CONCATENATE(LEFT([1]KV_ÖSSZEFÜGGÉSEK!A5,4)+3,". évi")</f>
        <v>2023. évi</v>
      </c>
    </row>
    <row r="6" spans="1:9" s="639" customFormat="1" ht="12" customHeight="1" thickBot="1">
      <c r="A6" s="799" t="s">
        <v>287</v>
      </c>
      <c r="B6" s="800" t="s">
        <v>268</v>
      </c>
      <c r="C6" s="1082"/>
      <c r="D6" s="800" t="s">
        <v>288</v>
      </c>
      <c r="E6" s="800" t="s">
        <v>1502</v>
      </c>
      <c r="F6" s="801" t="s">
        <v>1566</v>
      </c>
    </row>
    <row r="7" spans="1:9" s="643" customFormat="1" ht="12" customHeight="1" thickBot="1">
      <c r="A7" s="640" t="s">
        <v>172</v>
      </c>
      <c r="B7" s="641" t="s">
        <v>1567</v>
      </c>
      <c r="C7" s="1083">
        <f>'1.'!C10</f>
        <v>1012426632</v>
      </c>
      <c r="D7" s="802">
        <f t="shared" ref="D7:F8" si="0">C7*1.05</f>
        <v>1063047963.6</v>
      </c>
      <c r="E7" s="802">
        <f t="shared" si="0"/>
        <v>1116200361.78</v>
      </c>
      <c r="F7" s="802">
        <f t="shared" si="0"/>
        <v>1172010379.869</v>
      </c>
    </row>
    <row r="8" spans="1:9" s="643" customFormat="1" ht="12" customHeight="1" thickBot="1">
      <c r="A8" s="640" t="s">
        <v>173</v>
      </c>
      <c r="B8" s="652" t="s">
        <v>1505</v>
      </c>
      <c r="C8" s="1084">
        <f>'1.'!C17</f>
        <v>537913170.96541262</v>
      </c>
      <c r="D8" s="802">
        <f t="shared" si="0"/>
        <v>564808829.51368332</v>
      </c>
      <c r="E8" s="802">
        <f t="shared" si="0"/>
        <v>593049270.98936749</v>
      </c>
      <c r="F8" s="802">
        <f t="shared" si="0"/>
        <v>622701734.53883588</v>
      </c>
    </row>
    <row r="9" spans="1:9" s="643" customFormat="1" ht="12" customHeight="1" thickBot="1">
      <c r="A9" s="640" t="s">
        <v>174</v>
      </c>
      <c r="B9" s="641" t="s">
        <v>1537</v>
      </c>
      <c r="C9" s="1083">
        <f>'1.'!C24</f>
        <v>708423293</v>
      </c>
      <c r="D9" s="802">
        <v>100000000</v>
      </c>
      <c r="E9" s="802">
        <v>100000000</v>
      </c>
      <c r="F9" s="802">
        <v>100000000</v>
      </c>
    </row>
    <row r="10" spans="1:9" s="643" customFormat="1" ht="12" customHeight="1" thickBot="1">
      <c r="A10" s="640" t="s">
        <v>340</v>
      </c>
      <c r="B10" s="641" t="s">
        <v>1568</v>
      </c>
      <c r="C10" s="1083">
        <f>'1.'!C31</f>
        <v>485095000</v>
      </c>
      <c r="D10" s="804">
        <f t="shared" ref="D10:F16" si="1">C10*1.05</f>
        <v>509349750</v>
      </c>
      <c r="E10" s="804">
        <f t="shared" si="1"/>
        <v>534817237.5</v>
      </c>
      <c r="F10" s="804">
        <f t="shared" si="1"/>
        <v>561558099.375</v>
      </c>
    </row>
    <row r="11" spans="1:9" s="643" customFormat="1" ht="12" customHeight="1" thickBot="1">
      <c r="A11" s="644" t="s">
        <v>342</v>
      </c>
      <c r="B11" s="1096" t="str">
        <f>'2'!C23</f>
        <v>Vagyoni tipusú adók (B34)</v>
      </c>
      <c r="C11" s="1083">
        <f>'1.'!C32</f>
        <v>154000000</v>
      </c>
      <c r="D11" s="804">
        <f t="shared" si="1"/>
        <v>161700000</v>
      </c>
      <c r="E11" s="804">
        <f t="shared" si="1"/>
        <v>169785000</v>
      </c>
      <c r="F11" s="804">
        <f t="shared" si="1"/>
        <v>178274250</v>
      </c>
      <c r="H11" s="900"/>
      <c r="I11" s="900"/>
    </row>
    <row r="12" spans="1:9" s="643" customFormat="1" ht="12" customHeight="1" thickBot="1">
      <c r="A12" s="647" t="s">
        <v>344</v>
      </c>
      <c r="B12" s="1096" t="str">
        <f>'2'!C24</f>
        <v>ebből: építményadó  (B34)</v>
      </c>
      <c r="C12" s="1083">
        <f>'1.'!C33</f>
        <v>0</v>
      </c>
      <c r="D12" s="804">
        <f t="shared" si="1"/>
        <v>0</v>
      </c>
      <c r="E12" s="804">
        <f t="shared" si="1"/>
        <v>0</v>
      </c>
      <c r="F12" s="804">
        <f t="shared" si="1"/>
        <v>0</v>
      </c>
      <c r="H12" s="900"/>
      <c r="I12" s="900"/>
    </row>
    <row r="13" spans="1:9" s="643" customFormat="1" ht="12" customHeight="1" thickBot="1">
      <c r="A13" s="647" t="s">
        <v>345</v>
      </c>
      <c r="B13" s="1096" t="str">
        <f>'2'!C25</f>
        <v>Értékesítési és forgalmi adók (B351)</v>
      </c>
      <c r="C13" s="1083">
        <f>'1.'!C34</f>
        <v>278000000</v>
      </c>
      <c r="D13" s="804">
        <f>C13*1.05+12750000</f>
        <v>304650000</v>
      </c>
      <c r="E13" s="804">
        <f>D13*1.05-9000000</f>
        <v>310882500</v>
      </c>
      <c r="F13" s="804">
        <f>E13*1.05-9750000</f>
        <v>316676625</v>
      </c>
    </row>
    <row r="14" spans="1:9" s="643" customFormat="1" ht="12" customHeight="1" thickBot="1">
      <c r="A14" s="647" t="s">
        <v>347</v>
      </c>
      <c r="B14" s="1096" t="str">
        <f>'2'!C26</f>
        <v>ebből: állandó jeleggel végzett helyi iparűzési adó (B351)</v>
      </c>
      <c r="C14" s="1083">
        <f>'1.'!C35</f>
        <v>35500000</v>
      </c>
      <c r="D14" s="804">
        <f t="shared" si="1"/>
        <v>37275000</v>
      </c>
      <c r="E14" s="804">
        <f t="shared" si="1"/>
        <v>39138750</v>
      </c>
      <c r="F14" s="804">
        <f t="shared" si="1"/>
        <v>41095687.5</v>
      </c>
    </row>
    <row r="15" spans="1:9" s="643" customFormat="1" ht="12" customHeight="1" thickBot="1">
      <c r="A15" s="647" t="s">
        <v>349</v>
      </c>
      <c r="B15" s="1096" t="str">
        <f>'2'!C27</f>
        <v>Gépjárműadók  (B354)</v>
      </c>
      <c r="C15" s="1083">
        <f>'1.'!C36</f>
        <v>0</v>
      </c>
      <c r="D15" s="804">
        <f t="shared" si="1"/>
        <v>0</v>
      </c>
      <c r="E15" s="804">
        <f t="shared" si="1"/>
        <v>0</v>
      </c>
      <c r="F15" s="804">
        <f t="shared" si="1"/>
        <v>0</v>
      </c>
    </row>
    <row r="16" spans="1:9" s="643" customFormat="1" ht="12" customHeight="1" thickBot="1">
      <c r="A16" s="647" t="s">
        <v>350</v>
      </c>
      <c r="B16" s="1096" t="str">
        <f>'2'!C28</f>
        <v>Egyéb áruhasználati és szolgáltatási adók  (B355)</v>
      </c>
      <c r="C16" s="1083">
        <f>'1.'!C37</f>
        <v>13000000</v>
      </c>
      <c r="D16" s="804">
        <f t="shared" si="1"/>
        <v>13650000</v>
      </c>
      <c r="E16" s="804">
        <f t="shared" si="1"/>
        <v>14332500</v>
      </c>
      <c r="F16" s="804">
        <f t="shared" si="1"/>
        <v>15049125</v>
      </c>
    </row>
    <row r="17" spans="1:7" s="643" customFormat="1" ht="12" customHeight="1" thickBot="1">
      <c r="A17" s="650" t="s">
        <v>352</v>
      </c>
      <c r="B17" s="1096" t="str">
        <f>'2'!C29</f>
        <v>Egyéb közhatalmi bevétel (B36)</v>
      </c>
      <c r="C17" s="1083">
        <f>'1.'!C38</f>
        <v>4595000</v>
      </c>
      <c r="D17" s="804">
        <v>7000000</v>
      </c>
      <c r="E17" s="804">
        <v>7000000</v>
      </c>
      <c r="F17" s="804">
        <v>7000000</v>
      </c>
    </row>
    <row r="18" spans="1:7" s="643" customFormat="1" ht="12" customHeight="1" thickBot="1">
      <c r="A18" s="640" t="s">
        <v>176</v>
      </c>
      <c r="B18" s="641" t="s">
        <v>1569</v>
      </c>
      <c r="C18" s="1083">
        <f>'1.'!C39</f>
        <v>231665967</v>
      </c>
      <c r="D18" s="804">
        <v>100000000</v>
      </c>
      <c r="E18" s="804">
        <v>100000000</v>
      </c>
      <c r="F18" s="804">
        <v>100000000</v>
      </c>
    </row>
    <row r="19" spans="1:7" s="643" customFormat="1" ht="12" customHeight="1" thickBot="1">
      <c r="A19" s="640" t="s">
        <v>177</v>
      </c>
      <c r="B19" s="641" t="s">
        <v>1540</v>
      </c>
      <c r="C19" s="1083">
        <f>'1.'!C51</f>
        <v>11400000</v>
      </c>
      <c r="D19" s="1101">
        <f>'12.a megfelelés'!C7</f>
        <v>5000000</v>
      </c>
      <c r="E19" s="1101">
        <f>'12.a megfelelés'!D7</f>
        <v>5000000</v>
      </c>
      <c r="F19" s="1101">
        <f>'12.a megfelelés'!E7</f>
        <v>5000000</v>
      </c>
    </row>
    <row r="20" spans="1:7" s="643" customFormat="1" ht="12" customHeight="1" thickBot="1">
      <c r="A20" s="640" t="s">
        <v>388</v>
      </c>
      <c r="B20" s="641" t="s">
        <v>1570</v>
      </c>
      <c r="C20" s="1083">
        <f>'1.'!C57</f>
        <v>300000</v>
      </c>
      <c r="D20" s="802"/>
      <c r="E20" s="802"/>
      <c r="F20" s="803"/>
    </row>
    <row r="21" spans="1:7" s="643" customFormat="1" ht="12" customHeight="1" thickBot="1">
      <c r="A21" s="640" t="s">
        <v>179</v>
      </c>
      <c r="B21" s="652" t="s">
        <v>1571</v>
      </c>
      <c r="C21" s="1084">
        <f>'1.'!C62</f>
        <v>60459000</v>
      </c>
      <c r="D21" s="802">
        <v>32000000</v>
      </c>
      <c r="E21" s="802">
        <v>32000000</v>
      </c>
      <c r="F21" s="802">
        <v>32000000</v>
      </c>
    </row>
    <row r="22" spans="1:7" s="643" customFormat="1" ht="12" customHeight="1" thickBot="1">
      <c r="A22" s="640" t="s">
        <v>180</v>
      </c>
      <c r="B22" s="641" t="s">
        <v>408</v>
      </c>
      <c r="C22" s="1077">
        <f>+C7+C8+C9+C10+C18+C19+C20+C21</f>
        <v>3047683062.9654126</v>
      </c>
      <c r="D22" s="804">
        <f>+D7+D8+D9+D10+D18+D19+D20+D21</f>
        <v>2374206543.1136832</v>
      </c>
      <c r="E22" s="804">
        <f>+E7+E8+E9+E10+E18+E19+E20+E21</f>
        <v>2481066870.2693672</v>
      </c>
      <c r="F22" s="656">
        <f>+F7+F8+F9+F10+F18+F19+F20+F21</f>
        <v>2593270213.782836</v>
      </c>
    </row>
    <row r="23" spans="1:7" s="643" customFormat="1" ht="12" customHeight="1" thickBot="1">
      <c r="A23" s="640" t="s">
        <v>181</v>
      </c>
      <c r="B23" s="641" t="s">
        <v>1572</v>
      </c>
      <c r="C23" s="1078">
        <f>'1.'!C91</f>
        <v>890447111</v>
      </c>
      <c r="D23" s="807">
        <v>200000000</v>
      </c>
      <c r="E23" s="807">
        <v>200000000</v>
      </c>
      <c r="F23" s="807">
        <v>200000000</v>
      </c>
    </row>
    <row r="24" spans="1:7" s="643" customFormat="1" ht="12" customHeight="1" thickBot="1">
      <c r="A24" s="640" t="s">
        <v>182</v>
      </c>
      <c r="B24" s="641" t="s">
        <v>1573</v>
      </c>
      <c r="C24" s="1077">
        <f>+C22+C23</f>
        <v>3938130173.9654126</v>
      </c>
      <c r="D24" s="804">
        <f>+D22+D23</f>
        <v>2574206543.1136832</v>
      </c>
      <c r="E24" s="804">
        <f>+E22+E23</f>
        <v>2681066870.2693672</v>
      </c>
      <c r="F24" s="805">
        <f>+F22+F23</f>
        <v>2793270213.782836</v>
      </c>
    </row>
    <row r="25" spans="1:7" s="643" customFormat="1" ht="12" customHeight="1">
      <c r="A25" s="808"/>
      <c r="B25" s="809"/>
      <c r="C25" s="1085"/>
      <c r="D25" s="810"/>
      <c r="E25" s="811"/>
      <c r="F25" s="812"/>
    </row>
    <row r="26" spans="1:7" s="643" customFormat="1" ht="12" customHeight="1">
      <c r="A26" s="1219" t="s">
        <v>458</v>
      </c>
      <c r="B26" s="1219"/>
      <c r="C26" s="1219"/>
      <c r="D26" s="1219"/>
      <c r="E26" s="1219"/>
      <c r="F26" s="1219"/>
    </row>
    <row r="27" spans="1:7" s="643" customFormat="1" ht="12" customHeight="1" thickBot="1">
      <c r="A27" s="1220" t="s">
        <v>1489</v>
      </c>
      <c r="B27" s="1220"/>
      <c r="C27" s="1086"/>
      <c r="D27" s="722"/>
      <c r="E27" s="793"/>
      <c r="F27" s="794" t="str">
        <f>F4</f>
        <v>Forintban!</v>
      </c>
    </row>
    <row r="28" spans="1:7" s="643" customFormat="1" ht="24" customHeight="1" thickBot="1">
      <c r="A28" s="795" t="s">
        <v>1574</v>
      </c>
      <c r="B28" s="796" t="s">
        <v>556</v>
      </c>
      <c r="C28" s="1081"/>
      <c r="D28" s="796" t="str">
        <f>+D5</f>
        <v>2021. évi</v>
      </c>
      <c r="E28" s="796" t="str">
        <f>+E5</f>
        <v>2022. évi</v>
      </c>
      <c r="F28" s="798" t="str">
        <f>+F5</f>
        <v>2023. évi</v>
      </c>
      <c r="G28" s="813"/>
    </row>
    <row r="29" spans="1:7" s="643" customFormat="1" ht="12" customHeight="1" thickBot="1">
      <c r="A29" s="814" t="s">
        <v>287</v>
      </c>
      <c r="B29" s="815" t="s">
        <v>268</v>
      </c>
      <c r="C29" s="1087"/>
      <c r="D29" s="815" t="s">
        <v>288</v>
      </c>
      <c r="E29" s="815" t="s">
        <v>1502</v>
      </c>
      <c r="F29" s="816" t="s">
        <v>1566</v>
      </c>
      <c r="G29" s="813"/>
    </row>
    <row r="30" spans="1:7" s="643" customFormat="1" ht="15.2" customHeight="1" thickBot="1">
      <c r="A30" s="640" t="s">
        <v>172</v>
      </c>
      <c r="B30" s="719" t="s">
        <v>1575</v>
      </c>
      <c r="C30" s="1082">
        <f>'1.'!C98</f>
        <v>2345533478.0744147</v>
      </c>
      <c r="D30" s="802">
        <f>C30*1.05-36311392</f>
        <v>2426498759.9781356</v>
      </c>
      <c r="E30" s="802">
        <f>D30*1.05+2836425</f>
        <v>2550660122.9770427</v>
      </c>
      <c r="F30" s="802">
        <f>E30*1.05-7589336-20000000</f>
        <v>2650603793.125895</v>
      </c>
      <c r="G30" s="813"/>
    </row>
    <row r="31" spans="1:7" ht="12" customHeight="1" thickBot="1">
      <c r="A31" s="696" t="s">
        <v>173</v>
      </c>
      <c r="B31" s="817" t="s">
        <v>1576</v>
      </c>
      <c r="C31" s="1088">
        <f>'1.'!C119</f>
        <v>1534607181.5</v>
      </c>
      <c r="D31" s="818">
        <f>36560034-6400000</f>
        <v>30160034</v>
      </c>
      <c r="E31" s="818">
        <f>15904854-6400000</f>
        <v>9504854</v>
      </c>
      <c r="F31" s="818">
        <v>22783385</v>
      </c>
    </row>
    <row r="32" spans="1:7" ht="12" customHeight="1" thickBot="1">
      <c r="A32" s="644" t="s">
        <v>316</v>
      </c>
      <c r="B32" s="688" t="s">
        <v>296</v>
      </c>
      <c r="C32" s="1088">
        <f>'1.'!C120</f>
        <v>1411528234.5</v>
      </c>
      <c r="D32" s="818">
        <f>D31</f>
        <v>30160034</v>
      </c>
      <c r="E32" s="818">
        <f>E31</f>
        <v>9504854</v>
      </c>
      <c r="F32" s="818">
        <f>F31</f>
        <v>22783385</v>
      </c>
    </row>
    <row r="33" spans="1:8" ht="12" customHeight="1" thickBot="1">
      <c r="A33" s="644" t="s">
        <v>318</v>
      </c>
      <c r="B33" s="699" t="s">
        <v>297</v>
      </c>
      <c r="C33" s="1088">
        <f>'1.'!C122</f>
        <v>66578947</v>
      </c>
      <c r="D33" s="806"/>
      <c r="E33" s="806"/>
      <c r="F33" s="700"/>
    </row>
    <row r="34" spans="1:8" ht="12" customHeight="1" thickBot="1">
      <c r="A34" s="644" t="s">
        <v>320</v>
      </c>
      <c r="B34" s="651" t="s">
        <v>298</v>
      </c>
      <c r="C34" s="1088">
        <f>'1.'!C124</f>
        <v>56500000</v>
      </c>
      <c r="D34" s="806"/>
      <c r="E34" s="806"/>
      <c r="F34" s="700"/>
    </row>
    <row r="35" spans="1:8" ht="12" customHeight="1" thickBot="1">
      <c r="A35" s="640" t="s">
        <v>174</v>
      </c>
      <c r="B35" s="703" t="s">
        <v>505</v>
      </c>
      <c r="C35" s="1077">
        <f>C31+C30</f>
        <v>3880140659.5744147</v>
      </c>
      <c r="D35" s="703">
        <f>D31+D30</f>
        <v>2456658793.9781356</v>
      </c>
      <c r="E35" s="703">
        <f>E31+E30</f>
        <v>2560164976.9770427</v>
      </c>
      <c r="F35" s="703">
        <f>F31+F30</f>
        <v>2673387178.125895</v>
      </c>
    </row>
    <row r="36" spans="1:8" ht="15.2" customHeight="1" thickBot="1">
      <c r="A36" s="640" t="s">
        <v>175</v>
      </c>
      <c r="B36" s="703" t="s">
        <v>1577</v>
      </c>
      <c r="C36" s="1077">
        <f>'1.'!C158</f>
        <v>57989514.861111112</v>
      </c>
      <c r="D36" s="819">
        <f>40000000+'12. többéves'!I67</f>
        <v>117547749.58527778</v>
      </c>
      <c r="E36" s="819">
        <f>40000000+'12. többéves'!J67</f>
        <v>120901893.11777778</v>
      </c>
      <c r="F36" s="819">
        <f>40000000+'12. többéves'!K67</f>
        <v>119883035.65027778</v>
      </c>
      <c r="G36" s="713"/>
    </row>
    <row r="37" spans="1:8" s="643" customFormat="1" ht="12.95" customHeight="1" thickBot="1">
      <c r="A37" s="714" t="s">
        <v>176</v>
      </c>
      <c r="B37" s="820" t="s">
        <v>1578</v>
      </c>
      <c r="C37" s="1089">
        <f>C36+C35</f>
        <v>3938130174.4355259</v>
      </c>
      <c r="D37" s="820">
        <f>D36+D35</f>
        <v>2574206543.5634131</v>
      </c>
      <c r="E37" s="820">
        <f>E36+E35</f>
        <v>2681066870.0948205</v>
      </c>
      <c r="F37" s="820">
        <f>F36+F35</f>
        <v>2793270213.7761726</v>
      </c>
    </row>
    <row r="38" spans="1:8">
      <c r="D38" s="821">
        <f>D24-D37</f>
        <v>-0.44972991943359375</v>
      </c>
      <c r="E38" s="821">
        <f>E24-E37</f>
        <v>0.17454671859741211</v>
      </c>
      <c r="F38" s="821">
        <f>F24-F37</f>
        <v>6.6633224487304688E-3</v>
      </c>
    </row>
    <row r="39" spans="1:8">
      <c r="D39" s="721"/>
    </row>
    <row r="40" spans="1:8">
      <c r="D40" s="721"/>
    </row>
    <row r="41" spans="1:8" ht="16.5" customHeight="1">
      <c r="D41" s="721"/>
    </row>
    <row r="42" spans="1:8">
      <c r="D42" s="721"/>
    </row>
    <row r="43" spans="1:8">
      <c r="D43" s="721"/>
    </row>
    <row r="44" spans="1:8" s="721" customFormat="1">
      <c r="C44" s="1079"/>
      <c r="G44" s="627"/>
      <c r="H44" s="627"/>
    </row>
    <row r="45" spans="1:8" s="721" customFormat="1">
      <c r="C45" s="1079"/>
      <c r="G45" s="627"/>
      <c r="H45" s="627"/>
    </row>
    <row r="46" spans="1:8" s="721" customFormat="1">
      <c r="C46" s="1079"/>
      <c r="G46" s="627"/>
      <c r="H46" s="627"/>
    </row>
    <row r="47" spans="1:8" s="721" customFormat="1">
      <c r="C47" s="1079"/>
      <c r="G47" s="627"/>
      <c r="H47" s="627"/>
    </row>
    <row r="48" spans="1:8" s="721" customFormat="1">
      <c r="C48" s="1079"/>
      <c r="G48" s="627"/>
      <c r="H48" s="627"/>
    </row>
    <row r="49" spans="3:8" s="721" customFormat="1">
      <c r="C49" s="1079"/>
      <c r="G49" s="627"/>
      <c r="H49" s="627"/>
    </row>
    <row r="50" spans="3:8" s="721" customFormat="1">
      <c r="C50" s="1079"/>
      <c r="G50" s="627"/>
      <c r="H50" s="627"/>
    </row>
  </sheetData>
  <mergeCells count="5">
    <mergeCell ref="A27:B27"/>
    <mergeCell ref="A2:F2"/>
    <mergeCell ref="A3:F3"/>
    <mergeCell ref="A4:B4"/>
    <mergeCell ref="A26:F26"/>
  </mergeCells>
  <pageMargins left="0.19685039370078741" right="0.11811023622047245" top="0.35433070866141736" bottom="0.55118110236220474" header="0.31496062992125984" footer="0.31496062992125984"/>
  <pageSetup paperSize="9" fitToHeight="0" orientation="landscape" r:id="rId1"/>
  <headerFooter>
    <oddHeader>&amp;RRáckeve Város 2020 évi költségvetés melléklete</oddHead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68"/>
  <sheetViews>
    <sheetView topLeftCell="A19" workbookViewId="0">
      <selection activeCell="K33" sqref="K33"/>
    </sheetView>
  </sheetViews>
  <sheetFormatPr defaultRowHeight="12.75"/>
  <cols>
    <col min="1" max="1" width="23.85546875" style="317" customWidth="1"/>
    <col min="2" max="4" width="0.140625" style="317" customWidth="1"/>
    <col min="5" max="6" width="0.140625" style="350" customWidth="1"/>
    <col min="7" max="7" width="10.140625" style="350" hidden="1" customWidth="1"/>
    <col min="8" max="11" width="11.7109375" style="350" bestFit="1" customWidth="1"/>
    <col min="12" max="13" width="11.85546875" style="350" bestFit="1" customWidth="1"/>
    <col min="14" max="14" width="10.85546875" style="350" bestFit="1" customWidth="1"/>
    <col min="15" max="16" width="11.85546875" style="822" bestFit="1" customWidth="1"/>
    <col min="17" max="17" width="10.28515625" style="822" bestFit="1" customWidth="1"/>
    <col min="18" max="18" width="11.7109375" style="317" bestFit="1" customWidth="1"/>
    <col min="19" max="20" width="0" style="317" hidden="1" customWidth="1"/>
    <col min="21" max="21" width="10.28515625" style="317" bestFit="1" customWidth="1"/>
    <col min="22" max="256" width="9.140625" style="317"/>
    <col min="257" max="257" width="23.85546875" style="317" customWidth="1"/>
    <col min="258" max="262" width="0.140625" style="317" customWidth="1"/>
    <col min="263" max="263" width="10.140625" style="317" bestFit="1" customWidth="1"/>
    <col min="264" max="265" width="11.140625" style="317" bestFit="1" customWidth="1"/>
    <col min="266" max="267" width="10.42578125" style="317" bestFit="1" customWidth="1"/>
    <col min="268" max="269" width="11.7109375" style="317" bestFit="1" customWidth="1"/>
    <col min="270" max="270" width="10.7109375" style="317" bestFit="1" customWidth="1"/>
    <col min="271" max="272" width="11.7109375" style="317" bestFit="1" customWidth="1"/>
    <col min="273" max="273" width="10.140625" style="317" bestFit="1" customWidth="1"/>
    <col min="274" max="274" width="11.140625" style="317" bestFit="1" customWidth="1"/>
    <col min="275" max="276" width="0" style="317" hidden="1" customWidth="1"/>
    <col min="277" max="512" width="9.140625" style="317"/>
    <col min="513" max="513" width="23.85546875" style="317" customWidth="1"/>
    <col min="514" max="518" width="0.140625" style="317" customWidth="1"/>
    <col min="519" max="519" width="10.140625" style="317" bestFit="1" customWidth="1"/>
    <col min="520" max="521" width="11.140625" style="317" bestFit="1" customWidth="1"/>
    <col min="522" max="523" width="10.42578125" style="317" bestFit="1" customWidth="1"/>
    <col min="524" max="525" width="11.7109375" style="317" bestFit="1" customWidth="1"/>
    <col min="526" max="526" width="10.7109375" style="317" bestFit="1" customWidth="1"/>
    <col min="527" max="528" width="11.7109375" style="317" bestFit="1" customWidth="1"/>
    <col min="529" max="529" width="10.140625" style="317" bestFit="1" customWidth="1"/>
    <col min="530" max="530" width="11.140625" style="317" bestFit="1" customWidth="1"/>
    <col min="531" max="532" width="0" style="317" hidden="1" customWidth="1"/>
    <col min="533" max="768" width="9.140625" style="317"/>
    <col min="769" max="769" width="23.85546875" style="317" customWidth="1"/>
    <col min="770" max="774" width="0.140625" style="317" customWidth="1"/>
    <col min="775" max="775" width="10.140625" style="317" bestFit="1" customWidth="1"/>
    <col min="776" max="777" width="11.140625" style="317" bestFit="1" customWidth="1"/>
    <col min="778" max="779" width="10.42578125" style="317" bestFit="1" customWidth="1"/>
    <col min="780" max="781" width="11.7109375" style="317" bestFit="1" customWidth="1"/>
    <col min="782" max="782" width="10.7109375" style="317" bestFit="1" customWidth="1"/>
    <col min="783" max="784" width="11.7109375" style="317" bestFit="1" customWidth="1"/>
    <col min="785" max="785" width="10.140625" style="317" bestFit="1" customWidth="1"/>
    <col min="786" max="786" width="11.140625" style="317" bestFit="1" customWidth="1"/>
    <col min="787" max="788" width="0" style="317" hidden="1" customWidth="1"/>
    <col min="789" max="1024" width="9.140625" style="317"/>
    <col min="1025" max="1025" width="23.85546875" style="317" customWidth="1"/>
    <col min="1026" max="1030" width="0.140625" style="317" customWidth="1"/>
    <col min="1031" max="1031" width="10.140625" style="317" bestFit="1" customWidth="1"/>
    <col min="1032" max="1033" width="11.140625" style="317" bestFit="1" customWidth="1"/>
    <col min="1034" max="1035" width="10.42578125" style="317" bestFit="1" customWidth="1"/>
    <col min="1036" max="1037" width="11.7109375" style="317" bestFit="1" customWidth="1"/>
    <col min="1038" max="1038" width="10.7109375" style="317" bestFit="1" customWidth="1"/>
    <col min="1039" max="1040" width="11.7109375" style="317" bestFit="1" customWidth="1"/>
    <col min="1041" max="1041" width="10.140625" style="317" bestFit="1" customWidth="1"/>
    <col min="1042" max="1042" width="11.140625" style="317" bestFit="1" customWidth="1"/>
    <col min="1043" max="1044" width="0" style="317" hidden="1" customWidth="1"/>
    <col min="1045" max="1280" width="9.140625" style="317"/>
    <col min="1281" max="1281" width="23.85546875" style="317" customWidth="1"/>
    <col min="1282" max="1286" width="0.140625" style="317" customWidth="1"/>
    <col min="1287" max="1287" width="10.140625" style="317" bestFit="1" customWidth="1"/>
    <col min="1288" max="1289" width="11.140625" style="317" bestFit="1" customWidth="1"/>
    <col min="1290" max="1291" width="10.42578125" style="317" bestFit="1" customWidth="1"/>
    <col min="1292" max="1293" width="11.7109375" style="317" bestFit="1" customWidth="1"/>
    <col min="1294" max="1294" width="10.7109375" style="317" bestFit="1" customWidth="1"/>
    <col min="1295" max="1296" width="11.7109375" style="317" bestFit="1" customWidth="1"/>
    <col min="1297" max="1297" width="10.140625" style="317" bestFit="1" customWidth="1"/>
    <col min="1298" max="1298" width="11.140625" style="317" bestFit="1" customWidth="1"/>
    <col min="1299" max="1300" width="0" style="317" hidden="1" customWidth="1"/>
    <col min="1301" max="1536" width="9.140625" style="317"/>
    <col min="1537" max="1537" width="23.85546875" style="317" customWidth="1"/>
    <col min="1538" max="1542" width="0.140625" style="317" customWidth="1"/>
    <col min="1543" max="1543" width="10.140625" style="317" bestFit="1" customWidth="1"/>
    <col min="1544" max="1545" width="11.140625" style="317" bestFit="1" customWidth="1"/>
    <col min="1546" max="1547" width="10.42578125" style="317" bestFit="1" customWidth="1"/>
    <col min="1548" max="1549" width="11.7109375" style="317" bestFit="1" customWidth="1"/>
    <col min="1550" max="1550" width="10.7109375" style="317" bestFit="1" customWidth="1"/>
    <col min="1551" max="1552" width="11.7109375" style="317" bestFit="1" customWidth="1"/>
    <col min="1553" max="1553" width="10.140625" style="317" bestFit="1" customWidth="1"/>
    <col min="1554" max="1554" width="11.140625" style="317" bestFit="1" customWidth="1"/>
    <col min="1555" max="1556" width="0" style="317" hidden="1" customWidth="1"/>
    <col min="1557" max="1792" width="9.140625" style="317"/>
    <col min="1793" max="1793" width="23.85546875" style="317" customWidth="1"/>
    <col min="1794" max="1798" width="0.140625" style="317" customWidth="1"/>
    <col min="1799" max="1799" width="10.140625" style="317" bestFit="1" customWidth="1"/>
    <col min="1800" max="1801" width="11.140625" style="317" bestFit="1" customWidth="1"/>
    <col min="1802" max="1803" width="10.42578125" style="317" bestFit="1" customWidth="1"/>
    <col min="1804" max="1805" width="11.7109375" style="317" bestFit="1" customWidth="1"/>
    <col min="1806" max="1806" width="10.7109375" style="317" bestFit="1" customWidth="1"/>
    <col min="1807" max="1808" width="11.7109375" style="317" bestFit="1" customWidth="1"/>
    <col min="1809" max="1809" width="10.140625" style="317" bestFit="1" customWidth="1"/>
    <col min="1810" max="1810" width="11.140625" style="317" bestFit="1" customWidth="1"/>
    <col min="1811" max="1812" width="0" style="317" hidden="1" customWidth="1"/>
    <col min="1813" max="2048" width="9.140625" style="317"/>
    <col min="2049" max="2049" width="23.85546875" style="317" customWidth="1"/>
    <col min="2050" max="2054" width="0.140625" style="317" customWidth="1"/>
    <col min="2055" max="2055" width="10.140625" style="317" bestFit="1" customWidth="1"/>
    <col min="2056" max="2057" width="11.140625" style="317" bestFit="1" customWidth="1"/>
    <col min="2058" max="2059" width="10.42578125" style="317" bestFit="1" customWidth="1"/>
    <col min="2060" max="2061" width="11.7109375" style="317" bestFit="1" customWidth="1"/>
    <col min="2062" max="2062" width="10.7109375" style="317" bestFit="1" customWidth="1"/>
    <col min="2063" max="2064" width="11.7109375" style="317" bestFit="1" customWidth="1"/>
    <col min="2065" max="2065" width="10.140625" style="317" bestFit="1" customWidth="1"/>
    <col min="2066" max="2066" width="11.140625" style="317" bestFit="1" customWidth="1"/>
    <col min="2067" max="2068" width="0" style="317" hidden="1" customWidth="1"/>
    <col min="2069" max="2304" width="9.140625" style="317"/>
    <col min="2305" max="2305" width="23.85546875" style="317" customWidth="1"/>
    <col min="2306" max="2310" width="0.140625" style="317" customWidth="1"/>
    <col min="2311" max="2311" width="10.140625" style="317" bestFit="1" customWidth="1"/>
    <col min="2312" max="2313" width="11.140625" style="317" bestFit="1" customWidth="1"/>
    <col min="2314" max="2315" width="10.42578125" style="317" bestFit="1" customWidth="1"/>
    <col min="2316" max="2317" width="11.7109375" style="317" bestFit="1" customWidth="1"/>
    <col min="2318" max="2318" width="10.7109375" style="317" bestFit="1" customWidth="1"/>
    <col min="2319" max="2320" width="11.7109375" style="317" bestFit="1" customWidth="1"/>
    <col min="2321" max="2321" width="10.140625" style="317" bestFit="1" customWidth="1"/>
    <col min="2322" max="2322" width="11.140625" style="317" bestFit="1" customWidth="1"/>
    <col min="2323" max="2324" width="0" style="317" hidden="1" customWidth="1"/>
    <col min="2325" max="2560" width="9.140625" style="317"/>
    <col min="2561" max="2561" width="23.85546875" style="317" customWidth="1"/>
    <col min="2562" max="2566" width="0.140625" style="317" customWidth="1"/>
    <col min="2567" max="2567" width="10.140625" style="317" bestFit="1" customWidth="1"/>
    <col min="2568" max="2569" width="11.140625" style="317" bestFit="1" customWidth="1"/>
    <col min="2570" max="2571" width="10.42578125" style="317" bestFit="1" customWidth="1"/>
    <col min="2572" max="2573" width="11.7109375" style="317" bestFit="1" customWidth="1"/>
    <col min="2574" max="2574" width="10.7109375" style="317" bestFit="1" customWidth="1"/>
    <col min="2575" max="2576" width="11.7109375" style="317" bestFit="1" customWidth="1"/>
    <col min="2577" max="2577" width="10.140625" style="317" bestFit="1" customWidth="1"/>
    <col min="2578" max="2578" width="11.140625" style="317" bestFit="1" customWidth="1"/>
    <col min="2579" max="2580" width="0" style="317" hidden="1" customWidth="1"/>
    <col min="2581" max="2816" width="9.140625" style="317"/>
    <col min="2817" max="2817" width="23.85546875" style="317" customWidth="1"/>
    <col min="2818" max="2822" width="0.140625" style="317" customWidth="1"/>
    <col min="2823" max="2823" width="10.140625" style="317" bestFit="1" customWidth="1"/>
    <col min="2824" max="2825" width="11.140625" style="317" bestFit="1" customWidth="1"/>
    <col min="2826" max="2827" width="10.42578125" style="317" bestFit="1" customWidth="1"/>
    <col min="2828" max="2829" width="11.7109375" style="317" bestFit="1" customWidth="1"/>
    <col min="2830" max="2830" width="10.7109375" style="317" bestFit="1" customWidth="1"/>
    <col min="2831" max="2832" width="11.7109375" style="317" bestFit="1" customWidth="1"/>
    <col min="2833" max="2833" width="10.140625" style="317" bestFit="1" customWidth="1"/>
    <col min="2834" max="2834" width="11.140625" style="317" bestFit="1" customWidth="1"/>
    <col min="2835" max="2836" width="0" style="317" hidden="1" customWidth="1"/>
    <col min="2837" max="3072" width="9.140625" style="317"/>
    <col min="3073" max="3073" width="23.85546875" style="317" customWidth="1"/>
    <col min="3074" max="3078" width="0.140625" style="317" customWidth="1"/>
    <col min="3079" max="3079" width="10.140625" style="317" bestFit="1" customWidth="1"/>
    <col min="3080" max="3081" width="11.140625" style="317" bestFit="1" customWidth="1"/>
    <col min="3082" max="3083" width="10.42578125" style="317" bestFit="1" customWidth="1"/>
    <col min="3084" max="3085" width="11.7109375" style="317" bestFit="1" customWidth="1"/>
    <col min="3086" max="3086" width="10.7109375" style="317" bestFit="1" customWidth="1"/>
    <col min="3087" max="3088" width="11.7109375" style="317" bestFit="1" customWidth="1"/>
    <col min="3089" max="3089" width="10.140625" style="317" bestFit="1" customWidth="1"/>
    <col min="3090" max="3090" width="11.140625" style="317" bestFit="1" customWidth="1"/>
    <col min="3091" max="3092" width="0" style="317" hidden="1" customWidth="1"/>
    <col min="3093" max="3328" width="9.140625" style="317"/>
    <col min="3329" max="3329" width="23.85546875" style="317" customWidth="1"/>
    <col min="3330" max="3334" width="0.140625" style="317" customWidth="1"/>
    <col min="3335" max="3335" width="10.140625" style="317" bestFit="1" customWidth="1"/>
    <col min="3336" max="3337" width="11.140625" style="317" bestFit="1" customWidth="1"/>
    <col min="3338" max="3339" width="10.42578125" style="317" bestFit="1" customWidth="1"/>
    <col min="3340" max="3341" width="11.7109375" style="317" bestFit="1" customWidth="1"/>
    <col min="3342" max="3342" width="10.7109375" style="317" bestFit="1" customWidth="1"/>
    <col min="3343" max="3344" width="11.7109375" style="317" bestFit="1" customWidth="1"/>
    <col min="3345" max="3345" width="10.140625" style="317" bestFit="1" customWidth="1"/>
    <col min="3346" max="3346" width="11.140625" style="317" bestFit="1" customWidth="1"/>
    <col min="3347" max="3348" width="0" style="317" hidden="1" customWidth="1"/>
    <col min="3349" max="3584" width="9.140625" style="317"/>
    <col min="3585" max="3585" width="23.85546875" style="317" customWidth="1"/>
    <col min="3586" max="3590" width="0.140625" style="317" customWidth="1"/>
    <col min="3591" max="3591" width="10.140625" style="317" bestFit="1" customWidth="1"/>
    <col min="3592" max="3593" width="11.140625" style="317" bestFit="1" customWidth="1"/>
    <col min="3594" max="3595" width="10.42578125" style="317" bestFit="1" customWidth="1"/>
    <col min="3596" max="3597" width="11.7109375" style="317" bestFit="1" customWidth="1"/>
    <col min="3598" max="3598" width="10.7109375" style="317" bestFit="1" customWidth="1"/>
    <col min="3599" max="3600" width="11.7109375" style="317" bestFit="1" customWidth="1"/>
    <col min="3601" max="3601" width="10.140625" style="317" bestFit="1" customWidth="1"/>
    <col min="3602" max="3602" width="11.140625" style="317" bestFit="1" customWidth="1"/>
    <col min="3603" max="3604" width="0" style="317" hidden="1" customWidth="1"/>
    <col min="3605" max="3840" width="9.140625" style="317"/>
    <col min="3841" max="3841" width="23.85546875" style="317" customWidth="1"/>
    <col min="3842" max="3846" width="0.140625" style="317" customWidth="1"/>
    <col min="3847" max="3847" width="10.140625" style="317" bestFit="1" customWidth="1"/>
    <col min="3848" max="3849" width="11.140625" style="317" bestFit="1" customWidth="1"/>
    <col min="3850" max="3851" width="10.42578125" style="317" bestFit="1" customWidth="1"/>
    <col min="3852" max="3853" width="11.7109375" style="317" bestFit="1" customWidth="1"/>
    <col min="3854" max="3854" width="10.7109375" style="317" bestFit="1" customWidth="1"/>
    <col min="3855" max="3856" width="11.7109375" style="317" bestFit="1" customWidth="1"/>
    <col min="3857" max="3857" width="10.140625" style="317" bestFit="1" customWidth="1"/>
    <col min="3858" max="3858" width="11.140625" style="317" bestFit="1" customWidth="1"/>
    <col min="3859" max="3860" width="0" style="317" hidden="1" customWidth="1"/>
    <col min="3861" max="4096" width="9.140625" style="317"/>
    <col min="4097" max="4097" width="23.85546875" style="317" customWidth="1"/>
    <col min="4098" max="4102" width="0.140625" style="317" customWidth="1"/>
    <col min="4103" max="4103" width="10.140625" style="317" bestFit="1" customWidth="1"/>
    <col min="4104" max="4105" width="11.140625" style="317" bestFit="1" customWidth="1"/>
    <col min="4106" max="4107" width="10.42578125" style="317" bestFit="1" customWidth="1"/>
    <col min="4108" max="4109" width="11.7109375" style="317" bestFit="1" customWidth="1"/>
    <col min="4110" max="4110" width="10.7109375" style="317" bestFit="1" customWidth="1"/>
    <col min="4111" max="4112" width="11.7109375" style="317" bestFit="1" customWidth="1"/>
    <col min="4113" max="4113" width="10.140625" style="317" bestFit="1" customWidth="1"/>
    <col min="4114" max="4114" width="11.140625" style="317" bestFit="1" customWidth="1"/>
    <col min="4115" max="4116" width="0" style="317" hidden="1" customWidth="1"/>
    <col min="4117" max="4352" width="9.140625" style="317"/>
    <col min="4353" max="4353" width="23.85546875" style="317" customWidth="1"/>
    <col min="4354" max="4358" width="0.140625" style="317" customWidth="1"/>
    <col min="4359" max="4359" width="10.140625" style="317" bestFit="1" customWidth="1"/>
    <col min="4360" max="4361" width="11.140625" style="317" bestFit="1" customWidth="1"/>
    <col min="4362" max="4363" width="10.42578125" style="317" bestFit="1" customWidth="1"/>
    <col min="4364" max="4365" width="11.7109375" style="317" bestFit="1" customWidth="1"/>
    <col min="4366" max="4366" width="10.7109375" style="317" bestFit="1" customWidth="1"/>
    <col min="4367" max="4368" width="11.7109375" style="317" bestFit="1" customWidth="1"/>
    <col min="4369" max="4369" width="10.140625" style="317" bestFit="1" customWidth="1"/>
    <col min="4370" max="4370" width="11.140625" style="317" bestFit="1" customWidth="1"/>
    <col min="4371" max="4372" width="0" style="317" hidden="1" customWidth="1"/>
    <col min="4373" max="4608" width="9.140625" style="317"/>
    <col min="4609" max="4609" width="23.85546875" style="317" customWidth="1"/>
    <col min="4610" max="4614" width="0.140625" style="317" customWidth="1"/>
    <col min="4615" max="4615" width="10.140625" style="317" bestFit="1" customWidth="1"/>
    <col min="4616" max="4617" width="11.140625" style="317" bestFit="1" customWidth="1"/>
    <col min="4618" max="4619" width="10.42578125" style="317" bestFit="1" customWidth="1"/>
    <col min="4620" max="4621" width="11.7109375" style="317" bestFit="1" customWidth="1"/>
    <col min="4622" max="4622" width="10.7109375" style="317" bestFit="1" customWidth="1"/>
    <col min="4623" max="4624" width="11.7109375" style="317" bestFit="1" customWidth="1"/>
    <col min="4625" max="4625" width="10.140625" style="317" bestFit="1" customWidth="1"/>
    <col min="4626" max="4626" width="11.140625" style="317" bestFit="1" customWidth="1"/>
    <col min="4627" max="4628" width="0" style="317" hidden="1" customWidth="1"/>
    <col min="4629" max="4864" width="9.140625" style="317"/>
    <col min="4865" max="4865" width="23.85546875" style="317" customWidth="1"/>
    <col min="4866" max="4870" width="0.140625" style="317" customWidth="1"/>
    <col min="4871" max="4871" width="10.140625" style="317" bestFit="1" customWidth="1"/>
    <col min="4872" max="4873" width="11.140625" style="317" bestFit="1" customWidth="1"/>
    <col min="4874" max="4875" width="10.42578125" style="317" bestFit="1" customWidth="1"/>
    <col min="4876" max="4877" width="11.7109375" style="317" bestFit="1" customWidth="1"/>
    <col min="4878" max="4878" width="10.7109375" style="317" bestFit="1" customWidth="1"/>
    <col min="4879" max="4880" width="11.7109375" style="317" bestFit="1" customWidth="1"/>
    <col min="4881" max="4881" width="10.140625" style="317" bestFit="1" customWidth="1"/>
    <col min="4882" max="4882" width="11.140625" style="317" bestFit="1" customWidth="1"/>
    <col min="4883" max="4884" width="0" style="317" hidden="1" customWidth="1"/>
    <col min="4885" max="5120" width="9.140625" style="317"/>
    <col min="5121" max="5121" width="23.85546875" style="317" customWidth="1"/>
    <col min="5122" max="5126" width="0.140625" style="317" customWidth="1"/>
    <col min="5127" max="5127" width="10.140625" style="317" bestFit="1" customWidth="1"/>
    <col min="5128" max="5129" width="11.140625" style="317" bestFit="1" customWidth="1"/>
    <col min="5130" max="5131" width="10.42578125" style="317" bestFit="1" customWidth="1"/>
    <col min="5132" max="5133" width="11.7109375" style="317" bestFit="1" customWidth="1"/>
    <col min="5134" max="5134" width="10.7109375" style="317" bestFit="1" customWidth="1"/>
    <col min="5135" max="5136" width="11.7109375" style="317" bestFit="1" customWidth="1"/>
    <col min="5137" max="5137" width="10.140625" style="317" bestFit="1" customWidth="1"/>
    <col min="5138" max="5138" width="11.140625" style="317" bestFit="1" customWidth="1"/>
    <col min="5139" max="5140" width="0" style="317" hidden="1" customWidth="1"/>
    <col min="5141" max="5376" width="9.140625" style="317"/>
    <col min="5377" max="5377" width="23.85546875" style="317" customWidth="1"/>
    <col min="5378" max="5382" width="0.140625" style="317" customWidth="1"/>
    <col min="5383" max="5383" width="10.140625" style="317" bestFit="1" customWidth="1"/>
    <col min="5384" max="5385" width="11.140625" style="317" bestFit="1" customWidth="1"/>
    <col min="5386" max="5387" width="10.42578125" style="317" bestFit="1" customWidth="1"/>
    <col min="5388" max="5389" width="11.7109375" style="317" bestFit="1" customWidth="1"/>
    <col min="5390" max="5390" width="10.7109375" style="317" bestFit="1" customWidth="1"/>
    <col min="5391" max="5392" width="11.7109375" style="317" bestFit="1" customWidth="1"/>
    <col min="5393" max="5393" width="10.140625" style="317" bestFit="1" customWidth="1"/>
    <col min="5394" max="5394" width="11.140625" style="317" bestFit="1" customWidth="1"/>
    <col min="5395" max="5396" width="0" style="317" hidden="1" customWidth="1"/>
    <col min="5397" max="5632" width="9.140625" style="317"/>
    <col min="5633" max="5633" width="23.85546875" style="317" customWidth="1"/>
    <col min="5634" max="5638" width="0.140625" style="317" customWidth="1"/>
    <col min="5639" max="5639" width="10.140625" style="317" bestFit="1" customWidth="1"/>
    <col min="5640" max="5641" width="11.140625" style="317" bestFit="1" customWidth="1"/>
    <col min="5642" max="5643" width="10.42578125" style="317" bestFit="1" customWidth="1"/>
    <col min="5644" max="5645" width="11.7109375" style="317" bestFit="1" customWidth="1"/>
    <col min="5646" max="5646" width="10.7109375" style="317" bestFit="1" customWidth="1"/>
    <col min="5647" max="5648" width="11.7109375" style="317" bestFit="1" customWidth="1"/>
    <col min="5649" max="5649" width="10.140625" style="317" bestFit="1" customWidth="1"/>
    <col min="5650" max="5650" width="11.140625" style="317" bestFit="1" customWidth="1"/>
    <col min="5651" max="5652" width="0" style="317" hidden="1" customWidth="1"/>
    <col min="5653" max="5888" width="9.140625" style="317"/>
    <col min="5889" max="5889" width="23.85546875" style="317" customWidth="1"/>
    <col min="5890" max="5894" width="0.140625" style="317" customWidth="1"/>
    <col min="5895" max="5895" width="10.140625" style="317" bestFit="1" customWidth="1"/>
    <col min="5896" max="5897" width="11.140625" style="317" bestFit="1" customWidth="1"/>
    <col min="5898" max="5899" width="10.42578125" style="317" bestFit="1" customWidth="1"/>
    <col min="5900" max="5901" width="11.7109375" style="317" bestFit="1" customWidth="1"/>
    <col min="5902" max="5902" width="10.7109375" style="317" bestFit="1" customWidth="1"/>
    <col min="5903" max="5904" width="11.7109375" style="317" bestFit="1" customWidth="1"/>
    <col min="5905" max="5905" width="10.140625" style="317" bestFit="1" customWidth="1"/>
    <col min="5906" max="5906" width="11.140625" style="317" bestFit="1" customWidth="1"/>
    <col min="5907" max="5908" width="0" style="317" hidden="1" customWidth="1"/>
    <col min="5909" max="6144" width="9.140625" style="317"/>
    <col min="6145" max="6145" width="23.85546875" style="317" customWidth="1"/>
    <col min="6146" max="6150" width="0.140625" style="317" customWidth="1"/>
    <col min="6151" max="6151" width="10.140625" style="317" bestFit="1" customWidth="1"/>
    <col min="6152" max="6153" width="11.140625" style="317" bestFit="1" customWidth="1"/>
    <col min="6154" max="6155" width="10.42578125" style="317" bestFit="1" customWidth="1"/>
    <col min="6156" max="6157" width="11.7109375" style="317" bestFit="1" customWidth="1"/>
    <col min="6158" max="6158" width="10.7109375" style="317" bestFit="1" customWidth="1"/>
    <col min="6159" max="6160" width="11.7109375" style="317" bestFit="1" customWidth="1"/>
    <col min="6161" max="6161" width="10.140625" style="317" bestFit="1" customWidth="1"/>
    <col min="6162" max="6162" width="11.140625" style="317" bestFit="1" customWidth="1"/>
    <col min="6163" max="6164" width="0" style="317" hidden="1" customWidth="1"/>
    <col min="6165" max="6400" width="9.140625" style="317"/>
    <col min="6401" max="6401" width="23.85546875" style="317" customWidth="1"/>
    <col min="6402" max="6406" width="0.140625" style="317" customWidth="1"/>
    <col min="6407" max="6407" width="10.140625" style="317" bestFit="1" customWidth="1"/>
    <col min="6408" max="6409" width="11.140625" style="317" bestFit="1" customWidth="1"/>
    <col min="6410" max="6411" width="10.42578125" style="317" bestFit="1" customWidth="1"/>
    <col min="6412" max="6413" width="11.7109375" style="317" bestFit="1" customWidth="1"/>
    <col min="6414" max="6414" width="10.7109375" style="317" bestFit="1" customWidth="1"/>
    <col min="6415" max="6416" width="11.7109375" style="317" bestFit="1" customWidth="1"/>
    <col min="6417" max="6417" width="10.140625" style="317" bestFit="1" customWidth="1"/>
    <col min="6418" max="6418" width="11.140625" style="317" bestFit="1" customWidth="1"/>
    <col min="6419" max="6420" width="0" style="317" hidden="1" customWidth="1"/>
    <col min="6421" max="6656" width="9.140625" style="317"/>
    <col min="6657" max="6657" width="23.85546875" style="317" customWidth="1"/>
    <col min="6658" max="6662" width="0.140625" style="317" customWidth="1"/>
    <col min="6663" max="6663" width="10.140625" style="317" bestFit="1" customWidth="1"/>
    <col min="6664" max="6665" width="11.140625" style="317" bestFit="1" customWidth="1"/>
    <col min="6666" max="6667" width="10.42578125" style="317" bestFit="1" customWidth="1"/>
    <col min="6668" max="6669" width="11.7109375" style="317" bestFit="1" customWidth="1"/>
    <col min="6670" max="6670" width="10.7109375" style="317" bestFit="1" customWidth="1"/>
    <col min="6671" max="6672" width="11.7109375" style="317" bestFit="1" customWidth="1"/>
    <col min="6673" max="6673" width="10.140625" style="317" bestFit="1" customWidth="1"/>
    <col min="6674" max="6674" width="11.140625" style="317" bestFit="1" customWidth="1"/>
    <col min="6675" max="6676" width="0" style="317" hidden="1" customWidth="1"/>
    <col min="6677" max="6912" width="9.140625" style="317"/>
    <col min="6913" max="6913" width="23.85546875" style="317" customWidth="1"/>
    <col min="6914" max="6918" width="0.140625" style="317" customWidth="1"/>
    <col min="6919" max="6919" width="10.140625" style="317" bestFit="1" customWidth="1"/>
    <col min="6920" max="6921" width="11.140625" style="317" bestFit="1" customWidth="1"/>
    <col min="6922" max="6923" width="10.42578125" style="317" bestFit="1" customWidth="1"/>
    <col min="6924" max="6925" width="11.7109375" style="317" bestFit="1" customWidth="1"/>
    <col min="6926" max="6926" width="10.7109375" style="317" bestFit="1" customWidth="1"/>
    <col min="6927" max="6928" width="11.7109375" style="317" bestFit="1" customWidth="1"/>
    <col min="6929" max="6929" width="10.140625" style="317" bestFit="1" customWidth="1"/>
    <col min="6930" max="6930" width="11.140625" style="317" bestFit="1" customWidth="1"/>
    <col min="6931" max="6932" width="0" style="317" hidden="1" customWidth="1"/>
    <col min="6933" max="7168" width="9.140625" style="317"/>
    <col min="7169" max="7169" width="23.85546875" style="317" customWidth="1"/>
    <col min="7170" max="7174" width="0.140625" style="317" customWidth="1"/>
    <col min="7175" max="7175" width="10.140625" style="317" bestFit="1" customWidth="1"/>
    <col min="7176" max="7177" width="11.140625" style="317" bestFit="1" customWidth="1"/>
    <col min="7178" max="7179" width="10.42578125" style="317" bestFit="1" customWidth="1"/>
    <col min="7180" max="7181" width="11.7109375" style="317" bestFit="1" customWidth="1"/>
    <col min="7182" max="7182" width="10.7109375" style="317" bestFit="1" customWidth="1"/>
    <col min="7183" max="7184" width="11.7109375" style="317" bestFit="1" customWidth="1"/>
    <col min="7185" max="7185" width="10.140625" style="317" bestFit="1" customWidth="1"/>
    <col min="7186" max="7186" width="11.140625" style="317" bestFit="1" customWidth="1"/>
    <col min="7187" max="7188" width="0" style="317" hidden="1" customWidth="1"/>
    <col min="7189" max="7424" width="9.140625" style="317"/>
    <col min="7425" max="7425" width="23.85546875" style="317" customWidth="1"/>
    <col min="7426" max="7430" width="0.140625" style="317" customWidth="1"/>
    <col min="7431" max="7431" width="10.140625" style="317" bestFit="1" customWidth="1"/>
    <col min="7432" max="7433" width="11.140625" style="317" bestFit="1" customWidth="1"/>
    <col min="7434" max="7435" width="10.42578125" style="317" bestFit="1" customWidth="1"/>
    <col min="7436" max="7437" width="11.7109375" style="317" bestFit="1" customWidth="1"/>
    <col min="7438" max="7438" width="10.7109375" style="317" bestFit="1" customWidth="1"/>
    <col min="7439" max="7440" width="11.7109375" style="317" bestFit="1" customWidth="1"/>
    <col min="7441" max="7441" width="10.140625" style="317" bestFit="1" customWidth="1"/>
    <col min="7442" max="7442" width="11.140625" style="317" bestFit="1" customWidth="1"/>
    <col min="7443" max="7444" width="0" style="317" hidden="1" customWidth="1"/>
    <col min="7445" max="7680" width="9.140625" style="317"/>
    <col min="7681" max="7681" width="23.85546875" style="317" customWidth="1"/>
    <col min="7682" max="7686" width="0.140625" style="317" customWidth="1"/>
    <col min="7687" max="7687" width="10.140625" style="317" bestFit="1" customWidth="1"/>
    <col min="7688" max="7689" width="11.140625" style="317" bestFit="1" customWidth="1"/>
    <col min="7690" max="7691" width="10.42578125" style="317" bestFit="1" customWidth="1"/>
    <col min="7692" max="7693" width="11.7109375" style="317" bestFit="1" customWidth="1"/>
    <col min="7694" max="7694" width="10.7109375" style="317" bestFit="1" customWidth="1"/>
    <col min="7695" max="7696" width="11.7109375" style="317" bestFit="1" customWidth="1"/>
    <col min="7697" max="7697" width="10.140625" style="317" bestFit="1" customWidth="1"/>
    <col min="7698" max="7698" width="11.140625" style="317" bestFit="1" customWidth="1"/>
    <col min="7699" max="7700" width="0" style="317" hidden="1" customWidth="1"/>
    <col min="7701" max="7936" width="9.140625" style="317"/>
    <col min="7937" max="7937" width="23.85546875" style="317" customWidth="1"/>
    <col min="7938" max="7942" width="0.140625" style="317" customWidth="1"/>
    <col min="7943" max="7943" width="10.140625" style="317" bestFit="1" customWidth="1"/>
    <col min="7944" max="7945" width="11.140625" style="317" bestFit="1" customWidth="1"/>
    <col min="7946" max="7947" width="10.42578125" style="317" bestFit="1" customWidth="1"/>
    <col min="7948" max="7949" width="11.7109375" style="317" bestFit="1" customWidth="1"/>
    <col min="7950" max="7950" width="10.7109375" style="317" bestFit="1" customWidth="1"/>
    <col min="7951" max="7952" width="11.7109375" style="317" bestFit="1" customWidth="1"/>
    <col min="7953" max="7953" width="10.140625" style="317" bestFit="1" customWidth="1"/>
    <col min="7954" max="7954" width="11.140625" style="317" bestFit="1" customWidth="1"/>
    <col min="7955" max="7956" width="0" style="317" hidden="1" customWidth="1"/>
    <col min="7957" max="8192" width="9.140625" style="317"/>
    <col min="8193" max="8193" width="23.85546875" style="317" customWidth="1"/>
    <col min="8194" max="8198" width="0.140625" style="317" customWidth="1"/>
    <col min="8199" max="8199" width="10.140625" style="317" bestFit="1" customWidth="1"/>
    <col min="8200" max="8201" width="11.140625" style="317" bestFit="1" customWidth="1"/>
    <col min="8202" max="8203" width="10.42578125" style="317" bestFit="1" customWidth="1"/>
    <col min="8204" max="8205" width="11.7109375" style="317" bestFit="1" customWidth="1"/>
    <col min="8206" max="8206" width="10.7109375" style="317" bestFit="1" customWidth="1"/>
    <col min="8207" max="8208" width="11.7109375" style="317" bestFit="1" customWidth="1"/>
    <col min="8209" max="8209" width="10.140625" style="317" bestFit="1" customWidth="1"/>
    <col min="8210" max="8210" width="11.140625" style="317" bestFit="1" customWidth="1"/>
    <col min="8211" max="8212" width="0" style="317" hidden="1" customWidth="1"/>
    <col min="8213" max="8448" width="9.140625" style="317"/>
    <col min="8449" max="8449" width="23.85546875" style="317" customWidth="1"/>
    <col min="8450" max="8454" width="0.140625" style="317" customWidth="1"/>
    <col min="8455" max="8455" width="10.140625" style="317" bestFit="1" customWidth="1"/>
    <col min="8456" max="8457" width="11.140625" style="317" bestFit="1" customWidth="1"/>
    <col min="8458" max="8459" width="10.42578125" style="317" bestFit="1" customWidth="1"/>
    <col min="8460" max="8461" width="11.7109375" style="317" bestFit="1" customWidth="1"/>
    <col min="8462" max="8462" width="10.7109375" style="317" bestFit="1" customWidth="1"/>
    <col min="8463" max="8464" width="11.7109375" style="317" bestFit="1" customWidth="1"/>
    <col min="8465" max="8465" width="10.140625" style="317" bestFit="1" customWidth="1"/>
    <col min="8466" max="8466" width="11.140625" style="317" bestFit="1" customWidth="1"/>
    <col min="8467" max="8468" width="0" style="317" hidden="1" customWidth="1"/>
    <col min="8469" max="8704" width="9.140625" style="317"/>
    <col min="8705" max="8705" width="23.85546875" style="317" customWidth="1"/>
    <col min="8706" max="8710" width="0.140625" style="317" customWidth="1"/>
    <col min="8711" max="8711" width="10.140625" style="317" bestFit="1" customWidth="1"/>
    <col min="8712" max="8713" width="11.140625" style="317" bestFit="1" customWidth="1"/>
    <col min="8714" max="8715" width="10.42578125" style="317" bestFit="1" customWidth="1"/>
    <col min="8716" max="8717" width="11.7109375" style="317" bestFit="1" customWidth="1"/>
    <col min="8718" max="8718" width="10.7109375" style="317" bestFit="1" customWidth="1"/>
    <col min="8719" max="8720" width="11.7109375" style="317" bestFit="1" customWidth="1"/>
    <col min="8721" max="8721" width="10.140625" style="317" bestFit="1" customWidth="1"/>
    <col min="8722" max="8722" width="11.140625" style="317" bestFit="1" customWidth="1"/>
    <col min="8723" max="8724" width="0" style="317" hidden="1" customWidth="1"/>
    <col min="8725" max="8960" width="9.140625" style="317"/>
    <col min="8961" max="8961" width="23.85546875" style="317" customWidth="1"/>
    <col min="8962" max="8966" width="0.140625" style="317" customWidth="1"/>
    <col min="8967" max="8967" width="10.140625" style="317" bestFit="1" customWidth="1"/>
    <col min="8968" max="8969" width="11.140625" style="317" bestFit="1" customWidth="1"/>
    <col min="8970" max="8971" width="10.42578125" style="317" bestFit="1" customWidth="1"/>
    <col min="8972" max="8973" width="11.7109375" style="317" bestFit="1" customWidth="1"/>
    <col min="8974" max="8974" width="10.7109375" style="317" bestFit="1" customWidth="1"/>
    <col min="8975" max="8976" width="11.7109375" style="317" bestFit="1" customWidth="1"/>
    <col min="8977" max="8977" width="10.140625" style="317" bestFit="1" customWidth="1"/>
    <col min="8978" max="8978" width="11.140625" style="317" bestFit="1" customWidth="1"/>
    <col min="8979" max="8980" width="0" style="317" hidden="1" customWidth="1"/>
    <col min="8981" max="9216" width="9.140625" style="317"/>
    <col min="9217" max="9217" width="23.85546875" style="317" customWidth="1"/>
    <col min="9218" max="9222" width="0.140625" style="317" customWidth="1"/>
    <col min="9223" max="9223" width="10.140625" style="317" bestFit="1" customWidth="1"/>
    <col min="9224" max="9225" width="11.140625" style="317" bestFit="1" customWidth="1"/>
    <col min="9226" max="9227" width="10.42578125" style="317" bestFit="1" customWidth="1"/>
    <col min="9228" max="9229" width="11.7109375" style="317" bestFit="1" customWidth="1"/>
    <col min="9230" max="9230" width="10.7109375" style="317" bestFit="1" customWidth="1"/>
    <col min="9231" max="9232" width="11.7109375" style="317" bestFit="1" customWidth="1"/>
    <col min="9233" max="9233" width="10.140625" style="317" bestFit="1" customWidth="1"/>
    <col min="9234" max="9234" width="11.140625" style="317" bestFit="1" customWidth="1"/>
    <col min="9235" max="9236" width="0" style="317" hidden="1" customWidth="1"/>
    <col min="9237" max="9472" width="9.140625" style="317"/>
    <col min="9473" max="9473" width="23.85546875" style="317" customWidth="1"/>
    <col min="9474" max="9478" width="0.140625" style="317" customWidth="1"/>
    <col min="9479" max="9479" width="10.140625" style="317" bestFit="1" customWidth="1"/>
    <col min="9480" max="9481" width="11.140625" style="317" bestFit="1" customWidth="1"/>
    <col min="9482" max="9483" width="10.42578125" style="317" bestFit="1" customWidth="1"/>
    <col min="9484" max="9485" width="11.7109375" style="317" bestFit="1" customWidth="1"/>
    <col min="9486" max="9486" width="10.7109375" style="317" bestFit="1" customWidth="1"/>
    <col min="9487" max="9488" width="11.7109375" style="317" bestFit="1" customWidth="1"/>
    <col min="9489" max="9489" width="10.140625" style="317" bestFit="1" customWidth="1"/>
    <col min="9490" max="9490" width="11.140625" style="317" bestFit="1" customWidth="1"/>
    <col min="9491" max="9492" width="0" style="317" hidden="1" customWidth="1"/>
    <col min="9493" max="9728" width="9.140625" style="317"/>
    <col min="9729" max="9729" width="23.85546875" style="317" customWidth="1"/>
    <col min="9730" max="9734" width="0.140625" style="317" customWidth="1"/>
    <col min="9735" max="9735" width="10.140625" style="317" bestFit="1" customWidth="1"/>
    <col min="9736" max="9737" width="11.140625" style="317" bestFit="1" customWidth="1"/>
    <col min="9738" max="9739" width="10.42578125" style="317" bestFit="1" customWidth="1"/>
    <col min="9740" max="9741" width="11.7109375" style="317" bestFit="1" customWidth="1"/>
    <col min="9742" max="9742" width="10.7109375" style="317" bestFit="1" customWidth="1"/>
    <col min="9743" max="9744" width="11.7109375" style="317" bestFit="1" customWidth="1"/>
    <col min="9745" max="9745" width="10.140625" style="317" bestFit="1" customWidth="1"/>
    <col min="9746" max="9746" width="11.140625" style="317" bestFit="1" customWidth="1"/>
    <col min="9747" max="9748" width="0" style="317" hidden="1" customWidth="1"/>
    <col min="9749" max="9984" width="9.140625" style="317"/>
    <col min="9985" max="9985" width="23.85546875" style="317" customWidth="1"/>
    <col min="9986" max="9990" width="0.140625" style="317" customWidth="1"/>
    <col min="9991" max="9991" width="10.140625" style="317" bestFit="1" customWidth="1"/>
    <col min="9992" max="9993" width="11.140625" style="317" bestFit="1" customWidth="1"/>
    <col min="9994" max="9995" width="10.42578125" style="317" bestFit="1" customWidth="1"/>
    <col min="9996" max="9997" width="11.7109375" style="317" bestFit="1" customWidth="1"/>
    <col min="9998" max="9998" width="10.7109375" style="317" bestFit="1" customWidth="1"/>
    <col min="9999" max="10000" width="11.7109375" style="317" bestFit="1" customWidth="1"/>
    <col min="10001" max="10001" width="10.140625" style="317" bestFit="1" customWidth="1"/>
    <col min="10002" max="10002" width="11.140625" style="317" bestFit="1" customWidth="1"/>
    <col min="10003" max="10004" width="0" style="317" hidden="1" customWidth="1"/>
    <col min="10005" max="10240" width="9.140625" style="317"/>
    <col min="10241" max="10241" width="23.85546875" style="317" customWidth="1"/>
    <col min="10242" max="10246" width="0.140625" style="317" customWidth="1"/>
    <col min="10247" max="10247" width="10.140625" style="317" bestFit="1" customWidth="1"/>
    <col min="10248" max="10249" width="11.140625" style="317" bestFit="1" customWidth="1"/>
    <col min="10250" max="10251" width="10.42578125" style="317" bestFit="1" customWidth="1"/>
    <col min="10252" max="10253" width="11.7109375" style="317" bestFit="1" customWidth="1"/>
    <col min="10254" max="10254" width="10.7109375" style="317" bestFit="1" customWidth="1"/>
    <col min="10255" max="10256" width="11.7109375" style="317" bestFit="1" customWidth="1"/>
    <col min="10257" max="10257" width="10.140625" style="317" bestFit="1" customWidth="1"/>
    <col min="10258" max="10258" width="11.140625" style="317" bestFit="1" customWidth="1"/>
    <col min="10259" max="10260" width="0" style="317" hidden="1" customWidth="1"/>
    <col min="10261" max="10496" width="9.140625" style="317"/>
    <col min="10497" max="10497" width="23.85546875" style="317" customWidth="1"/>
    <col min="10498" max="10502" width="0.140625" style="317" customWidth="1"/>
    <col min="10503" max="10503" width="10.140625" style="317" bestFit="1" customWidth="1"/>
    <col min="10504" max="10505" width="11.140625" style="317" bestFit="1" customWidth="1"/>
    <col min="10506" max="10507" width="10.42578125" style="317" bestFit="1" customWidth="1"/>
    <col min="10508" max="10509" width="11.7109375" style="317" bestFit="1" customWidth="1"/>
    <col min="10510" max="10510" width="10.7109375" style="317" bestFit="1" customWidth="1"/>
    <col min="10511" max="10512" width="11.7109375" style="317" bestFit="1" customWidth="1"/>
    <col min="10513" max="10513" width="10.140625" style="317" bestFit="1" customWidth="1"/>
    <col min="10514" max="10514" width="11.140625" style="317" bestFit="1" customWidth="1"/>
    <col min="10515" max="10516" width="0" style="317" hidden="1" customWidth="1"/>
    <col min="10517" max="10752" width="9.140625" style="317"/>
    <col min="10753" max="10753" width="23.85546875" style="317" customWidth="1"/>
    <col min="10754" max="10758" width="0.140625" style="317" customWidth="1"/>
    <col min="10759" max="10759" width="10.140625" style="317" bestFit="1" customWidth="1"/>
    <col min="10760" max="10761" width="11.140625" style="317" bestFit="1" customWidth="1"/>
    <col min="10762" max="10763" width="10.42578125" style="317" bestFit="1" customWidth="1"/>
    <col min="10764" max="10765" width="11.7109375" style="317" bestFit="1" customWidth="1"/>
    <col min="10766" max="10766" width="10.7109375" style="317" bestFit="1" customWidth="1"/>
    <col min="10767" max="10768" width="11.7109375" style="317" bestFit="1" customWidth="1"/>
    <col min="10769" max="10769" width="10.140625" style="317" bestFit="1" customWidth="1"/>
    <col min="10770" max="10770" width="11.140625" style="317" bestFit="1" customWidth="1"/>
    <col min="10771" max="10772" width="0" style="317" hidden="1" customWidth="1"/>
    <col min="10773" max="11008" width="9.140625" style="317"/>
    <col min="11009" max="11009" width="23.85546875" style="317" customWidth="1"/>
    <col min="11010" max="11014" width="0.140625" style="317" customWidth="1"/>
    <col min="11015" max="11015" width="10.140625" style="317" bestFit="1" customWidth="1"/>
    <col min="11016" max="11017" width="11.140625" style="317" bestFit="1" customWidth="1"/>
    <col min="11018" max="11019" width="10.42578125" style="317" bestFit="1" customWidth="1"/>
    <col min="11020" max="11021" width="11.7109375" style="317" bestFit="1" customWidth="1"/>
    <col min="11022" max="11022" width="10.7109375" style="317" bestFit="1" customWidth="1"/>
    <col min="11023" max="11024" width="11.7109375" style="317" bestFit="1" customWidth="1"/>
    <col min="11025" max="11025" width="10.140625" style="317" bestFit="1" customWidth="1"/>
    <col min="11026" max="11026" width="11.140625" style="317" bestFit="1" customWidth="1"/>
    <col min="11027" max="11028" width="0" style="317" hidden="1" customWidth="1"/>
    <col min="11029" max="11264" width="9.140625" style="317"/>
    <col min="11265" max="11265" width="23.85546875" style="317" customWidth="1"/>
    <col min="11266" max="11270" width="0.140625" style="317" customWidth="1"/>
    <col min="11271" max="11271" width="10.140625" style="317" bestFit="1" customWidth="1"/>
    <col min="11272" max="11273" width="11.140625" style="317" bestFit="1" customWidth="1"/>
    <col min="11274" max="11275" width="10.42578125" style="317" bestFit="1" customWidth="1"/>
    <col min="11276" max="11277" width="11.7109375" style="317" bestFit="1" customWidth="1"/>
    <col min="11278" max="11278" width="10.7109375" style="317" bestFit="1" customWidth="1"/>
    <col min="11279" max="11280" width="11.7109375" style="317" bestFit="1" customWidth="1"/>
    <col min="11281" max="11281" width="10.140625" style="317" bestFit="1" customWidth="1"/>
    <col min="11282" max="11282" width="11.140625" style="317" bestFit="1" customWidth="1"/>
    <col min="11283" max="11284" width="0" style="317" hidden="1" customWidth="1"/>
    <col min="11285" max="11520" width="9.140625" style="317"/>
    <col min="11521" max="11521" width="23.85546875" style="317" customWidth="1"/>
    <col min="11522" max="11526" width="0.140625" style="317" customWidth="1"/>
    <col min="11527" max="11527" width="10.140625" style="317" bestFit="1" customWidth="1"/>
    <col min="11528" max="11529" width="11.140625" style="317" bestFit="1" customWidth="1"/>
    <col min="11530" max="11531" width="10.42578125" style="317" bestFit="1" customWidth="1"/>
    <col min="11532" max="11533" width="11.7109375" style="317" bestFit="1" customWidth="1"/>
    <col min="11534" max="11534" width="10.7109375" style="317" bestFit="1" customWidth="1"/>
    <col min="11535" max="11536" width="11.7109375" style="317" bestFit="1" customWidth="1"/>
    <col min="11537" max="11537" width="10.140625" style="317" bestFit="1" customWidth="1"/>
    <col min="11538" max="11538" width="11.140625" style="317" bestFit="1" customWidth="1"/>
    <col min="11539" max="11540" width="0" style="317" hidden="1" customWidth="1"/>
    <col min="11541" max="11776" width="9.140625" style="317"/>
    <col min="11777" max="11777" width="23.85546875" style="317" customWidth="1"/>
    <col min="11778" max="11782" width="0.140625" style="317" customWidth="1"/>
    <col min="11783" max="11783" width="10.140625" style="317" bestFit="1" customWidth="1"/>
    <col min="11784" max="11785" width="11.140625" style="317" bestFit="1" customWidth="1"/>
    <col min="11786" max="11787" width="10.42578125" style="317" bestFit="1" customWidth="1"/>
    <col min="11788" max="11789" width="11.7109375" style="317" bestFit="1" customWidth="1"/>
    <col min="11790" max="11790" width="10.7109375" style="317" bestFit="1" customWidth="1"/>
    <col min="11791" max="11792" width="11.7109375" style="317" bestFit="1" customWidth="1"/>
    <col min="11793" max="11793" width="10.140625" style="317" bestFit="1" customWidth="1"/>
    <col min="11794" max="11794" width="11.140625" style="317" bestFit="1" customWidth="1"/>
    <col min="11795" max="11796" width="0" style="317" hidden="1" customWidth="1"/>
    <col min="11797" max="12032" width="9.140625" style="317"/>
    <col min="12033" max="12033" width="23.85546875" style="317" customWidth="1"/>
    <col min="12034" max="12038" width="0.140625" style="317" customWidth="1"/>
    <col min="12039" max="12039" width="10.140625" style="317" bestFit="1" customWidth="1"/>
    <col min="12040" max="12041" width="11.140625" style="317" bestFit="1" customWidth="1"/>
    <col min="12042" max="12043" width="10.42578125" style="317" bestFit="1" customWidth="1"/>
    <col min="12044" max="12045" width="11.7109375" style="317" bestFit="1" customWidth="1"/>
    <col min="12046" max="12046" width="10.7109375" style="317" bestFit="1" customWidth="1"/>
    <col min="12047" max="12048" width="11.7109375" style="317" bestFit="1" customWidth="1"/>
    <col min="12049" max="12049" width="10.140625" style="317" bestFit="1" customWidth="1"/>
    <col min="12050" max="12050" width="11.140625" style="317" bestFit="1" customWidth="1"/>
    <col min="12051" max="12052" width="0" style="317" hidden="1" customWidth="1"/>
    <col min="12053" max="12288" width="9.140625" style="317"/>
    <col min="12289" max="12289" width="23.85546875" style="317" customWidth="1"/>
    <col min="12290" max="12294" width="0.140625" style="317" customWidth="1"/>
    <col min="12295" max="12295" width="10.140625" style="317" bestFit="1" customWidth="1"/>
    <col min="12296" max="12297" width="11.140625" style="317" bestFit="1" customWidth="1"/>
    <col min="12298" max="12299" width="10.42578125" style="317" bestFit="1" customWidth="1"/>
    <col min="12300" max="12301" width="11.7109375" style="317" bestFit="1" customWidth="1"/>
    <col min="12302" max="12302" width="10.7109375" style="317" bestFit="1" customWidth="1"/>
    <col min="12303" max="12304" width="11.7109375" style="317" bestFit="1" customWidth="1"/>
    <col min="12305" max="12305" width="10.140625" style="317" bestFit="1" customWidth="1"/>
    <col min="12306" max="12306" width="11.140625" style="317" bestFit="1" customWidth="1"/>
    <col min="12307" max="12308" width="0" style="317" hidden="1" customWidth="1"/>
    <col min="12309" max="12544" width="9.140625" style="317"/>
    <col min="12545" max="12545" width="23.85546875" style="317" customWidth="1"/>
    <col min="12546" max="12550" width="0.140625" style="317" customWidth="1"/>
    <col min="12551" max="12551" width="10.140625" style="317" bestFit="1" customWidth="1"/>
    <col min="12552" max="12553" width="11.140625" style="317" bestFit="1" customWidth="1"/>
    <col min="12554" max="12555" width="10.42578125" style="317" bestFit="1" customWidth="1"/>
    <col min="12556" max="12557" width="11.7109375" style="317" bestFit="1" customWidth="1"/>
    <col min="12558" max="12558" width="10.7109375" style="317" bestFit="1" customWidth="1"/>
    <col min="12559" max="12560" width="11.7109375" style="317" bestFit="1" customWidth="1"/>
    <col min="12561" max="12561" width="10.140625" style="317" bestFit="1" customWidth="1"/>
    <col min="12562" max="12562" width="11.140625" style="317" bestFit="1" customWidth="1"/>
    <col min="12563" max="12564" width="0" style="317" hidden="1" customWidth="1"/>
    <col min="12565" max="12800" width="9.140625" style="317"/>
    <col min="12801" max="12801" width="23.85546875" style="317" customWidth="1"/>
    <col min="12802" max="12806" width="0.140625" style="317" customWidth="1"/>
    <col min="12807" max="12807" width="10.140625" style="317" bestFit="1" customWidth="1"/>
    <col min="12808" max="12809" width="11.140625" style="317" bestFit="1" customWidth="1"/>
    <col min="12810" max="12811" width="10.42578125" style="317" bestFit="1" customWidth="1"/>
    <col min="12812" max="12813" width="11.7109375" style="317" bestFit="1" customWidth="1"/>
    <col min="12814" max="12814" width="10.7109375" style="317" bestFit="1" customWidth="1"/>
    <col min="12815" max="12816" width="11.7109375" style="317" bestFit="1" customWidth="1"/>
    <col min="12817" max="12817" width="10.140625" style="317" bestFit="1" customWidth="1"/>
    <col min="12818" max="12818" width="11.140625" style="317" bestFit="1" customWidth="1"/>
    <col min="12819" max="12820" width="0" style="317" hidden="1" customWidth="1"/>
    <col min="12821" max="13056" width="9.140625" style="317"/>
    <col min="13057" max="13057" width="23.85546875" style="317" customWidth="1"/>
    <col min="13058" max="13062" width="0.140625" style="317" customWidth="1"/>
    <col min="13063" max="13063" width="10.140625" style="317" bestFit="1" customWidth="1"/>
    <col min="13064" max="13065" width="11.140625" style="317" bestFit="1" customWidth="1"/>
    <col min="13066" max="13067" width="10.42578125" style="317" bestFit="1" customWidth="1"/>
    <col min="13068" max="13069" width="11.7109375" style="317" bestFit="1" customWidth="1"/>
    <col min="13070" max="13070" width="10.7109375" style="317" bestFit="1" customWidth="1"/>
    <col min="13071" max="13072" width="11.7109375" style="317" bestFit="1" customWidth="1"/>
    <col min="13073" max="13073" width="10.140625" style="317" bestFit="1" customWidth="1"/>
    <col min="13074" max="13074" width="11.140625" style="317" bestFit="1" customWidth="1"/>
    <col min="13075" max="13076" width="0" style="317" hidden="1" customWidth="1"/>
    <col min="13077" max="13312" width="9.140625" style="317"/>
    <col min="13313" max="13313" width="23.85546875" style="317" customWidth="1"/>
    <col min="13314" max="13318" width="0.140625" style="317" customWidth="1"/>
    <col min="13319" max="13319" width="10.140625" style="317" bestFit="1" customWidth="1"/>
    <col min="13320" max="13321" width="11.140625" style="317" bestFit="1" customWidth="1"/>
    <col min="13322" max="13323" width="10.42578125" style="317" bestFit="1" customWidth="1"/>
    <col min="13324" max="13325" width="11.7109375" style="317" bestFit="1" customWidth="1"/>
    <col min="13326" max="13326" width="10.7109375" style="317" bestFit="1" customWidth="1"/>
    <col min="13327" max="13328" width="11.7109375" style="317" bestFit="1" customWidth="1"/>
    <col min="13329" max="13329" width="10.140625" style="317" bestFit="1" customWidth="1"/>
    <col min="13330" max="13330" width="11.140625" style="317" bestFit="1" customWidth="1"/>
    <col min="13331" max="13332" width="0" style="317" hidden="1" customWidth="1"/>
    <col min="13333" max="13568" width="9.140625" style="317"/>
    <col min="13569" max="13569" width="23.85546875" style="317" customWidth="1"/>
    <col min="13570" max="13574" width="0.140625" style="317" customWidth="1"/>
    <col min="13575" max="13575" width="10.140625" style="317" bestFit="1" customWidth="1"/>
    <col min="13576" max="13577" width="11.140625" style="317" bestFit="1" customWidth="1"/>
    <col min="13578" max="13579" width="10.42578125" style="317" bestFit="1" customWidth="1"/>
    <col min="13580" max="13581" width="11.7109375" style="317" bestFit="1" customWidth="1"/>
    <col min="13582" max="13582" width="10.7109375" style="317" bestFit="1" customWidth="1"/>
    <col min="13583" max="13584" width="11.7109375" style="317" bestFit="1" customWidth="1"/>
    <col min="13585" max="13585" width="10.140625" style="317" bestFit="1" customWidth="1"/>
    <col min="13586" max="13586" width="11.140625" style="317" bestFit="1" customWidth="1"/>
    <col min="13587" max="13588" width="0" style="317" hidden="1" customWidth="1"/>
    <col min="13589" max="13824" width="9.140625" style="317"/>
    <col min="13825" max="13825" width="23.85546875" style="317" customWidth="1"/>
    <col min="13826" max="13830" width="0.140625" style="317" customWidth="1"/>
    <col min="13831" max="13831" width="10.140625" style="317" bestFit="1" customWidth="1"/>
    <col min="13832" max="13833" width="11.140625" style="317" bestFit="1" customWidth="1"/>
    <col min="13834" max="13835" width="10.42578125" style="317" bestFit="1" customWidth="1"/>
    <col min="13836" max="13837" width="11.7109375" style="317" bestFit="1" customWidth="1"/>
    <col min="13838" max="13838" width="10.7109375" style="317" bestFit="1" customWidth="1"/>
    <col min="13839" max="13840" width="11.7109375" style="317" bestFit="1" customWidth="1"/>
    <col min="13841" max="13841" width="10.140625" style="317" bestFit="1" customWidth="1"/>
    <col min="13842" max="13842" width="11.140625" style="317" bestFit="1" customWidth="1"/>
    <col min="13843" max="13844" width="0" style="317" hidden="1" customWidth="1"/>
    <col min="13845" max="14080" width="9.140625" style="317"/>
    <col min="14081" max="14081" width="23.85546875" style="317" customWidth="1"/>
    <col min="14082" max="14086" width="0.140625" style="317" customWidth="1"/>
    <col min="14087" max="14087" width="10.140625" style="317" bestFit="1" customWidth="1"/>
    <col min="14088" max="14089" width="11.140625" style="317" bestFit="1" customWidth="1"/>
    <col min="14090" max="14091" width="10.42578125" style="317" bestFit="1" customWidth="1"/>
    <col min="14092" max="14093" width="11.7109375" style="317" bestFit="1" customWidth="1"/>
    <col min="14094" max="14094" width="10.7109375" style="317" bestFit="1" customWidth="1"/>
    <col min="14095" max="14096" width="11.7109375" style="317" bestFit="1" customWidth="1"/>
    <col min="14097" max="14097" width="10.140625" style="317" bestFit="1" customWidth="1"/>
    <col min="14098" max="14098" width="11.140625" style="317" bestFit="1" customWidth="1"/>
    <col min="14099" max="14100" width="0" style="317" hidden="1" customWidth="1"/>
    <col min="14101" max="14336" width="9.140625" style="317"/>
    <col min="14337" max="14337" width="23.85546875" style="317" customWidth="1"/>
    <col min="14338" max="14342" width="0.140625" style="317" customWidth="1"/>
    <col min="14343" max="14343" width="10.140625" style="317" bestFit="1" customWidth="1"/>
    <col min="14344" max="14345" width="11.140625" style="317" bestFit="1" customWidth="1"/>
    <col min="14346" max="14347" width="10.42578125" style="317" bestFit="1" customWidth="1"/>
    <col min="14348" max="14349" width="11.7109375" style="317" bestFit="1" customWidth="1"/>
    <col min="14350" max="14350" width="10.7109375" style="317" bestFit="1" customWidth="1"/>
    <col min="14351" max="14352" width="11.7109375" style="317" bestFit="1" customWidth="1"/>
    <col min="14353" max="14353" width="10.140625" style="317" bestFit="1" customWidth="1"/>
    <col min="14354" max="14354" width="11.140625" style="317" bestFit="1" customWidth="1"/>
    <col min="14355" max="14356" width="0" style="317" hidden="1" customWidth="1"/>
    <col min="14357" max="14592" width="9.140625" style="317"/>
    <col min="14593" max="14593" width="23.85546875" style="317" customWidth="1"/>
    <col min="14594" max="14598" width="0.140625" style="317" customWidth="1"/>
    <col min="14599" max="14599" width="10.140625" style="317" bestFit="1" customWidth="1"/>
    <col min="14600" max="14601" width="11.140625" style="317" bestFit="1" customWidth="1"/>
    <col min="14602" max="14603" width="10.42578125" style="317" bestFit="1" customWidth="1"/>
    <col min="14604" max="14605" width="11.7109375" style="317" bestFit="1" customWidth="1"/>
    <col min="14606" max="14606" width="10.7109375" style="317" bestFit="1" customWidth="1"/>
    <col min="14607" max="14608" width="11.7109375" style="317" bestFit="1" customWidth="1"/>
    <col min="14609" max="14609" width="10.140625" style="317" bestFit="1" customWidth="1"/>
    <col min="14610" max="14610" width="11.140625" style="317" bestFit="1" customWidth="1"/>
    <col min="14611" max="14612" width="0" style="317" hidden="1" customWidth="1"/>
    <col min="14613" max="14848" width="9.140625" style="317"/>
    <col min="14849" max="14849" width="23.85546875" style="317" customWidth="1"/>
    <col min="14850" max="14854" width="0.140625" style="317" customWidth="1"/>
    <col min="14855" max="14855" width="10.140625" style="317" bestFit="1" customWidth="1"/>
    <col min="14856" max="14857" width="11.140625" style="317" bestFit="1" customWidth="1"/>
    <col min="14858" max="14859" width="10.42578125" style="317" bestFit="1" customWidth="1"/>
    <col min="14860" max="14861" width="11.7109375" style="317" bestFit="1" customWidth="1"/>
    <col min="14862" max="14862" width="10.7109375" style="317" bestFit="1" customWidth="1"/>
    <col min="14863" max="14864" width="11.7109375" style="317" bestFit="1" customWidth="1"/>
    <col min="14865" max="14865" width="10.140625" style="317" bestFit="1" customWidth="1"/>
    <col min="14866" max="14866" width="11.140625" style="317" bestFit="1" customWidth="1"/>
    <col min="14867" max="14868" width="0" style="317" hidden="1" customWidth="1"/>
    <col min="14869" max="15104" width="9.140625" style="317"/>
    <col min="15105" max="15105" width="23.85546875" style="317" customWidth="1"/>
    <col min="15106" max="15110" width="0.140625" style="317" customWidth="1"/>
    <col min="15111" max="15111" width="10.140625" style="317" bestFit="1" customWidth="1"/>
    <col min="15112" max="15113" width="11.140625" style="317" bestFit="1" customWidth="1"/>
    <col min="15114" max="15115" width="10.42578125" style="317" bestFit="1" customWidth="1"/>
    <col min="15116" max="15117" width="11.7109375" style="317" bestFit="1" customWidth="1"/>
    <col min="15118" max="15118" width="10.7109375" style="317" bestFit="1" customWidth="1"/>
    <col min="15119" max="15120" width="11.7109375" style="317" bestFit="1" customWidth="1"/>
    <col min="15121" max="15121" width="10.140625" style="317" bestFit="1" customWidth="1"/>
    <col min="15122" max="15122" width="11.140625" style="317" bestFit="1" customWidth="1"/>
    <col min="15123" max="15124" width="0" style="317" hidden="1" customWidth="1"/>
    <col min="15125" max="15360" width="9.140625" style="317"/>
    <col min="15361" max="15361" width="23.85546875" style="317" customWidth="1"/>
    <col min="15362" max="15366" width="0.140625" style="317" customWidth="1"/>
    <col min="15367" max="15367" width="10.140625" style="317" bestFit="1" customWidth="1"/>
    <col min="15368" max="15369" width="11.140625" style="317" bestFit="1" customWidth="1"/>
    <col min="15370" max="15371" width="10.42578125" style="317" bestFit="1" customWidth="1"/>
    <col min="15372" max="15373" width="11.7109375" style="317" bestFit="1" customWidth="1"/>
    <col min="15374" max="15374" width="10.7109375" style="317" bestFit="1" customWidth="1"/>
    <col min="15375" max="15376" width="11.7109375" style="317" bestFit="1" customWidth="1"/>
    <col min="15377" max="15377" width="10.140625" style="317" bestFit="1" customWidth="1"/>
    <col min="15378" max="15378" width="11.140625" style="317" bestFit="1" customWidth="1"/>
    <col min="15379" max="15380" width="0" style="317" hidden="1" customWidth="1"/>
    <col min="15381" max="15616" width="9.140625" style="317"/>
    <col min="15617" max="15617" width="23.85546875" style="317" customWidth="1"/>
    <col min="15618" max="15622" width="0.140625" style="317" customWidth="1"/>
    <col min="15623" max="15623" width="10.140625" style="317" bestFit="1" customWidth="1"/>
    <col min="15624" max="15625" width="11.140625" style="317" bestFit="1" customWidth="1"/>
    <col min="15626" max="15627" width="10.42578125" style="317" bestFit="1" customWidth="1"/>
    <col min="15628" max="15629" width="11.7109375" style="317" bestFit="1" customWidth="1"/>
    <col min="15630" max="15630" width="10.7109375" style="317" bestFit="1" customWidth="1"/>
    <col min="15631" max="15632" width="11.7109375" style="317" bestFit="1" customWidth="1"/>
    <col min="15633" max="15633" width="10.140625" style="317" bestFit="1" customWidth="1"/>
    <col min="15634" max="15634" width="11.140625" style="317" bestFit="1" customWidth="1"/>
    <col min="15635" max="15636" width="0" style="317" hidden="1" customWidth="1"/>
    <col min="15637" max="15872" width="9.140625" style="317"/>
    <col min="15873" max="15873" width="23.85546875" style="317" customWidth="1"/>
    <col min="15874" max="15878" width="0.140625" style="317" customWidth="1"/>
    <col min="15879" max="15879" width="10.140625" style="317" bestFit="1" customWidth="1"/>
    <col min="15880" max="15881" width="11.140625" style="317" bestFit="1" customWidth="1"/>
    <col min="15882" max="15883" width="10.42578125" style="317" bestFit="1" customWidth="1"/>
    <col min="15884" max="15885" width="11.7109375" style="317" bestFit="1" customWidth="1"/>
    <col min="15886" max="15886" width="10.7109375" style="317" bestFit="1" customWidth="1"/>
    <col min="15887" max="15888" width="11.7109375" style="317" bestFit="1" customWidth="1"/>
    <col min="15889" max="15889" width="10.140625" style="317" bestFit="1" customWidth="1"/>
    <col min="15890" max="15890" width="11.140625" style="317" bestFit="1" customWidth="1"/>
    <col min="15891" max="15892" width="0" style="317" hidden="1" customWidth="1"/>
    <col min="15893" max="16128" width="9.140625" style="317"/>
    <col min="16129" max="16129" width="23.85546875" style="317" customWidth="1"/>
    <col min="16130" max="16134" width="0.140625" style="317" customWidth="1"/>
    <col min="16135" max="16135" width="10.140625" style="317" bestFit="1" customWidth="1"/>
    <col min="16136" max="16137" width="11.140625" style="317" bestFit="1" customWidth="1"/>
    <col min="16138" max="16139" width="10.42578125" style="317" bestFit="1" customWidth="1"/>
    <col min="16140" max="16141" width="11.7109375" style="317" bestFit="1" customWidth="1"/>
    <col min="16142" max="16142" width="10.7109375" style="317" bestFit="1" customWidth="1"/>
    <col min="16143" max="16144" width="11.7109375" style="317" bestFit="1" customWidth="1"/>
    <col min="16145" max="16145" width="10.140625" style="317" bestFit="1" customWidth="1"/>
    <col min="16146" max="16146" width="11.140625" style="317" bestFit="1" customWidth="1"/>
    <col min="16147" max="16148" width="0" style="317" hidden="1" customWidth="1"/>
    <col min="16149" max="16384" width="9.140625" style="317"/>
  </cols>
  <sheetData>
    <row r="1" spans="1:20">
      <c r="A1" s="1188"/>
      <c r="I1" s="1402"/>
      <c r="J1" s="1402"/>
      <c r="Q1" s="1402"/>
      <c r="R1" s="1402"/>
    </row>
    <row r="2" spans="1:20">
      <c r="A2" s="1188"/>
      <c r="I2" s="1117"/>
      <c r="J2" s="1117"/>
      <c r="Q2" s="1117"/>
      <c r="R2" s="1117"/>
    </row>
    <row r="3" spans="1:20" ht="16.5" thickBot="1">
      <c r="A3" s="1188"/>
      <c r="I3" s="1175" t="s">
        <v>1582</v>
      </c>
      <c r="Q3" s="1402" t="s">
        <v>1683</v>
      </c>
      <c r="R3" s="1402"/>
    </row>
    <row r="4" spans="1:20" s="1189" customFormat="1" ht="37.5" customHeight="1">
      <c r="A4" s="823" t="s">
        <v>1058</v>
      </c>
      <c r="B4" s="824">
        <v>2009</v>
      </c>
      <c r="C4" s="824">
        <v>2011</v>
      </c>
      <c r="D4" s="824" t="s">
        <v>1583</v>
      </c>
      <c r="E4" s="825">
        <v>2017</v>
      </c>
      <c r="F4" s="825">
        <v>2018</v>
      </c>
      <c r="G4" s="825">
        <v>2019</v>
      </c>
      <c r="H4" s="825">
        <v>2020</v>
      </c>
      <c r="I4" s="825">
        <v>2021</v>
      </c>
      <c r="J4" s="825">
        <v>2022</v>
      </c>
      <c r="K4" s="825">
        <v>2023</v>
      </c>
      <c r="L4" s="825">
        <v>2024</v>
      </c>
      <c r="M4" s="825">
        <v>2025</v>
      </c>
      <c r="N4" s="826">
        <v>2026</v>
      </c>
      <c r="O4" s="826">
        <v>2027</v>
      </c>
      <c r="P4" s="826">
        <v>2028</v>
      </c>
      <c r="Q4" s="827">
        <v>2029</v>
      </c>
      <c r="R4" s="828" t="s">
        <v>943</v>
      </c>
    </row>
    <row r="5" spans="1:20" s="1113" customFormat="1" ht="51" customHeight="1">
      <c r="A5" s="1179" t="s">
        <v>1747</v>
      </c>
      <c r="B5" s="1180"/>
      <c r="C5" s="1180"/>
      <c r="D5" s="1180"/>
      <c r="E5" s="1181">
        <v>350</v>
      </c>
      <c r="F5" s="1181">
        <v>264</v>
      </c>
      <c r="G5" s="1181">
        <v>187384</v>
      </c>
      <c r="H5" s="1181">
        <v>148969</v>
      </c>
      <c r="I5" s="1181">
        <v>110554</v>
      </c>
      <c r="J5" s="1181">
        <v>72139</v>
      </c>
      <c r="K5" s="1181">
        <v>33724</v>
      </c>
      <c r="L5" s="1181">
        <v>2429</v>
      </c>
      <c r="M5" s="1181"/>
      <c r="N5" s="1182"/>
      <c r="O5" s="1110"/>
      <c r="P5" s="1110"/>
      <c r="Q5" s="1183"/>
      <c r="R5" s="1184">
        <f>SUM(G5:Q5)</f>
        <v>555199</v>
      </c>
    </row>
    <row r="6" spans="1:20" s="1113" customFormat="1" ht="24.75" customHeight="1">
      <c r="A6" s="1179" t="s">
        <v>1584</v>
      </c>
      <c r="B6" s="1180"/>
      <c r="C6" s="1180"/>
      <c r="D6" s="1180"/>
      <c r="E6" s="1181">
        <v>1036</v>
      </c>
      <c r="F6" s="1181">
        <f>1036+259</f>
        <v>1295</v>
      </c>
      <c r="G6" s="1185">
        <v>1036000</v>
      </c>
      <c r="H6" s="1185">
        <v>1036000</v>
      </c>
      <c r="I6" s="1185">
        <v>1036000</v>
      </c>
      <c r="J6" s="1185">
        <v>1036000</v>
      </c>
      <c r="K6" s="1185">
        <v>1036000</v>
      </c>
      <c r="L6" s="1185">
        <v>521000</v>
      </c>
      <c r="M6" s="1181"/>
      <c r="N6" s="1182"/>
      <c r="O6" s="1110"/>
      <c r="P6" s="1110"/>
      <c r="Q6" s="1183"/>
      <c r="R6" s="1184">
        <f>SUM(G6:Q6)</f>
        <v>5701000</v>
      </c>
      <c r="S6" s="1176">
        <f>R6-O6</f>
        <v>5701000</v>
      </c>
    </row>
    <row r="7" spans="1:20" s="1113" customFormat="1" ht="33" customHeight="1">
      <c r="A7" s="1179" t="s">
        <v>1748</v>
      </c>
      <c r="B7" s="1180"/>
      <c r="C7" s="1180"/>
      <c r="D7" s="1180"/>
      <c r="E7" s="1181">
        <v>260</v>
      </c>
      <c r="F7" s="1181">
        <v>221</v>
      </c>
      <c r="G7" s="1181">
        <v>213178</v>
      </c>
      <c r="H7" s="1181">
        <v>169449</v>
      </c>
      <c r="I7" s="1181">
        <v>125720</v>
      </c>
      <c r="J7" s="1181">
        <v>81991</v>
      </c>
      <c r="K7" s="1181">
        <v>38262</v>
      </c>
      <c r="L7" s="1181">
        <v>2733</v>
      </c>
      <c r="M7" s="1181"/>
      <c r="N7" s="1182"/>
      <c r="O7" s="1110"/>
      <c r="P7" s="1110"/>
      <c r="Q7" s="1183"/>
      <c r="R7" s="1184">
        <f t="shared" ref="R7:R18" si="0">SUM(G7:Q7)</f>
        <v>631333</v>
      </c>
    </row>
    <row r="8" spans="1:20" s="1113" customFormat="1" ht="37.5" customHeight="1">
      <c r="A8" s="1179" t="s">
        <v>1584</v>
      </c>
      <c r="B8" s="1180"/>
      <c r="C8" s="1180"/>
      <c r="D8" s="1180"/>
      <c r="E8" s="1181">
        <v>884</v>
      </c>
      <c r="F8" s="1181">
        <f>1179+295</f>
        <v>1474</v>
      </c>
      <c r="G8" s="1185">
        <v>1179312</v>
      </c>
      <c r="H8" s="1185">
        <v>1179312</v>
      </c>
      <c r="I8" s="1185">
        <v>1179312</v>
      </c>
      <c r="J8" s="1185">
        <v>1179312</v>
      </c>
      <c r="K8" s="1185">
        <v>1179312</v>
      </c>
      <c r="L8" s="1185">
        <v>589611</v>
      </c>
      <c r="M8" s="1185"/>
      <c r="N8" s="1182"/>
      <c r="O8" s="1110"/>
      <c r="P8" s="1110"/>
      <c r="Q8" s="1183"/>
      <c r="R8" s="1184">
        <f t="shared" si="0"/>
        <v>6486171</v>
      </c>
      <c r="S8" s="1176">
        <f>R8-O8</f>
        <v>6486171</v>
      </c>
    </row>
    <row r="9" spans="1:20" s="1113" customFormat="1" ht="30" customHeight="1">
      <c r="A9" s="1179" t="s">
        <v>1585</v>
      </c>
      <c r="B9" s="1180"/>
      <c r="C9" s="1180"/>
      <c r="D9" s="1180"/>
      <c r="E9" s="1181">
        <v>175</v>
      </c>
      <c r="F9" s="1181">
        <v>150</v>
      </c>
      <c r="G9" s="1181">
        <v>138458</v>
      </c>
      <c r="H9" s="1181">
        <v>110056</v>
      </c>
      <c r="I9" s="1181">
        <v>81654</v>
      </c>
      <c r="J9" s="1181">
        <v>53252</v>
      </c>
      <c r="K9" s="1181">
        <v>24850</v>
      </c>
      <c r="L9" s="1181">
        <v>1775</v>
      </c>
      <c r="M9" s="1181"/>
      <c r="N9" s="1182"/>
      <c r="O9" s="1110"/>
      <c r="P9" s="1110"/>
      <c r="Q9" s="1183"/>
      <c r="R9" s="1184">
        <f t="shared" si="0"/>
        <v>410045</v>
      </c>
    </row>
    <row r="10" spans="1:20" s="1113" customFormat="1" ht="30" customHeight="1">
      <c r="A10" s="1179" t="s">
        <v>1584</v>
      </c>
      <c r="B10" s="1180"/>
      <c r="C10" s="1180"/>
      <c r="D10" s="1180"/>
      <c r="E10" s="1181">
        <v>754</v>
      </c>
      <c r="F10" s="1181">
        <f>1007+251</f>
        <v>1258</v>
      </c>
      <c r="G10" s="1181">
        <v>765960</v>
      </c>
      <c r="H10" s="1181">
        <v>765960</v>
      </c>
      <c r="I10" s="1181">
        <v>765960</v>
      </c>
      <c r="J10" s="1181">
        <v>765960</v>
      </c>
      <c r="K10" s="1181">
        <v>765960</v>
      </c>
      <c r="L10" s="1181">
        <v>382980</v>
      </c>
      <c r="M10" s="1181"/>
      <c r="N10" s="1182"/>
      <c r="O10" s="1110"/>
      <c r="P10" s="1110"/>
      <c r="Q10" s="1183"/>
      <c r="R10" s="1184">
        <f t="shared" si="0"/>
        <v>4212780</v>
      </c>
      <c r="S10" s="1176">
        <f>R10-O10</f>
        <v>4212780</v>
      </c>
    </row>
    <row r="11" spans="1:20" s="1113" customFormat="1" ht="30" customHeight="1">
      <c r="A11" s="1179" t="s">
        <v>1586</v>
      </c>
      <c r="B11" s="1180"/>
      <c r="C11" s="1180"/>
      <c r="D11" s="1180"/>
      <c r="E11" s="1181">
        <v>215</v>
      </c>
      <c r="F11" s="1181">
        <v>187</v>
      </c>
      <c r="G11" s="1181">
        <v>137319</v>
      </c>
      <c r="H11" s="1181">
        <v>110525</v>
      </c>
      <c r="I11" s="1181">
        <v>83731</v>
      </c>
      <c r="J11" s="1181">
        <v>56937</v>
      </c>
      <c r="K11" s="1181">
        <v>30143</v>
      </c>
      <c r="L11" s="1181">
        <v>6698</v>
      </c>
      <c r="M11" s="1181"/>
      <c r="N11" s="1182"/>
      <c r="O11" s="1110"/>
      <c r="P11" s="1110"/>
      <c r="Q11" s="1183"/>
      <c r="R11" s="1184">
        <f t="shared" si="0"/>
        <v>425353</v>
      </c>
    </row>
    <row r="12" spans="1:20" s="1113" customFormat="1" ht="30" customHeight="1">
      <c r="A12" s="1179" t="s">
        <v>1584</v>
      </c>
      <c r="B12" s="1180"/>
      <c r="C12" s="1180"/>
      <c r="D12" s="1180"/>
      <c r="E12" s="1181">
        <v>928</v>
      </c>
      <c r="F12" s="1181">
        <f>1236+309</f>
        <v>1545</v>
      </c>
      <c r="G12" s="1181">
        <v>722600</v>
      </c>
      <c r="H12" s="1181">
        <v>722600</v>
      </c>
      <c r="I12" s="1181">
        <v>722600</v>
      </c>
      <c r="J12" s="1181">
        <v>722600</v>
      </c>
      <c r="K12" s="1181">
        <v>722600</v>
      </c>
      <c r="L12" s="1181">
        <v>541948</v>
      </c>
      <c r="M12" s="1181"/>
      <c r="N12" s="1182"/>
      <c r="O12" s="1110"/>
      <c r="P12" s="1110"/>
      <c r="Q12" s="1183"/>
      <c r="R12" s="1184">
        <f t="shared" si="0"/>
        <v>4154948</v>
      </c>
      <c r="S12" s="1176">
        <v>5496</v>
      </c>
      <c r="T12" s="1176">
        <f>S12-R12</f>
        <v>-4149452</v>
      </c>
    </row>
    <row r="13" spans="1:20" s="1113" customFormat="1" ht="15.75">
      <c r="A13" s="832" t="s">
        <v>1587</v>
      </c>
      <c r="B13" s="833"/>
      <c r="C13" s="1110">
        <f t="shared" ref="C13:C18" si="1">SUM(D13:M13)</f>
        <v>1051984</v>
      </c>
      <c r="D13" s="834">
        <v>1718</v>
      </c>
      <c r="E13" s="1186">
        <v>408</v>
      </c>
      <c r="F13" s="1186">
        <v>358</v>
      </c>
      <c r="G13" s="1186">
        <v>303548</v>
      </c>
      <c r="H13" s="1186">
        <v>251880</v>
      </c>
      <c r="I13" s="1186">
        <v>200212</v>
      </c>
      <c r="J13" s="1186">
        <v>148545</v>
      </c>
      <c r="K13" s="1186">
        <v>96877</v>
      </c>
      <c r="L13" s="1186">
        <v>45209</v>
      </c>
      <c r="M13" s="1186">
        <v>3229</v>
      </c>
      <c r="N13" s="1182"/>
      <c r="O13" s="1110"/>
      <c r="P13" s="1110"/>
      <c r="Q13" s="1183"/>
      <c r="R13" s="1184">
        <f t="shared" si="0"/>
        <v>1049500</v>
      </c>
    </row>
    <row r="14" spans="1:20" s="1113" customFormat="1" ht="15.75">
      <c r="A14" s="1179" t="s">
        <v>1584</v>
      </c>
      <c r="B14" s="833"/>
      <c r="C14" s="1110">
        <f t="shared" si="1"/>
        <v>7435390</v>
      </c>
      <c r="D14" s="834">
        <v>0</v>
      </c>
      <c r="E14" s="1186">
        <v>858</v>
      </c>
      <c r="F14" s="1186">
        <v>1144</v>
      </c>
      <c r="G14" s="1187">
        <v>1143600</v>
      </c>
      <c r="H14" s="1187">
        <v>1143600</v>
      </c>
      <c r="I14" s="1187">
        <v>1143600</v>
      </c>
      <c r="J14" s="1187">
        <v>1143600</v>
      </c>
      <c r="K14" s="1187">
        <v>1143600</v>
      </c>
      <c r="L14" s="1187">
        <v>1143600</v>
      </c>
      <c r="M14" s="1185">
        <v>571788</v>
      </c>
      <c r="N14" s="1182">
        <v>0</v>
      </c>
      <c r="O14" s="1110"/>
      <c r="P14" s="1110"/>
      <c r="Q14" s="1183"/>
      <c r="R14" s="1184">
        <f t="shared" si="0"/>
        <v>7433388</v>
      </c>
      <c r="S14" s="1113">
        <v>9434</v>
      </c>
      <c r="T14" s="1176">
        <f>S14-R14</f>
        <v>-7423954</v>
      </c>
    </row>
    <row r="15" spans="1:20" s="1113" customFormat="1" ht="15.75">
      <c r="A15" s="832" t="s">
        <v>1588</v>
      </c>
      <c r="B15" s="833"/>
      <c r="C15" s="1110">
        <f t="shared" si="1"/>
        <v>1060110</v>
      </c>
      <c r="D15" s="834">
        <v>1718</v>
      </c>
      <c r="E15" s="1186">
        <v>384</v>
      </c>
      <c r="F15" s="1186">
        <v>342</v>
      </c>
      <c r="G15" s="1186">
        <v>305683</v>
      </c>
      <c r="H15" s="1186">
        <v>253672</v>
      </c>
      <c r="I15" s="1186">
        <v>201661</v>
      </c>
      <c r="J15" s="1186">
        <v>149650</v>
      </c>
      <c r="K15" s="1186">
        <v>97639</v>
      </c>
      <c r="L15" s="1186">
        <v>45627</v>
      </c>
      <c r="M15" s="1186">
        <v>3734</v>
      </c>
      <c r="N15" s="1182"/>
      <c r="O15" s="1110"/>
      <c r="P15" s="1110"/>
      <c r="Q15" s="1183"/>
      <c r="R15" s="1184">
        <f t="shared" si="0"/>
        <v>1057666</v>
      </c>
    </row>
    <row r="16" spans="1:20" s="1113" customFormat="1" ht="15.75">
      <c r="A16" s="1179" t="s">
        <v>1584</v>
      </c>
      <c r="B16" s="833"/>
      <c r="C16" s="1110">
        <f t="shared" si="1"/>
        <v>7487385</v>
      </c>
      <c r="D16" s="834">
        <v>0</v>
      </c>
      <c r="E16" s="1186">
        <v>864</v>
      </c>
      <c r="F16" s="1186">
        <v>1151</v>
      </c>
      <c r="G16" s="1187">
        <v>1151200</v>
      </c>
      <c r="H16" s="1187">
        <v>1151200</v>
      </c>
      <c r="I16" s="1187">
        <v>1151200</v>
      </c>
      <c r="J16" s="1187">
        <v>1151200</v>
      </c>
      <c r="K16" s="1187">
        <v>1151200</v>
      </c>
      <c r="L16" s="1187">
        <v>1151200</v>
      </c>
      <c r="M16" s="1185">
        <v>578170</v>
      </c>
      <c r="N16" s="1182"/>
      <c r="O16" s="1110"/>
      <c r="P16" s="1110"/>
      <c r="Q16" s="1183"/>
      <c r="R16" s="1184">
        <f t="shared" si="0"/>
        <v>7485370</v>
      </c>
      <c r="S16" s="1176">
        <f>R16-O16</f>
        <v>7485370</v>
      </c>
    </row>
    <row r="17" spans="1:19" s="1113" customFormat="1" ht="31.5">
      <c r="A17" s="832" t="s">
        <v>1589</v>
      </c>
      <c r="B17" s="833"/>
      <c r="C17" s="1110">
        <f t="shared" si="1"/>
        <v>504733</v>
      </c>
      <c r="D17" s="834">
        <v>1718</v>
      </c>
      <c r="E17" s="1186">
        <v>191</v>
      </c>
      <c r="F17" s="1186">
        <v>184</v>
      </c>
      <c r="G17" s="1186">
        <v>140406</v>
      </c>
      <c r="H17" s="1186">
        <v>117483</v>
      </c>
      <c r="I17" s="1186">
        <v>94560</v>
      </c>
      <c r="J17" s="1186">
        <v>71638</v>
      </c>
      <c r="K17" s="1186">
        <v>48716</v>
      </c>
      <c r="L17" s="1186">
        <v>25793</v>
      </c>
      <c r="M17" s="1186">
        <v>4044</v>
      </c>
      <c r="N17" s="1182"/>
      <c r="O17" s="1110"/>
      <c r="P17" s="1110"/>
      <c r="Q17" s="1183"/>
      <c r="R17" s="1184">
        <f t="shared" si="0"/>
        <v>502640</v>
      </c>
    </row>
    <row r="18" spans="1:19" s="1113" customFormat="1" ht="15.75">
      <c r="A18" s="832" t="s">
        <v>1584</v>
      </c>
      <c r="B18" s="833"/>
      <c r="C18" s="1110">
        <f t="shared" si="1"/>
        <v>3425537</v>
      </c>
      <c r="D18" s="834">
        <v>0</v>
      </c>
      <c r="E18" s="1186">
        <v>286</v>
      </c>
      <c r="F18" s="1186">
        <v>571</v>
      </c>
      <c r="G18" s="1186">
        <v>507360</v>
      </c>
      <c r="H18" s="1186">
        <v>507360</v>
      </c>
      <c r="I18" s="1186">
        <v>507360</v>
      </c>
      <c r="J18" s="1186">
        <v>507360</v>
      </c>
      <c r="K18" s="1186">
        <v>507360</v>
      </c>
      <c r="L18" s="1186">
        <v>507360</v>
      </c>
      <c r="M18" s="1181">
        <v>380520</v>
      </c>
      <c r="N18" s="1182"/>
      <c r="O18" s="1110"/>
      <c r="P18" s="1110"/>
      <c r="Q18" s="1183"/>
      <c r="R18" s="1184">
        <f t="shared" si="0"/>
        <v>3424680</v>
      </c>
      <c r="S18" s="1176">
        <f>R18-O18</f>
        <v>3424680</v>
      </c>
    </row>
    <row r="19" spans="1:19" s="1177" customFormat="1" ht="30.75" customHeight="1">
      <c r="A19" s="843" t="s">
        <v>1590</v>
      </c>
      <c r="B19" s="844"/>
      <c r="C19" s="1190"/>
      <c r="D19" s="846"/>
      <c r="E19" s="1191"/>
      <c r="F19" s="1191"/>
      <c r="G19" s="1110">
        <v>164090</v>
      </c>
      <c r="H19" s="1110">
        <v>656360</v>
      </c>
      <c r="I19" s="1110">
        <v>656360</v>
      </c>
      <c r="J19" s="1110">
        <v>656360</v>
      </c>
      <c r="K19" s="1110">
        <v>656360</v>
      </c>
      <c r="L19" s="1110">
        <v>656360</v>
      </c>
      <c r="M19" s="1110">
        <v>656360</v>
      </c>
      <c r="N19" s="1110">
        <v>656360</v>
      </c>
      <c r="O19" s="1110">
        <v>656390</v>
      </c>
      <c r="P19" s="1110"/>
      <c r="Q19" s="1183"/>
      <c r="R19" s="1184">
        <f>SUM(G19:Q19)</f>
        <v>5415000</v>
      </c>
    </row>
    <row r="20" spans="1:19" s="1177" customFormat="1" ht="15.75" hidden="1">
      <c r="A20" s="843">
        <v>5415</v>
      </c>
      <c r="B20" s="844"/>
      <c r="C20" s="1190"/>
      <c r="D20" s="846"/>
      <c r="E20" s="1110">
        <f>A20-E19</f>
        <v>5415</v>
      </c>
      <c r="F20" s="1110">
        <f t="shared" ref="F20:O20" si="2">E20-F19</f>
        <v>5415</v>
      </c>
      <c r="G20" s="1110">
        <f t="shared" si="2"/>
        <v>-158675</v>
      </c>
      <c r="H20" s="1110">
        <f t="shared" si="2"/>
        <v>-815035</v>
      </c>
      <c r="I20" s="1110">
        <f t="shared" si="2"/>
        <v>-1471395</v>
      </c>
      <c r="J20" s="1110">
        <f t="shared" si="2"/>
        <v>-2127755</v>
      </c>
      <c r="K20" s="1110">
        <f t="shared" si="2"/>
        <v>-2784115</v>
      </c>
      <c r="L20" s="1110">
        <f t="shared" si="2"/>
        <v>-3440475</v>
      </c>
      <c r="M20" s="1110">
        <f t="shared" si="2"/>
        <v>-4096835</v>
      </c>
      <c r="N20" s="1110">
        <f t="shared" si="2"/>
        <v>-4753195</v>
      </c>
      <c r="O20" s="1110">
        <f t="shared" si="2"/>
        <v>-5409585</v>
      </c>
      <c r="P20" s="1110"/>
      <c r="Q20" s="1183"/>
      <c r="R20" s="1184">
        <f t="shared" ref="R20:R39" si="3">SUM(G20:Q20)</f>
        <v>-25057065</v>
      </c>
    </row>
    <row r="21" spans="1:19" s="1177" customFormat="1" ht="28.5" customHeight="1">
      <c r="A21" s="843" t="s">
        <v>1591</v>
      </c>
      <c r="B21" s="844"/>
      <c r="C21" s="1190"/>
      <c r="D21" s="846"/>
      <c r="E21" s="1110">
        <f>E20*0.04518/2</f>
        <v>122.32485</v>
      </c>
      <c r="F21" s="1110">
        <v>190</v>
      </c>
      <c r="G21" s="1110">
        <v>189000</v>
      </c>
      <c r="H21" s="1110">
        <v>170000</v>
      </c>
      <c r="I21" s="1110">
        <v>147000</v>
      </c>
      <c r="J21" s="1110">
        <v>124000</v>
      </c>
      <c r="K21" s="1110">
        <v>101000</v>
      </c>
      <c r="L21" s="1110">
        <v>78000</v>
      </c>
      <c r="M21" s="1110">
        <v>55000</v>
      </c>
      <c r="N21" s="1110">
        <v>32000</v>
      </c>
      <c r="O21" s="1110">
        <v>3000</v>
      </c>
      <c r="P21" s="1110"/>
      <c r="Q21" s="1183"/>
      <c r="R21" s="1184">
        <f t="shared" si="3"/>
        <v>899000</v>
      </c>
    </row>
    <row r="22" spans="1:19" s="1177" customFormat="1" ht="31.5">
      <c r="A22" s="843" t="s">
        <v>1592</v>
      </c>
      <c r="B22" s="844"/>
      <c r="C22" s="1190"/>
      <c r="D22" s="846"/>
      <c r="E22" s="1191"/>
      <c r="F22" s="1191"/>
      <c r="G22" s="1110">
        <v>111515</v>
      </c>
      <c r="H22" s="1110">
        <v>446060</v>
      </c>
      <c r="I22" s="1110">
        <v>446060</v>
      </c>
      <c r="J22" s="1110">
        <v>446060</v>
      </c>
      <c r="K22" s="1110">
        <v>446060</v>
      </c>
      <c r="L22" s="1110">
        <v>446060</v>
      </c>
      <c r="M22" s="1110">
        <v>446060</v>
      </c>
      <c r="N22" s="1110">
        <v>446060</v>
      </c>
      <c r="O22" s="1110">
        <v>446065</v>
      </c>
      <c r="P22" s="1110"/>
      <c r="Q22" s="1183"/>
      <c r="R22" s="1184">
        <f t="shared" si="3"/>
        <v>3680000</v>
      </c>
    </row>
    <row r="23" spans="1:19" s="1177" customFormat="1" ht="15.75" hidden="1">
      <c r="A23" s="843">
        <v>3680</v>
      </c>
      <c r="B23" s="844"/>
      <c r="C23" s="1190"/>
      <c r="D23" s="846"/>
      <c r="E23" s="1110">
        <f>A23-E22</f>
        <v>3680</v>
      </c>
      <c r="F23" s="1110">
        <f t="shared" ref="F23:O23" si="4">E23-F22</f>
        <v>3680</v>
      </c>
      <c r="G23" s="1110">
        <f t="shared" si="4"/>
        <v>-107835</v>
      </c>
      <c r="H23" s="1110">
        <f t="shared" si="4"/>
        <v>-553895</v>
      </c>
      <c r="I23" s="1110">
        <f t="shared" si="4"/>
        <v>-999955</v>
      </c>
      <c r="J23" s="1110">
        <f t="shared" si="4"/>
        <v>-1446015</v>
      </c>
      <c r="K23" s="1110">
        <f t="shared" si="4"/>
        <v>-1892075</v>
      </c>
      <c r="L23" s="1110">
        <f t="shared" si="4"/>
        <v>-2338135</v>
      </c>
      <c r="M23" s="1110">
        <f t="shared" si="4"/>
        <v>-2784195</v>
      </c>
      <c r="N23" s="1110">
        <f t="shared" si="4"/>
        <v>-3230255</v>
      </c>
      <c r="O23" s="1110">
        <f t="shared" si="4"/>
        <v>-3676320</v>
      </c>
      <c r="P23" s="1110"/>
      <c r="Q23" s="1183"/>
      <c r="R23" s="1184">
        <f t="shared" si="3"/>
        <v>-17028680</v>
      </c>
    </row>
    <row r="24" spans="1:19" s="1177" customFormat="1" ht="15.75">
      <c r="A24" s="843" t="s">
        <v>1591</v>
      </c>
      <c r="B24" s="844"/>
      <c r="C24" s="1190"/>
      <c r="D24" s="846"/>
      <c r="E24" s="1110">
        <f>E23*0.04518/2</f>
        <v>83.131199999999993</v>
      </c>
      <c r="F24" s="1110">
        <v>129</v>
      </c>
      <c r="G24" s="1110">
        <v>128000</v>
      </c>
      <c r="H24" s="1110">
        <v>116000</v>
      </c>
      <c r="I24" s="1110">
        <v>100000</v>
      </c>
      <c r="J24" s="1110">
        <v>84000</v>
      </c>
      <c r="K24" s="1110">
        <v>69000</v>
      </c>
      <c r="L24" s="1110">
        <v>53000</v>
      </c>
      <c r="M24" s="1110">
        <v>37000</v>
      </c>
      <c r="N24" s="1110">
        <v>22000</v>
      </c>
      <c r="O24" s="1110">
        <v>2000</v>
      </c>
      <c r="P24" s="1110"/>
      <c r="Q24" s="1183"/>
      <c r="R24" s="1184">
        <f t="shared" si="3"/>
        <v>611000</v>
      </c>
    </row>
    <row r="25" spans="1:19" s="1177" customFormat="1" ht="31.5">
      <c r="A25" s="843" t="s">
        <v>1593</v>
      </c>
      <c r="B25" s="844"/>
      <c r="C25" s="1190"/>
      <c r="D25" s="846"/>
      <c r="E25" s="1191"/>
      <c r="F25" s="1191"/>
      <c r="G25" s="1110">
        <v>212848</v>
      </c>
      <c r="H25" s="1110">
        <v>851392</v>
      </c>
      <c r="I25" s="1110">
        <v>851392</v>
      </c>
      <c r="J25" s="1110">
        <v>851392</v>
      </c>
      <c r="K25" s="1110">
        <f>J25</f>
        <v>851392</v>
      </c>
      <c r="L25" s="1110">
        <f>K25</f>
        <v>851392</v>
      </c>
      <c r="M25" s="1110">
        <f>L25</f>
        <v>851392</v>
      </c>
      <c r="N25" s="1110">
        <f>M25</f>
        <v>851392</v>
      </c>
      <c r="O25" s="1110">
        <v>851408</v>
      </c>
      <c r="P25" s="1110"/>
      <c r="Q25" s="1183"/>
      <c r="R25" s="1184">
        <f t="shared" si="3"/>
        <v>7024000</v>
      </c>
    </row>
    <row r="26" spans="1:19" s="1177" customFormat="1" ht="15.75" hidden="1">
      <c r="A26" s="843">
        <v>7024</v>
      </c>
      <c r="B26" s="844"/>
      <c r="C26" s="1190"/>
      <c r="D26" s="846"/>
      <c r="E26" s="1110">
        <f>A26-E25</f>
        <v>7024</v>
      </c>
      <c r="F26" s="1110">
        <f t="shared" ref="F26:O26" si="5">E26-F25</f>
        <v>7024</v>
      </c>
      <c r="G26" s="1110">
        <f t="shared" si="5"/>
        <v>-205824</v>
      </c>
      <c r="H26" s="1110">
        <f t="shared" si="5"/>
        <v>-1057216</v>
      </c>
      <c r="I26" s="1110">
        <f t="shared" si="5"/>
        <v>-1908608</v>
      </c>
      <c r="J26" s="1110">
        <f t="shared" si="5"/>
        <v>-2760000</v>
      </c>
      <c r="K26" s="1110">
        <f t="shared" si="5"/>
        <v>-3611392</v>
      </c>
      <c r="L26" s="1110">
        <f t="shared" si="5"/>
        <v>-4462784</v>
      </c>
      <c r="M26" s="1110">
        <f t="shared" si="5"/>
        <v>-5314176</v>
      </c>
      <c r="N26" s="1110">
        <f t="shared" si="5"/>
        <v>-6165568</v>
      </c>
      <c r="O26" s="1110">
        <f t="shared" si="5"/>
        <v>-7016976</v>
      </c>
      <c r="P26" s="1110"/>
      <c r="Q26" s="1183"/>
      <c r="R26" s="1184">
        <f t="shared" si="3"/>
        <v>-32502544</v>
      </c>
    </row>
    <row r="27" spans="1:19" s="1177" customFormat="1" ht="15.75">
      <c r="A27" s="843" t="s">
        <v>1591</v>
      </c>
      <c r="B27" s="844"/>
      <c r="C27" s="1190"/>
      <c r="D27" s="846"/>
      <c r="E27" s="1110">
        <f>E26*0.04518/2</f>
        <v>158.67215999999999</v>
      </c>
      <c r="F27" s="1110">
        <v>213</v>
      </c>
      <c r="G27" s="1110">
        <v>245000</v>
      </c>
      <c r="H27" s="1110">
        <v>221000</v>
      </c>
      <c r="I27" s="1110">
        <v>191000</v>
      </c>
      <c r="J27" s="1110">
        <v>161000</v>
      </c>
      <c r="K27" s="1110">
        <v>131000</v>
      </c>
      <c r="L27" s="1110">
        <v>101000</v>
      </c>
      <c r="M27" s="1110">
        <v>71000</v>
      </c>
      <c r="N27" s="1110">
        <v>41000</v>
      </c>
      <c r="O27" s="1110">
        <v>4000</v>
      </c>
      <c r="P27" s="1110"/>
      <c r="Q27" s="1183"/>
      <c r="R27" s="1184">
        <f t="shared" si="3"/>
        <v>1166000</v>
      </c>
    </row>
    <row r="28" spans="1:19" s="1177" customFormat="1" ht="31.5">
      <c r="A28" s="843" t="s">
        <v>1594</v>
      </c>
      <c r="B28" s="844"/>
      <c r="C28" s="1190"/>
      <c r="D28" s="846"/>
      <c r="E28" s="1191"/>
      <c r="F28" s="1191"/>
      <c r="G28" s="1110">
        <v>62910</v>
      </c>
      <c r="H28" s="1110">
        <v>251640</v>
      </c>
      <c r="I28" s="1110">
        <f t="shared" ref="I28:N28" si="6">H28</f>
        <v>251640</v>
      </c>
      <c r="J28" s="1110">
        <f t="shared" si="6"/>
        <v>251640</v>
      </c>
      <c r="K28" s="1110">
        <f t="shared" si="6"/>
        <v>251640</v>
      </c>
      <c r="L28" s="1110">
        <f t="shared" si="6"/>
        <v>251640</v>
      </c>
      <c r="M28" s="1110">
        <f t="shared" si="6"/>
        <v>251640</v>
      </c>
      <c r="N28" s="1110">
        <f t="shared" si="6"/>
        <v>251640</v>
      </c>
      <c r="O28" s="1110">
        <v>251610</v>
      </c>
      <c r="P28" s="1110"/>
      <c r="Q28" s="1183"/>
      <c r="R28" s="1184">
        <f t="shared" si="3"/>
        <v>2076000</v>
      </c>
    </row>
    <row r="29" spans="1:19" s="1177" customFormat="1" ht="15.75" hidden="1">
      <c r="A29" s="843">
        <v>2076</v>
      </c>
      <c r="B29" s="844"/>
      <c r="C29" s="1190"/>
      <c r="D29" s="846"/>
      <c r="E29" s="1110">
        <v>2076</v>
      </c>
      <c r="F29" s="1110">
        <f t="shared" ref="F29:O29" si="7">E29-F28</f>
        <v>2076</v>
      </c>
      <c r="G29" s="1110">
        <f t="shared" si="7"/>
        <v>-60834</v>
      </c>
      <c r="H29" s="1110">
        <f t="shared" si="7"/>
        <v>-312474</v>
      </c>
      <c r="I29" s="1110">
        <f t="shared" si="7"/>
        <v>-564114</v>
      </c>
      <c r="J29" s="1110">
        <f t="shared" si="7"/>
        <v>-815754</v>
      </c>
      <c r="K29" s="1110">
        <f t="shared" si="7"/>
        <v>-1067394</v>
      </c>
      <c r="L29" s="1110">
        <f t="shared" si="7"/>
        <v>-1319034</v>
      </c>
      <c r="M29" s="1110">
        <f t="shared" si="7"/>
        <v>-1570674</v>
      </c>
      <c r="N29" s="1110">
        <f t="shared" si="7"/>
        <v>-1822314</v>
      </c>
      <c r="O29" s="1110">
        <f t="shared" si="7"/>
        <v>-2073924</v>
      </c>
      <c r="P29" s="1110"/>
      <c r="Q29" s="1183"/>
      <c r="R29" s="1184">
        <f t="shared" si="3"/>
        <v>-9606516</v>
      </c>
    </row>
    <row r="30" spans="1:19" s="1177" customFormat="1" ht="15.75">
      <c r="A30" s="843" t="s">
        <v>1591</v>
      </c>
      <c r="B30" s="844"/>
      <c r="C30" s="1190"/>
      <c r="D30" s="846"/>
      <c r="E30" s="1110">
        <f>E29*0.04518/2</f>
        <v>46.896839999999997</v>
      </c>
      <c r="F30" s="1110">
        <v>73</v>
      </c>
      <c r="G30" s="1110">
        <v>70290</v>
      </c>
      <c r="H30" s="1110">
        <v>63097</v>
      </c>
      <c r="I30" s="1110">
        <v>54244</v>
      </c>
      <c r="J30" s="1110">
        <v>45392</v>
      </c>
      <c r="K30" s="1110">
        <v>36539</v>
      </c>
      <c r="L30" s="1110">
        <v>27686</v>
      </c>
      <c r="M30" s="1110">
        <v>18834</v>
      </c>
      <c r="N30" s="1110">
        <v>9981</v>
      </c>
      <c r="O30" s="1110">
        <v>559</v>
      </c>
      <c r="P30" s="1110"/>
      <c r="Q30" s="1183"/>
      <c r="R30" s="1184">
        <f t="shared" si="3"/>
        <v>326622</v>
      </c>
    </row>
    <row r="31" spans="1:19" s="1177" customFormat="1" ht="15.75">
      <c r="A31" s="843" t="s">
        <v>1749</v>
      </c>
      <c r="B31" s="844"/>
      <c r="C31" s="1190"/>
      <c r="D31" s="846"/>
      <c r="E31" s="1191"/>
      <c r="F31" s="1191"/>
      <c r="G31" s="1110">
        <v>92121</v>
      </c>
      <c r="H31" s="1110">
        <v>368484</v>
      </c>
      <c r="I31" s="1110">
        <f t="shared" ref="I31:N31" si="8">H31</f>
        <v>368484</v>
      </c>
      <c r="J31" s="1110">
        <f t="shared" si="8"/>
        <v>368484</v>
      </c>
      <c r="K31" s="1110">
        <f t="shared" si="8"/>
        <v>368484</v>
      </c>
      <c r="L31" s="1110">
        <f t="shared" si="8"/>
        <v>368484</v>
      </c>
      <c r="M31" s="1110">
        <f t="shared" si="8"/>
        <v>368484</v>
      </c>
      <c r="N31" s="1110">
        <f t="shared" si="8"/>
        <v>368484</v>
      </c>
      <c r="O31" s="1110">
        <v>368491</v>
      </c>
      <c r="P31" s="1110"/>
      <c r="Q31" s="1183"/>
      <c r="R31" s="1184">
        <f t="shared" si="3"/>
        <v>3040000</v>
      </c>
    </row>
    <row r="32" spans="1:19" s="1177" customFormat="1" ht="15.75" hidden="1">
      <c r="A32" s="843">
        <v>3040</v>
      </c>
      <c r="B32" s="844"/>
      <c r="C32" s="1190"/>
      <c r="D32" s="846"/>
      <c r="E32" s="1110">
        <f>A32-E31</f>
        <v>3040</v>
      </c>
      <c r="F32" s="1110">
        <f t="shared" ref="F32:O32" si="9">E32-F31</f>
        <v>3040</v>
      </c>
      <c r="G32" s="1110">
        <f t="shared" si="9"/>
        <v>-89081</v>
      </c>
      <c r="H32" s="1110">
        <f t="shared" si="9"/>
        <v>-457565</v>
      </c>
      <c r="I32" s="1110">
        <f t="shared" si="9"/>
        <v>-826049</v>
      </c>
      <c r="J32" s="1110">
        <f t="shared" si="9"/>
        <v>-1194533</v>
      </c>
      <c r="K32" s="1110">
        <f t="shared" si="9"/>
        <v>-1563017</v>
      </c>
      <c r="L32" s="1110">
        <f t="shared" si="9"/>
        <v>-1931501</v>
      </c>
      <c r="M32" s="1110">
        <f t="shared" si="9"/>
        <v>-2299985</v>
      </c>
      <c r="N32" s="1110">
        <f t="shared" si="9"/>
        <v>-2668469</v>
      </c>
      <c r="O32" s="1110">
        <f t="shared" si="9"/>
        <v>-3036960</v>
      </c>
      <c r="P32" s="1110"/>
      <c r="Q32" s="1183"/>
      <c r="R32" s="1184">
        <f t="shared" si="3"/>
        <v>-14067160</v>
      </c>
    </row>
    <row r="33" spans="1:21" s="1177" customFormat="1" ht="15.75">
      <c r="A33" s="843" t="s">
        <v>1591</v>
      </c>
      <c r="B33" s="844"/>
      <c r="C33" s="1190"/>
      <c r="D33" s="846"/>
      <c r="E33" s="1110">
        <f>E32*0.04518/2</f>
        <v>68.673599999999993</v>
      </c>
      <c r="F33" s="1110">
        <v>107</v>
      </c>
      <c r="G33" s="1110">
        <v>106000</v>
      </c>
      <c r="H33" s="1110">
        <v>96000</v>
      </c>
      <c r="I33" s="1110">
        <v>83000</v>
      </c>
      <c r="J33" s="1110">
        <v>69000</v>
      </c>
      <c r="K33" s="1110">
        <v>56000</v>
      </c>
      <c r="L33" s="1110">
        <v>44000</v>
      </c>
      <c r="M33" s="1110">
        <v>31000</v>
      </c>
      <c r="N33" s="1110">
        <v>18000</v>
      </c>
      <c r="O33" s="1110">
        <v>2000</v>
      </c>
      <c r="P33" s="1110"/>
      <c r="Q33" s="1183"/>
      <c r="R33" s="1184">
        <f t="shared" si="3"/>
        <v>505000</v>
      </c>
    </row>
    <row r="34" spans="1:21" s="1177" customFormat="1" ht="15.75">
      <c r="A34" s="843" t="s">
        <v>1750</v>
      </c>
      <c r="B34" s="844"/>
      <c r="C34" s="1190"/>
      <c r="D34" s="846"/>
      <c r="E34" s="1191"/>
      <c r="F34" s="1191"/>
      <c r="G34" s="1110">
        <v>287879</v>
      </c>
      <c r="H34" s="1110">
        <v>1151516</v>
      </c>
      <c r="I34" s="1110">
        <f>H34</f>
        <v>1151516</v>
      </c>
      <c r="J34" s="1110">
        <f>I34</f>
        <v>1151516</v>
      </c>
      <c r="K34" s="1110">
        <f>J34</f>
        <v>1151516</v>
      </c>
      <c r="L34" s="1110">
        <f>K34</f>
        <v>1151516</v>
      </c>
      <c r="M34" s="1110">
        <v>1151516</v>
      </c>
      <c r="N34" s="1110">
        <v>1151516</v>
      </c>
      <c r="O34" s="1110">
        <v>1151509</v>
      </c>
      <c r="P34" s="1110"/>
      <c r="Q34" s="1183"/>
      <c r="R34" s="1184">
        <f t="shared" si="3"/>
        <v>9500000</v>
      </c>
    </row>
    <row r="35" spans="1:21" s="1177" customFormat="1" ht="15.75" hidden="1">
      <c r="A35" s="843">
        <v>9500</v>
      </c>
      <c r="B35" s="844"/>
      <c r="C35" s="1190"/>
      <c r="D35" s="846"/>
      <c r="E35" s="1110">
        <f>A35-E34</f>
        <v>9500</v>
      </c>
      <c r="F35" s="1110">
        <f t="shared" ref="F35:O35" si="10">E35-F34</f>
        <v>9500</v>
      </c>
      <c r="G35" s="1110">
        <f t="shared" si="10"/>
        <v>-278379</v>
      </c>
      <c r="H35" s="1110">
        <f t="shared" si="10"/>
        <v>-1429895</v>
      </c>
      <c r="I35" s="1110">
        <f t="shared" si="10"/>
        <v>-2581411</v>
      </c>
      <c r="J35" s="1110">
        <f t="shared" si="10"/>
        <v>-3732927</v>
      </c>
      <c r="K35" s="1110">
        <f t="shared" si="10"/>
        <v>-4884443</v>
      </c>
      <c r="L35" s="1110">
        <f t="shared" si="10"/>
        <v>-6035959</v>
      </c>
      <c r="M35" s="1110">
        <f t="shared" si="10"/>
        <v>-7187475</v>
      </c>
      <c r="N35" s="1110">
        <f t="shared" si="10"/>
        <v>-8338991</v>
      </c>
      <c r="O35" s="1110">
        <f t="shared" si="10"/>
        <v>-9490500</v>
      </c>
      <c r="P35" s="1110"/>
      <c r="Q35" s="1183"/>
      <c r="R35" s="1184">
        <f t="shared" si="3"/>
        <v>-43959980</v>
      </c>
    </row>
    <row r="36" spans="1:21" s="1177" customFormat="1" ht="15.75">
      <c r="A36" s="843" t="s">
        <v>1591</v>
      </c>
      <c r="B36" s="844"/>
      <c r="C36" s="1190"/>
      <c r="D36" s="846"/>
      <c r="E36" s="1110">
        <f>E35*0.04518/2</f>
        <v>214.60499999999999</v>
      </c>
      <c r="F36" s="1110">
        <v>334</v>
      </c>
      <c r="G36" s="1110">
        <v>331678</v>
      </c>
      <c r="H36" s="1110">
        <v>298764</v>
      </c>
      <c r="I36" s="1110">
        <v>258253</v>
      </c>
      <c r="J36" s="1110">
        <v>217743</v>
      </c>
      <c r="K36" s="1110">
        <v>177233</v>
      </c>
      <c r="L36" s="1110">
        <v>136722</v>
      </c>
      <c r="M36" s="1110">
        <v>86212</v>
      </c>
      <c r="N36" s="1110">
        <v>55701</v>
      </c>
      <c r="O36" s="1110">
        <v>12659</v>
      </c>
      <c r="P36" s="1110"/>
      <c r="Q36" s="1183"/>
      <c r="R36" s="1184">
        <f t="shared" si="3"/>
        <v>1574965</v>
      </c>
    </row>
    <row r="37" spans="1:21" s="1177" customFormat="1" ht="15.75" hidden="1">
      <c r="A37" s="843"/>
      <c r="B37" s="844"/>
      <c r="C37" s="1190"/>
      <c r="D37" s="846"/>
      <c r="E37" s="1191"/>
      <c r="F37" s="1191"/>
      <c r="G37" s="1110"/>
      <c r="H37" s="1110"/>
      <c r="I37" s="1110"/>
      <c r="J37" s="1110"/>
      <c r="K37" s="1110"/>
      <c r="L37" s="1110"/>
      <c r="M37" s="1110"/>
      <c r="N37" s="1110"/>
      <c r="O37" s="1110"/>
      <c r="P37" s="1110"/>
      <c r="Q37" s="1183"/>
      <c r="R37" s="1184"/>
    </row>
    <row r="38" spans="1:21" s="1177" customFormat="1" ht="15.75" hidden="1">
      <c r="A38" s="843">
        <v>1045</v>
      </c>
      <c r="B38" s="844"/>
      <c r="C38" s="1190"/>
      <c r="D38" s="846"/>
      <c r="E38" s="1110">
        <f>A38-E37</f>
        <v>1045</v>
      </c>
      <c r="F38" s="1110">
        <f t="shared" ref="F38:O38" si="11">E38-F37</f>
        <v>1045</v>
      </c>
      <c r="G38" s="1110">
        <f t="shared" si="11"/>
        <v>1045</v>
      </c>
      <c r="H38" s="1110">
        <f t="shared" si="11"/>
        <v>1045</v>
      </c>
      <c r="I38" s="1110">
        <f t="shared" si="11"/>
        <v>1045</v>
      </c>
      <c r="J38" s="1110">
        <f t="shared" si="11"/>
        <v>1045</v>
      </c>
      <c r="K38" s="1110">
        <f t="shared" si="11"/>
        <v>1045</v>
      </c>
      <c r="L38" s="1110">
        <f t="shared" si="11"/>
        <v>1045</v>
      </c>
      <c r="M38" s="1110">
        <f t="shared" si="11"/>
        <v>1045</v>
      </c>
      <c r="N38" s="1110">
        <f t="shared" si="11"/>
        <v>1045</v>
      </c>
      <c r="O38" s="1110">
        <f t="shared" si="11"/>
        <v>1045</v>
      </c>
      <c r="P38" s="1110"/>
      <c r="Q38" s="1183"/>
      <c r="R38" s="1184">
        <f t="shared" si="3"/>
        <v>9405</v>
      </c>
    </row>
    <row r="39" spans="1:21" s="1177" customFormat="1" ht="15.75" hidden="1">
      <c r="A39" s="843" t="s">
        <v>1591</v>
      </c>
      <c r="B39" s="844"/>
      <c r="C39" s="1190"/>
      <c r="D39" s="846"/>
      <c r="E39" s="1110">
        <f>E38*0.04518/2</f>
        <v>23.606549999999999</v>
      </c>
      <c r="F39" s="1110">
        <v>37</v>
      </c>
      <c r="G39" s="1110">
        <v>36484</v>
      </c>
      <c r="H39" s="1110">
        <v>32864</v>
      </c>
      <c r="I39" s="1110">
        <v>28407</v>
      </c>
      <c r="J39" s="1110">
        <v>23950</v>
      </c>
      <c r="K39" s="1110">
        <v>19494</v>
      </c>
      <c r="L39" s="1110">
        <v>15037</v>
      </c>
      <c r="M39" s="1110">
        <v>10581</v>
      </c>
      <c r="N39" s="1110">
        <v>6124</v>
      </c>
      <c r="O39" s="1110">
        <v>556</v>
      </c>
      <c r="P39" s="1110"/>
      <c r="Q39" s="1183"/>
      <c r="R39" s="1184">
        <f t="shared" si="3"/>
        <v>173497</v>
      </c>
    </row>
    <row r="40" spans="1:21" s="1177" customFormat="1" ht="33" customHeight="1">
      <c r="A40" s="1198" t="str">
        <f>[2]finanszírozás!A81</f>
        <v>Többcélú finanszírozási hitel</v>
      </c>
      <c r="B40" s="844"/>
      <c r="C40" s="1190"/>
      <c r="D40" s="846"/>
      <c r="E40" s="1191"/>
      <c r="F40" s="1191"/>
      <c r="G40" s="1190"/>
      <c r="H40" s="1190">
        <f>R40/9/4</f>
        <v>6889971.861111111</v>
      </c>
      <c r="I40" s="1190">
        <f>R40/8</f>
        <v>31004873.375</v>
      </c>
      <c r="J40" s="1190">
        <f t="shared" ref="J40:O40" si="12">I40</f>
        <v>31004873.375</v>
      </c>
      <c r="K40" s="1190">
        <f t="shared" si="12"/>
        <v>31004873.375</v>
      </c>
      <c r="L40" s="1190">
        <f t="shared" si="12"/>
        <v>31004873.375</v>
      </c>
      <c r="M40" s="1190">
        <f t="shared" si="12"/>
        <v>31004873.375</v>
      </c>
      <c r="N40" s="1190">
        <f t="shared" si="12"/>
        <v>31004873.375</v>
      </c>
      <c r="O40" s="1190">
        <f t="shared" si="12"/>
        <v>31004873.375</v>
      </c>
      <c r="P40" s="1190">
        <v>24114902</v>
      </c>
      <c r="Q40" s="1190"/>
      <c r="R40" s="1199">
        <f>'7.a  finanszírozás'!C77+'7.a  finanszírozás'!B87</f>
        <v>248038987</v>
      </c>
      <c r="U40" s="1178">
        <f>R40-SUM(H40:P40)</f>
        <v>-0.4861111044883728</v>
      </c>
    </row>
    <row r="41" spans="1:21" s="1177" customFormat="1" ht="33" hidden="1" customHeight="1">
      <c r="A41" s="1198">
        <f>[2]finanszírozás!D81</f>
        <v>0</v>
      </c>
      <c r="B41" s="844"/>
      <c r="C41" s="1190"/>
      <c r="D41" s="846"/>
      <c r="E41" s="1190"/>
      <c r="F41" s="1190">
        <f>A41</f>
        <v>0</v>
      </c>
      <c r="G41" s="1190">
        <f>A41</f>
        <v>0</v>
      </c>
      <c r="H41" s="1190">
        <f>R40-H40</f>
        <v>241149015.1388889</v>
      </c>
      <c r="I41" s="1190">
        <f t="shared" ref="I41:P41" si="13">H41-I40</f>
        <v>210144141.7638889</v>
      </c>
      <c r="J41" s="1190">
        <f t="shared" si="13"/>
        <v>179139268.3888889</v>
      </c>
      <c r="K41" s="1190">
        <f t="shared" si="13"/>
        <v>148134395.0138889</v>
      </c>
      <c r="L41" s="1190">
        <f t="shared" si="13"/>
        <v>117129521.6388889</v>
      </c>
      <c r="M41" s="1190">
        <f t="shared" si="13"/>
        <v>86124648.263888896</v>
      </c>
      <c r="N41" s="1190">
        <f t="shared" si="13"/>
        <v>55119774.888888896</v>
      </c>
      <c r="O41" s="1190">
        <f t="shared" si="13"/>
        <v>24114901.513888896</v>
      </c>
      <c r="P41" s="1190">
        <f t="shared" si="13"/>
        <v>-0.4861111044883728</v>
      </c>
      <c r="Q41" s="1200"/>
      <c r="R41" s="1199"/>
    </row>
    <row r="42" spans="1:21" s="1177" customFormat="1" ht="33" customHeight="1">
      <c r="A42" s="843" t="s">
        <v>1591</v>
      </c>
      <c r="B42" s="844"/>
      <c r="C42" s="1190"/>
      <c r="D42" s="846"/>
      <c r="E42" s="1190"/>
      <c r="F42" s="1190">
        <f>F41*0.03/2</f>
        <v>0</v>
      </c>
      <c r="G42" s="1190">
        <v>16827016</v>
      </c>
      <c r="H42" s="1190">
        <f t="shared" ref="H42:P42" si="14">H41*0.02</f>
        <v>4822980.3027777784</v>
      </c>
      <c r="I42" s="1190">
        <f t="shared" si="14"/>
        <v>4202882.8352777781</v>
      </c>
      <c r="J42" s="1190">
        <f t="shared" si="14"/>
        <v>3582785.3677777778</v>
      </c>
      <c r="K42" s="1190">
        <f t="shared" si="14"/>
        <v>2962687.900277778</v>
      </c>
      <c r="L42" s="1190">
        <f t="shared" si="14"/>
        <v>2342590.4327777778</v>
      </c>
      <c r="M42" s="1190">
        <f t="shared" si="14"/>
        <v>1722492.965277778</v>
      </c>
      <c r="N42" s="1190">
        <f t="shared" si="14"/>
        <v>1102395.497777778</v>
      </c>
      <c r="O42" s="1190">
        <f t="shared" si="14"/>
        <v>482298.03027777793</v>
      </c>
      <c r="P42" s="1190">
        <f t="shared" si="14"/>
        <v>-9.7222220897674565E-3</v>
      </c>
      <c r="Q42" s="1200"/>
      <c r="R42" s="1199">
        <f>SUM(G42:P42)</f>
        <v>38048129.322499998</v>
      </c>
    </row>
    <row r="43" spans="1:21" s="1192" customFormat="1" ht="47.25">
      <c r="A43" s="835" t="s">
        <v>1695</v>
      </c>
      <c r="B43" s="836"/>
      <c r="C43" s="837">
        <f>SUM(D43:M43)</f>
        <v>29319431.804166667</v>
      </c>
      <c r="D43" s="838">
        <v>0</v>
      </c>
      <c r="E43" s="839">
        <f>E5+E7+E9+E11+E13+E15+E17</f>
        <v>1983</v>
      </c>
      <c r="F43" s="839">
        <f>F5+F7+F9+F11+F13+F15+F17+F21+F24+F27+F30+F33+F36+F39</f>
        <v>2789</v>
      </c>
      <c r="G43" s="840">
        <f>G5+G7+G9+G11+G13+G15+G17+G21+G24+G27+G30+G33+G36+G39</f>
        <v>2532428</v>
      </c>
      <c r="H43" s="840">
        <f>H5+H7+H9+H11+H13+H15+H17+H21+H24+H27+H30+H33+H36+H39+H42</f>
        <v>6982739.3027777784</v>
      </c>
      <c r="I43" s="840">
        <f t="shared" ref="I43:Q43" si="15">I5+I7+I9+I11+I13+I15+I17+I21+I24+I27+I30+I33+I36+I39+I42</f>
        <v>5962878.8352777781</v>
      </c>
      <c r="J43" s="840">
        <f t="shared" si="15"/>
        <v>4942022.3677777778</v>
      </c>
      <c r="K43" s="840">
        <f t="shared" si="15"/>
        <v>3923164.900277778</v>
      </c>
      <c r="L43" s="840">
        <f t="shared" si="15"/>
        <v>2928299.4327777778</v>
      </c>
      <c r="M43" s="840">
        <f t="shared" si="15"/>
        <v>2043126.965277778</v>
      </c>
      <c r="N43" s="840">
        <f t="shared" si="15"/>
        <v>1287201.497777778</v>
      </c>
      <c r="O43" s="840">
        <f t="shared" si="15"/>
        <v>507072.03027777793</v>
      </c>
      <c r="P43" s="840">
        <f t="shared" si="15"/>
        <v>-9.7222220897674565E-3</v>
      </c>
      <c r="Q43" s="840">
        <f t="shared" si="15"/>
        <v>0</v>
      </c>
      <c r="R43" s="841">
        <f>R5+R7+R9+R11+R13+R15+R17+R21+R24+R27+R30+R33+R36+R39</f>
        <v>9887820</v>
      </c>
    </row>
    <row r="44" spans="1:21" s="1192" customFormat="1" ht="47.25">
      <c r="A44" s="835" t="s">
        <v>1696</v>
      </c>
      <c r="B44" s="836"/>
      <c r="C44" s="837">
        <f>SUM(D44:M44)</f>
        <v>240630209.23750001</v>
      </c>
      <c r="D44" s="838">
        <v>1718</v>
      </c>
      <c r="E44" s="839">
        <f>E6+E8+E10+E12+E14+E16+E18</f>
        <v>5610</v>
      </c>
      <c r="F44" s="839">
        <f>F6+F8+F10+F12+F14+F16+F18+F19+F22+F25+F28+F31+F34+F37</f>
        <v>8438</v>
      </c>
      <c r="G44" s="840">
        <f>G6+G8+G10+G12+G14+G16+G18+G19+G22+G25+G28+G31+G34+G37</f>
        <v>7437395</v>
      </c>
      <c r="H44" s="840">
        <f>H6+H8+H10+H12+H14+H16+H18+H19+H22+H25+H28+H31+H34+H40</f>
        <v>17121455.861111112</v>
      </c>
      <c r="I44" s="840">
        <f t="shared" ref="I44:Q44" si="16">I6+I8+I10+I12+I14+I16+I18+I22+I25+I28+I31+I34+I37+I40+I43</f>
        <v>46542876.210277781</v>
      </c>
      <c r="J44" s="840">
        <f t="shared" si="16"/>
        <v>45522019.74277778</v>
      </c>
      <c r="K44" s="840">
        <f t="shared" si="16"/>
        <v>44503162.275277779</v>
      </c>
      <c r="L44" s="840">
        <f t="shared" si="16"/>
        <v>41839963.807777777</v>
      </c>
      <c r="M44" s="840">
        <f t="shared" si="16"/>
        <v>37647570.340277776</v>
      </c>
      <c r="N44" s="840">
        <f t="shared" si="16"/>
        <v>35361166.872777775</v>
      </c>
      <c r="O44" s="840">
        <f t="shared" si="16"/>
        <v>34581028.405277781</v>
      </c>
      <c r="P44" s="840">
        <f t="shared" si="16"/>
        <v>24114901.990277778</v>
      </c>
      <c r="Q44" s="840">
        <f t="shared" si="16"/>
        <v>0</v>
      </c>
      <c r="R44" s="841">
        <f>R6+R8+R10+R12+R14+R16+R18+R19+R22+R25+R28+R31+R34+R37</f>
        <v>69633337</v>
      </c>
    </row>
    <row r="45" spans="1:21" s="1192" customFormat="1" ht="15.75">
      <c r="A45" s="835" t="s">
        <v>1697</v>
      </c>
      <c r="B45" s="836"/>
      <c r="C45" s="837"/>
      <c r="D45" s="838"/>
      <c r="E45" s="839"/>
      <c r="F45" s="839"/>
      <c r="G45" s="840"/>
      <c r="H45" s="840"/>
      <c r="I45" s="840"/>
      <c r="J45" s="840">
        <f>R45/8</f>
        <v>4375000</v>
      </c>
      <c r="K45" s="840">
        <f t="shared" ref="K45:Q45" si="17">J45</f>
        <v>4375000</v>
      </c>
      <c r="L45" s="840">
        <f t="shared" si="17"/>
        <v>4375000</v>
      </c>
      <c r="M45" s="840">
        <f t="shared" si="17"/>
        <v>4375000</v>
      </c>
      <c r="N45" s="840">
        <f t="shared" si="17"/>
        <v>4375000</v>
      </c>
      <c r="O45" s="840">
        <f t="shared" si="17"/>
        <v>4375000</v>
      </c>
      <c r="P45" s="840">
        <f t="shared" si="17"/>
        <v>4375000</v>
      </c>
      <c r="Q45" s="840">
        <f t="shared" si="17"/>
        <v>4375000</v>
      </c>
      <c r="R45" s="841">
        <v>35000000</v>
      </c>
    </row>
    <row r="46" spans="1:21" s="1192" customFormat="1" ht="15.75" hidden="1">
      <c r="A46" s="835"/>
      <c r="B46" s="836"/>
      <c r="C46" s="837"/>
      <c r="D46" s="838"/>
      <c r="E46" s="839"/>
      <c r="F46" s="839"/>
      <c r="G46" s="840"/>
      <c r="H46" s="840">
        <f>R45-H45</f>
        <v>35000000</v>
      </c>
      <c r="I46" s="840">
        <f t="shared" ref="I46:Q46" si="18">H46-I45</f>
        <v>35000000</v>
      </c>
      <c r="J46" s="840">
        <f t="shared" si="18"/>
        <v>30625000</v>
      </c>
      <c r="K46" s="840">
        <f t="shared" si="18"/>
        <v>26250000</v>
      </c>
      <c r="L46" s="840">
        <f t="shared" si="18"/>
        <v>21875000</v>
      </c>
      <c r="M46" s="840">
        <f t="shared" si="18"/>
        <v>17500000</v>
      </c>
      <c r="N46" s="840">
        <f t="shared" si="18"/>
        <v>13125000</v>
      </c>
      <c r="O46" s="840">
        <f t="shared" si="18"/>
        <v>8750000</v>
      </c>
      <c r="P46" s="840">
        <f t="shared" si="18"/>
        <v>4375000</v>
      </c>
      <c r="Q46" s="840">
        <f t="shared" si="18"/>
        <v>0</v>
      </c>
      <c r="R46" s="841"/>
    </row>
    <row r="47" spans="1:21" s="1192" customFormat="1" ht="15.75">
      <c r="A47" s="835" t="s">
        <v>1591</v>
      </c>
      <c r="B47" s="836"/>
      <c r="C47" s="837"/>
      <c r="D47" s="838"/>
      <c r="E47" s="839"/>
      <c r="F47" s="839"/>
      <c r="G47" s="840"/>
      <c r="H47" s="840">
        <f t="shared" ref="H47:Q47" si="19">H46*0.02</f>
        <v>700000</v>
      </c>
      <c r="I47" s="840">
        <f t="shared" si="19"/>
        <v>700000</v>
      </c>
      <c r="J47" s="840">
        <f t="shared" si="19"/>
        <v>612500</v>
      </c>
      <c r="K47" s="840">
        <f t="shared" si="19"/>
        <v>525000</v>
      </c>
      <c r="L47" s="840">
        <f t="shared" si="19"/>
        <v>437500</v>
      </c>
      <c r="M47" s="840">
        <f t="shared" si="19"/>
        <v>350000</v>
      </c>
      <c r="N47" s="840">
        <f t="shared" si="19"/>
        <v>262500</v>
      </c>
      <c r="O47" s="840">
        <f t="shared" si="19"/>
        <v>175000</v>
      </c>
      <c r="P47" s="840">
        <f t="shared" si="19"/>
        <v>87500</v>
      </c>
      <c r="Q47" s="840">
        <f t="shared" si="19"/>
        <v>0</v>
      </c>
      <c r="R47" s="841"/>
    </row>
    <row r="48" spans="1:21" s="335" customFormat="1" ht="15.75" hidden="1">
      <c r="A48" s="843"/>
      <c r="B48" s="844"/>
      <c r="C48" s="343"/>
      <c r="D48" s="846"/>
      <c r="E48" s="325"/>
      <c r="F48" s="325"/>
      <c r="G48" s="325"/>
      <c r="H48" s="325"/>
      <c r="I48" s="325"/>
      <c r="J48" s="325"/>
      <c r="K48" s="325"/>
      <c r="L48" s="325"/>
      <c r="M48" s="325"/>
      <c r="N48" s="325"/>
      <c r="O48" s="4"/>
      <c r="P48" s="4"/>
      <c r="Q48" s="5"/>
      <c r="R48" s="831"/>
    </row>
    <row r="49" spans="1:18" s="335" customFormat="1" ht="15.75" hidden="1">
      <c r="A49" s="843"/>
      <c r="B49" s="844"/>
      <c r="C49" s="343"/>
      <c r="D49" s="846"/>
      <c r="E49" s="847"/>
      <c r="F49" s="847"/>
      <c r="G49" s="325"/>
      <c r="H49" s="325"/>
      <c r="I49" s="325"/>
      <c r="J49" s="325"/>
      <c r="K49" s="325"/>
      <c r="L49" s="325"/>
      <c r="M49" s="325"/>
      <c r="N49" s="325"/>
      <c r="O49" s="4"/>
      <c r="P49" s="4"/>
      <c r="Q49" s="5"/>
      <c r="R49" s="831"/>
    </row>
    <row r="50" spans="1:18" s="335" customFormat="1" ht="15.75" hidden="1">
      <c r="A50" s="843"/>
      <c r="B50" s="844"/>
      <c r="C50" s="343"/>
      <c r="D50" s="846"/>
      <c r="E50" s="325"/>
      <c r="F50" s="325"/>
      <c r="G50" s="325"/>
      <c r="H50" s="325"/>
      <c r="I50" s="325"/>
      <c r="J50" s="325"/>
      <c r="K50" s="325"/>
      <c r="L50" s="325"/>
      <c r="M50" s="325"/>
      <c r="N50" s="325"/>
      <c r="O50" s="325"/>
      <c r="P50" s="325"/>
      <c r="Q50" s="1193"/>
      <c r="R50" s="831"/>
    </row>
    <row r="51" spans="1:18" s="335" customFormat="1" ht="15.75" hidden="1">
      <c r="A51" s="843"/>
      <c r="B51" s="844"/>
      <c r="C51" s="343"/>
      <c r="D51" s="846"/>
      <c r="E51" s="325"/>
      <c r="F51" s="325"/>
      <c r="G51" s="325"/>
      <c r="H51" s="325"/>
      <c r="I51" s="325"/>
      <c r="J51" s="325"/>
      <c r="K51" s="325"/>
      <c r="L51" s="325"/>
      <c r="M51" s="325"/>
      <c r="N51" s="325"/>
      <c r="O51" s="4"/>
      <c r="P51" s="4"/>
      <c r="Q51" s="5"/>
      <c r="R51" s="831"/>
    </row>
    <row r="52" spans="1:18" s="335" customFormat="1" ht="15.75" hidden="1">
      <c r="A52" s="843"/>
      <c r="B52" s="844"/>
      <c r="C52" s="343"/>
      <c r="D52" s="846"/>
      <c r="E52" s="847"/>
      <c r="F52" s="847"/>
      <c r="G52" s="325"/>
      <c r="H52" s="325"/>
      <c r="I52" s="325"/>
      <c r="J52" s="325"/>
      <c r="K52" s="325"/>
      <c r="L52" s="325"/>
      <c r="M52" s="325"/>
      <c r="N52" s="325"/>
      <c r="O52" s="4"/>
      <c r="P52" s="4"/>
      <c r="Q52" s="5"/>
      <c r="R52" s="831"/>
    </row>
    <row r="53" spans="1:18" s="335" customFormat="1" ht="15.75" hidden="1">
      <c r="A53" s="843"/>
      <c r="B53" s="844"/>
      <c r="C53" s="343"/>
      <c r="D53" s="846"/>
      <c r="E53" s="325"/>
      <c r="F53" s="325"/>
      <c r="G53" s="325"/>
      <c r="H53" s="325"/>
      <c r="I53" s="325"/>
      <c r="J53" s="325"/>
      <c r="K53" s="325"/>
      <c r="L53" s="325"/>
      <c r="M53" s="325"/>
      <c r="N53" s="325"/>
      <c r="O53" s="325"/>
      <c r="P53" s="325"/>
      <c r="Q53" s="1193"/>
      <c r="R53" s="831"/>
    </row>
    <row r="54" spans="1:18" s="335" customFormat="1" ht="15.75" hidden="1">
      <c r="A54" s="843"/>
      <c r="B54" s="844"/>
      <c r="C54" s="343"/>
      <c r="D54" s="846"/>
      <c r="E54" s="325"/>
      <c r="F54" s="325"/>
      <c r="G54" s="325"/>
      <c r="H54" s="325"/>
      <c r="I54" s="325"/>
      <c r="J54" s="325"/>
      <c r="K54" s="325"/>
      <c r="L54" s="325"/>
      <c r="M54" s="325"/>
      <c r="N54" s="325"/>
      <c r="O54" s="4"/>
      <c r="P54" s="4"/>
      <c r="Q54" s="5"/>
      <c r="R54" s="831"/>
    </row>
    <row r="55" spans="1:18" s="335" customFormat="1" ht="15.75" hidden="1">
      <c r="A55" s="843"/>
      <c r="B55" s="844"/>
      <c r="C55" s="343"/>
      <c r="D55" s="846"/>
      <c r="E55" s="847"/>
      <c r="F55" s="847"/>
      <c r="G55" s="325"/>
      <c r="H55" s="325"/>
      <c r="I55" s="325"/>
      <c r="J55" s="325"/>
      <c r="K55" s="325"/>
      <c r="L55" s="325"/>
      <c r="M55" s="325"/>
      <c r="N55" s="325"/>
      <c r="O55" s="4"/>
      <c r="P55" s="4"/>
      <c r="Q55" s="5"/>
      <c r="R55" s="831"/>
    </row>
    <row r="56" spans="1:18" s="335" customFormat="1" ht="15.75" hidden="1">
      <c r="A56" s="843"/>
      <c r="B56" s="844"/>
      <c r="C56" s="343"/>
      <c r="D56" s="846"/>
      <c r="E56" s="325"/>
      <c r="F56" s="325"/>
      <c r="G56" s="325"/>
      <c r="H56" s="325"/>
      <c r="I56" s="325"/>
      <c r="J56" s="325"/>
      <c r="K56" s="325"/>
      <c r="L56" s="325"/>
      <c r="M56" s="325"/>
      <c r="N56" s="325"/>
      <c r="O56" s="325"/>
      <c r="P56" s="325"/>
      <c r="Q56" s="1193"/>
      <c r="R56" s="831"/>
    </row>
    <row r="57" spans="1:18" s="335" customFormat="1" ht="15.75" hidden="1">
      <c r="A57" s="843"/>
      <c r="B57" s="844"/>
      <c r="C57" s="343"/>
      <c r="D57" s="846"/>
      <c r="E57" s="325"/>
      <c r="F57" s="325"/>
      <c r="G57" s="325"/>
      <c r="H57" s="325"/>
      <c r="I57" s="325"/>
      <c r="J57" s="325"/>
      <c r="K57" s="325"/>
      <c r="L57" s="325"/>
      <c r="M57" s="325"/>
      <c r="N57" s="325"/>
      <c r="O57" s="4"/>
      <c r="P57" s="4"/>
      <c r="Q57" s="5"/>
      <c r="R57" s="831"/>
    </row>
    <row r="58" spans="1:18" s="1195" customFormat="1" ht="15.75" hidden="1">
      <c r="A58" s="849"/>
      <c r="B58" s="850"/>
      <c r="C58" s="1194"/>
      <c r="D58" s="851"/>
      <c r="E58" s="852"/>
      <c r="F58" s="852"/>
      <c r="G58" s="1194"/>
      <c r="H58" s="1194"/>
      <c r="I58" s="1194"/>
      <c r="J58" s="1194"/>
      <c r="K58" s="1194"/>
      <c r="L58" s="1194"/>
      <c r="M58" s="1194"/>
      <c r="N58" s="1194"/>
      <c r="O58" s="853"/>
      <c r="P58" s="853"/>
      <c r="Q58" s="854"/>
      <c r="R58" s="855"/>
    </row>
    <row r="59" spans="1:18" s="1195" customFormat="1" ht="15.75" hidden="1">
      <c r="A59" s="849"/>
      <c r="B59" s="850"/>
      <c r="C59" s="1194"/>
      <c r="D59" s="851"/>
      <c r="E59" s="1194"/>
      <c r="F59" s="1194"/>
      <c r="G59" s="1194"/>
      <c r="H59" s="1194"/>
      <c r="I59" s="1194"/>
      <c r="J59" s="1194"/>
      <c r="K59" s="1194"/>
      <c r="L59" s="1194"/>
      <c r="M59" s="1194"/>
      <c r="N59" s="1194"/>
      <c r="O59" s="1194"/>
      <c r="P59" s="1194"/>
      <c r="Q59" s="1196"/>
      <c r="R59" s="855"/>
    </row>
    <row r="60" spans="1:18" s="1195" customFormat="1" ht="15.75" hidden="1">
      <c r="A60" s="849"/>
      <c r="B60" s="850"/>
      <c r="C60" s="1194"/>
      <c r="D60" s="851"/>
      <c r="E60" s="1194"/>
      <c r="F60" s="1194"/>
      <c r="G60" s="1194"/>
      <c r="H60" s="1194"/>
      <c r="I60" s="1194"/>
      <c r="J60" s="1194"/>
      <c r="K60" s="1194"/>
      <c r="L60" s="1194"/>
      <c r="M60" s="1194"/>
      <c r="N60" s="1194"/>
      <c r="O60" s="853"/>
      <c r="P60" s="853"/>
      <c r="Q60" s="854"/>
      <c r="R60" s="855"/>
    </row>
    <row r="61" spans="1:18" s="1195" customFormat="1" ht="15.75" hidden="1">
      <c r="A61" s="849"/>
      <c r="B61" s="850"/>
      <c r="C61" s="1194"/>
      <c r="D61" s="851"/>
      <c r="E61" s="852"/>
      <c r="F61" s="852"/>
      <c r="G61" s="1194"/>
      <c r="H61" s="1194"/>
      <c r="I61" s="1194"/>
      <c r="J61" s="1194"/>
      <c r="K61" s="1194"/>
      <c r="L61" s="1194"/>
      <c r="M61" s="1194"/>
      <c r="N61" s="1194"/>
      <c r="O61" s="853"/>
      <c r="P61" s="853"/>
      <c r="Q61" s="854"/>
      <c r="R61" s="855"/>
    </row>
    <row r="62" spans="1:18" s="1195" customFormat="1" ht="15.75" hidden="1">
      <c r="A62" s="849"/>
      <c r="B62" s="850"/>
      <c r="C62" s="1194"/>
      <c r="D62" s="851"/>
      <c r="E62" s="1194"/>
      <c r="F62" s="1194"/>
      <c r="G62" s="1194"/>
      <c r="H62" s="1194"/>
      <c r="I62" s="1194"/>
      <c r="J62" s="1194"/>
      <c r="K62" s="1194"/>
      <c r="L62" s="1194"/>
      <c r="M62" s="1194"/>
      <c r="N62" s="1194"/>
      <c r="O62" s="1194"/>
      <c r="P62" s="1194"/>
      <c r="Q62" s="1196"/>
      <c r="R62" s="855"/>
    </row>
    <row r="63" spans="1:18" s="1195" customFormat="1" ht="0.75" customHeight="1">
      <c r="A63" s="849"/>
      <c r="B63" s="850"/>
      <c r="C63" s="1194"/>
      <c r="D63" s="851"/>
      <c r="E63" s="1194"/>
      <c r="F63" s="1194"/>
      <c r="G63" s="1194"/>
      <c r="H63" s="1194"/>
      <c r="I63" s="1194"/>
      <c r="J63" s="1194"/>
      <c r="K63" s="1194"/>
      <c r="L63" s="1194"/>
      <c r="M63" s="1194"/>
      <c r="N63" s="1194"/>
      <c r="O63" s="853"/>
      <c r="P63" s="853"/>
      <c r="Q63" s="854"/>
      <c r="R63" s="855"/>
    </row>
    <row r="64" spans="1:18" s="335" customFormat="1" ht="0.75" customHeight="1">
      <c r="A64" s="856" t="s">
        <v>1595</v>
      </c>
      <c r="B64" s="857"/>
      <c r="C64" s="358"/>
      <c r="D64" s="858"/>
      <c r="E64" s="4" t="e">
        <f>E40+#REF!+#REF!+#REF!+#REF!+E49+E52+E55+E58+E61+#REF!</f>
        <v>#REF!</v>
      </c>
      <c r="F64" s="4">
        <f t="shared" ref="F64:P64" si="20">F40</f>
        <v>0</v>
      </c>
      <c r="G64" s="4">
        <f t="shared" si="20"/>
        <v>0</v>
      </c>
      <c r="H64" s="4">
        <f t="shared" si="20"/>
        <v>6889971.861111111</v>
      </c>
      <c r="I64" s="4">
        <f t="shared" si="20"/>
        <v>31004873.375</v>
      </c>
      <c r="J64" s="4">
        <f t="shared" si="20"/>
        <v>31004873.375</v>
      </c>
      <c r="K64" s="4">
        <f t="shared" si="20"/>
        <v>31004873.375</v>
      </c>
      <c r="L64" s="4">
        <f t="shared" si="20"/>
        <v>31004873.375</v>
      </c>
      <c r="M64" s="4">
        <f t="shared" si="20"/>
        <v>31004873.375</v>
      </c>
      <c r="N64" s="4">
        <f t="shared" si="20"/>
        <v>31004873.375</v>
      </c>
      <c r="O64" s="4">
        <f t="shared" si="20"/>
        <v>31004873.375</v>
      </c>
      <c r="P64" s="4">
        <f t="shared" si="20"/>
        <v>24114902</v>
      </c>
      <c r="Q64" s="5"/>
      <c r="R64" s="831">
        <f>R40</f>
        <v>248038987</v>
      </c>
    </row>
    <row r="65" spans="1:21" s="335" customFormat="1" ht="0.75" customHeight="1">
      <c r="A65" s="856" t="s">
        <v>1596</v>
      </c>
      <c r="B65" s="857"/>
      <c r="C65" s="358"/>
      <c r="D65" s="858"/>
      <c r="E65" s="4" t="e">
        <f>E41+#REF!+#REF!+#REF!+#REF!+E50+E53+E56+E59+E62+#REF!</f>
        <v>#REF!</v>
      </c>
      <c r="F65" s="4">
        <f t="shared" ref="F65:P65" si="21">F41</f>
        <v>0</v>
      </c>
      <c r="G65" s="4">
        <f t="shared" si="21"/>
        <v>0</v>
      </c>
      <c r="H65" s="4">
        <f t="shared" si="21"/>
        <v>241149015.1388889</v>
      </c>
      <c r="I65" s="4">
        <f t="shared" si="21"/>
        <v>210144141.7638889</v>
      </c>
      <c r="J65" s="4">
        <f t="shared" si="21"/>
        <v>179139268.3888889</v>
      </c>
      <c r="K65" s="4">
        <f t="shared" si="21"/>
        <v>148134395.0138889</v>
      </c>
      <c r="L65" s="4">
        <f t="shared" si="21"/>
        <v>117129521.6388889</v>
      </c>
      <c r="M65" s="4">
        <f t="shared" si="21"/>
        <v>86124648.263888896</v>
      </c>
      <c r="N65" s="4">
        <f t="shared" si="21"/>
        <v>55119774.888888896</v>
      </c>
      <c r="O65" s="4">
        <f t="shared" si="21"/>
        <v>24114901.513888896</v>
      </c>
      <c r="P65" s="4">
        <f t="shared" si="21"/>
        <v>-0.4861111044883728</v>
      </c>
      <c r="Q65" s="5"/>
      <c r="R65" s="831">
        <f>R41</f>
        <v>0</v>
      </c>
      <c r="S65" s="1197" t="e">
        <f>S41+#REF!+#REF!+#REF!+#REF!+S50+S53+S56+S59+S62+#REF!</f>
        <v>#REF!</v>
      </c>
      <c r="T65" s="325" t="e">
        <f>T41+#REF!+#REF!+#REF!+#REF!+T50+T53+T56+T59+T62+#REF!</f>
        <v>#REF!</v>
      </c>
    </row>
    <row r="66" spans="1:21" s="335" customFormat="1" ht="0.75" customHeight="1">
      <c r="A66" s="856" t="s">
        <v>1591</v>
      </c>
      <c r="B66" s="857"/>
      <c r="C66" s="358"/>
      <c r="D66" s="858"/>
      <c r="E66" s="4" t="e">
        <f>E42+#REF!+#REF!+#REF!+E48+E51+E54+E57+E60+E63+#REF!</f>
        <v>#REF!</v>
      </c>
      <c r="F66" s="4">
        <f t="shared" ref="F66:P66" si="22">F42</f>
        <v>0</v>
      </c>
      <c r="G66" s="4">
        <f t="shared" si="22"/>
        <v>16827016</v>
      </c>
      <c r="H66" s="4">
        <f t="shared" si="22"/>
        <v>4822980.3027777784</v>
      </c>
      <c r="I66" s="4">
        <f t="shared" si="22"/>
        <v>4202882.8352777781</v>
      </c>
      <c r="J66" s="4">
        <f t="shared" si="22"/>
        <v>3582785.3677777778</v>
      </c>
      <c r="K66" s="4">
        <f t="shared" si="22"/>
        <v>2962687.900277778</v>
      </c>
      <c r="L66" s="4">
        <f t="shared" si="22"/>
        <v>2342590.4327777778</v>
      </c>
      <c r="M66" s="4">
        <f t="shared" si="22"/>
        <v>1722492.965277778</v>
      </c>
      <c r="N66" s="4">
        <f t="shared" si="22"/>
        <v>1102395.497777778</v>
      </c>
      <c r="O66" s="4">
        <f t="shared" si="22"/>
        <v>482298.03027777793</v>
      </c>
      <c r="P66" s="4">
        <f t="shared" si="22"/>
        <v>-9.7222220897674565E-3</v>
      </c>
      <c r="Q66" s="5"/>
      <c r="R66" s="831">
        <f>R42</f>
        <v>38048129.322499998</v>
      </c>
      <c r="S66" s="859">
        <f>S42</f>
        <v>0</v>
      </c>
      <c r="T66" s="4">
        <f>T42</f>
        <v>0</v>
      </c>
    </row>
    <row r="67" spans="1:21">
      <c r="A67" s="860" t="s">
        <v>1597</v>
      </c>
      <c r="B67" s="861"/>
      <c r="C67" s="861"/>
      <c r="D67" s="861"/>
      <c r="E67" s="862" t="e">
        <f>E64+E44</f>
        <v>#REF!</v>
      </c>
      <c r="F67" s="862">
        <f>F64+F44</f>
        <v>8438</v>
      </c>
      <c r="G67" s="862">
        <f>G40+G44</f>
        <v>7437395</v>
      </c>
      <c r="H67" s="862">
        <f>H44+H45</f>
        <v>17121455.861111112</v>
      </c>
      <c r="I67" s="862">
        <f t="shared" ref="I67:R67" si="23">I40+I44+I45</f>
        <v>77547749.585277781</v>
      </c>
      <c r="J67" s="862">
        <f t="shared" si="23"/>
        <v>80901893.11777778</v>
      </c>
      <c r="K67" s="862">
        <f t="shared" si="23"/>
        <v>79883035.650277779</v>
      </c>
      <c r="L67" s="862">
        <f t="shared" si="23"/>
        <v>77219837.182777777</v>
      </c>
      <c r="M67" s="862">
        <f t="shared" si="23"/>
        <v>73027443.715277776</v>
      </c>
      <c r="N67" s="862">
        <f t="shared" si="23"/>
        <v>70741040.247777775</v>
      </c>
      <c r="O67" s="862">
        <f t="shared" si="23"/>
        <v>69960901.780277789</v>
      </c>
      <c r="P67" s="862">
        <f t="shared" si="23"/>
        <v>52604803.990277782</v>
      </c>
      <c r="Q67" s="862">
        <f t="shared" si="23"/>
        <v>4375000</v>
      </c>
      <c r="R67" s="862">
        <f t="shared" si="23"/>
        <v>352672324</v>
      </c>
      <c r="U67" s="350"/>
    </row>
    <row r="68" spans="1:21" ht="13.5" thickBot="1">
      <c r="A68" s="863" t="s">
        <v>1591</v>
      </c>
      <c r="B68" s="864"/>
      <c r="C68" s="864"/>
      <c r="D68" s="864"/>
      <c r="E68" s="865" t="e">
        <f>E66+E43</f>
        <v>#REF!</v>
      </c>
      <c r="F68" s="865">
        <f>F66+F43</f>
        <v>2789</v>
      </c>
      <c r="G68" s="865">
        <f>G42+G43</f>
        <v>19359444</v>
      </c>
      <c r="H68" s="865">
        <f>H43+H47</f>
        <v>7682739.3027777784</v>
      </c>
      <c r="I68" s="865">
        <f t="shared" ref="I68:R68" si="24">I42+I43+I47</f>
        <v>10865761.670555556</v>
      </c>
      <c r="J68" s="865">
        <f t="shared" si="24"/>
        <v>9137307.7355555557</v>
      </c>
      <c r="K68" s="865">
        <f t="shared" si="24"/>
        <v>7410852.8005555561</v>
      </c>
      <c r="L68" s="865">
        <f t="shared" si="24"/>
        <v>5708389.8655555556</v>
      </c>
      <c r="M68" s="865">
        <f t="shared" si="24"/>
        <v>4115619.930555556</v>
      </c>
      <c r="N68" s="865">
        <f t="shared" si="24"/>
        <v>2652096.9955555559</v>
      </c>
      <c r="O68" s="865">
        <f t="shared" si="24"/>
        <v>1164370.0605555559</v>
      </c>
      <c r="P68" s="865">
        <f t="shared" si="24"/>
        <v>87499.980555555827</v>
      </c>
      <c r="Q68" s="865">
        <f t="shared" si="24"/>
        <v>0</v>
      </c>
      <c r="R68" s="865">
        <f t="shared" si="24"/>
        <v>47935949.322499998</v>
      </c>
      <c r="U68" s="350"/>
    </row>
  </sheetData>
  <mergeCells count="3">
    <mergeCell ref="I1:J1"/>
    <mergeCell ref="Q1:R1"/>
    <mergeCell ref="Q3:R3"/>
  </mergeCells>
  <pageMargins left="0.19685039370078741" right="0.11811023622047245" top="0.35433070866141736" bottom="0.55118110236220474" header="0.31496062992125984" footer="0.31496062992125984"/>
  <pageSetup paperSize="9" scale="91" fitToHeight="0" orientation="landscape" r:id="rId1"/>
  <headerFooter>
    <oddHeader>&amp;RRáckeve Város 2020 évi költségvetés melléklete</oddHead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17"/>
  <sheetViews>
    <sheetView workbookViewId="0">
      <selection activeCell="B7" sqref="B7"/>
    </sheetView>
  </sheetViews>
  <sheetFormatPr defaultRowHeight="12.75"/>
  <cols>
    <col min="1" max="1" width="36" style="867" customWidth="1"/>
    <col min="2" max="10" width="11.140625" style="420" bestFit="1" customWidth="1"/>
    <col min="11" max="11" width="8" style="420" hidden="1" customWidth="1"/>
    <col min="12" max="12" width="11.140625" style="872" bestFit="1" customWidth="1"/>
    <col min="13" max="13" width="11.7109375" style="872" bestFit="1" customWidth="1"/>
    <col min="257" max="257" width="21.85546875" customWidth="1"/>
    <col min="258" max="266" width="11.140625" bestFit="1" customWidth="1"/>
    <col min="267" max="267" width="0" hidden="1" customWidth="1"/>
    <col min="268" max="268" width="11.140625" bestFit="1" customWidth="1"/>
    <col min="269" max="269" width="11.7109375" bestFit="1" customWidth="1"/>
    <col min="513" max="513" width="21.85546875" customWidth="1"/>
    <col min="514" max="522" width="11.140625" bestFit="1" customWidth="1"/>
    <col min="523" max="523" width="0" hidden="1" customWidth="1"/>
    <col min="524" max="524" width="11.140625" bestFit="1" customWidth="1"/>
    <col min="525" max="525" width="11.7109375" bestFit="1" customWidth="1"/>
    <col min="769" max="769" width="21.85546875" customWidth="1"/>
    <col min="770" max="778" width="11.140625" bestFit="1" customWidth="1"/>
    <col min="779" max="779" width="0" hidden="1" customWidth="1"/>
    <col min="780" max="780" width="11.140625" bestFit="1" customWidth="1"/>
    <col min="781" max="781" width="11.7109375" bestFit="1" customWidth="1"/>
    <col min="1025" max="1025" width="21.85546875" customWidth="1"/>
    <col min="1026" max="1034" width="11.140625" bestFit="1" customWidth="1"/>
    <col min="1035" max="1035" width="0" hidden="1" customWidth="1"/>
    <col min="1036" max="1036" width="11.140625" bestFit="1" customWidth="1"/>
    <col min="1037" max="1037" width="11.7109375" bestFit="1" customWidth="1"/>
    <col min="1281" max="1281" width="21.85546875" customWidth="1"/>
    <col min="1282" max="1290" width="11.140625" bestFit="1" customWidth="1"/>
    <col min="1291" max="1291" width="0" hidden="1" customWidth="1"/>
    <col min="1292" max="1292" width="11.140625" bestFit="1" customWidth="1"/>
    <col min="1293" max="1293" width="11.7109375" bestFit="1" customWidth="1"/>
    <col min="1537" max="1537" width="21.85546875" customWidth="1"/>
    <col min="1538" max="1546" width="11.140625" bestFit="1" customWidth="1"/>
    <col min="1547" max="1547" width="0" hidden="1" customWidth="1"/>
    <col min="1548" max="1548" width="11.140625" bestFit="1" customWidth="1"/>
    <col min="1549" max="1549" width="11.7109375" bestFit="1" customWidth="1"/>
    <col min="1793" max="1793" width="21.85546875" customWidth="1"/>
    <col min="1794" max="1802" width="11.140625" bestFit="1" customWidth="1"/>
    <col min="1803" max="1803" width="0" hidden="1" customWidth="1"/>
    <col min="1804" max="1804" width="11.140625" bestFit="1" customWidth="1"/>
    <col min="1805" max="1805" width="11.7109375" bestFit="1" customWidth="1"/>
    <col min="2049" max="2049" width="21.85546875" customWidth="1"/>
    <col min="2050" max="2058" width="11.140625" bestFit="1" customWidth="1"/>
    <col min="2059" max="2059" width="0" hidden="1" customWidth="1"/>
    <col min="2060" max="2060" width="11.140625" bestFit="1" customWidth="1"/>
    <col min="2061" max="2061" width="11.7109375" bestFit="1" customWidth="1"/>
    <col min="2305" max="2305" width="21.85546875" customWidth="1"/>
    <col min="2306" max="2314" width="11.140625" bestFit="1" customWidth="1"/>
    <col min="2315" max="2315" width="0" hidden="1" customWidth="1"/>
    <col min="2316" max="2316" width="11.140625" bestFit="1" customWidth="1"/>
    <col min="2317" max="2317" width="11.7109375" bestFit="1" customWidth="1"/>
    <col min="2561" max="2561" width="21.85546875" customWidth="1"/>
    <col min="2562" max="2570" width="11.140625" bestFit="1" customWidth="1"/>
    <col min="2571" max="2571" width="0" hidden="1" customWidth="1"/>
    <col min="2572" max="2572" width="11.140625" bestFit="1" customWidth="1"/>
    <col min="2573" max="2573" width="11.7109375" bestFit="1" customWidth="1"/>
    <col min="2817" max="2817" width="21.85546875" customWidth="1"/>
    <col min="2818" max="2826" width="11.140625" bestFit="1" customWidth="1"/>
    <col min="2827" max="2827" width="0" hidden="1" customWidth="1"/>
    <col min="2828" max="2828" width="11.140625" bestFit="1" customWidth="1"/>
    <col min="2829" max="2829" width="11.7109375" bestFit="1" customWidth="1"/>
    <col min="3073" max="3073" width="21.85546875" customWidth="1"/>
    <col min="3074" max="3082" width="11.140625" bestFit="1" customWidth="1"/>
    <col min="3083" max="3083" width="0" hidden="1" customWidth="1"/>
    <col min="3084" max="3084" width="11.140625" bestFit="1" customWidth="1"/>
    <col min="3085" max="3085" width="11.7109375" bestFit="1" customWidth="1"/>
    <col min="3329" max="3329" width="21.85546875" customWidth="1"/>
    <col min="3330" max="3338" width="11.140625" bestFit="1" customWidth="1"/>
    <col min="3339" max="3339" width="0" hidden="1" customWidth="1"/>
    <col min="3340" max="3340" width="11.140625" bestFit="1" customWidth="1"/>
    <col min="3341" max="3341" width="11.7109375" bestFit="1" customWidth="1"/>
    <col min="3585" max="3585" width="21.85546875" customWidth="1"/>
    <col min="3586" max="3594" width="11.140625" bestFit="1" customWidth="1"/>
    <col min="3595" max="3595" width="0" hidden="1" customWidth="1"/>
    <col min="3596" max="3596" width="11.140625" bestFit="1" customWidth="1"/>
    <col min="3597" max="3597" width="11.7109375" bestFit="1" customWidth="1"/>
    <col min="3841" max="3841" width="21.85546875" customWidth="1"/>
    <col min="3842" max="3850" width="11.140625" bestFit="1" customWidth="1"/>
    <col min="3851" max="3851" width="0" hidden="1" customWidth="1"/>
    <col min="3852" max="3852" width="11.140625" bestFit="1" customWidth="1"/>
    <col min="3853" max="3853" width="11.7109375" bestFit="1" customWidth="1"/>
    <col min="4097" max="4097" width="21.85546875" customWidth="1"/>
    <col min="4098" max="4106" width="11.140625" bestFit="1" customWidth="1"/>
    <col min="4107" max="4107" width="0" hidden="1" customWidth="1"/>
    <col min="4108" max="4108" width="11.140625" bestFit="1" customWidth="1"/>
    <col min="4109" max="4109" width="11.7109375" bestFit="1" customWidth="1"/>
    <col min="4353" max="4353" width="21.85546875" customWidth="1"/>
    <col min="4354" max="4362" width="11.140625" bestFit="1" customWidth="1"/>
    <col min="4363" max="4363" width="0" hidden="1" customWidth="1"/>
    <col min="4364" max="4364" width="11.140625" bestFit="1" customWidth="1"/>
    <col min="4365" max="4365" width="11.7109375" bestFit="1" customWidth="1"/>
    <col min="4609" max="4609" width="21.85546875" customWidth="1"/>
    <col min="4610" max="4618" width="11.140625" bestFit="1" customWidth="1"/>
    <col min="4619" max="4619" width="0" hidden="1" customWidth="1"/>
    <col min="4620" max="4620" width="11.140625" bestFit="1" customWidth="1"/>
    <col min="4621" max="4621" width="11.7109375" bestFit="1" customWidth="1"/>
    <col min="4865" max="4865" width="21.85546875" customWidth="1"/>
    <col min="4866" max="4874" width="11.140625" bestFit="1" customWidth="1"/>
    <col min="4875" max="4875" width="0" hidden="1" customWidth="1"/>
    <col min="4876" max="4876" width="11.140625" bestFit="1" customWidth="1"/>
    <col min="4877" max="4877" width="11.7109375" bestFit="1" customWidth="1"/>
    <col min="5121" max="5121" width="21.85546875" customWidth="1"/>
    <col min="5122" max="5130" width="11.140625" bestFit="1" customWidth="1"/>
    <col min="5131" max="5131" width="0" hidden="1" customWidth="1"/>
    <col min="5132" max="5132" width="11.140625" bestFit="1" customWidth="1"/>
    <col min="5133" max="5133" width="11.7109375" bestFit="1" customWidth="1"/>
    <col min="5377" max="5377" width="21.85546875" customWidth="1"/>
    <col min="5378" max="5386" width="11.140625" bestFit="1" customWidth="1"/>
    <col min="5387" max="5387" width="0" hidden="1" customWidth="1"/>
    <col min="5388" max="5388" width="11.140625" bestFit="1" customWidth="1"/>
    <col min="5389" max="5389" width="11.7109375" bestFit="1" customWidth="1"/>
    <col min="5633" max="5633" width="21.85546875" customWidth="1"/>
    <col min="5634" max="5642" width="11.140625" bestFit="1" customWidth="1"/>
    <col min="5643" max="5643" width="0" hidden="1" customWidth="1"/>
    <col min="5644" max="5644" width="11.140625" bestFit="1" customWidth="1"/>
    <col min="5645" max="5645" width="11.7109375" bestFit="1" customWidth="1"/>
    <col min="5889" max="5889" width="21.85546875" customWidth="1"/>
    <col min="5890" max="5898" width="11.140625" bestFit="1" customWidth="1"/>
    <col min="5899" max="5899" width="0" hidden="1" customWidth="1"/>
    <col min="5900" max="5900" width="11.140625" bestFit="1" customWidth="1"/>
    <col min="5901" max="5901" width="11.7109375" bestFit="1" customWidth="1"/>
    <col min="6145" max="6145" width="21.85546875" customWidth="1"/>
    <col min="6146" max="6154" width="11.140625" bestFit="1" customWidth="1"/>
    <col min="6155" max="6155" width="0" hidden="1" customWidth="1"/>
    <col min="6156" max="6156" width="11.140625" bestFit="1" customWidth="1"/>
    <col min="6157" max="6157" width="11.7109375" bestFit="1" customWidth="1"/>
    <col min="6401" max="6401" width="21.85546875" customWidth="1"/>
    <col min="6402" max="6410" width="11.140625" bestFit="1" customWidth="1"/>
    <col min="6411" max="6411" width="0" hidden="1" customWidth="1"/>
    <col min="6412" max="6412" width="11.140625" bestFit="1" customWidth="1"/>
    <col min="6413" max="6413" width="11.7109375" bestFit="1" customWidth="1"/>
    <col min="6657" max="6657" width="21.85546875" customWidth="1"/>
    <col min="6658" max="6666" width="11.140625" bestFit="1" customWidth="1"/>
    <col min="6667" max="6667" width="0" hidden="1" customWidth="1"/>
    <col min="6668" max="6668" width="11.140625" bestFit="1" customWidth="1"/>
    <col min="6669" max="6669" width="11.7109375" bestFit="1" customWidth="1"/>
    <col min="6913" max="6913" width="21.85546875" customWidth="1"/>
    <col min="6914" max="6922" width="11.140625" bestFit="1" customWidth="1"/>
    <col min="6923" max="6923" width="0" hidden="1" customWidth="1"/>
    <col min="6924" max="6924" width="11.140625" bestFit="1" customWidth="1"/>
    <col min="6925" max="6925" width="11.7109375" bestFit="1" customWidth="1"/>
    <col min="7169" max="7169" width="21.85546875" customWidth="1"/>
    <col min="7170" max="7178" width="11.140625" bestFit="1" customWidth="1"/>
    <col min="7179" max="7179" width="0" hidden="1" customWidth="1"/>
    <col min="7180" max="7180" width="11.140625" bestFit="1" customWidth="1"/>
    <col min="7181" max="7181" width="11.7109375" bestFit="1" customWidth="1"/>
    <col min="7425" max="7425" width="21.85546875" customWidth="1"/>
    <col min="7426" max="7434" width="11.140625" bestFit="1" customWidth="1"/>
    <col min="7435" max="7435" width="0" hidden="1" customWidth="1"/>
    <col min="7436" max="7436" width="11.140625" bestFit="1" customWidth="1"/>
    <col min="7437" max="7437" width="11.7109375" bestFit="1" customWidth="1"/>
    <col min="7681" max="7681" width="21.85546875" customWidth="1"/>
    <col min="7682" max="7690" width="11.140625" bestFit="1" customWidth="1"/>
    <col min="7691" max="7691" width="0" hidden="1" customWidth="1"/>
    <col min="7692" max="7692" width="11.140625" bestFit="1" customWidth="1"/>
    <col min="7693" max="7693" width="11.7109375" bestFit="1" customWidth="1"/>
    <col min="7937" max="7937" width="21.85546875" customWidth="1"/>
    <col min="7938" max="7946" width="11.140625" bestFit="1" customWidth="1"/>
    <col min="7947" max="7947" width="0" hidden="1" customWidth="1"/>
    <col min="7948" max="7948" width="11.140625" bestFit="1" customWidth="1"/>
    <col min="7949" max="7949" width="11.7109375" bestFit="1" customWidth="1"/>
    <col min="8193" max="8193" width="21.85546875" customWidth="1"/>
    <col min="8194" max="8202" width="11.140625" bestFit="1" customWidth="1"/>
    <col min="8203" max="8203" width="0" hidden="1" customWidth="1"/>
    <col min="8204" max="8204" width="11.140625" bestFit="1" customWidth="1"/>
    <col min="8205" max="8205" width="11.7109375" bestFit="1" customWidth="1"/>
    <col min="8449" max="8449" width="21.85546875" customWidth="1"/>
    <col min="8450" max="8458" width="11.140625" bestFit="1" customWidth="1"/>
    <col min="8459" max="8459" width="0" hidden="1" customWidth="1"/>
    <col min="8460" max="8460" width="11.140625" bestFit="1" customWidth="1"/>
    <col min="8461" max="8461" width="11.7109375" bestFit="1" customWidth="1"/>
    <col min="8705" max="8705" width="21.85546875" customWidth="1"/>
    <col min="8706" max="8714" width="11.140625" bestFit="1" customWidth="1"/>
    <col min="8715" max="8715" width="0" hidden="1" customWidth="1"/>
    <col min="8716" max="8716" width="11.140625" bestFit="1" customWidth="1"/>
    <col min="8717" max="8717" width="11.7109375" bestFit="1" customWidth="1"/>
    <col min="8961" max="8961" width="21.85546875" customWidth="1"/>
    <col min="8962" max="8970" width="11.140625" bestFit="1" customWidth="1"/>
    <col min="8971" max="8971" width="0" hidden="1" customWidth="1"/>
    <col min="8972" max="8972" width="11.140625" bestFit="1" customWidth="1"/>
    <col min="8973" max="8973" width="11.7109375" bestFit="1" customWidth="1"/>
    <col min="9217" max="9217" width="21.85546875" customWidth="1"/>
    <col min="9218" max="9226" width="11.140625" bestFit="1" customWidth="1"/>
    <col min="9227" max="9227" width="0" hidden="1" customWidth="1"/>
    <col min="9228" max="9228" width="11.140625" bestFit="1" customWidth="1"/>
    <col min="9229" max="9229" width="11.7109375" bestFit="1" customWidth="1"/>
    <col min="9473" max="9473" width="21.85546875" customWidth="1"/>
    <col min="9474" max="9482" width="11.140625" bestFit="1" customWidth="1"/>
    <col min="9483" max="9483" width="0" hidden="1" customWidth="1"/>
    <col min="9484" max="9484" width="11.140625" bestFit="1" customWidth="1"/>
    <col min="9485" max="9485" width="11.7109375" bestFit="1" customWidth="1"/>
    <col min="9729" max="9729" width="21.85546875" customWidth="1"/>
    <col min="9730" max="9738" width="11.140625" bestFit="1" customWidth="1"/>
    <col min="9739" max="9739" width="0" hidden="1" customWidth="1"/>
    <col min="9740" max="9740" width="11.140625" bestFit="1" customWidth="1"/>
    <col min="9741" max="9741" width="11.7109375" bestFit="1" customWidth="1"/>
    <col min="9985" max="9985" width="21.85546875" customWidth="1"/>
    <col min="9986" max="9994" width="11.140625" bestFit="1" customWidth="1"/>
    <col min="9995" max="9995" width="0" hidden="1" customWidth="1"/>
    <col min="9996" max="9996" width="11.140625" bestFit="1" customWidth="1"/>
    <col min="9997" max="9997" width="11.7109375" bestFit="1" customWidth="1"/>
    <col min="10241" max="10241" width="21.85546875" customWidth="1"/>
    <col min="10242" max="10250" width="11.140625" bestFit="1" customWidth="1"/>
    <col min="10251" max="10251" width="0" hidden="1" customWidth="1"/>
    <col min="10252" max="10252" width="11.140625" bestFit="1" customWidth="1"/>
    <col min="10253" max="10253" width="11.7109375" bestFit="1" customWidth="1"/>
    <col min="10497" max="10497" width="21.85546875" customWidth="1"/>
    <col min="10498" max="10506" width="11.140625" bestFit="1" customWidth="1"/>
    <col min="10507" max="10507" width="0" hidden="1" customWidth="1"/>
    <col min="10508" max="10508" width="11.140625" bestFit="1" customWidth="1"/>
    <col min="10509" max="10509" width="11.7109375" bestFit="1" customWidth="1"/>
    <col min="10753" max="10753" width="21.85546875" customWidth="1"/>
    <col min="10754" max="10762" width="11.140625" bestFit="1" customWidth="1"/>
    <col min="10763" max="10763" width="0" hidden="1" customWidth="1"/>
    <col min="10764" max="10764" width="11.140625" bestFit="1" customWidth="1"/>
    <col min="10765" max="10765" width="11.7109375" bestFit="1" customWidth="1"/>
    <col min="11009" max="11009" width="21.85546875" customWidth="1"/>
    <col min="11010" max="11018" width="11.140625" bestFit="1" customWidth="1"/>
    <col min="11019" max="11019" width="0" hidden="1" customWidth="1"/>
    <col min="11020" max="11020" width="11.140625" bestFit="1" customWidth="1"/>
    <col min="11021" max="11021" width="11.7109375" bestFit="1" customWidth="1"/>
    <col min="11265" max="11265" width="21.85546875" customWidth="1"/>
    <col min="11266" max="11274" width="11.140625" bestFit="1" customWidth="1"/>
    <col min="11275" max="11275" width="0" hidden="1" customWidth="1"/>
    <col min="11276" max="11276" width="11.140625" bestFit="1" customWidth="1"/>
    <col min="11277" max="11277" width="11.7109375" bestFit="1" customWidth="1"/>
    <col min="11521" max="11521" width="21.85546875" customWidth="1"/>
    <col min="11522" max="11530" width="11.140625" bestFit="1" customWidth="1"/>
    <col min="11531" max="11531" width="0" hidden="1" customWidth="1"/>
    <col min="11532" max="11532" width="11.140625" bestFit="1" customWidth="1"/>
    <col min="11533" max="11533" width="11.7109375" bestFit="1" customWidth="1"/>
    <col min="11777" max="11777" width="21.85546875" customWidth="1"/>
    <col min="11778" max="11786" width="11.140625" bestFit="1" customWidth="1"/>
    <col min="11787" max="11787" width="0" hidden="1" customWidth="1"/>
    <col min="11788" max="11788" width="11.140625" bestFit="1" customWidth="1"/>
    <col min="11789" max="11789" width="11.7109375" bestFit="1" customWidth="1"/>
    <col min="12033" max="12033" width="21.85546875" customWidth="1"/>
    <col min="12034" max="12042" width="11.140625" bestFit="1" customWidth="1"/>
    <col min="12043" max="12043" width="0" hidden="1" customWidth="1"/>
    <col min="12044" max="12044" width="11.140625" bestFit="1" customWidth="1"/>
    <col min="12045" max="12045" width="11.7109375" bestFit="1" customWidth="1"/>
    <col min="12289" max="12289" width="21.85546875" customWidth="1"/>
    <col min="12290" max="12298" width="11.140625" bestFit="1" customWidth="1"/>
    <col min="12299" max="12299" width="0" hidden="1" customWidth="1"/>
    <col min="12300" max="12300" width="11.140625" bestFit="1" customWidth="1"/>
    <col min="12301" max="12301" width="11.7109375" bestFit="1" customWidth="1"/>
    <col min="12545" max="12545" width="21.85546875" customWidth="1"/>
    <col min="12546" max="12554" width="11.140625" bestFit="1" customWidth="1"/>
    <col min="12555" max="12555" width="0" hidden="1" customWidth="1"/>
    <col min="12556" max="12556" width="11.140625" bestFit="1" customWidth="1"/>
    <col min="12557" max="12557" width="11.7109375" bestFit="1" customWidth="1"/>
    <col min="12801" max="12801" width="21.85546875" customWidth="1"/>
    <col min="12802" max="12810" width="11.140625" bestFit="1" customWidth="1"/>
    <col min="12811" max="12811" width="0" hidden="1" customWidth="1"/>
    <col min="12812" max="12812" width="11.140625" bestFit="1" customWidth="1"/>
    <col min="12813" max="12813" width="11.7109375" bestFit="1" customWidth="1"/>
    <col min="13057" max="13057" width="21.85546875" customWidth="1"/>
    <col min="13058" max="13066" width="11.140625" bestFit="1" customWidth="1"/>
    <col min="13067" max="13067" width="0" hidden="1" customWidth="1"/>
    <col min="13068" max="13068" width="11.140625" bestFit="1" customWidth="1"/>
    <col min="13069" max="13069" width="11.7109375" bestFit="1" customWidth="1"/>
    <col min="13313" max="13313" width="21.85546875" customWidth="1"/>
    <col min="13314" max="13322" width="11.140625" bestFit="1" customWidth="1"/>
    <col min="13323" max="13323" width="0" hidden="1" customWidth="1"/>
    <col min="13324" max="13324" width="11.140625" bestFit="1" customWidth="1"/>
    <col min="13325" max="13325" width="11.7109375" bestFit="1" customWidth="1"/>
    <col min="13569" max="13569" width="21.85546875" customWidth="1"/>
    <col min="13570" max="13578" width="11.140625" bestFit="1" customWidth="1"/>
    <col min="13579" max="13579" width="0" hidden="1" customWidth="1"/>
    <col min="13580" max="13580" width="11.140625" bestFit="1" customWidth="1"/>
    <col min="13581" max="13581" width="11.7109375" bestFit="1" customWidth="1"/>
    <col min="13825" max="13825" width="21.85546875" customWidth="1"/>
    <col min="13826" max="13834" width="11.140625" bestFit="1" customWidth="1"/>
    <col min="13835" max="13835" width="0" hidden="1" customWidth="1"/>
    <col min="13836" max="13836" width="11.140625" bestFit="1" customWidth="1"/>
    <col min="13837" max="13837" width="11.7109375" bestFit="1" customWidth="1"/>
    <col min="14081" max="14081" width="21.85546875" customWidth="1"/>
    <col min="14082" max="14090" width="11.140625" bestFit="1" customWidth="1"/>
    <col min="14091" max="14091" width="0" hidden="1" customWidth="1"/>
    <col min="14092" max="14092" width="11.140625" bestFit="1" customWidth="1"/>
    <col min="14093" max="14093" width="11.7109375" bestFit="1" customWidth="1"/>
    <col min="14337" max="14337" width="21.85546875" customWidth="1"/>
    <col min="14338" max="14346" width="11.140625" bestFit="1" customWidth="1"/>
    <col min="14347" max="14347" width="0" hidden="1" customWidth="1"/>
    <col min="14348" max="14348" width="11.140625" bestFit="1" customWidth="1"/>
    <col min="14349" max="14349" width="11.7109375" bestFit="1" customWidth="1"/>
    <col min="14593" max="14593" width="21.85546875" customWidth="1"/>
    <col min="14594" max="14602" width="11.140625" bestFit="1" customWidth="1"/>
    <col min="14603" max="14603" width="0" hidden="1" customWidth="1"/>
    <col min="14604" max="14604" width="11.140625" bestFit="1" customWidth="1"/>
    <col min="14605" max="14605" width="11.7109375" bestFit="1" customWidth="1"/>
    <col min="14849" max="14849" width="21.85546875" customWidth="1"/>
    <col min="14850" max="14858" width="11.140625" bestFit="1" customWidth="1"/>
    <col min="14859" max="14859" width="0" hidden="1" customWidth="1"/>
    <col min="14860" max="14860" width="11.140625" bestFit="1" customWidth="1"/>
    <col min="14861" max="14861" width="11.7109375" bestFit="1" customWidth="1"/>
    <col min="15105" max="15105" width="21.85546875" customWidth="1"/>
    <col min="15106" max="15114" width="11.140625" bestFit="1" customWidth="1"/>
    <col min="15115" max="15115" width="0" hidden="1" customWidth="1"/>
    <col min="15116" max="15116" width="11.140625" bestFit="1" customWidth="1"/>
    <col min="15117" max="15117" width="11.7109375" bestFit="1" customWidth="1"/>
    <col min="15361" max="15361" width="21.85546875" customWidth="1"/>
    <col min="15362" max="15370" width="11.140625" bestFit="1" customWidth="1"/>
    <col min="15371" max="15371" width="0" hidden="1" customWidth="1"/>
    <col min="15372" max="15372" width="11.140625" bestFit="1" customWidth="1"/>
    <col min="15373" max="15373" width="11.7109375" bestFit="1" customWidth="1"/>
    <col min="15617" max="15617" width="21.85546875" customWidth="1"/>
    <col min="15618" max="15626" width="11.140625" bestFit="1" customWidth="1"/>
    <col min="15627" max="15627" width="0" hidden="1" customWidth="1"/>
    <col min="15628" max="15628" width="11.140625" bestFit="1" customWidth="1"/>
    <col min="15629" max="15629" width="11.7109375" bestFit="1" customWidth="1"/>
    <col min="15873" max="15873" width="21.85546875" customWidth="1"/>
    <col min="15874" max="15882" width="11.140625" bestFit="1" customWidth="1"/>
    <col min="15883" max="15883" width="0" hidden="1" customWidth="1"/>
    <col min="15884" max="15884" width="11.140625" bestFit="1" customWidth="1"/>
    <col min="15885" max="15885" width="11.7109375" bestFit="1" customWidth="1"/>
    <col min="16129" max="16129" width="21.85546875" customWidth="1"/>
    <col min="16130" max="16138" width="11.140625" bestFit="1" customWidth="1"/>
    <col min="16139" max="16139" width="0" hidden="1" customWidth="1"/>
    <col min="16140" max="16140" width="11.140625" bestFit="1" customWidth="1"/>
    <col min="16141" max="16141" width="11.7109375" bestFit="1" customWidth="1"/>
  </cols>
  <sheetData>
    <row r="2" spans="1:13" ht="16.5" thickBot="1">
      <c r="B2" s="1175" t="s">
        <v>1745</v>
      </c>
      <c r="F2" s="1403" t="s">
        <v>1746</v>
      </c>
      <c r="G2" s="1403"/>
      <c r="H2" s="1403"/>
      <c r="I2" s="1403"/>
      <c r="J2" s="1403"/>
    </row>
    <row r="3" spans="1:13" ht="15.75">
      <c r="A3" s="1108"/>
      <c r="B3" s="829">
        <v>2020</v>
      </c>
      <c r="C3" s="829">
        <v>2021</v>
      </c>
      <c r="D3" s="829">
        <v>2022</v>
      </c>
      <c r="E3" s="829">
        <v>2023</v>
      </c>
      <c r="F3" s="829">
        <v>2024</v>
      </c>
      <c r="G3" s="829">
        <v>2025</v>
      </c>
      <c r="H3" s="829">
        <v>2026</v>
      </c>
      <c r="I3" s="829">
        <v>2027</v>
      </c>
      <c r="J3" s="829">
        <v>2029</v>
      </c>
      <c r="K3" s="871">
        <v>2029</v>
      </c>
      <c r="L3" s="873"/>
      <c r="M3" s="873"/>
    </row>
    <row r="4" spans="1:13">
      <c r="A4" s="1106" t="s">
        <v>1703</v>
      </c>
      <c r="B4" s="868">
        <f>'2'!E31-'2'!E27</f>
        <v>449500000</v>
      </c>
      <c r="C4" s="868">
        <v>480000000</v>
      </c>
      <c r="D4" s="868">
        <v>495000000</v>
      </c>
      <c r="E4" s="868">
        <v>510000000</v>
      </c>
      <c r="F4" s="868">
        <v>525000000</v>
      </c>
      <c r="G4" s="868">
        <v>540000000</v>
      </c>
      <c r="H4" s="868">
        <v>555000000</v>
      </c>
      <c r="I4" s="868">
        <v>570000000</v>
      </c>
      <c r="J4" s="868">
        <v>585000000</v>
      </c>
      <c r="K4" s="1103">
        <v>416000</v>
      </c>
      <c r="L4" s="874"/>
      <c r="M4" s="875"/>
    </row>
    <row r="5" spans="1:13">
      <c r="A5" s="1106" t="s">
        <v>362</v>
      </c>
      <c r="B5" s="869">
        <f>'2'!D37</f>
        <v>14700000</v>
      </c>
      <c r="C5" s="869">
        <v>14700000</v>
      </c>
      <c r="D5" s="869">
        <v>14700000</v>
      </c>
      <c r="E5" s="869">
        <f t="shared" ref="E5:K5" si="0">D5</f>
        <v>14700000</v>
      </c>
      <c r="F5" s="869">
        <f t="shared" si="0"/>
        <v>14700000</v>
      </c>
      <c r="G5" s="869">
        <f t="shared" si="0"/>
        <v>14700000</v>
      </c>
      <c r="H5" s="869">
        <f t="shared" si="0"/>
        <v>14700000</v>
      </c>
      <c r="I5" s="869">
        <f t="shared" si="0"/>
        <v>14700000</v>
      </c>
      <c r="J5" s="869">
        <f t="shared" si="0"/>
        <v>14700000</v>
      </c>
      <c r="K5" s="1103">
        <f t="shared" si="0"/>
        <v>14700000</v>
      </c>
      <c r="L5" s="876"/>
      <c r="M5" s="876"/>
    </row>
    <row r="6" spans="1:13">
      <c r="A6" s="1106" t="s">
        <v>1598</v>
      </c>
      <c r="B6" s="869"/>
      <c r="C6" s="869"/>
      <c r="D6" s="869"/>
      <c r="E6" s="869"/>
      <c r="F6" s="869"/>
      <c r="G6" s="869"/>
      <c r="H6" s="869"/>
      <c r="I6" s="869"/>
      <c r="J6" s="869"/>
      <c r="K6" s="870"/>
      <c r="L6" s="876"/>
    </row>
    <row r="7" spans="1:13" ht="28.5">
      <c r="A7" s="1114" t="s">
        <v>1706</v>
      </c>
      <c r="B7" s="869">
        <f>'1.'!C53+'1.'!C54</f>
        <v>11400000</v>
      </c>
      <c r="C7" s="869">
        <v>5000000</v>
      </c>
      <c r="D7" s="869">
        <f>C7</f>
        <v>5000000</v>
      </c>
      <c r="E7" s="869">
        <f t="shared" ref="E7:K8" si="1">D7</f>
        <v>5000000</v>
      </c>
      <c r="F7" s="869">
        <f t="shared" si="1"/>
        <v>5000000</v>
      </c>
      <c r="G7" s="869">
        <f t="shared" si="1"/>
        <v>5000000</v>
      </c>
      <c r="H7" s="869">
        <f t="shared" si="1"/>
        <v>5000000</v>
      </c>
      <c r="I7" s="869">
        <f t="shared" si="1"/>
        <v>5000000</v>
      </c>
      <c r="J7" s="869">
        <f t="shared" si="1"/>
        <v>5000000</v>
      </c>
      <c r="K7" s="1103">
        <f t="shared" si="1"/>
        <v>5000000</v>
      </c>
      <c r="L7" s="876"/>
      <c r="M7" s="876"/>
    </row>
    <row r="8" spans="1:13" ht="28.5">
      <c r="A8" s="1114" t="s">
        <v>1705</v>
      </c>
      <c r="B8" s="869">
        <f>'2'!D29</f>
        <v>4595000</v>
      </c>
      <c r="C8" s="869">
        <v>7000000</v>
      </c>
      <c r="D8" s="869">
        <f>C8</f>
        <v>7000000</v>
      </c>
      <c r="E8" s="869">
        <f t="shared" si="1"/>
        <v>7000000</v>
      </c>
      <c r="F8" s="869">
        <f t="shared" si="1"/>
        <v>7000000</v>
      </c>
      <c r="G8" s="869">
        <f t="shared" si="1"/>
        <v>7000000</v>
      </c>
      <c r="H8" s="869">
        <f t="shared" si="1"/>
        <v>7000000</v>
      </c>
      <c r="I8" s="869">
        <f t="shared" si="1"/>
        <v>7000000</v>
      </c>
      <c r="J8" s="869">
        <f t="shared" si="1"/>
        <v>7000000</v>
      </c>
      <c r="K8" s="1103">
        <f t="shared" si="1"/>
        <v>7000000</v>
      </c>
      <c r="L8" s="876"/>
      <c r="M8" s="876"/>
    </row>
    <row r="9" spans="1:13" ht="28.5">
      <c r="A9" s="1114" t="s">
        <v>1704</v>
      </c>
      <c r="B9" s="869"/>
      <c r="C9" s="869"/>
      <c r="D9" s="869"/>
      <c r="E9" s="869"/>
      <c r="F9" s="869"/>
      <c r="G9" s="869"/>
      <c r="H9" s="869"/>
      <c r="I9" s="869"/>
      <c r="J9" s="869"/>
      <c r="K9" s="870"/>
      <c r="L9" s="876"/>
    </row>
    <row r="10" spans="1:13">
      <c r="A10" s="1106" t="s">
        <v>943</v>
      </c>
      <c r="B10" s="869">
        <f t="shared" ref="B10:I10" si="2">SUM(B4:B9)</f>
        <v>480195000</v>
      </c>
      <c r="C10" s="869">
        <f t="shared" si="2"/>
        <v>506700000</v>
      </c>
      <c r="D10" s="869">
        <f t="shared" si="2"/>
        <v>521700000</v>
      </c>
      <c r="E10" s="869">
        <f t="shared" si="2"/>
        <v>536700000</v>
      </c>
      <c r="F10" s="869">
        <f t="shared" si="2"/>
        <v>551700000</v>
      </c>
      <c r="G10" s="869">
        <f t="shared" si="2"/>
        <v>566700000</v>
      </c>
      <c r="H10" s="869">
        <f t="shared" si="2"/>
        <v>581700000</v>
      </c>
      <c r="I10" s="869">
        <f t="shared" si="2"/>
        <v>596700000</v>
      </c>
      <c r="J10" s="869">
        <f>SUM(J4:J9)</f>
        <v>611700000</v>
      </c>
      <c r="K10" s="870"/>
      <c r="L10" s="876"/>
      <c r="M10" s="876"/>
    </row>
    <row r="11" spans="1:13" ht="25.5">
      <c r="A11" s="1106" t="s">
        <v>1599</v>
      </c>
      <c r="B11" s="830">
        <f t="shared" ref="B11:J11" si="3">B10/2</f>
        <v>240097500</v>
      </c>
      <c r="C11" s="830">
        <f t="shared" si="3"/>
        <v>253350000</v>
      </c>
      <c r="D11" s="830">
        <f t="shared" si="3"/>
        <v>260850000</v>
      </c>
      <c r="E11" s="830">
        <f t="shared" si="3"/>
        <v>268350000</v>
      </c>
      <c r="F11" s="830">
        <f t="shared" si="3"/>
        <v>275850000</v>
      </c>
      <c r="G11" s="830">
        <f t="shared" si="3"/>
        <v>283350000</v>
      </c>
      <c r="H11" s="830">
        <f t="shared" si="3"/>
        <v>290850000</v>
      </c>
      <c r="I11" s="830">
        <f t="shared" si="3"/>
        <v>298350000</v>
      </c>
      <c r="J11" s="830">
        <f t="shared" si="3"/>
        <v>305850000</v>
      </c>
      <c r="K11" s="870"/>
      <c r="L11" s="877"/>
      <c r="M11" s="877"/>
    </row>
    <row r="12" spans="1:13" ht="25.5">
      <c r="A12" s="1107" t="s">
        <v>1698</v>
      </c>
      <c r="B12" s="310">
        <f>'12. többéves'!H43+'12. többéves'!H44</f>
        <v>24104195.16388889</v>
      </c>
      <c r="C12" s="310">
        <f>'12. többéves'!I43+'12. többéves'!I44</f>
        <v>52505755.045555562</v>
      </c>
      <c r="D12" s="310">
        <f>'12. többéves'!J43+'12. többéves'!J44</f>
        <v>50464042.110555559</v>
      </c>
      <c r="E12" s="310">
        <f>'12. többéves'!K43+'12. többéves'!K44</f>
        <v>48426327.175555557</v>
      </c>
      <c r="F12" s="310">
        <f>'12. többéves'!L43+'12. többéves'!L44</f>
        <v>44768263.240555555</v>
      </c>
      <c r="G12" s="310">
        <f>'12. többéves'!M43+'12. többéves'!M44</f>
        <v>39690697.305555552</v>
      </c>
      <c r="H12" s="310">
        <f>'12. többéves'!N43+'12. többéves'!N44</f>
        <v>36648368.37055555</v>
      </c>
      <c r="I12" s="310">
        <f>'12. többéves'!O43+'12. többéves'!O44</f>
        <v>35088100.435555562</v>
      </c>
      <c r="J12" s="310">
        <f>'12. többéves'!P43+'12. többéves'!P44</f>
        <v>24114901.980555557</v>
      </c>
      <c r="K12" s="870"/>
    </row>
    <row r="13" spans="1:13">
      <c r="A13" s="1107" t="s">
        <v>1699</v>
      </c>
      <c r="B13" s="310">
        <f>'12. többéves'!H45+'12. többéves'!H47</f>
        <v>700000</v>
      </c>
      <c r="C13" s="310">
        <f>'12. többéves'!I45+'12. többéves'!I47</f>
        <v>700000</v>
      </c>
      <c r="D13" s="310">
        <f>'12. többéves'!J45+'12. többéves'!J47</f>
        <v>4987500</v>
      </c>
      <c r="E13" s="310">
        <f>'12. többéves'!K45+'12. többéves'!K47</f>
        <v>4900000</v>
      </c>
      <c r="F13" s="310">
        <f>'12. többéves'!L45+'12. többéves'!L47</f>
        <v>4812500</v>
      </c>
      <c r="G13" s="310">
        <f>'12. többéves'!M45+'12. többéves'!M47</f>
        <v>4725000</v>
      </c>
      <c r="H13" s="310">
        <f>'12. többéves'!N45+'12. többéves'!N47</f>
        <v>4637500</v>
      </c>
      <c r="I13" s="310">
        <f>'12. többéves'!O45+'12. többéves'!O47</f>
        <v>4550000</v>
      </c>
      <c r="J13" s="310">
        <f>'12. többéves'!P45+'12. többéves'!P47</f>
        <v>4462500</v>
      </c>
      <c r="K13" s="870"/>
    </row>
    <row r="14" spans="1:13">
      <c r="A14" s="1106" t="s">
        <v>1701</v>
      </c>
      <c r="B14" s="310">
        <f>'12. többéves'!H67+'12. többéves'!H68</f>
        <v>24804195.16388889</v>
      </c>
      <c r="C14" s="310">
        <f>'12. többéves'!I67+'12. többéves'!I68</f>
        <v>88413511.255833343</v>
      </c>
      <c r="D14" s="310">
        <f>'12. többéves'!J67+'12. többéves'!J68</f>
        <v>90039200.853333339</v>
      </c>
      <c r="E14" s="310">
        <f>'12. többéves'!K67+'12. többéves'!K68</f>
        <v>87293888.450833336</v>
      </c>
      <c r="F14" s="310">
        <f>'12. többéves'!L67+'12. többéves'!L68</f>
        <v>82928227.048333332</v>
      </c>
      <c r="G14" s="310">
        <f>'12. többéves'!M67+'12. többéves'!M68</f>
        <v>77143063.645833328</v>
      </c>
      <c r="H14" s="310">
        <f>'12. többéves'!N67+'12. többéves'!N68</f>
        <v>73393137.243333325</v>
      </c>
      <c r="I14" s="310">
        <f>'12. többéves'!O67+'12. többéves'!O68</f>
        <v>71125271.840833351</v>
      </c>
      <c r="J14" s="310">
        <f>'12. többéves'!P67+'12. többéves'!P68</f>
        <v>52692303.970833339</v>
      </c>
      <c r="K14" s="1104">
        <f>[2]kötelezettségvállalások!P63+[2]kötelezettségvállalások!P64</f>
        <v>58742167</v>
      </c>
      <c r="L14" s="870"/>
      <c r="M14" s="870"/>
    </row>
    <row r="15" spans="1:13" s="1113" customFormat="1">
      <c r="A15" s="1109" t="s">
        <v>1700</v>
      </c>
      <c r="B15" s="1110">
        <f>'12. többéves'!H67</f>
        <v>17121455.861111112</v>
      </c>
      <c r="C15" s="1110">
        <f>'12. többéves'!I67</f>
        <v>77547749.585277781</v>
      </c>
      <c r="D15" s="1110">
        <f>'12. többéves'!J67</f>
        <v>80901893.11777778</v>
      </c>
      <c r="E15" s="1110">
        <f>'12. többéves'!K67</f>
        <v>79883035.650277779</v>
      </c>
      <c r="F15" s="1110">
        <f>'12. többéves'!L67</f>
        <v>77219837.182777777</v>
      </c>
      <c r="G15" s="1110">
        <f>'12. többéves'!M67</f>
        <v>73027443.715277776</v>
      </c>
      <c r="H15" s="1110">
        <f>'12. többéves'!N67</f>
        <v>70741040.247777775</v>
      </c>
      <c r="I15" s="1110">
        <f>'12. többéves'!O67</f>
        <v>69960901.780277789</v>
      </c>
      <c r="J15" s="1110">
        <f>'12. többéves'!P67</f>
        <v>52604803.990277782</v>
      </c>
      <c r="K15" s="1111"/>
      <c r="L15" s="1112"/>
      <c r="M15" s="1112"/>
    </row>
    <row r="16" spans="1:13" s="1113" customFormat="1">
      <c r="A16" s="1109" t="s">
        <v>1702</v>
      </c>
      <c r="B16" s="1110">
        <f>'12. többéves'!H68</f>
        <v>7682739.3027777784</v>
      </c>
      <c r="C16" s="1110">
        <f>'12. többéves'!I68</f>
        <v>10865761.670555556</v>
      </c>
      <c r="D16" s="1110">
        <f>'12. többéves'!J68</f>
        <v>9137307.7355555557</v>
      </c>
      <c r="E16" s="1110">
        <f>'12. többéves'!K68</f>
        <v>7410852.8005555561</v>
      </c>
      <c r="F16" s="1110">
        <f>'12. többéves'!L68</f>
        <v>5708389.8655555556</v>
      </c>
      <c r="G16" s="1110">
        <f>'12. többéves'!M68</f>
        <v>4115619.930555556</v>
      </c>
      <c r="H16" s="1110">
        <f>'12. többéves'!N68</f>
        <v>2652096.9955555559</v>
      </c>
      <c r="I16" s="1110">
        <f>'12. többéves'!O68</f>
        <v>1164370.0605555559</v>
      </c>
      <c r="J16" s="1110">
        <f>'12. többéves'!P68</f>
        <v>87499.980555555827</v>
      </c>
      <c r="K16" s="1111"/>
      <c r="L16" s="1112"/>
      <c r="M16" s="1112"/>
    </row>
    <row r="17" spans="1:13" ht="13.5" thickBot="1">
      <c r="A17" s="1108" t="s">
        <v>1600</v>
      </c>
      <c r="B17" s="310">
        <f t="shared" ref="B17:J17" si="4">B11-B14</f>
        <v>215293304.8361111</v>
      </c>
      <c r="C17" s="310">
        <f t="shared" si="4"/>
        <v>164936488.74416667</v>
      </c>
      <c r="D17" s="310">
        <f t="shared" si="4"/>
        <v>170810799.14666665</v>
      </c>
      <c r="E17" s="310">
        <f t="shared" si="4"/>
        <v>181056111.54916668</v>
      </c>
      <c r="F17" s="310">
        <f t="shared" si="4"/>
        <v>192921772.95166665</v>
      </c>
      <c r="G17" s="310">
        <f t="shared" si="4"/>
        <v>206206936.35416669</v>
      </c>
      <c r="H17" s="310">
        <f t="shared" si="4"/>
        <v>217456862.75666666</v>
      </c>
      <c r="I17" s="310">
        <f t="shared" si="4"/>
        <v>227224728.15916663</v>
      </c>
      <c r="J17" s="310">
        <f t="shared" si="4"/>
        <v>253157696.02916667</v>
      </c>
      <c r="K17" s="1105"/>
      <c r="L17" s="870"/>
      <c r="M17" s="870"/>
    </row>
  </sheetData>
  <mergeCells count="1">
    <mergeCell ref="F2:J2"/>
  </mergeCells>
  <pageMargins left="0.19685039370078741" right="0.11811023622047245" top="0.35433070866141736" bottom="0.55118110236220474" header="0.31496062992125984" footer="0.31496062992125984"/>
  <pageSetup paperSize="9" fitToHeight="0" orientation="landscape" r:id="rId1"/>
  <headerFooter>
    <oddHeader>&amp;RRáckeve Város 2020 évi költségvetés melléklete</oddHead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23"/>
  <sheetViews>
    <sheetView tabSelected="1" workbookViewId="0">
      <selection activeCell="J16" sqref="J16"/>
    </sheetView>
  </sheetViews>
  <sheetFormatPr defaultRowHeight="12.75"/>
  <cols>
    <col min="1" max="1" width="5" style="878" customWidth="1"/>
    <col min="2" max="2" width="47" style="879" customWidth="1"/>
    <col min="3" max="3" width="15.140625" style="879" customWidth="1"/>
    <col min="4" max="255" width="9.140625" style="879"/>
    <col min="256" max="256" width="5" style="879" customWidth="1"/>
    <col min="257" max="257" width="47" style="879" customWidth="1"/>
    <col min="258" max="259" width="15.140625" style="879" customWidth="1"/>
    <col min="260" max="511" width="9.140625" style="879"/>
    <col min="512" max="512" width="5" style="879" customWidth="1"/>
    <col min="513" max="513" width="47" style="879" customWidth="1"/>
    <col min="514" max="515" width="15.140625" style="879" customWidth="1"/>
    <col min="516" max="767" width="9.140625" style="879"/>
    <col min="768" max="768" width="5" style="879" customWidth="1"/>
    <col min="769" max="769" width="47" style="879" customWidth="1"/>
    <col min="770" max="771" width="15.140625" style="879" customWidth="1"/>
    <col min="772" max="1023" width="9.140625" style="879"/>
    <col min="1024" max="1024" width="5" style="879" customWidth="1"/>
    <col min="1025" max="1025" width="47" style="879" customWidth="1"/>
    <col min="1026" max="1027" width="15.140625" style="879" customWidth="1"/>
    <col min="1028" max="1279" width="9.140625" style="879"/>
    <col min="1280" max="1280" width="5" style="879" customWidth="1"/>
    <col min="1281" max="1281" width="47" style="879" customWidth="1"/>
    <col min="1282" max="1283" width="15.140625" style="879" customWidth="1"/>
    <col min="1284" max="1535" width="9.140625" style="879"/>
    <col min="1536" max="1536" width="5" style="879" customWidth="1"/>
    <col min="1537" max="1537" width="47" style="879" customWidth="1"/>
    <col min="1538" max="1539" width="15.140625" style="879" customWidth="1"/>
    <col min="1540" max="1791" width="9.140625" style="879"/>
    <col min="1792" max="1792" width="5" style="879" customWidth="1"/>
    <col min="1793" max="1793" width="47" style="879" customWidth="1"/>
    <col min="1794" max="1795" width="15.140625" style="879" customWidth="1"/>
    <col min="1796" max="2047" width="9.140625" style="879"/>
    <col min="2048" max="2048" width="5" style="879" customWidth="1"/>
    <col min="2049" max="2049" width="47" style="879" customWidth="1"/>
    <col min="2050" max="2051" width="15.140625" style="879" customWidth="1"/>
    <col min="2052" max="2303" width="9.140625" style="879"/>
    <col min="2304" max="2304" width="5" style="879" customWidth="1"/>
    <col min="2305" max="2305" width="47" style="879" customWidth="1"/>
    <col min="2306" max="2307" width="15.140625" style="879" customWidth="1"/>
    <col min="2308" max="2559" width="9.140625" style="879"/>
    <col min="2560" max="2560" width="5" style="879" customWidth="1"/>
    <col min="2561" max="2561" width="47" style="879" customWidth="1"/>
    <col min="2562" max="2563" width="15.140625" style="879" customWidth="1"/>
    <col min="2564" max="2815" width="9.140625" style="879"/>
    <col min="2816" max="2816" width="5" style="879" customWidth="1"/>
    <col min="2817" max="2817" width="47" style="879" customWidth="1"/>
    <col min="2818" max="2819" width="15.140625" style="879" customWidth="1"/>
    <col min="2820" max="3071" width="9.140625" style="879"/>
    <col min="3072" max="3072" width="5" style="879" customWidth="1"/>
    <col min="3073" max="3073" width="47" style="879" customWidth="1"/>
    <col min="3074" max="3075" width="15.140625" style="879" customWidth="1"/>
    <col min="3076" max="3327" width="9.140625" style="879"/>
    <col min="3328" max="3328" width="5" style="879" customWidth="1"/>
    <col min="3329" max="3329" width="47" style="879" customWidth="1"/>
    <col min="3330" max="3331" width="15.140625" style="879" customWidth="1"/>
    <col min="3332" max="3583" width="9.140625" style="879"/>
    <col min="3584" max="3584" width="5" style="879" customWidth="1"/>
    <col min="3585" max="3585" width="47" style="879" customWidth="1"/>
    <col min="3586" max="3587" width="15.140625" style="879" customWidth="1"/>
    <col min="3588" max="3839" width="9.140625" style="879"/>
    <col min="3840" max="3840" width="5" style="879" customWidth="1"/>
    <col min="3841" max="3841" width="47" style="879" customWidth="1"/>
    <col min="3842" max="3843" width="15.140625" style="879" customWidth="1"/>
    <col min="3844" max="4095" width="9.140625" style="879"/>
    <col min="4096" max="4096" width="5" style="879" customWidth="1"/>
    <col min="4097" max="4097" width="47" style="879" customWidth="1"/>
    <col min="4098" max="4099" width="15.140625" style="879" customWidth="1"/>
    <col min="4100" max="4351" width="9.140625" style="879"/>
    <col min="4352" max="4352" width="5" style="879" customWidth="1"/>
    <col min="4353" max="4353" width="47" style="879" customWidth="1"/>
    <col min="4354" max="4355" width="15.140625" style="879" customWidth="1"/>
    <col min="4356" max="4607" width="9.140625" style="879"/>
    <col min="4608" max="4608" width="5" style="879" customWidth="1"/>
    <col min="4609" max="4609" width="47" style="879" customWidth="1"/>
    <col min="4610" max="4611" width="15.140625" style="879" customWidth="1"/>
    <col min="4612" max="4863" width="9.140625" style="879"/>
    <col min="4864" max="4864" width="5" style="879" customWidth="1"/>
    <col min="4865" max="4865" width="47" style="879" customWidth="1"/>
    <col min="4866" max="4867" width="15.140625" style="879" customWidth="1"/>
    <col min="4868" max="5119" width="9.140625" style="879"/>
    <col min="5120" max="5120" width="5" style="879" customWidth="1"/>
    <col min="5121" max="5121" width="47" style="879" customWidth="1"/>
    <col min="5122" max="5123" width="15.140625" style="879" customWidth="1"/>
    <col min="5124" max="5375" width="9.140625" style="879"/>
    <col min="5376" max="5376" width="5" style="879" customWidth="1"/>
    <col min="5377" max="5377" width="47" style="879" customWidth="1"/>
    <col min="5378" max="5379" width="15.140625" style="879" customWidth="1"/>
    <col min="5380" max="5631" width="9.140625" style="879"/>
    <col min="5632" max="5632" width="5" style="879" customWidth="1"/>
    <col min="5633" max="5633" width="47" style="879" customWidth="1"/>
    <col min="5634" max="5635" width="15.140625" style="879" customWidth="1"/>
    <col min="5636" max="5887" width="9.140625" style="879"/>
    <col min="5888" max="5888" width="5" style="879" customWidth="1"/>
    <col min="5889" max="5889" width="47" style="879" customWidth="1"/>
    <col min="5890" max="5891" width="15.140625" style="879" customWidth="1"/>
    <col min="5892" max="6143" width="9.140625" style="879"/>
    <col min="6144" max="6144" width="5" style="879" customWidth="1"/>
    <col min="6145" max="6145" width="47" style="879" customWidth="1"/>
    <col min="6146" max="6147" width="15.140625" style="879" customWidth="1"/>
    <col min="6148" max="6399" width="9.140625" style="879"/>
    <col min="6400" max="6400" width="5" style="879" customWidth="1"/>
    <col min="6401" max="6401" width="47" style="879" customWidth="1"/>
    <col min="6402" max="6403" width="15.140625" style="879" customWidth="1"/>
    <col min="6404" max="6655" width="9.140625" style="879"/>
    <col min="6656" max="6656" width="5" style="879" customWidth="1"/>
    <col min="6657" max="6657" width="47" style="879" customWidth="1"/>
    <col min="6658" max="6659" width="15.140625" style="879" customWidth="1"/>
    <col min="6660" max="6911" width="9.140625" style="879"/>
    <col min="6912" max="6912" width="5" style="879" customWidth="1"/>
    <col min="6913" max="6913" width="47" style="879" customWidth="1"/>
    <col min="6914" max="6915" width="15.140625" style="879" customWidth="1"/>
    <col min="6916" max="7167" width="9.140625" style="879"/>
    <col min="7168" max="7168" width="5" style="879" customWidth="1"/>
    <col min="7169" max="7169" width="47" style="879" customWidth="1"/>
    <col min="7170" max="7171" width="15.140625" style="879" customWidth="1"/>
    <col min="7172" max="7423" width="9.140625" style="879"/>
    <col min="7424" max="7424" width="5" style="879" customWidth="1"/>
    <col min="7425" max="7425" width="47" style="879" customWidth="1"/>
    <col min="7426" max="7427" width="15.140625" style="879" customWidth="1"/>
    <col min="7428" max="7679" width="9.140625" style="879"/>
    <col min="7680" max="7680" width="5" style="879" customWidth="1"/>
    <col min="7681" max="7681" width="47" style="879" customWidth="1"/>
    <col min="7682" max="7683" width="15.140625" style="879" customWidth="1"/>
    <col min="7684" max="7935" width="9.140625" style="879"/>
    <col min="7936" max="7936" width="5" style="879" customWidth="1"/>
    <col min="7937" max="7937" width="47" style="879" customWidth="1"/>
    <col min="7938" max="7939" width="15.140625" style="879" customWidth="1"/>
    <col min="7940" max="8191" width="9.140625" style="879"/>
    <col min="8192" max="8192" width="5" style="879" customWidth="1"/>
    <col min="8193" max="8193" width="47" style="879" customWidth="1"/>
    <col min="8194" max="8195" width="15.140625" style="879" customWidth="1"/>
    <col min="8196" max="8447" width="9.140625" style="879"/>
    <col min="8448" max="8448" width="5" style="879" customWidth="1"/>
    <col min="8449" max="8449" width="47" style="879" customWidth="1"/>
    <col min="8450" max="8451" width="15.140625" style="879" customWidth="1"/>
    <col min="8452" max="8703" width="9.140625" style="879"/>
    <col min="8704" max="8704" width="5" style="879" customWidth="1"/>
    <col min="8705" max="8705" width="47" style="879" customWidth="1"/>
    <col min="8706" max="8707" width="15.140625" style="879" customWidth="1"/>
    <col min="8708" max="8959" width="9.140625" style="879"/>
    <col min="8960" max="8960" width="5" style="879" customWidth="1"/>
    <col min="8961" max="8961" width="47" style="879" customWidth="1"/>
    <col min="8962" max="8963" width="15.140625" style="879" customWidth="1"/>
    <col min="8964" max="9215" width="9.140625" style="879"/>
    <col min="9216" max="9216" width="5" style="879" customWidth="1"/>
    <col min="9217" max="9217" width="47" style="879" customWidth="1"/>
    <col min="9218" max="9219" width="15.140625" style="879" customWidth="1"/>
    <col min="9220" max="9471" width="9.140625" style="879"/>
    <col min="9472" max="9472" width="5" style="879" customWidth="1"/>
    <col min="9473" max="9473" width="47" style="879" customWidth="1"/>
    <col min="9474" max="9475" width="15.140625" style="879" customWidth="1"/>
    <col min="9476" max="9727" width="9.140625" style="879"/>
    <col min="9728" max="9728" width="5" style="879" customWidth="1"/>
    <col min="9729" max="9729" width="47" style="879" customWidth="1"/>
    <col min="9730" max="9731" width="15.140625" style="879" customWidth="1"/>
    <col min="9732" max="9983" width="9.140625" style="879"/>
    <col min="9984" max="9984" width="5" style="879" customWidth="1"/>
    <col min="9985" max="9985" width="47" style="879" customWidth="1"/>
    <col min="9986" max="9987" width="15.140625" style="879" customWidth="1"/>
    <col min="9988" max="10239" width="9.140625" style="879"/>
    <col min="10240" max="10240" width="5" style="879" customWidth="1"/>
    <col min="10241" max="10241" width="47" style="879" customWidth="1"/>
    <col min="10242" max="10243" width="15.140625" style="879" customWidth="1"/>
    <col min="10244" max="10495" width="9.140625" style="879"/>
    <col min="10496" max="10496" width="5" style="879" customWidth="1"/>
    <col min="10497" max="10497" width="47" style="879" customWidth="1"/>
    <col min="10498" max="10499" width="15.140625" style="879" customWidth="1"/>
    <col min="10500" max="10751" width="9.140625" style="879"/>
    <col min="10752" max="10752" width="5" style="879" customWidth="1"/>
    <col min="10753" max="10753" width="47" style="879" customWidth="1"/>
    <col min="10754" max="10755" width="15.140625" style="879" customWidth="1"/>
    <col min="10756" max="11007" width="9.140625" style="879"/>
    <col min="11008" max="11008" width="5" style="879" customWidth="1"/>
    <col min="11009" max="11009" width="47" style="879" customWidth="1"/>
    <col min="11010" max="11011" width="15.140625" style="879" customWidth="1"/>
    <col min="11012" max="11263" width="9.140625" style="879"/>
    <col min="11264" max="11264" width="5" style="879" customWidth="1"/>
    <col min="11265" max="11265" width="47" style="879" customWidth="1"/>
    <col min="11266" max="11267" width="15.140625" style="879" customWidth="1"/>
    <col min="11268" max="11519" width="9.140625" style="879"/>
    <col min="11520" max="11520" width="5" style="879" customWidth="1"/>
    <col min="11521" max="11521" width="47" style="879" customWidth="1"/>
    <col min="11522" max="11523" width="15.140625" style="879" customWidth="1"/>
    <col min="11524" max="11775" width="9.140625" style="879"/>
    <col min="11776" max="11776" width="5" style="879" customWidth="1"/>
    <col min="11777" max="11777" width="47" style="879" customWidth="1"/>
    <col min="11778" max="11779" width="15.140625" style="879" customWidth="1"/>
    <col min="11780" max="12031" width="9.140625" style="879"/>
    <col min="12032" max="12032" width="5" style="879" customWidth="1"/>
    <col min="12033" max="12033" width="47" style="879" customWidth="1"/>
    <col min="12034" max="12035" width="15.140625" style="879" customWidth="1"/>
    <col min="12036" max="12287" width="9.140625" style="879"/>
    <col min="12288" max="12288" width="5" style="879" customWidth="1"/>
    <col min="12289" max="12289" width="47" style="879" customWidth="1"/>
    <col min="12290" max="12291" width="15.140625" style="879" customWidth="1"/>
    <col min="12292" max="12543" width="9.140625" style="879"/>
    <col min="12544" max="12544" width="5" style="879" customWidth="1"/>
    <col min="12545" max="12545" width="47" style="879" customWidth="1"/>
    <col min="12546" max="12547" width="15.140625" style="879" customWidth="1"/>
    <col min="12548" max="12799" width="9.140625" style="879"/>
    <col min="12800" max="12800" width="5" style="879" customWidth="1"/>
    <col min="12801" max="12801" width="47" style="879" customWidth="1"/>
    <col min="12802" max="12803" width="15.140625" style="879" customWidth="1"/>
    <col min="12804" max="13055" width="9.140625" style="879"/>
    <col min="13056" max="13056" width="5" style="879" customWidth="1"/>
    <col min="13057" max="13057" width="47" style="879" customWidth="1"/>
    <col min="13058" max="13059" width="15.140625" style="879" customWidth="1"/>
    <col min="13060" max="13311" width="9.140625" style="879"/>
    <col min="13312" max="13312" width="5" style="879" customWidth="1"/>
    <col min="13313" max="13313" width="47" style="879" customWidth="1"/>
    <col min="13314" max="13315" width="15.140625" style="879" customWidth="1"/>
    <col min="13316" max="13567" width="9.140625" style="879"/>
    <col min="13568" max="13568" width="5" style="879" customWidth="1"/>
    <col min="13569" max="13569" width="47" style="879" customWidth="1"/>
    <col min="13570" max="13571" width="15.140625" style="879" customWidth="1"/>
    <col min="13572" max="13823" width="9.140625" style="879"/>
    <col min="13824" max="13824" width="5" style="879" customWidth="1"/>
    <col min="13825" max="13825" width="47" style="879" customWidth="1"/>
    <col min="13826" max="13827" width="15.140625" style="879" customWidth="1"/>
    <col min="13828" max="14079" width="9.140625" style="879"/>
    <col min="14080" max="14080" width="5" style="879" customWidth="1"/>
    <col min="14081" max="14081" width="47" style="879" customWidth="1"/>
    <col min="14082" max="14083" width="15.140625" style="879" customWidth="1"/>
    <col min="14084" max="14335" width="9.140625" style="879"/>
    <col min="14336" max="14336" width="5" style="879" customWidth="1"/>
    <col min="14337" max="14337" width="47" style="879" customWidth="1"/>
    <col min="14338" max="14339" width="15.140625" style="879" customWidth="1"/>
    <col min="14340" max="14591" width="9.140625" style="879"/>
    <col min="14592" max="14592" width="5" style="879" customWidth="1"/>
    <col min="14593" max="14593" width="47" style="879" customWidth="1"/>
    <col min="14594" max="14595" width="15.140625" style="879" customWidth="1"/>
    <col min="14596" max="14847" width="9.140625" style="879"/>
    <col min="14848" max="14848" width="5" style="879" customWidth="1"/>
    <col min="14849" max="14849" width="47" style="879" customWidth="1"/>
    <col min="14850" max="14851" width="15.140625" style="879" customWidth="1"/>
    <col min="14852" max="15103" width="9.140625" style="879"/>
    <col min="15104" max="15104" width="5" style="879" customWidth="1"/>
    <col min="15105" max="15105" width="47" style="879" customWidth="1"/>
    <col min="15106" max="15107" width="15.140625" style="879" customWidth="1"/>
    <col min="15108" max="15359" width="9.140625" style="879"/>
    <col min="15360" max="15360" width="5" style="879" customWidth="1"/>
    <col min="15361" max="15361" width="47" style="879" customWidth="1"/>
    <col min="15362" max="15363" width="15.140625" style="879" customWidth="1"/>
    <col min="15364" max="15615" width="9.140625" style="879"/>
    <col min="15616" max="15616" width="5" style="879" customWidth="1"/>
    <col min="15617" max="15617" width="47" style="879" customWidth="1"/>
    <col min="15618" max="15619" width="15.140625" style="879" customWidth="1"/>
    <col min="15620" max="15871" width="9.140625" style="879"/>
    <col min="15872" max="15872" width="5" style="879" customWidth="1"/>
    <col min="15873" max="15873" width="47" style="879" customWidth="1"/>
    <col min="15874" max="15875" width="15.140625" style="879" customWidth="1"/>
    <col min="15876" max="16127" width="9.140625" style="879"/>
    <col min="16128" max="16128" width="5" style="879" customWidth="1"/>
    <col min="16129" max="16129" width="47" style="879" customWidth="1"/>
    <col min="16130" max="16131" width="15.140625" style="879" customWidth="1"/>
    <col min="16132" max="16384" width="9.140625" style="879"/>
  </cols>
  <sheetData>
    <row r="2" spans="1:3" ht="15.75">
      <c r="B2" s="1404" t="s">
        <v>1620</v>
      </c>
      <c r="C2" s="1404"/>
    </row>
    <row r="3" spans="1:3" s="882" customFormat="1" ht="16.5" thickBot="1">
      <c r="A3" s="880"/>
      <c r="B3" s="881"/>
      <c r="C3" s="883" t="s">
        <v>1601</v>
      </c>
    </row>
    <row r="4" spans="1:3" s="887" customFormat="1" ht="24.75" thickBot="1">
      <c r="A4" s="884" t="s">
        <v>1574</v>
      </c>
      <c r="B4" s="885" t="s">
        <v>302</v>
      </c>
      <c r="C4" s="886" t="s">
        <v>1602</v>
      </c>
    </row>
    <row r="5" spans="1:3" s="887" customFormat="1" ht="13.5" thickBot="1">
      <c r="A5" s="888" t="s">
        <v>287</v>
      </c>
      <c r="B5" s="889" t="s">
        <v>268</v>
      </c>
      <c r="C5" s="890" t="s">
        <v>1502</v>
      </c>
    </row>
    <row r="6" spans="1:3">
      <c r="A6" s="891" t="s">
        <v>172</v>
      </c>
      <c r="B6" s="892" t="s">
        <v>1603</v>
      </c>
      <c r="C6" s="783">
        <v>31000000</v>
      </c>
    </row>
    <row r="7" spans="1:3">
      <c r="A7" s="893" t="s">
        <v>173</v>
      </c>
      <c r="B7" s="894" t="s">
        <v>1604</v>
      </c>
      <c r="C7" s="766"/>
    </row>
    <row r="8" spans="1:3">
      <c r="A8" s="893" t="s">
        <v>174</v>
      </c>
      <c r="B8" s="894" t="s">
        <v>1605</v>
      </c>
      <c r="C8" s="766"/>
    </row>
    <row r="9" spans="1:3">
      <c r="A9" s="893" t="s">
        <v>175</v>
      </c>
      <c r="B9" s="894" t="s">
        <v>1606</v>
      </c>
      <c r="C9" s="766"/>
    </row>
    <row r="10" spans="1:3">
      <c r="A10" s="893" t="s">
        <v>176</v>
      </c>
      <c r="B10" s="894" t="s">
        <v>1607</v>
      </c>
      <c r="C10" s="766">
        <f>SUM(C11:C16)</f>
        <v>12250000</v>
      </c>
    </row>
    <row r="11" spans="1:3">
      <c r="A11" s="893" t="s">
        <v>177</v>
      </c>
      <c r="B11" s="894" t="s">
        <v>1608</v>
      </c>
      <c r="C11" s="766">
        <v>9200000</v>
      </c>
    </row>
    <row r="12" spans="1:3">
      <c r="A12" s="893" t="s">
        <v>178</v>
      </c>
      <c r="B12" s="895" t="s">
        <v>1609</v>
      </c>
      <c r="C12" s="766"/>
    </row>
    <row r="13" spans="1:3">
      <c r="A13" s="893" t="s">
        <v>180</v>
      </c>
      <c r="B13" s="895" t="s">
        <v>1610</v>
      </c>
      <c r="C13" s="766"/>
    </row>
    <row r="14" spans="1:3">
      <c r="A14" s="893" t="s">
        <v>181</v>
      </c>
      <c r="B14" s="895" t="s">
        <v>1611</v>
      </c>
      <c r="C14" s="766"/>
    </row>
    <row r="15" spans="1:3">
      <c r="A15" s="893" t="s">
        <v>182</v>
      </c>
      <c r="B15" s="895" t="s">
        <v>1612</v>
      </c>
      <c r="C15" s="766">
        <v>2900000</v>
      </c>
    </row>
    <row r="16" spans="1:3" ht="22.5">
      <c r="A16" s="893" t="s">
        <v>183</v>
      </c>
      <c r="B16" s="895" t="s">
        <v>1613</v>
      </c>
      <c r="C16" s="766">
        <v>150000</v>
      </c>
    </row>
    <row r="17" spans="1:3">
      <c r="A17" s="893" t="s">
        <v>184</v>
      </c>
      <c r="B17" s="894" t="s">
        <v>1614</v>
      </c>
      <c r="C17" s="766"/>
    </row>
    <row r="18" spans="1:3">
      <c r="A18" s="893" t="s">
        <v>185</v>
      </c>
      <c r="B18" s="894" t="s">
        <v>1615</v>
      </c>
      <c r="C18" s="766">
        <v>5000000</v>
      </c>
    </row>
    <row r="19" spans="1:3">
      <c r="A19" s="893" t="s">
        <v>186</v>
      </c>
      <c r="B19" s="894" t="s">
        <v>1616</v>
      </c>
      <c r="C19" s="766"/>
    </row>
    <row r="20" spans="1:3">
      <c r="A20" s="893" t="s">
        <v>187</v>
      </c>
      <c r="B20" s="894" t="s">
        <v>1617</v>
      </c>
      <c r="C20" s="766"/>
    </row>
    <row r="21" spans="1:3" ht="13.5" thickBot="1">
      <c r="A21" s="893" t="s">
        <v>188</v>
      </c>
      <c r="B21" s="894" t="s">
        <v>1618</v>
      </c>
      <c r="C21" s="766"/>
    </row>
    <row r="22" spans="1:3" ht="13.5" thickBot="1">
      <c r="A22" s="896" t="s">
        <v>198</v>
      </c>
      <c r="B22" s="897" t="s">
        <v>1619</v>
      </c>
      <c r="C22" s="898">
        <f>SUM(C6:C21)</f>
        <v>60500000</v>
      </c>
    </row>
    <row r="23" spans="1:3">
      <c r="A23" s="899"/>
      <c r="B23" s="1405"/>
      <c r="C23" s="1405"/>
    </row>
  </sheetData>
  <mergeCells count="2">
    <mergeCell ref="B2:C2"/>
    <mergeCell ref="B23:C23"/>
  </mergeCells>
  <pageMargins left="0.19685039370078741" right="0.11811023622047245" top="0.35433070866141736" bottom="0.55118110236220474" header="0.31496062992125984" footer="0.31496062992125984"/>
  <pageSetup paperSize="9" fitToHeight="0" orientation="landscape" r:id="rId1"/>
  <headerFooter>
    <oddHeader>&amp;RRáckeve Város 2020 évi költségvetés melléklete</oddHead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3"/>
  <sheetViews>
    <sheetView topLeftCell="C1" workbookViewId="0">
      <selection activeCell="N2" sqref="N2"/>
    </sheetView>
  </sheetViews>
  <sheetFormatPr defaultRowHeight="12.75"/>
  <cols>
    <col min="1" max="1" width="63.85546875" customWidth="1"/>
    <col min="2" max="2" width="12.7109375" style="420" hidden="1" customWidth="1"/>
    <col min="3" max="9" width="11.140625" style="420" bestFit="1" customWidth="1"/>
    <col min="10" max="10" width="11.7109375" style="420" bestFit="1" customWidth="1"/>
    <col min="11" max="11" width="11.140625" style="420" bestFit="1" customWidth="1"/>
    <col min="12" max="12" width="11.7109375" style="420" bestFit="1" customWidth="1"/>
    <col min="13" max="13" width="11.140625" style="420" bestFit="1" customWidth="1"/>
    <col min="14" max="14" width="11.7109375" style="420" bestFit="1" customWidth="1"/>
    <col min="15" max="15" width="13.42578125" style="420" hidden="1" customWidth="1"/>
  </cols>
  <sheetData>
    <row r="1" spans="1:15" ht="15">
      <c r="E1" s="1173" t="s">
        <v>1621</v>
      </c>
    </row>
    <row r="2" spans="1:15" ht="13.5">
      <c r="N2" s="883" t="s">
        <v>1672</v>
      </c>
    </row>
    <row r="3" spans="1:15">
      <c r="A3" s="307"/>
      <c r="B3" s="310"/>
      <c r="C3" s="310" t="s">
        <v>172</v>
      </c>
      <c r="D3" s="310" t="s">
        <v>173</v>
      </c>
      <c r="E3" s="310" t="s">
        <v>174</v>
      </c>
      <c r="F3" s="310" t="s">
        <v>175</v>
      </c>
      <c r="G3" s="310" t="s">
        <v>176</v>
      </c>
      <c r="H3" s="310" t="s">
        <v>177</v>
      </c>
      <c r="I3" s="310" t="s">
        <v>178</v>
      </c>
      <c r="J3" s="310" t="s">
        <v>179</v>
      </c>
      <c r="K3" s="310" t="s">
        <v>180</v>
      </c>
      <c r="L3" s="310" t="s">
        <v>181</v>
      </c>
      <c r="M3" s="310" t="s">
        <v>182</v>
      </c>
      <c r="N3" s="310" t="s">
        <v>183</v>
      </c>
      <c r="O3" s="310"/>
    </row>
    <row r="4" spans="1:15">
      <c r="A4" s="307" t="str">
        <f>'9. gördülő tervez'!B7</f>
        <v>Önkormányzat működési támogatásai</v>
      </c>
      <c r="B4" s="310">
        <f>'9. gördülő tervez'!C7</f>
        <v>1012426632</v>
      </c>
      <c r="C4" s="310">
        <f>B4/12</f>
        <v>84368886</v>
      </c>
      <c r="D4" s="310">
        <f t="shared" ref="D4:N4" si="0">C4</f>
        <v>84368886</v>
      </c>
      <c r="E4" s="310">
        <f t="shared" si="0"/>
        <v>84368886</v>
      </c>
      <c r="F4" s="310">
        <f t="shared" si="0"/>
        <v>84368886</v>
      </c>
      <c r="G4" s="310">
        <f t="shared" si="0"/>
        <v>84368886</v>
      </c>
      <c r="H4" s="310">
        <f t="shared" si="0"/>
        <v>84368886</v>
      </c>
      <c r="I4" s="310">
        <f t="shared" si="0"/>
        <v>84368886</v>
      </c>
      <c r="J4" s="310">
        <f t="shared" si="0"/>
        <v>84368886</v>
      </c>
      <c r="K4" s="310">
        <f t="shared" si="0"/>
        <v>84368886</v>
      </c>
      <c r="L4" s="310">
        <f t="shared" si="0"/>
        <v>84368886</v>
      </c>
      <c r="M4" s="310">
        <f t="shared" si="0"/>
        <v>84368886</v>
      </c>
      <c r="N4" s="310">
        <f t="shared" si="0"/>
        <v>84368886</v>
      </c>
      <c r="O4" s="310">
        <f t="shared" ref="O4:O12" si="1">SUM(C4:N4)-B4</f>
        <v>0</v>
      </c>
    </row>
    <row r="5" spans="1:15">
      <c r="A5" s="307" t="str">
        <f>'9. gördülő tervez'!B8</f>
        <v>Működési célú támogatások államháztartáson belülről</v>
      </c>
      <c r="B5" s="310">
        <f>'9. gördülő tervez'!C8</f>
        <v>537913170.96541262</v>
      </c>
      <c r="C5" s="310">
        <f>B5/12</f>
        <v>44826097.580451049</v>
      </c>
      <c r="D5" s="310">
        <f t="shared" ref="D5:N5" si="2">C5</f>
        <v>44826097.580451049</v>
      </c>
      <c r="E5" s="310">
        <f t="shared" si="2"/>
        <v>44826097.580451049</v>
      </c>
      <c r="F5" s="310">
        <f t="shared" si="2"/>
        <v>44826097.580451049</v>
      </c>
      <c r="G5" s="310">
        <f t="shared" si="2"/>
        <v>44826097.580451049</v>
      </c>
      <c r="H5" s="310">
        <f t="shared" si="2"/>
        <v>44826097.580451049</v>
      </c>
      <c r="I5" s="310">
        <f t="shared" si="2"/>
        <v>44826097.580451049</v>
      </c>
      <c r="J5" s="310">
        <f t="shared" si="2"/>
        <v>44826097.580451049</v>
      </c>
      <c r="K5" s="310">
        <f t="shared" si="2"/>
        <v>44826097.580451049</v>
      </c>
      <c r="L5" s="310">
        <f t="shared" si="2"/>
        <v>44826097.580451049</v>
      </c>
      <c r="M5" s="310">
        <f t="shared" si="2"/>
        <v>44826097.580451049</v>
      </c>
      <c r="N5" s="310">
        <f t="shared" si="2"/>
        <v>44826097.580451049</v>
      </c>
      <c r="O5" s="310">
        <f t="shared" si="1"/>
        <v>0</v>
      </c>
    </row>
    <row r="6" spans="1:15">
      <c r="A6" s="307" t="str">
        <f>'9. gördülő tervez'!B9</f>
        <v>Felhalmozási célú támogatások államháztartáson belülről</v>
      </c>
      <c r="B6" s="310">
        <f>'9. gördülő tervez'!C9</f>
        <v>708423293</v>
      </c>
      <c r="C6" s="310"/>
      <c r="D6" s="310"/>
      <c r="E6" s="310">
        <v>300000000</v>
      </c>
      <c r="F6" s="310"/>
      <c r="G6" s="310"/>
      <c r="H6" s="310">
        <v>400000000</v>
      </c>
      <c r="I6" s="310"/>
      <c r="J6" s="310">
        <v>840000</v>
      </c>
      <c r="K6" s="310"/>
      <c r="L6" s="310">
        <v>7583293</v>
      </c>
      <c r="M6" s="310"/>
      <c r="N6" s="310"/>
      <c r="O6" s="310">
        <f t="shared" si="1"/>
        <v>0</v>
      </c>
    </row>
    <row r="7" spans="1:15">
      <c r="A7" s="307" t="str">
        <f>'9. gördülő tervez'!B10</f>
        <v>Közhatalmi bevételek (4.1.+4.2.+4.3.+4.4.)</v>
      </c>
      <c r="B7" s="310">
        <f>'9. gördülő tervez'!C10</f>
        <v>485095000</v>
      </c>
      <c r="C7" s="310">
        <v>10000000</v>
      </c>
      <c r="D7" s="310"/>
      <c r="E7" s="310">
        <v>200000000</v>
      </c>
      <c r="F7" s="310">
        <v>20000000</v>
      </c>
      <c r="G7" s="310">
        <v>10000000</v>
      </c>
      <c r="H7" s="310">
        <v>95000</v>
      </c>
      <c r="I7" s="310"/>
      <c r="J7" s="310">
        <v>10000000</v>
      </c>
      <c r="K7" s="310">
        <v>10000000</v>
      </c>
      <c r="L7" s="310">
        <v>200000000</v>
      </c>
      <c r="M7" s="310"/>
      <c r="N7" s="310">
        <v>25000000</v>
      </c>
      <c r="O7" s="310">
        <f t="shared" si="1"/>
        <v>0</v>
      </c>
    </row>
    <row r="8" spans="1:15">
      <c r="A8" s="307" t="str">
        <f>'9. gördülő tervez'!B18</f>
        <v xml:space="preserve">Működési bevételek </v>
      </c>
      <c r="B8" s="310">
        <f>'9. gördülő tervez'!C18</f>
        <v>231665967</v>
      </c>
      <c r="C8" s="310">
        <f>B8/12</f>
        <v>19305497.25</v>
      </c>
      <c r="D8" s="310">
        <f t="shared" ref="D8:N8" si="3">C8</f>
        <v>19305497.25</v>
      </c>
      <c r="E8" s="310">
        <f t="shared" si="3"/>
        <v>19305497.25</v>
      </c>
      <c r="F8" s="310">
        <f t="shared" si="3"/>
        <v>19305497.25</v>
      </c>
      <c r="G8" s="310">
        <f t="shared" si="3"/>
        <v>19305497.25</v>
      </c>
      <c r="H8" s="310">
        <f t="shared" si="3"/>
        <v>19305497.25</v>
      </c>
      <c r="I8" s="310">
        <f t="shared" si="3"/>
        <v>19305497.25</v>
      </c>
      <c r="J8" s="310">
        <f t="shared" si="3"/>
        <v>19305497.25</v>
      </c>
      <c r="K8" s="310">
        <f t="shared" si="3"/>
        <v>19305497.25</v>
      </c>
      <c r="L8" s="310">
        <f t="shared" si="3"/>
        <v>19305497.25</v>
      </c>
      <c r="M8" s="310">
        <f t="shared" si="3"/>
        <v>19305497.25</v>
      </c>
      <c r="N8" s="310">
        <f t="shared" si="3"/>
        <v>19305497.25</v>
      </c>
      <c r="O8" s="310">
        <f t="shared" si="1"/>
        <v>0</v>
      </c>
    </row>
    <row r="9" spans="1:15">
      <c r="A9" s="307" t="str">
        <f>'9. gördülő tervez'!B19</f>
        <v>Felhalmozási bevételek</v>
      </c>
      <c r="B9" s="310">
        <f>'9. gördülő tervez'!C19</f>
        <v>11400000</v>
      </c>
      <c r="C9" s="310"/>
      <c r="D9" s="310"/>
      <c r="E9" s="310"/>
      <c r="F9" s="310">
        <v>11400000</v>
      </c>
      <c r="G9" s="310"/>
      <c r="H9" s="310"/>
      <c r="I9" s="310"/>
      <c r="J9" s="310"/>
      <c r="K9" s="310"/>
      <c r="L9" s="310"/>
      <c r="M9" s="310"/>
      <c r="N9" s="310"/>
      <c r="O9" s="310">
        <f t="shared" si="1"/>
        <v>0</v>
      </c>
    </row>
    <row r="10" spans="1:15">
      <c r="A10" s="307" t="str">
        <f>'9. gördülő tervez'!B20</f>
        <v xml:space="preserve">Működési célú átvett pénzeszközök </v>
      </c>
      <c r="B10" s="310">
        <f>'9. gördülő tervez'!C20</f>
        <v>300000</v>
      </c>
      <c r="C10" s="310">
        <f>B10/12</f>
        <v>25000</v>
      </c>
      <c r="D10" s="310">
        <f>C10</f>
        <v>25000</v>
      </c>
      <c r="E10" s="310">
        <f>D10</f>
        <v>25000</v>
      </c>
      <c r="F10" s="310">
        <f t="shared" ref="F10:N10" si="4">E10</f>
        <v>25000</v>
      </c>
      <c r="G10" s="310">
        <f t="shared" si="4"/>
        <v>25000</v>
      </c>
      <c r="H10" s="310">
        <f t="shared" si="4"/>
        <v>25000</v>
      </c>
      <c r="I10" s="310">
        <f t="shared" si="4"/>
        <v>25000</v>
      </c>
      <c r="J10" s="310">
        <f t="shared" si="4"/>
        <v>25000</v>
      </c>
      <c r="K10" s="310">
        <f t="shared" si="4"/>
        <v>25000</v>
      </c>
      <c r="L10" s="310">
        <f t="shared" si="4"/>
        <v>25000</v>
      </c>
      <c r="M10" s="310">
        <f t="shared" si="4"/>
        <v>25000</v>
      </c>
      <c r="N10" s="310">
        <f t="shared" si="4"/>
        <v>25000</v>
      </c>
      <c r="O10" s="310">
        <f t="shared" si="1"/>
        <v>0</v>
      </c>
    </row>
    <row r="11" spans="1:15">
      <c r="A11" s="307" t="str">
        <f>'9. gördülő tervez'!B21</f>
        <v xml:space="preserve">Felhalmozási célú átvett pénzeszközök </v>
      </c>
      <c r="B11" s="310">
        <f>'9. gördülő tervez'!C21</f>
        <v>60459000</v>
      </c>
      <c r="C11" s="310"/>
      <c r="D11" s="310"/>
      <c r="E11" s="310"/>
      <c r="F11" s="310">
        <v>44459000</v>
      </c>
      <c r="G11" s="310"/>
      <c r="H11" s="310"/>
      <c r="I11" s="310"/>
      <c r="J11" s="310"/>
      <c r="K11" s="310">
        <v>16000000</v>
      </c>
      <c r="L11" s="310"/>
      <c r="M11" s="310"/>
      <c r="N11" s="310"/>
      <c r="O11" s="310">
        <f t="shared" si="1"/>
        <v>0</v>
      </c>
    </row>
    <row r="12" spans="1:15">
      <c r="A12" s="307" t="str">
        <f>'9. gördülő tervez'!B22</f>
        <v>KÖLTSÉGVETÉSI BEVÉTELEK ÖSSZESEN: (1+…+8)</v>
      </c>
      <c r="B12" s="310">
        <f>SUM(B4:B11)</f>
        <v>3047683062.9654126</v>
      </c>
      <c r="C12" s="310">
        <f t="shared" ref="C12:N12" si="5">SUM(C4:C11)</f>
        <v>158525480.83045104</v>
      </c>
      <c r="D12" s="310">
        <f t="shared" si="5"/>
        <v>148525480.83045104</v>
      </c>
      <c r="E12" s="310">
        <f t="shared" si="5"/>
        <v>648525480.83045101</v>
      </c>
      <c r="F12" s="310">
        <f t="shared" si="5"/>
        <v>224384480.83045104</v>
      </c>
      <c r="G12" s="310">
        <f t="shared" si="5"/>
        <v>158525480.83045104</v>
      </c>
      <c r="H12" s="310">
        <f t="shared" si="5"/>
        <v>548620480.83045101</v>
      </c>
      <c r="I12" s="310">
        <f t="shared" si="5"/>
        <v>148525480.83045104</v>
      </c>
      <c r="J12" s="310">
        <f t="shared" si="5"/>
        <v>159365480.83045104</v>
      </c>
      <c r="K12" s="310">
        <f t="shared" si="5"/>
        <v>174525480.83045104</v>
      </c>
      <c r="L12" s="310">
        <f t="shared" si="5"/>
        <v>356108773.83045101</v>
      </c>
      <c r="M12" s="310">
        <f t="shared" si="5"/>
        <v>148525480.83045104</v>
      </c>
      <c r="N12" s="310">
        <f t="shared" si="5"/>
        <v>173525480.83045104</v>
      </c>
      <c r="O12" s="310">
        <f t="shared" si="1"/>
        <v>0</v>
      </c>
    </row>
    <row r="13" spans="1:15">
      <c r="A13" s="307" t="str">
        <f>'9. gördülő tervez'!B23</f>
        <v xml:space="preserve">FINANSZÍROZÁSI BEVÉTELEK ÖSSZESEN: </v>
      </c>
      <c r="B13" s="310">
        <f>'9. gördülő tervez'!C23</f>
        <v>890447111</v>
      </c>
      <c r="C13" s="310">
        <v>566000000</v>
      </c>
      <c r="D13" s="310"/>
      <c r="E13" s="310"/>
      <c r="F13" s="310"/>
      <c r="G13" s="310">
        <v>190000000</v>
      </c>
      <c r="H13" s="310"/>
      <c r="I13" s="310"/>
      <c r="J13" s="310">
        <f>99477111-30000</f>
        <v>99447111</v>
      </c>
      <c r="K13" s="310"/>
      <c r="L13" s="310">
        <v>35000000</v>
      </c>
      <c r="M13" s="310"/>
      <c r="N13" s="310"/>
      <c r="O13" s="310">
        <f>SUM(C13:N13)-B13</f>
        <v>0</v>
      </c>
    </row>
    <row r="14" spans="1:15">
      <c r="A14" s="307" t="str">
        <f>'9. gördülő tervez'!B24</f>
        <v>KÖLTSÉGVETÉSI ÉS FINANSZÍROZÁSI BEVÉTELEK ÖSSZESEN: (9+10)</v>
      </c>
      <c r="B14" s="310">
        <f>'9. gördülő tervez'!C24</f>
        <v>3938130173.9654126</v>
      </c>
      <c r="C14" s="310">
        <f>C13+C12</f>
        <v>724525480.83045101</v>
      </c>
      <c r="D14" s="310">
        <f t="shared" ref="D14:N14" si="6">D13+D12</f>
        <v>148525480.83045104</v>
      </c>
      <c r="E14" s="310">
        <f t="shared" si="6"/>
        <v>648525480.83045101</v>
      </c>
      <c r="F14" s="310">
        <f t="shared" si="6"/>
        <v>224384480.83045104</v>
      </c>
      <c r="G14" s="310">
        <f t="shared" si="6"/>
        <v>348525480.83045101</v>
      </c>
      <c r="H14" s="310">
        <f t="shared" si="6"/>
        <v>548620480.83045101</v>
      </c>
      <c r="I14" s="310">
        <f t="shared" si="6"/>
        <v>148525480.83045104</v>
      </c>
      <c r="J14" s="310">
        <f t="shared" si="6"/>
        <v>258812591.83045104</v>
      </c>
      <c r="K14" s="310">
        <f t="shared" si="6"/>
        <v>174525480.83045104</v>
      </c>
      <c r="L14" s="310">
        <f t="shared" si="6"/>
        <v>391108773.83045101</v>
      </c>
      <c r="M14" s="310">
        <f t="shared" si="6"/>
        <v>148525480.83045104</v>
      </c>
      <c r="N14" s="310">
        <f t="shared" si="6"/>
        <v>173525480.83045104</v>
      </c>
      <c r="O14" s="310">
        <f t="shared" ref="O14:O23" si="7">SUM(C14:N14)-B14</f>
        <v>0</v>
      </c>
    </row>
    <row r="15" spans="1:15">
      <c r="A15" s="307" t="str">
        <f>'9. gördülő tervez'!B30</f>
        <v xml:space="preserve">   Működési költségvetés kiadásai </v>
      </c>
      <c r="B15" s="310">
        <f>'9. gördülő tervez'!C30</f>
        <v>2345533478.0744147</v>
      </c>
      <c r="C15" s="310">
        <f>B15/12</f>
        <v>195461123.17286789</v>
      </c>
      <c r="D15" s="310">
        <f>C15</f>
        <v>195461123.17286789</v>
      </c>
      <c r="E15" s="310">
        <f t="shared" ref="E15:N15" si="8">D15</f>
        <v>195461123.17286789</v>
      </c>
      <c r="F15" s="310">
        <f t="shared" si="8"/>
        <v>195461123.17286789</v>
      </c>
      <c r="G15" s="310">
        <f t="shared" si="8"/>
        <v>195461123.17286789</v>
      </c>
      <c r="H15" s="310">
        <f t="shared" si="8"/>
        <v>195461123.17286789</v>
      </c>
      <c r="I15" s="310">
        <f t="shared" si="8"/>
        <v>195461123.17286789</v>
      </c>
      <c r="J15" s="310">
        <f t="shared" si="8"/>
        <v>195461123.17286789</v>
      </c>
      <c r="K15" s="310">
        <f t="shared" si="8"/>
        <v>195461123.17286789</v>
      </c>
      <c r="L15" s="310">
        <f t="shared" si="8"/>
        <v>195461123.17286789</v>
      </c>
      <c r="M15" s="310">
        <f t="shared" si="8"/>
        <v>195461123.17286789</v>
      </c>
      <c r="N15" s="310">
        <f t="shared" si="8"/>
        <v>195461123.17286789</v>
      </c>
      <c r="O15" s="310">
        <f t="shared" si="7"/>
        <v>0</v>
      </c>
    </row>
    <row r="16" spans="1:15">
      <c r="A16" s="307" t="str">
        <f>'9. gördülő tervez'!B31</f>
        <v xml:space="preserve">   Felhalmozási költségvetés kiadásai (2.1.+2.2.+2.3.)</v>
      </c>
      <c r="B16" s="310">
        <f>'9. gördülő tervez'!C31</f>
        <v>1534607181.5</v>
      </c>
      <c r="C16" s="310"/>
      <c r="D16" s="310"/>
      <c r="E16" s="310">
        <f>300000000+2000000</f>
        <v>302000000</v>
      </c>
      <c r="F16" s="310"/>
      <c r="G16" s="310">
        <v>200000000</v>
      </c>
      <c r="H16" s="310"/>
      <c r="I16" s="310"/>
      <c r="J16" s="310">
        <v>300000000</v>
      </c>
      <c r="K16" s="310"/>
      <c r="L16" s="310">
        <v>500000000</v>
      </c>
      <c r="M16" s="310"/>
      <c r="N16" s="310">
        <v>232607181</v>
      </c>
      <c r="O16" s="310">
        <f t="shared" si="7"/>
        <v>-0.5</v>
      </c>
    </row>
    <row r="17" spans="1:15" hidden="1">
      <c r="A17" s="307" t="str">
        <f>'9. gördülő tervez'!B32</f>
        <v>Beruházások</v>
      </c>
      <c r="B17" s="310">
        <f>'9. gördülő tervez'!C32</f>
        <v>1411528234.5</v>
      </c>
      <c r="C17" s="310"/>
      <c r="D17" s="310"/>
      <c r="E17" s="310"/>
      <c r="F17" s="310"/>
      <c r="G17" s="310"/>
      <c r="H17" s="310"/>
      <c r="I17" s="310"/>
      <c r="J17" s="310"/>
      <c r="K17" s="310"/>
      <c r="L17" s="310"/>
      <c r="M17" s="310"/>
      <c r="N17" s="310"/>
      <c r="O17" s="310">
        <f t="shared" si="7"/>
        <v>-1411528234.5</v>
      </c>
    </row>
    <row r="18" spans="1:15" hidden="1">
      <c r="A18" s="307" t="str">
        <f>'9. gördülő tervez'!B33</f>
        <v>Felújítások</v>
      </c>
      <c r="B18" s="310">
        <f>'9. gördülő tervez'!C33</f>
        <v>66578947</v>
      </c>
      <c r="C18" s="310"/>
      <c r="D18" s="310"/>
      <c r="E18" s="310"/>
      <c r="F18" s="310"/>
      <c r="G18" s="310"/>
      <c r="H18" s="310"/>
      <c r="I18" s="310"/>
      <c r="J18" s="310"/>
      <c r="K18" s="310"/>
      <c r="L18" s="310"/>
      <c r="M18" s="310"/>
      <c r="N18" s="310"/>
      <c r="O18" s="310">
        <f t="shared" si="7"/>
        <v>-66578947</v>
      </c>
    </row>
    <row r="19" spans="1:15" hidden="1">
      <c r="A19" s="307" t="str">
        <f>'9. gördülő tervez'!B34</f>
        <v>Egyéb felhalmozási kiadások</v>
      </c>
      <c r="B19" s="310">
        <f>'9. gördülő tervez'!C34</f>
        <v>56500000</v>
      </c>
      <c r="C19" s="310"/>
      <c r="D19" s="310"/>
      <c r="E19" s="310"/>
      <c r="F19" s="310"/>
      <c r="G19" s="310"/>
      <c r="H19" s="310"/>
      <c r="I19" s="310"/>
      <c r="J19" s="310"/>
      <c r="K19" s="310"/>
      <c r="L19" s="310"/>
      <c r="M19" s="310"/>
      <c r="N19" s="310"/>
      <c r="O19" s="310">
        <f t="shared" si="7"/>
        <v>-56500000</v>
      </c>
    </row>
    <row r="20" spans="1:15">
      <c r="A20" s="307" t="str">
        <f>'9. gördülő tervez'!B35</f>
        <v>KÖLTSÉGVETÉSI KIADÁSOK ÖSSZESEN (1+2)</v>
      </c>
      <c r="B20" s="310">
        <f>'9. gördülő tervez'!C35</f>
        <v>3880140659.5744147</v>
      </c>
      <c r="C20" s="310">
        <f>C16+C15</f>
        <v>195461123.17286789</v>
      </c>
      <c r="D20" s="310">
        <f t="shared" ref="D20:N20" si="9">D16+D15</f>
        <v>195461123.17286789</v>
      </c>
      <c r="E20" s="310">
        <f>E16+E15</f>
        <v>497461123.17286789</v>
      </c>
      <c r="F20" s="310">
        <f t="shared" si="9"/>
        <v>195461123.17286789</v>
      </c>
      <c r="G20" s="310">
        <f t="shared" si="9"/>
        <v>395461123.17286789</v>
      </c>
      <c r="H20" s="310">
        <f t="shared" si="9"/>
        <v>195461123.17286789</v>
      </c>
      <c r="I20" s="310">
        <f t="shared" si="9"/>
        <v>195461123.17286789</v>
      </c>
      <c r="J20" s="310">
        <f t="shared" si="9"/>
        <v>495461123.17286789</v>
      </c>
      <c r="K20" s="310">
        <f t="shared" si="9"/>
        <v>195461123.17286789</v>
      </c>
      <c r="L20" s="310">
        <f t="shared" si="9"/>
        <v>695461123.17286789</v>
      </c>
      <c r="M20" s="310">
        <f t="shared" si="9"/>
        <v>195461123.17286789</v>
      </c>
      <c r="N20" s="310">
        <f t="shared" si="9"/>
        <v>428068304.17286789</v>
      </c>
      <c r="O20" s="310">
        <f t="shared" si="7"/>
        <v>-0.50000095367431641</v>
      </c>
    </row>
    <row r="21" spans="1:15">
      <c r="A21" s="307" t="str">
        <f>'9. gördülő tervez'!B36</f>
        <v>FINANSZÍROZÁSI KIADÁSOK ÖSSZESEN:</v>
      </c>
      <c r="B21" s="310">
        <f>'9. gördülő tervez'!C36</f>
        <v>57989514.861111112</v>
      </c>
      <c r="C21" s="310"/>
      <c r="D21" s="310"/>
      <c r="E21" s="310">
        <f>B21/4</f>
        <v>14497378.715277778</v>
      </c>
      <c r="F21" s="310"/>
      <c r="G21" s="310"/>
      <c r="H21" s="310">
        <f>E21</f>
        <v>14497378.715277778</v>
      </c>
      <c r="I21" s="310"/>
      <c r="J21" s="310"/>
      <c r="K21" s="310">
        <f>H21</f>
        <v>14497378.715277778</v>
      </c>
      <c r="L21" s="310"/>
      <c r="M21" s="310"/>
      <c r="N21" s="310">
        <f>K21</f>
        <v>14497378.715277778</v>
      </c>
      <c r="O21" s="310">
        <f t="shared" si="7"/>
        <v>0</v>
      </c>
    </row>
    <row r="22" spans="1:15">
      <c r="A22" s="307" t="str">
        <f>'9. gördülő tervez'!B37</f>
        <v>KIADÁSOK ÖSSZESEN: (3.+4.)</v>
      </c>
      <c r="B22" s="310">
        <f>'9. gördülő tervez'!C37</f>
        <v>3938130174.4355259</v>
      </c>
      <c r="C22" s="310">
        <f>C21+C20</f>
        <v>195461123.17286789</v>
      </c>
      <c r="D22" s="310">
        <f t="shared" ref="D22:N22" si="10">D21+D20</f>
        <v>195461123.17286789</v>
      </c>
      <c r="E22" s="310">
        <f t="shared" si="10"/>
        <v>511958501.88814569</v>
      </c>
      <c r="F22" s="310">
        <f t="shared" si="10"/>
        <v>195461123.17286789</v>
      </c>
      <c r="G22" s="310">
        <f t="shared" si="10"/>
        <v>395461123.17286789</v>
      </c>
      <c r="H22" s="310">
        <f t="shared" si="10"/>
        <v>209958501.88814569</v>
      </c>
      <c r="I22" s="310">
        <f t="shared" si="10"/>
        <v>195461123.17286789</v>
      </c>
      <c r="J22" s="310">
        <f t="shared" si="10"/>
        <v>495461123.17286789</v>
      </c>
      <c r="K22" s="310">
        <f t="shared" si="10"/>
        <v>209958501.88814569</v>
      </c>
      <c r="L22" s="310">
        <f t="shared" si="10"/>
        <v>695461123.17286789</v>
      </c>
      <c r="M22" s="310">
        <f t="shared" si="10"/>
        <v>195461123.17286789</v>
      </c>
      <c r="N22" s="310">
        <f t="shared" si="10"/>
        <v>442565682.88814569</v>
      </c>
      <c r="O22" s="310">
        <f t="shared" si="7"/>
        <v>-0.50000095367431641</v>
      </c>
    </row>
    <row r="23" spans="1:15" s="3" customFormat="1">
      <c r="A23" s="308"/>
      <c r="B23" s="4">
        <f>B14-B22</f>
        <v>-0.47011327743530273</v>
      </c>
      <c r="C23" s="4">
        <f t="shared" ref="C23:N23" si="11">C14-C22</f>
        <v>529064357.65758312</v>
      </c>
      <c r="D23" s="4">
        <f t="shared" si="11"/>
        <v>-46935642.342416853</v>
      </c>
      <c r="E23" s="4">
        <f t="shared" si="11"/>
        <v>136566978.94230533</v>
      </c>
      <c r="F23" s="4">
        <f t="shared" si="11"/>
        <v>28923357.657583147</v>
      </c>
      <c r="G23" s="4">
        <f t="shared" si="11"/>
        <v>-46935642.342416883</v>
      </c>
      <c r="H23" s="4">
        <f t="shared" si="11"/>
        <v>338661978.94230533</v>
      </c>
      <c r="I23" s="4">
        <f t="shared" si="11"/>
        <v>-46935642.342416853</v>
      </c>
      <c r="J23" s="4">
        <f t="shared" si="11"/>
        <v>-236648531.34241685</v>
      </c>
      <c r="K23" s="4">
        <f t="shared" si="11"/>
        <v>-35433021.057694644</v>
      </c>
      <c r="L23" s="4">
        <f t="shared" si="11"/>
        <v>-304352349.34241688</v>
      </c>
      <c r="M23" s="4">
        <f t="shared" si="11"/>
        <v>-46935642.342416853</v>
      </c>
      <c r="N23" s="4">
        <f t="shared" si="11"/>
        <v>-269040202.05769467</v>
      </c>
      <c r="O23" s="4">
        <f t="shared" si="7"/>
        <v>0.4999995231628418</v>
      </c>
    </row>
  </sheetData>
  <pageMargins left="0.19685039370078741" right="0.11811023622047245" top="0.35433070866141736" bottom="0.55118110236220474" header="0.31496062992125984" footer="0.31496062992125984"/>
  <pageSetup paperSize="9" scale="73" fitToHeight="0" orientation="landscape" r:id="rId1"/>
  <headerFooter>
    <oddHeader>&amp;RRáckeve Város 2020 évi költségvetés melléklete</oddHead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3"/>
  <sheetViews>
    <sheetView topLeftCell="C1" workbookViewId="0">
      <selection activeCell="H26" sqref="H26"/>
    </sheetView>
  </sheetViews>
  <sheetFormatPr defaultRowHeight="12.75"/>
  <cols>
    <col min="1" max="1" width="65.42578125" bestFit="1" customWidth="1"/>
    <col min="2" max="2" width="12.7109375" style="420" hidden="1" customWidth="1"/>
    <col min="3" max="9" width="11.140625" style="420" bestFit="1" customWidth="1"/>
    <col min="10" max="10" width="11.7109375" style="420" bestFit="1" customWidth="1"/>
    <col min="11" max="11" width="11.140625" style="420" bestFit="1" customWidth="1"/>
    <col min="12" max="12" width="11.7109375" style="420" bestFit="1" customWidth="1"/>
    <col min="13" max="13" width="11.140625" style="420" bestFit="1" customWidth="1"/>
    <col min="14" max="14" width="11.7109375" style="420" bestFit="1" customWidth="1"/>
    <col min="15" max="15" width="13.42578125" style="420" hidden="1" customWidth="1"/>
  </cols>
  <sheetData>
    <row r="1" spans="1:15" ht="14.25">
      <c r="E1" s="1174" t="s">
        <v>1628</v>
      </c>
    </row>
    <row r="2" spans="1:15" ht="13.5">
      <c r="N2" s="883" t="s">
        <v>1673</v>
      </c>
    </row>
    <row r="3" spans="1:15">
      <c r="A3" s="307"/>
      <c r="B3" s="310"/>
      <c r="C3" s="310" t="s">
        <v>172</v>
      </c>
      <c r="D3" s="310" t="s">
        <v>173</v>
      </c>
      <c r="E3" s="310" t="s">
        <v>174</v>
      </c>
      <c r="F3" s="310" t="s">
        <v>175</v>
      </c>
      <c r="G3" s="310" t="s">
        <v>176</v>
      </c>
      <c r="H3" s="310" t="s">
        <v>177</v>
      </c>
      <c r="I3" s="310" t="s">
        <v>178</v>
      </c>
      <c r="J3" s="310" t="s">
        <v>179</v>
      </c>
      <c r="K3" s="310" t="s">
        <v>180</v>
      </c>
      <c r="L3" s="310" t="s">
        <v>181</v>
      </c>
      <c r="M3" s="310" t="s">
        <v>182</v>
      </c>
      <c r="N3" s="310" t="s">
        <v>183</v>
      </c>
      <c r="O3" s="310"/>
    </row>
    <row r="4" spans="1:15">
      <c r="A4" s="307" t="str">
        <f>'9. gördülő tervez'!B7</f>
        <v>Önkormányzat működési támogatásai</v>
      </c>
      <c r="B4" s="310">
        <f>'9. gördülő tervez'!C7</f>
        <v>1012426632</v>
      </c>
      <c r="C4" s="310">
        <v>40000000</v>
      </c>
      <c r="D4" s="310">
        <f t="shared" ref="D4:N5" si="0">C4</f>
        <v>40000000</v>
      </c>
      <c r="E4" s="310">
        <f t="shared" si="0"/>
        <v>40000000</v>
      </c>
      <c r="F4" s="310">
        <f t="shared" si="0"/>
        <v>40000000</v>
      </c>
      <c r="G4" s="310">
        <f t="shared" si="0"/>
        <v>40000000</v>
      </c>
      <c r="H4" s="310">
        <f t="shared" si="0"/>
        <v>40000000</v>
      </c>
      <c r="I4" s="310">
        <f t="shared" si="0"/>
        <v>40000000</v>
      </c>
      <c r="J4" s="310">
        <f t="shared" si="0"/>
        <v>40000000</v>
      </c>
      <c r="K4" s="310">
        <f t="shared" si="0"/>
        <v>40000000</v>
      </c>
      <c r="L4" s="310">
        <f t="shared" si="0"/>
        <v>40000000</v>
      </c>
      <c r="M4" s="310">
        <f t="shared" si="0"/>
        <v>40000000</v>
      </c>
      <c r="N4" s="310">
        <f t="shared" si="0"/>
        <v>40000000</v>
      </c>
      <c r="O4" s="310">
        <f t="shared" ref="O4:O12" si="1">SUM(C4:N4)-B4</f>
        <v>-532426632</v>
      </c>
    </row>
    <row r="5" spans="1:15">
      <c r="A5" s="307" t="str">
        <f>'9. gördülő tervez'!B8</f>
        <v>Működési célú támogatások államháztartáson belülről</v>
      </c>
      <c r="B5" s="310">
        <f>'9. gördülő tervez'!C8</f>
        <v>537913170.96541262</v>
      </c>
      <c r="C5" s="310">
        <f>B5/12</f>
        <v>44826097.580451049</v>
      </c>
      <c r="D5" s="310">
        <f t="shared" si="0"/>
        <v>44826097.580451049</v>
      </c>
      <c r="E5" s="310">
        <f t="shared" si="0"/>
        <v>44826097.580451049</v>
      </c>
      <c r="F5" s="310">
        <f t="shared" si="0"/>
        <v>44826097.580451049</v>
      </c>
      <c r="G5" s="310">
        <f t="shared" si="0"/>
        <v>44826097.580451049</v>
      </c>
      <c r="H5" s="310">
        <f t="shared" si="0"/>
        <v>44826097.580451049</v>
      </c>
      <c r="I5" s="310">
        <f t="shared" si="0"/>
        <v>44826097.580451049</v>
      </c>
      <c r="J5" s="310">
        <f t="shared" si="0"/>
        <v>44826097.580451049</v>
      </c>
      <c r="K5" s="310">
        <f t="shared" si="0"/>
        <v>44826097.580451049</v>
      </c>
      <c r="L5" s="310">
        <f t="shared" si="0"/>
        <v>44826097.580451049</v>
      </c>
      <c r="M5" s="310">
        <f t="shared" si="0"/>
        <v>44826097.580451049</v>
      </c>
      <c r="N5" s="310">
        <f t="shared" si="0"/>
        <v>44826097.580451049</v>
      </c>
      <c r="O5" s="310">
        <f t="shared" si="1"/>
        <v>0</v>
      </c>
    </row>
    <row r="6" spans="1:15">
      <c r="A6" s="307" t="str">
        <f>'9. gördülő tervez'!B9</f>
        <v>Felhalmozási célú támogatások államháztartáson belülről</v>
      </c>
      <c r="B6" s="310">
        <f>'9. gördülő tervez'!C9</f>
        <v>708423293</v>
      </c>
      <c r="C6" s="310"/>
      <c r="D6" s="310"/>
      <c r="E6" s="310">
        <v>300000000</v>
      </c>
      <c r="F6" s="310"/>
      <c r="G6" s="310"/>
      <c r="H6" s="310">
        <v>400000000</v>
      </c>
      <c r="I6" s="310"/>
      <c r="J6" s="310">
        <v>840000</v>
      </c>
      <c r="K6" s="310"/>
      <c r="L6" s="310">
        <v>7583293</v>
      </c>
      <c r="M6" s="310"/>
      <c r="N6" s="310"/>
      <c r="O6" s="310">
        <f t="shared" si="1"/>
        <v>0</v>
      </c>
    </row>
    <row r="7" spans="1:15">
      <c r="A7" s="307" t="str">
        <f>'9. gördülő tervez'!B10</f>
        <v>Közhatalmi bevételek (4.1.+4.2.+4.3.+4.4.)</v>
      </c>
      <c r="B7" s="310">
        <f>'9. gördülő tervez'!C10</f>
        <v>485095000</v>
      </c>
      <c r="C7" s="310">
        <v>10000000</v>
      </c>
      <c r="D7" s="310"/>
      <c r="E7" s="310">
        <v>200000000</v>
      </c>
      <c r="F7" s="310">
        <v>20000000</v>
      </c>
      <c r="G7" s="310">
        <v>10000000</v>
      </c>
      <c r="H7" s="310">
        <v>95000</v>
      </c>
      <c r="I7" s="310"/>
      <c r="J7" s="310">
        <v>10000000</v>
      </c>
      <c r="K7" s="310">
        <v>10000000</v>
      </c>
      <c r="L7" s="310">
        <v>200000000</v>
      </c>
      <c r="M7" s="310"/>
      <c r="N7" s="310">
        <v>25000000</v>
      </c>
      <c r="O7" s="310">
        <f t="shared" si="1"/>
        <v>0</v>
      </c>
    </row>
    <row r="8" spans="1:15">
      <c r="A8" s="307" t="str">
        <f>'9. gördülő tervez'!B18</f>
        <v xml:space="preserve">Működési bevételek </v>
      </c>
      <c r="B8" s="310">
        <f>'9. gördülő tervez'!C18</f>
        <v>231665967</v>
      </c>
      <c r="C8" s="310">
        <f>B8/12</f>
        <v>19305497.25</v>
      </c>
      <c r="D8" s="310">
        <f t="shared" ref="D8:N8" si="2">C8</f>
        <v>19305497.25</v>
      </c>
      <c r="E8" s="310">
        <f t="shared" si="2"/>
        <v>19305497.25</v>
      </c>
      <c r="F8" s="310">
        <f t="shared" si="2"/>
        <v>19305497.25</v>
      </c>
      <c r="G8" s="310">
        <f t="shared" si="2"/>
        <v>19305497.25</v>
      </c>
      <c r="H8" s="310">
        <f t="shared" si="2"/>
        <v>19305497.25</v>
      </c>
      <c r="I8" s="310">
        <f t="shared" si="2"/>
        <v>19305497.25</v>
      </c>
      <c r="J8" s="310">
        <f t="shared" si="2"/>
        <v>19305497.25</v>
      </c>
      <c r="K8" s="310">
        <f t="shared" si="2"/>
        <v>19305497.25</v>
      </c>
      <c r="L8" s="310">
        <f t="shared" si="2"/>
        <v>19305497.25</v>
      </c>
      <c r="M8" s="310">
        <f t="shared" si="2"/>
        <v>19305497.25</v>
      </c>
      <c r="N8" s="310">
        <f t="shared" si="2"/>
        <v>19305497.25</v>
      </c>
      <c r="O8" s="310">
        <f t="shared" si="1"/>
        <v>0</v>
      </c>
    </row>
    <row r="9" spans="1:15">
      <c r="A9" s="307" t="str">
        <f>'9. gördülő tervez'!B19</f>
        <v>Felhalmozási bevételek</v>
      </c>
      <c r="B9" s="310">
        <f>'9. gördülő tervez'!C19</f>
        <v>11400000</v>
      </c>
      <c r="C9" s="310"/>
      <c r="D9" s="310"/>
      <c r="E9" s="310"/>
      <c r="F9" s="310">
        <v>11400000</v>
      </c>
      <c r="G9" s="310"/>
      <c r="H9" s="310"/>
      <c r="I9" s="310"/>
      <c r="J9" s="310"/>
      <c r="K9" s="310"/>
      <c r="L9" s="310"/>
      <c r="M9" s="310"/>
      <c r="N9" s="310"/>
      <c r="O9" s="310">
        <f t="shared" si="1"/>
        <v>0</v>
      </c>
    </row>
    <row r="10" spans="1:15">
      <c r="A10" s="307" t="str">
        <f>'9. gördülő tervez'!B20</f>
        <v xml:space="preserve">Működési célú átvett pénzeszközök </v>
      </c>
      <c r="B10" s="310">
        <f>'9. gördülő tervez'!C20</f>
        <v>300000</v>
      </c>
      <c r="C10" s="310">
        <f>B10/12</f>
        <v>25000</v>
      </c>
      <c r="D10" s="310">
        <f>C10</f>
        <v>25000</v>
      </c>
      <c r="E10" s="310">
        <f>D10</f>
        <v>25000</v>
      </c>
      <c r="F10" s="310">
        <f t="shared" ref="F10:N10" si="3">E10</f>
        <v>25000</v>
      </c>
      <c r="G10" s="310">
        <f t="shared" si="3"/>
        <v>25000</v>
      </c>
      <c r="H10" s="310">
        <f t="shared" si="3"/>
        <v>25000</v>
      </c>
      <c r="I10" s="310">
        <f t="shared" si="3"/>
        <v>25000</v>
      </c>
      <c r="J10" s="310">
        <f t="shared" si="3"/>
        <v>25000</v>
      </c>
      <c r="K10" s="310">
        <f t="shared" si="3"/>
        <v>25000</v>
      </c>
      <c r="L10" s="310">
        <f t="shared" si="3"/>
        <v>25000</v>
      </c>
      <c r="M10" s="310">
        <f t="shared" si="3"/>
        <v>25000</v>
      </c>
      <c r="N10" s="310">
        <f t="shared" si="3"/>
        <v>25000</v>
      </c>
      <c r="O10" s="310">
        <f t="shared" si="1"/>
        <v>0</v>
      </c>
    </row>
    <row r="11" spans="1:15">
      <c r="A11" s="307" t="str">
        <f>'9. gördülő tervez'!B21</f>
        <v xml:space="preserve">Felhalmozási célú átvett pénzeszközök </v>
      </c>
      <c r="B11" s="310">
        <f>'9. gördülő tervez'!C21</f>
        <v>60459000</v>
      </c>
      <c r="C11" s="310"/>
      <c r="D11" s="310"/>
      <c r="E11" s="310"/>
      <c r="F11" s="310">
        <v>44459000</v>
      </c>
      <c r="G11" s="310"/>
      <c r="H11" s="310"/>
      <c r="I11" s="310"/>
      <c r="J11" s="310"/>
      <c r="K11" s="310">
        <v>16000000</v>
      </c>
      <c r="L11" s="310"/>
      <c r="M11" s="310"/>
      <c r="N11" s="310"/>
      <c r="O11" s="310">
        <f t="shared" si="1"/>
        <v>0</v>
      </c>
    </row>
    <row r="12" spans="1:15">
      <c r="A12" s="307" t="str">
        <f>'9. gördülő tervez'!B22</f>
        <v>KÖLTSÉGVETÉSI BEVÉTELEK ÖSSZESEN: (1+…+8)</v>
      </c>
      <c r="B12" s="310">
        <f>SUM(B4:B11)</f>
        <v>3047683062.9654126</v>
      </c>
      <c r="C12" s="310">
        <f t="shared" ref="C12:N12" si="4">SUM(C4:C11)</f>
        <v>114156594.83045104</v>
      </c>
      <c r="D12" s="310">
        <f t="shared" si="4"/>
        <v>104156594.83045104</v>
      </c>
      <c r="E12" s="310">
        <f t="shared" si="4"/>
        <v>604156594.83045101</v>
      </c>
      <c r="F12" s="310">
        <f t="shared" si="4"/>
        <v>180015594.83045104</v>
      </c>
      <c r="G12" s="310">
        <f t="shared" si="4"/>
        <v>114156594.83045104</v>
      </c>
      <c r="H12" s="310">
        <f t="shared" si="4"/>
        <v>504251594.83045101</v>
      </c>
      <c r="I12" s="310">
        <f t="shared" si="4"/>
        <v>104156594.83045104</v>
      </c>
      <c r="J12" s="310">
        <f t="shared" si="4"/>
        <v>114996594.83045104</v>
      </c>
      <c r="K12" s="310">
        <f t="shared" si="4"/>
        <v>130156594.83045104</v>
      </c>
      <c r="L12" s="310">
        <f t="shared" si="4"/>
        <v>311739887.83045101</v>
      </c>
      <c r="M12" s="310">
        <f t="shared" si="4"/>
        <v>104156594.83045104</v>
      </c>
      <c r="N12" s="310">
        <f t="shared" si="4"/>
        <v>129156594.83045104</v>
      </c>
      <c r="O12" s="310">
        <f t="shared" si="1"/>
        <v>-532426632.00000048</v>
      </c>
    </row>
    <row r="13" spans="1:15">
      <c r="A13" s="307" t="str">
        <f>'9. gördülő tervez'!B23</f>
        <v xml:space="preserve">FINANSZÍROZÁSI BEVÉTELEK ÖSSZESEN: </v>
      </c>
      <c r="B13" s="310">
        <f>'9. gördülő tervez'!C23</f>
        <v>890447111</v>
      </c>
      <c r="C13" s="310">
        <v>566000000</v>
      </c>
      <c r="D13" s="310"/>
      <c r="E13" s="310"/>
      <c r="F13" s="310"/>
      <c r="G13" s="310">
        <v>190000000</v>
      </c>
      <c r="H13" s="310"/>
      <c r="I13" s="310"/>
      <c r="J13" s="310">
        <f>99477111-30000</f>
        <v>99447111</v>
      </c>
      <c r="K13" s="310"/>
      <c r="L13" s="310">
        <v>35000000</v>
      </c>
      <c r="M13" s="310"/>
      <c r="N13" s="310"/>
      <c r="O13" s="310">
        <f>SUM(C13:N13)-B13</f>
        <v>0</v>
      </c>
    </row>
    <row r="14" spans="1:15">
      <c r="A14" s="307" t="str">
        <f>'9. gördülő tervez'!B24</f>
        <v>KÖLTSÉGVETÉSI ÉS FINANSZÍROZÁSI BEVÉTELEK ÖSSZESEN: (9+10)</v>
      </c>
      <c r="B14" s="310">
        <f>'9. gördülő tervez'!C24</f>
        <v>3938130173.9654126</v>
      </c>
      <c r="C14" s="310">
        <f>C13+C12</f>
        <v>680156594.83045101</v>
      </c>
      <c r="D14" s="310">
        <f t="shared" ref="D14:N14" si="5">D13+D12</f>
        <v>104156594.83045104</v>
      </c>
      <c r="E14" s="310">
        <f t="shared" si="5"/>
        <v>604156594.83045101</v>
      </c>
      <c r="F14" s="310">
        <f t="shared" si="5"/>
        <v>180015594.83045104</v>
      </c>
      <c r="G14" s="310">
        <f t="shared" si="5"/>
        <v>304156594.83045101</v>
      </c>
      <c r="H14" s="310">
        <f t="shared" si="5"/>
        <v>504251594.83045101</v>
      </c>
      <c r="I14" s="310">
        <f t="shared" si="5"/>
        <v>104156594.83045104</v>
      </c>
      <c r="J14" s="310">
        <f t="shared" si="5"/>
        <v>214443705.83045104</v>
      </c>
      <c r="K14" s="310">
        <f t="shared" si="5"/>
        <v>130156594.83045104</v>
      </c>
      <c r="L14" s="310">
        <f t="shared" si="5"/>
        <v>346739887.83045101</v>
      </c>
      <c r="M14" s="310">
        <f t="shared" si="5"/>
        <v>104156594.83045104</v>
      </c>
      <c r="N14" s="310">
        <f t="shared" si="5"/>
        <v>129156594.83045104</v>
      </c>
      <c r="O14" s="310">
        <f t="shared" ref="O14:O23" si="6">SUM(C14:N14)-B14</f>
        <v>-532426632.00000048</v>
      </c>
    </row>
    <row r="15" spans="1:15">
      <c r="A15" s="307" t="str">
        <f>'9. gördülő tervez'!B30</f>
        <v xml:space="preserve">   Működési költségvetés kiadásai </v>
      </c>
      <c r="B15" s="310">
        <f>'9. gördülő tervez'!C30</f>
        <v>2345533478.0744147</v>
      </c>
      <c r="C15" s="310">
        <f>B15/12-40000000</f>
        <v>155461123.17286789</v>
      </c>
      <c r="D15" s="310">
        <f>C15</f>
        <v>155461123.17286789</v>
      </c>
      <c r="E15" s="310">
        <f t="shared" ref="E15:N15" si="7">D15</f>
        <v>155461123.17286789</v>
      </c>
      <c r="F15" s="310">
        <f t="shared" si="7"/>
        <v>155461123.17286789</v>
      </c>
      <c r="G15" s="310">
        <f t="shared" si="7"/>
        <v>155461123.17286789</v>
      </c>
      <c r="H15" s="310">
        <f t="shared" si="7"/>
        <v>155461123.17286789</v>
      </c>
      <c r="I15" s="310">
        <f t="shared" si="7"/>
        <v>155461123.17286789</v>
      </c>
      <c r="J15" s="310">
        <f t="shared" si="7"/>
        <v>155461123.17286789</v>
      </c>
      <c r="K15" s="310">
        <f t="shared" si="7"/>
        <v>155461123.17286789</v>
      </c>
      <c r="L15" s="310">
        <f t="shared" si="7"/>
        <v>155461123.17286789</v>
      </c>
      <c r="M15" s="310">
        <f t="shared" si="7"/>
        <v>155461123.17286789</v>
      </c>
      <c r="N15" s="310">
        <f t="shared" si="7"/>
        <v>155461123.17286789</v>
      </c>
      <c r="O15" s="310">
        <f t="shared" si="6"/>
        <v>-480000000.00000048</v>
      </c>
    </row>
    <row r="16" spans="1:15">
      <c r="A16" s="307" t="str">
        <f>'9. gördülő tervez'!B31</f>
        <v xml:space="preserve">   Felhalmozási költségvetés kiadásai (2.1.+2.2.+2.3.)</v>
      </c>
      <c r="B16" s="310">
        <f>'9. gördülő tervez'!C31</f>
        <v>1534607181.5</v>
      </c>
      <c r="C16" s="310"/>
      <c r="D16" s="310"/>
      <c r="E16" s="310">
        <v>300000000</v>
      </c>
      <c r="F16" s="310"/>
      <c r="G16" s="310">
        <v>200000000</v>
      </c>
      <c r="H16" s="310"/>
      <c r="I16" s="310"/>
      <c r="J16" s="310">
        <v>300000000</v>
      </c>
      <c r="K16" s="310"/>
      <c r="L16" s="310">
        <v>500000000</v>
      </c>
      <c r="M16" s="310"/>
      <c r="N16" s="310">
        <v>232607181</v>
      </c>
      <c r="O16" s="310">
        <f t="shared" si="6"/>
        <v>-2000000.5</v>
      </c>
    </row>
    <row r="17" spans="1:15" hidden="1">
      <c r="A17" s="307" t="str">
        <f>'9. gördülő tervez'!B32</f>
        <v>Beruházások</v>
      </c>
      <c r="B17" s="310">
        <f>'9. gördülő tervez'!C32</f>
        <v>1411528234.5</v>
      </c>
      <c r="C17" s="310"/>
      <c r="D17" s="310"/>
      <c r="E17" s="310"/>
      <c r="F17" s="310"/>
      <c r="G17" s="310"/>
      <c r="H17" s="310"/>
      <c r="I17" s="310"/>
      <c r="J17" s="310"/>
      <c r="K17" s="310"/>
      <c r="L17" s="310"/>
      <c r="M17" s="310"/>
      <c r="N17" s="310"/>
      <c r="O17" s="310">
        <f t="shared" si="6"/>
        <v>-1411528234.5</v>
      </c>
    </row>
    <row r="18" spans="1:15" hidden="1">
      <c r="A18" s="307" t="str">
        <f>'9. gördülő tervez'!B33</f>
        <v>Felújítások</v>
      </c>
      <c r="B18" s="310">
        <f>'9. gördülő tervez'!C33</f>
        <v>66578947</v>
      </c>
      <c r="C18" s="310"/>
      <c r="D18" s="310"/>
      <c r="E18" s="310"/>
      <c r="F18" s="310"/>
      <c r="G18" s="310"/>
      <c r="H18" s="310"/>
      <c r="I18" s="310"/>
      <c r="J18" s="310"/>
      <c r="K18" s="310"/>
      <c r="L18" s="310"/>
      <c r="M18" s="310"/>
      <c r="N18" s="310"/>
      <c r="O18" s="310">
        <f t="shared" si="6"/>
        <v>-66578947</v>
      </c>
    </row>
    <row r="19" spans="1:15" hidden="1">
      <c r="A19" s="307" t="str">
        <f>'9. gördülő tervez'!B34</f>
        <v>Egyéb felhalmozási kiadások</v>
      </c>
      <c r="B19" s="310">
        <f>'9. gördülő tervez'!C34</f>
        <v>56500000</v>
      </c>
      <c r="C19" s="310"/>
      <c r="D19" s="310"/>
      <c r="E19" s="310"/>
      <c r="F19" s="310"/>
      <c r="G19" s="310"/>
      <c r="H19" s="310"/>
      <c r="I19" s="310"/>
      <c r="J19" s="310"/>
      <c r="K19" s="310"/>
      <c r="L19" s="310"/>
      <c r="M19" s="310"/>
      <c r="N19" s="310"/>
      <c r="O19" s="310">
        <f t="shared" si="6"/>
        <v>-56500000</v>
      </c>
    </row>
    <row r="20" spans="1:15">
      <c r="A20" s="307" t="str">
        <f>'9. gördülő tervez'!B35</f>
        <v>KÖLTSÉGVETÉSI KIADÁSOK ÖSSZESEN (1+2)</v>
      </c>
      <c r="B20" s="310">
        <f>'9. gördülő tervez'!C35</f>
        <v>3880140659.5744147</v>
      </c>
      <c r="C20" s="310">
        <f>C16+C15</f>
        <v>155461123.17286789</v>
      </c>
      <c r="D20" s="310">
        <f t="shared" ref="D20:N20" si="8">D16+D15</f>
        <v>155461123.17286789</v>
      </c>
      <c r="E20" s="310">
        <f t="shared" si="8"/>
        <v>455461123.17286789</v>
      </c>
      <c r="F20" s="310">
        <f t="shared" si="8"/>
        <v>155461123.17286789</v>
      </c>
      <c r="G20" s="310">
        <f t="shared" si="8"/>
        <v>355461123.17286789</v>
      </c>
      <c r="H20" s="310">
        <f t="shared" si="8"/>
        <v>155461123.17286789</v>
      </c>
      <c r="I20" s="310">
        <f t="shared" si="8"/>
        <v>155461123.17286789</v>
      </c>
      <c r="J20" s="310">
        <f t="shared" si="8"/>
        <v>455461123.17286789</v>
      </c>
      <c r="K20" s="310">
        <f t="shared" si="8"/>
        <v>155461123.17286789</v>
      </c>
      <c r="L20" s="310">
        <f t="shared" si="8"/>
        <v>655461123.17286789</v>
      </c>
      <c r="M20" s="310">
        <f t="shared" si="8"/>
        <v>155461123.17286789</v>
      </c>
      <c r="N20" s="310">
        <f t="shared" si="8"/>
        <v>388068304.17286789</v>
      </c>
      <c r="O20" s="310">
        <f t="shared" si="6"/>
        <v>-482000000.50000095</v>
      </c>
    </row>
    <row r="21" spans="1:15">
      <c r="A21" s="307" t="str">
        <f>'9. gördülő tervez'!B36</f>
        <v>FINANSZÍROZÁSI KIADÁSOK ÖSSZESEN:</v>
      </c>
      <c r="B21" s="310">
        <f>'9. gördülő tervez'!C36</f>
        <v>57989514.861111112</v>
      </c>
      <c r="C21" s="310"/>
      <c r="D21" s="310"/>
      <c r="E21" s="310">
        <f>B21/4</f>
        <v>14497378.715277778</v>
      </c>
      <c r="F21" s="310"/>
      <c r="G21" s="310"/>
      <c r="H21" s="310">
        <f>E21</f>
        <v>14497378.715277778</v>
      </c>
      <c r="I21" s="310"/>
      <c r="J21" s="310"/>
      <c r="K21" s="310">
        <f>H21</f>
        <v>14497378.715277778</v>
      </c>
      <c r="L21" s="310"/>
      <c r="M21" s="310"/>
      <c r="N21" s="310">
        <f>K21</f>
        <v>14497378.715277778</v>
      </c>
      <c r="O21" s="310">
        <f t="shared" si="6"/>
        <v>0</v>
      </c>
    </row>
    <row r="22" spans="1:15">
      <c r="A22" s="307" t="str">
        <f>'9. gördülő tervez'!B37</f>
        <v>KIADÁSOK ÖSSZESEN: (3.+4.)</v>
      </c>
      <c r="B22" s="310">
        <f>'9. gördülő tervez'!C37</f>
        <v>3938130174.4355259</v>
      </c>
      <c r="C22" s="310">
        <f>C21+C20</f>
        <v>155461123.17286789</v>
      </c>
      <c r="D22" s="310">
        <f t="shared" ref="D22:N22" si="9">D21+D20</f>
        <v>155461123.17286789</v>
      </c>
      <c r="E22" s="310">
        <f t="shared" si="9"/>
        <v>469958501.88814569</v>
      </c>
      <c r="F22" s="310">
        <f t="shared" si="9"/>
        <v>155461123.17286789</v>
      </c>
      <c r="G22" s="310">
        <f t="shared" si="9"/>
        <v>355461123.17286789</v>
      </c>
      <c r="H22" s="310">
        <f t="shared" si="9"/>
        <v>169958501.88814569</v>
      </c>
      <c r="I22" s="310">
        <f t="shared" si="9"/>
        <v>155461123.17286789</v>
      </c>
      <c r="J22" s="310">
        <f t="shared" si="9"/>
        <v>455461123.17286789</v>
      </c>
      <c r="K22" s="310">
        <f t="shared" si="9"/>
        <v>169958501.88814569</v>
      </c>
      <c r="L22" s="310">
        <f t="shared" si="9"/>
        <v>655461123.17286789</v>
      </c>
      <c r="M22" s="310">
        <f t="shared" si="9"/>
        <v>155461123.17286789</v>
      </c>
      <c r="N22" s="310">
        <f t="shared" si="9"/>
        <v>402565682.88814569</v>
      </c>
      <c r="O22" s="310">
        <f t="shared" si="6"/>
        <v>-482000000.50000095</v>
      </c>
    </row>
    <row r="23" spans="1:15">
      <c r="A23" s="307"/>
      <c r="B23" s="310">
        <f>B14-B22</f>
        <v>-0.47011327743530273</v>
      </c>
      <c r="C23" s="310">
        <f t="shared" ref="C23:N23" si="10">C14-C22</f>
        <v>524695471.65758312</v>
      </c>
      <c r="D23" s="310">
        <f t="shared" si="10"/>
        <v>-51304528.342416853</v>
      </c>
      <c r="E23" s="310">
        <f t="shared" si="10"/>
        <v>134198092.94230533</v>
      </c>
      <c r="F23" s="310">
        <f t="shared" si="10"/>
        <v>24554471.657583147</v>
      </c>
      <c r="G23" s="310">
        <f t="shared" si="10"/>
        <v>-51304528.342416883</v>
      </c>
      <c r="H23" s="310">
        <f t="shared" si="10"/>
        <v>334293092.94230533</v>
      </c>
      <c r="I23" s="310">
        <f t="shared" si="10"/>
        <v>-51304528.342416853</v>
      </c>
      <c r="J23" s="310">
        <f t="shared" si="10"/>
        <v>-241017417.34241685</v>
      </c>
      <c r="K23" s="310">
        <f t="shared" si="10"/>
        <v>-39801907.057694644</v>
      </c>
      <c r="L23" s="310">
        <f t="shared" si="10"/>
        <v>-308721235.34241688</v>
      </c>
      <c r="M23" s="310">
        <f t="shared" si="10"/>
        <v>-51304528.342416853</v>
      </c>
      <c r="N23" s="310">
        <f t="shared" si="10"/>
        <v>-273409088.05769467</v>
      </c>
      <c r="O23" s="310">
        <f t="shared" si="6"/>
        <v>-50426631.500000447</v>
      </c>
    </row>
  </sheetData>
  <pageMargins left="0.19685039370078741" right="0.11811023622047245" top="0.35433070866141736" bottom="0.55118110236220474" header="0.31496062992125984" footer="0.31496062992125984"/>
  <pageSetup paperSize="9" scale="73" fitToHeight="0" orientation="landscape" r:id="rId1"/>
  <headerFooter>
    <oddHeader>&amp;RRáckeve Város 2020 évi költségvetés melléklete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62"/>
  <sheetViews>
    <sheetView workbookViewId="0">
      <selection activeCell="B17" sqref="B17"/>
    </sheetView>
  </sheetViews>
  <sheetFormatPr defaultRowHeight="15.75"/>
  <cols>
    <col min="1" max="1" width="8.140625" style="721" customWidth="1"/>
    <col min="2" max="2" width="64.7109375" style="721" customWidth="1"/>
    <col min="3" max="3" width="18.5703125" style="722" customWidth="1"/>
    <col min="4" max="4" width="10.85546875" style="627" bestFit="1" customWidth="1"/>
    <col min="5" max="256" width="9.140625" style="627"/>
    <col min="257" max="257" width="8.140625" style="627" customWidth="1"/>
    <col min="258" max="258" width="85.140625" style="627" customWidth="1"/>
    <col min="259" max="259" width="18.5703125" style="627" customWidth="1"/>
    <col min="260" max="260" width="7.7109375" style="627" customWidth="1"/>
    <col min="261" max="512" width="9.140625" style="627"/>
    <col min="513" max="513" width="8.140625" style="627" customWidth="1"/>
    <col min="514" max="514" width="85.140625" style="627" customWidth="1"/>
    <col min="515" max="515" width="18.5703125" style="627" customWidth="1"/>
    <col min="516" max="516" width="7.7109375" style="627" customWidth="1"/>
    <col min="517" max="768" width="9.140625" style="627"/>
    <col min="769" max="769" width="8.140625" style="627" customWidth="1"/>
    <col min="770" max="770" width="85.140625" style="627" customWidth="1"/>
    <col min="771" max="771" width="18.5703125" style="627" customWidth="1"/>
    <col min="772" max="772" width="7.7109375" style="627" customWidth="1"/>
    <col min="773" max="1024" width="9.140625" style="627"/>
    <col min="1025" max="1025" width="8.140625" style="627" customWidth="1"/>
    <col min="1026" max="1026" width="85.140625" style="627" customWidth="1"/>
    <col min="1027" max="1027" width="18.5703125" style="627" customWidth="1"/>
    <col min="1028" max="1028" width="7.7109375" style="627" customWidth="1"/>
    <col min="1029" max="1280" width="9.140625" style="627"/>
    <col min="1281" max="1281" width="8.140625" style="627" customWidth="1"/>
    <col min="1282" max="1282" width="85.140625" style="627" customWidth="1"/>
    <col min="1283" max="1283" width="18.5703125" style="627" customWidth="1"/>
    <col min="1284" max="1284" width="7.7109375" style="627" customWidth="1"/>
    <col min="1285" max="1536" width="9.140625" style="627"/>
    <col min="1537" max="1537" width="8.140625" style="627" customWidth="1"/>
    <col min="1538" max="1538" width="85.140625" style="627" customWidth="1"/>
    <col min="1539" max="1539" width="18.5703125" style="627" customWidth="1"/>
    <col min="1540" max="1540" width="7.7109375" style="627" customWidth="1"/>
    <col min="1541" max="1792" width="9.140625" style="627"/>
    <col min="1793" max="1793" width="8.140625" style="627" customWidth="1"/>
    <col min="1794" max="1794" width="85.140625" style="627" customWidth="1"/>
    <col min="1795" max="1795" width="18.5703125" style="627" customWidth="1"/>
    <col min="1796" max="1796" width="7.7109375" style="627" customWidth="1"/>
    <col min="1797" max="2048" width="9.140625" style="627"/>
    <col min="2049" max="2049" width="8.140625" style="627" customWidth="1"/>
    <col min="2050" max="2050" width="85.140625" style="627" customWidth="1"/>
    <col min="2051" max="2051" width="18.5703125" style="627" customWidth="1"/>
    <col min="2052" max="2052" width="7.7109375" style="627" customWidth="1"/>
    <col min="2053" max="2304" width="9.140625" style="627"/>
    <col min="2305" max="2305" width="8.140625" style="627" customWidth="1"/>
    <col min="2306" max="2306" width="85.140625" style="627" customWidth="1"/>
    <col min="2307" max="2307" width="18.5703125" style="627" customWidth="1"/>
    <col min="2308" max="2308" width="7.7109375" style="627" customWidth="1"/>
    <col min="2309" max="2560" width="9.140625" style="627"/>
    <col min="2561" max="2561" width="8.140625" style="627" customWidth="1"/>
    <col min="2562" max="2562" width="85.140625" style="627" customWidth="1"/>
    <col min="2563" max="2563" width="18.5703125" style="627" customWidth="1"/>
    <col min="2564" max="2564" width="7.7109375" style="627" customWidth="1"/>
    <col min="2565" max="2816" width="9.140625" style="627"/>
    <col min="2817" max="2817" width="8.140625" style="627" customWidth="1"/>
    <col min="2818" max="2818" width="85.140625" style="627" customWidth="1"/>
    <col min="2819" max="2819" width="18.5703125" style="627" customWidth="1"/>
    <col min="2820" max="2820" width="7.7109375" style="627" customWidth="1"/>
    <col min="2821" max="3072" width="9.140625" style="627"/>
    <col min="3073" max="3073" width="8.140625" style="627" customWidth="1"/>
    <col min="3074" max="3074" width="85.140625" style="627" customWidth="1"/>
    <col min="3075" max="3075" width="18.5703125" style="627" customWidth="1"/>
    <col min="3076" max="3076" width="7.7109375" style="627" customWidth="1"/>
    <col min="3077" max="3328" width="9.140625" style="627"/>
    <col min="3329" max="3329" width="8.140625" style="627" customWidth="1"/>
    <col min="3330" max="3330" width="85.140625" style="627" customWidth="1"/>
    <col min="3331" max="3331" width="18.5703125" style="627" customWidth="1"/>
    <col min="3332" max="3332" width="7.7109375" style="627" customWidth="1"/>
    <col min="3333" max="3584" width="9.140625" style="627"/>
    <col min="3585" max="3585" width="8.140625" style="627" customWidth="1"/>
    <col min="3586" max="3586" width="85.140625" style="627" customWidth="1"/>
    <col min="3587" max="3587" width="18.5703125" style="627" customWidth="1"/>
    <col min="3588" max="3588" width="7.7109375" style="627" customWidth="1"/>
    <col min="3589" max="3840" width="9.140625" style="627"/>
    <col min="3841" max="3841" width="8.140625" style="627" customWidth="1"/>
    <col min="3842" max="3842" width="85.140625" style="627" customWidth="1"/>
    <col min="3843" max="3843" width="18.5703125" style="627" customWidth="1"/>
    <col min="3844" max="3844" width="7.7109375" style="627" customWidth="1"/>
    <col min="3845" max="4096" width="9.140625" style="627"/>
    <col min="4097" max="4097" width="8.140625" style="627" customWidth="1"/>
    <col min="4098" max="4098" width="85.140625" style="627" customWidth="1"/>
    <col min="4099" max="4099" width="18.5703125" style="627" customWidth="1"/>
    <col min="4100" max="4100" width="7.7109375" style="627" customWidth="1"/>
    <col min="4101" max="4352" width="9.140625" style="627"/>
    <col min="4353" max="4353" width="8.140625" style="627" customWidth="1"/>
    <col min="4354" max="4354" width="85.140625" style="627" customWidth="1"/>
    <col min="4355" max="4355" width="18.5703125" style="627" customWidth="1"/>
    <col min="4356" max="4356" width="7.7109375" style="627" customWidth="1"/>
    <col min="4357" max="4608" width="9.140625" style="627"/>
    <col min="4609" max="4609" width="8.140625" style="627" customWidth="1"/>
    <col min="4610" max="4610" width="85.140625" style="627" customWidth="1"/>
    <col min="4611" max="4611" width="18.5703125" style="627" customWidth="1"/>
    <col min="4612" max="4612" width="7.7109375" style="627" customWidth="1"/>
    <col min="4613" max="4864" width="9.140625" style="627"/>
    <col min="4865" max="4865" width="8.140625" style="627" customWidth="1"/>
    <col min="4866" max="4866" width="85.140625" style="627" customWidth="1"/>
    <col min="4867" max="4867" width="18.5703125" style="627" customWidth="1"/>
    <col min="4868" max="4868" width="7.7109375" style="627" customWidth="1"/>
    <col min="4869" max="5120" width="9.140625" style="627"/>
    <col min="5121" max="5121" width="8.140625" style="627" customWidth="1"/>
    <col min="5122" max="5122" width="85.140625" style="627" customWidth="1"/>
    <col min="5123" max="5123" width="18.5703125" style="627" customWidth="1"/>
    <col min="5124" max="5124" width="7.7109375" style="627" customWidth="1"/>
    <col min="5125" max="5376" width="9.140625" style="627"/>
    <col min="5377" max="5377" width="8.140625" style="627" customWidth="1"/>
    <col min="5378" max="5378" width="85.140625" style="627" customWidth="1"/>
    <col min="5379" max="5379" width="18.5703125" style="627" customWidth="1"/>
    <col min="5380" max="5380" width="7.7109375" style="627" customWidth="1"/>
    <col min="5381" max="5632" width="9.140625" style="627"/>
    <col min="5633" max="5633" width="8.140625" style="627" customWidth="1"/>
    <col min="5634" max="5634" width="85.140625" style="627" customWidth="1"/>
    <col min="5635" max="5635" width="18.5703125" style="627" customWidth="1"/>
    <col min="5636" max="5636" width="7.7109375" style="627" customWidth="1"/>
    <col min="5637" max="5888" width="9.140625" style="627"/>
    <col min="5889" max="5889" width="8.140625" style="627" customWidth="1"/>
    <col min="5890" max="5890" width="85.140625" style="627" customWidth="1"/>
    <col min="5891" max="5891" width="18.5703125" style="627" customWidth="1"/>
    <col min="5892" max="5892" width="7.7109375" style="627" customWidth="1"/>
    <col min="5893" max="6144" width="9.140625" style="627"/>
    <col min="6145" max="6145" width="8.140625" style="627" customWidth="1"/>
    <col min="6146" max="6146" width="85.140625" style="627" customWidth="1"/>
    <col min="6147" max="6147" width="18.5703125" style="627" customWidth="1"/>
    <col min="6148" max="6148" width="7.7109375" style="627" customWidth="1"/>
    <col min="6149" max="6400" width="9.140625" style="627"/>
    <col min="6401" max="6401" width="8.140625" style="627" customWidth="1"/>
    <col min="6402" max="6402" width="85.140625" style="627" customWidth="1"/>
    <col min="6403" max="6403" width="18.5703125" style="627" customWidth="1"/>
    <col min="6404" max="6404" width="7.7109375" style="627" customWidth="1"/>
    <col min="6405" max="6656" width="9.140625" style="627"/>
    <col min="6657" max="6657" width="8.140625" style="627" customWidth="1"/>
    <col min="6658" max="6658" width="85.140625" style="627" customWidth="1"/>
    <col min="6659" max="6659" width="18.5703125" style="627" customWidth="1"/>
    <col min="6660" max="6660" width="7.7109375" style="627" customWidth="1"/>
    <col min="6661" max="6912" width="9.140625" style="627"/>
    <col min="6913" max="6913" width="8.140625" style="627" customWidth="1"/>
    <col min="6914" max="6914" width="85.140625" style="627" customWidth="1"/>
    <col min="6915" max="6915" width="18.5703125" style="627" customWidth="1"/>
    <col min="6916" max="6916" width="7.7109375" style="627" customWidth="1"/>
    <col min="6917" max="7168" width="9.140625" style="627"/>
    <col min="7169" max="7169" width="8.140625" style="627" customWidth="1"/>
    <col min="7170" max="7170" width="85.140625" style="627" customWidth="1"/>
    <col min="7171" max="7171" width="18.5703125" style="627" customWidth="1"/>
    <col min="7172" max="7172" width="7.7109375" style="627" customWidth="1"/>
    <col min="7173" max="7424" width="9.140625" style="627"/>
    <col min="7425" max="7425" width="8.140625" style="627" customWidth="1"/>
    <col min="7426" max="7426" width="85.140625" style="627" customWidth="1"/>
    <col min="7427" max="7427" width="18.5703125" style="627" customWidth="1"/>
    <col min="7428" max="7428" width="7.7109375" style="627" customWidth="1"/>
    <col min="7429" max="7680" width="9.140625" style="627"/>
    <col min="7681" max="7681" width="8.140625" style="627" customWidth="1"/>
    <col min="7682" max="7682" width="85.140625" style="627" customWidth="1"/>
    <col min="7683" max="7683" width="18.5703125" style="627" customWidth="1"/>
    <col min="7684" max="7684" width="7.7109375" style="627" customWidth="1"/>
    <col min="7685" max="7936" width="9.140625" style="627"/>
    <col min="7937" max="7937" width="8.140625" style="627" customWidth="1"/>
    <col min="7938" max="7938" width="85.140625" style="627" customWidth="1"/>
    <col min="7939" max="7939" width="18.5703125" style="627" customWidth="1"/>
    <col min="7940" max="7940" width="7.7109375" style="627" customWidth="1"/>
    <col min="7941" max="8192" width="9.140625" style="627"/>
    <col min="8193" max="8193" width="8.140625" style="627" customWidth="1"/>
    <col min="8194" max="8194" width="85.140625" style="627" customWidth="1"/>
    <col min="8195" max="8195" width="18.5703125" style="627" customWidth="1"/>
    <col min="8196" max="8196" width="7.7109375" style="627" customWidth="1"/>
    <col min="8197" max="8448" width="9.140625" style="627"/>
    <col min="8449" max="8449" width="8.140625" style="627" customWidth="1"/>
    <col min="8450" max="8450" width="85.140625" style="627" customWidth="1"/>
    <col min="8451" max="8451" width="18.5703125" style="627" customWidth="1"/>
    <col min="8452" max="8452" width="7.7109375" style="627" customWidth="1"/>
    <col min="8453" max="8704" width="9.140625" style="627"/>
    <col min="8705" max="8705" width="8.140625" style="627" customWidth="1"/>
    <col min="8706" max="8706" width="85.140625" style="627" customWidth="1"/>
    <col min="8707" max="8707" width="18.5703125" style="627" customWidth="1"/>
    <col min="8708" max="8708" width="7.7109375" style="627" customWidth="1"/>
    <col min="8709" max="8960" width="9.140625" style="627"/>
    <col min="8961" max="8961" width="8.140625" style="627" customWidth="1"/>
    <col min="8962" max="8962" width="85.140625" style="627" customWidth="1"/>
    <col min="8963" max="8963" width="18.5703125" style="627" customWidth="1"/>
    <col min="8964" max="8964" width="7.7109375" style="627" customWidth="1"/>
    <col min="8965" max="9216" width="9.140625" style="627"/>
    <col min="9217" max="9217" width="8.140625" style="627" customWidth="1"/>
    <col min="9218" max="9218" width="85.140625" style="627" customWidth="1"/>
    <col min="9219" max="9219" width="18.5703125" style="627" customWidth="1"/>
    <col min="9220" max="9220" width="7.7109375" style="627" customWidth="1"/>
    <col min="9221" max="9472" width="9.140625" style="627"/>
    <col min="9473" max="9473" width="8.140625" style="627" customWidth="1"/>
    <col min="9474" max="9474" width="85.140625" style="627" customWidth="1"/>
    <col min="9475" max="9475" width="18.5703125" style="627" customWidth="1"/>
    <col min="9476" max="9476" width="7.7109375" style="627" customWidth="1"/>
    <col min="9477" max="9728" width="9.140625" style="627"/>
    <col min="9729" max="9729" width="8.140625" style="627" customWidth="1"/>
    <col min="9730" max="9730" width="85.140625" style="627" customWidth="1"/>
    <col min="9731" max="9731" width="18.5703125" style="627" customWidth="1"/>
    <col min="9732" max="9732" width="7.7109375" style="627" customWidth="1"/>
    <col min="9733" max="9984" width="9.140625" style="627"/>
    <col min="9985" max="9985" width="8.140625" style="627" customWidth="1"/>
    <col min="9986" max="9986" width="85.140625" style="627" customWidth="1"/>
    <col min="9987" max="9987" width="18.5703125" style="627" customWidth="1"/>
    <col min="9988" max="9988" width="7.7109375" style="627" customWidth="1"/>
    <col min="9989" max="10240" width="9.140625" style="627"/>
    <col min="10241" max="10241" width="8.140625" style="627" customWidth="1"/>
    <col min="10242" max="10242" width="85.140625" style="627" customWidth="1"/>
    <col min="10243" max="10243" width="18.5703125" style="627" customWidth="1"/>
    <col min="10244" max="10244" width="7.7109375" style="627" customWidth="1"/>
    <col min="10245" max="10496" width="9.140625" style="627"/>
    <col min="10497" max="10497" width="8.140625" style="627" customWidth="1"/>
    <col min="10498" max="10498" width="85.140625" style="627" customWidth="1"/>
    <col min="10499" max="10499" width="18.5703125" style="627" customWidth="1"/>
    <col min="10500" max="10500" width="7.7109375" style="627" customWidth="1"/>
    <col min="10501" max="10752" width="9.140625" style="627"/>
    <col min="10753" max="10753" width="8.140625" style="627" customWidth="1"/>
    <col min="10754" max="10754" width="85.140625" style="627" customWidth="1"/>
    <col min="10755" max="10755" width="18.5703125" style="627" customWidth="1"/>
    <col min="10756" max="10756" width="7.7109375" style="627" customWidth="1"/>
    <col min="10757" max="11008" width="9.140625" style="627"/>
    <col min="11009" max="11009" width="8.140625" style="627" customWidth="1"/>
    <col min="11010" max="11010" width="85.140625" style="627" customWidth="1"/>
    <col min="11011" max="11011" width="18.5703125" style="627" customWidth="1"/>
    <col min="11012" max="11012" width="7.7109375" style="627" customWidth="1"/>
    <col min="11013" max="11264" width="9.140625" style="627"/>
    <col min="11265" max="11265" width="8.140625" style="627" customWidth="1"/>
    <col min="11266" max="11266" width="85.140625" style="627" customWidth="1"/>
    <col min="11267" max="11267" width="18.5703125" style="627" customWidth="1"/>
    <col min="11268" max="11268" width="7.7109375" style="627" customWidth="1"/>
    <col min="11269" max="11520" width="9.140625" style="627"/>
    <col min="11521" max="11521" width="8.140625" style="627" customWidth="1"/>
    <col min="11522" max="11522" width="85.140625" style="627" customWidth="1"/>
    <col min="11523" max="11523" width="18.5703125" style="627" customWidth="1"/>
    <col min="11524" max="11524" width="7.7109375" style="627" customWidth="1"/>
    <col min="11525" max="11776" width="9.140625" style="627"/>
    <col min="11777" max="11777" width="8.140625" style="627" customWidth="1"/>
    <col min="11778" max="11778" width="85.140625" style="627" customWidth="1"/>
    <col min="11779" max="11779" width="18.5703125" style="627" customWidth="1"/>
    <col min="11780" max="11780" width="7.7109375" style="627" customWidth="1"/>
    <col min="11781" max="12032" width="9.140625" style="627"/>
    <col min="12033" max="12033" width="8.140625" style="627" customWidth="1"/>
    <col min="12034" max="12034" width="85.140625" style="627" customWidth="1"/>
    <col min="12035" max="12035" width="18.5703125" style="627" customWidth="1"/>
    <col min="12036" max="12036" width="7.7109375" style="627" customWidth="1"/>
    <col min="12037" max="12288" width="9.140625" style="627"/>
    <col min="12289" max="12289" width="8.140625" style="627" customWidth="1"/>
    <col min="12290" max="12290" width="85.140625" style="627" customWidth="1"/>
    <col min="12291" max="12291" width="18.5703125" style="627" customWidth="1"/>
    <col min="12292" max="12292" width="7.7109375" style="627" customWidth="1"/>
    <col min="12293" max="12544" width="9.140625" style="627"/>
    <col min="12545" max="12545" width="8.140625" style="627" customWidth="1"/>
    <col min="12546" max="12546" width="85.140625" style="627" customWidth="1"/>
    <col min="12547" max="12547" width="18.5703125" style="627" customWidth="1"/>
    <col min="12548" max="12548" width="7.7109375" style="627" customWidth="1"/>
    <col min="12549" max="12800" width="9.140625" style="627"/>
    <col min="12801" max="12801" width="8.140625" style="627" customWidth="1"/>
    <col min="12802" max="12802" width="85.140625" style="627" customWidth="1"/>
    <col min="12803" max="12803" width="18.5703125" style="627" customWidth="1"/>
    <col min="12804" max="12804" width="7.7109375" style="627" customWidth="1"/>
    <col min="12805" max="13056" width="9.140625" style="627"/>
    <col min="13057" max="13057" width="8.140625" style="627" customWidth="1"/>
    <col min="13058" max="13058" width="85.140625" style="627" customWidth="1"/>
    <col min="13059" max="13059" width="18.5703125" style="627" customWidth="1"/>
    <col min="13060" max="13060" width="7.7109375" style="627" customWidth="1"/>
    <col min="13061" max="13312" width="9.140625" style="627"/>
    <col min="13313" max="13313" width="8.140625" style="627" customWidth="1"/>
    <col min="13314" max="13314" width="85.140625" style="627" customWidth="1"/>
    <col min="13315" max="13315" width="18.5703125" style="627" customWidth="1"/>
    <col min="13316" max="13316" width="7.7109375" style="627" customWidth="1"/>
    <col min="13317" max="13568" width="9.140625" style="627"/>
    <col min="13569" max="13569" width="8.140625" style="627" customWidth="1"/>
    <col min="13570" max="13570" width="85.140625" style="627" customWidth="1"/>
    <col min="13571" max="13571" width="18.5703125" style="627" customWidth="1"/>
    <col min="13572" max="13572" width="7.7109375" style="627" customWidth="1"/>
    <col min="13573" max="13824" width="9.140625" style="627"/>
    <col min="13825" max="13825" width="8.140625" style="627" customWidth="1"/>
    <col min="13826" max="13826" width="85.140625" style="627" customWidth="1"/>
    <col min="13827" max="13827" width="18.5703125" style="627" customWidth="1"/>
    <col min="13828" max="13828" width="7.7109375" style="627" customWidth="1"/>
    <col min="13829" max="14080" width="9.140625" style="627"/>
    <col min="14081" max="14081" width="8.140625" style="627" customWidth="1"/>
    <col min="14082" max="14082" width="85.140625" style="627" customWidth="1"/>
    <col min="14083" max="14083" width="18.5703125" style="627" customWidth="1"/>
    <col min="14084" max="14084" width="7.7109375" style="627" customWidth="1"/>
    <col min="14085" max="14336" width="9.140625" style="627"/>
    <col min="14337" max="14337" width="8.140625" style="627" customWidth="1"/>
    <col min="14338" max="14338" width="85.140625" style="627" customWidth="1"/>
    <col min="14339" max="14339" width="18.5703125" style="627" customWidth="1"/>
    <col min="14340" max="14340" width="7.7109375" style="627" customWidth="1"/>
    <col min="14341" max="14592" width="9.140625" style="627"/>
    <col min="14593" max="14593" width="8.140625" style="627" customWidth="1"/>
    <col min="14594" max="14594" width="85.140625" style="627" customWidth="1"/>
    <col min="14595" max="14595" width="18.5703125" style="627" customWidth="1"/>
    <col min="14596" max="14596" width="7.7109375" style="627" customWidth="1"/>
    <col min="14597" max="14848" width="9.140625" style="627"/>
    <col min="14849" max="14849" width="8.140625" style="627" customWidth="1"/>
    <col min="14850" max="14850" width="85.140625" style="627" customWidth="1"/>
    <col min="14851" max="14851" width="18.5703125" style="627" customWidth="1"/>
    <col min="14852" max="14852" width="7.7109375" style="627" customWidth="1"/>
    <col min="14853" max="15104" width="9.140625" style="627"/>
    <col min="15105" max="15105" width="8.140625" style="627" customWidth="1"/>
    <col min="15106" max="15106" width="85.140625" style="627" customWidth="1"/>
    <col min="15107" max="15107" width="18.5703125" style="627" customWidth="1"/>
    <col min="15108" max="15108" width="7.7109375" style="627" customWidth="1"/>
    <col min="15109" max="15360" width="9.140625" style="627"/>
    <col min="15361" max="15361" width="8.140625" style="627" customWidth="1"/>
    <col min="15362" max="15362" width="85.140625" style="627" customWidth="1"/>
    <col min="15363" max="15363" width="18.5703125" style="627" customWidth="1"/>
    <col min="15364" max="15364" width="7.7109375" style="627" customWidth="1"/>
    <col min="15365" max="15616" width="9.140625" style="627"/>
    <col min="15617" max="15617" width="8.140625" style="627" customWidth="1"/>
    <col min="15618" max="15618" width="85.140625" style="627" customWidth="1"/>
    <col min="15619" max="15619" width="18.5703125" style="627" customWidth="1"/>
    <col min="15620" max="15620" width="7.7109375" style="627" customWidth="1"/>
    <col min="15621" max="15872" width="9.140625" style="627"/>
    <col min="15873" max="15873" width="8.140625" style="627" customWidth="1"/>
    <col min="15874" max="15874" width="85.140625" style="627" customWidth="1"/>
    <col min="15875" max="15875" width="18.5703125" style="627" customWidth="1"/>
    <col min="15876" max="15876" width="7.7109375" style="627" customWidth="1"/>
    <col min="15877" max="16128" width="9.140625" style="627"/>
    <col min="16129" max="16129" width="8.140625" style="627" customWidth="1"/>
    <col min="16130" max="16130" width="85.140625" style="627" customWidth="1"/>
    <col min="16131" max="16131" width="18.5703125" style="627" customWidth="1"/>
    <col min="16132" max="16132" width="7.7109375" style="627" customWidth="1"/>
    <col min="16133" max="16384" width="9.140625" style="627"/>
  </cols>
  <sheetData>
    <row r="1" spans="1:3" ht="21.95" customHeight="1">
      <c r="A1" s="630"/>
      <c r="B1" s="629" t="s">
        <v>1626</v>
      </c>
      <c r="C1" s="1118" t="s">
        <v>1709</v>
      </c>
    </row>
    <row r="2" spans="1:3" ht="21.95" customHeight="1">
      <c r="A2" s="630"/>
      <c r="B2" s="629" t="s">
        <v>1499</v>
      </c>
      <c r="C2" s="630"/>
    </row>
    <row r="3" spans="1:3" ht="21.95" customHeight="1">
      <c r="A3" s="626"/>
      <c r="B3" s="626"/>
      <c r="C3" s="631"/>
    </row>
    <row r="4" spans="1:3" ht="15.2" customHeight="1">
      <c r="A4" s="1217" t="s">
        <v>301</v>
      </c>
      <c r="B4" s="1217"/>
      <c r="C4" s="1217"/>
    </row>
    <row r="5" spans="1:3" ht="15.2" customHeight="1" thickBot="1">
      <c r="A5" s="1218"/>
      <c r="B5" s="1218"/>
      <c r="C5" s="632" t="str">
        <f>CONCATENATE([1]KV_1.1.sz.mell.!C7)</f>
        <v>Forintban!</v>
      </c>
    </row>
    <row r="6" spans="1:3" ht="24" customHeight="1" thickBot="1">
      <c r="A6" s="633" t="s">
        <v>286</v>
      </c>
      <c r="B6" s="634" t="s">
        <v>302</v>
      </c>
      <c r="C6" s="635" t="str">
        <f>+CONCATENATE(LEFT([1]KV_ÖSSZEFÜGGÉSEK!A5,4),". évi előirányzat")</f>
        <v>2020. évi előirányzat</v>
      </c>
    </row>
    <row r="7" spans="1:3" s="639" customFormat="1" ht="12" customHeight="1" thickBot="1">
      <c r="A7" s="636"/>
      <c r="B7" s="637" t="s">
        <v>287</v>
      </c>
      <c r="C7" s="638" t="s">
        <v>268</v>
      </c>
    </row>
    <row r="8" spans="1:3" s="643" customFormat="1" ht="12" customHeight="1" thickBot="1">
      <c r="A8" s="640" t="s">
        <v>172</v>
      </c>
      <c r="B8" s="641" t="s">
        <v>304</v>
      </c>
      <c r="C8" s="642">
        <f>+C9+C10+C11+C12+C13+C14</f>
        <v>9829000</v>
      </c>
    </row>
    <row r="9" spans="1:3" s="643" customFormat="1" ht="12" customHeight="1">
      <c r="A9" s="644" t="s">
        <v>305</v>
      </c>
      <c r="B9" s="645" t="s">
        <v>306</v>
      </c>
      <c r="C9" s="646"/>
    </row>
    <row r="10" spans="1:3" s="643" customFormat="1" ht="12" customHeight="1">
      <c r="A10" s="647" t="s">
        <v>307</v>
      </c>
      <c r="B10" s="648" t="s">
        <v>308</v>
      </c>
      <c r="C10" s="646"/>
    </row>
    <row r="11" spans="1:3" s="643" customFormat="1" ht="12" customHeight="1">
      <c r="A11" s="647" t="s">
        <v>309</v>
      </c>
      <c r="B11" s="648" t="s">
        <v>1483</v>
      </c>
      <c r="C11" s="646"/>
    </row>
    <row r="12" spans="1:3" s="643" customFormat="1" ht="12" customHeight="1">
      <c r="A12" s="647" t="s">
        <v>311</v>
      </c>
      <c r="B12" s="648" t="s">
        <v>312</v>
      </c>
      <c r="C12" s="646">
        <v>9829000</v>
      </c>
    </row>
    <row r="13" spans="1:3" s="643" customFormat="1" ht="12" customHeight="1">
      <c r="A13" s="647" t="s">
        <v>313</v>
      </c>
      <c r="B13" s="649" t="s">
        <v>314</v>
      </c>
      <c r="C13" s="646"/>
    </row>
    <row r="14" spans="1:3" s="643" customFormat="1" ht="12" customHeight="1" thickBot="1">
      <c r="A14" s="650" t="s">
        <v>315</v>
      </c>
      <c r="B14" s="651" t="s">
        <v>265</v>
      </c>
      <c r="C14" s="646">
        <f>'1.'!C16</f>
        <v>0</v>
      </c>
    </row>
    <row r="15" spans="1:3" s="643" customFormat="1" ht="12" customHeight="1" thickBot="1">
      <c r="A15" s="640" t="s">
        <v>173</v>
      </c>
      <c r="B15" s="652" t="s">
        <v>1484</v>
      </c>
      <c r="C15" s="642">
        <f>+C16+C17+C18+C19+C20</f>
        <v>0</v>
      </c>
    </row>
    <row r="16" spans="1:3" s="643" customFormat="1" ht="12" customHeight="1">
      <c r="A16" s="644" t="s">
        <v>316</v>
      </c>
      <c r="B16" s="645" t="s">
        <v>317</v>
      </c>
      <c r="C16" s="646">
        <f>'1.'!C18</f>
        <v>0</v>
      </c>
    </row>
    <row r="17" spans="1:3" s="643" customFormat="1" ht="12" customHeight="1">
      <c r="A17" s="647" t="s">
        <v>318</v>
      </c>
      <c r="B17" s="648" t="s">
        <v>319</v>
      </c>
      <c r="C17" s="646">
        <f>'1.'!C19</f>
        <v>0</v>
      </c>
    </row>
    <row r="18" spans="1:3" s="643" customFormat="1" ht="12" customHeight="1">
      <c r="A18" s="647" t="s">
        <v>320</v>
      </c>
      <c r="B18" s="648" t="s">
        <v>321</v>
      </c>
      <c r="C18" s="646"/>
    </row>
    <row r="19" spans="1:3" s="643" customFormat="1" ht="12" customHeight="1">
      <c r="A19" s="647" t="s">
        <v>322</v>
      </c>
      <c r="B19" s="648" t="s">
        <v>323</v>
      </c>
      <c r="C19" s="646"/>
    </row>
    <row r="20" spans="1:3" s="643" customFormat="1" ht="12" customHeight="1">
      <c r="A20" s="647" t="s">
        <v>324</v>
      </c>
      <c r="B20" s="648" t="s">
        <v>1485</v>
      </c>
      <c r="C20" s="646"/>
    </row>
    <row r="21" spans="1:3" s="643" customFormat="1" ht="12" customHeight="1" thickBot="1">
      <c r="A21" s="650" t="s">
        <v>326</v>
      </c>
      <c r="B21" s="651" t="s">
        <v>327</v>
      </c>
      <c r="C21" s="646">
        <f>'1.'!C23</f>
        <v>0</v>
      </c>
    </row>
    <row r="22" spans="1:3" s="643" customFormat="1" ht="12" customHeight="1" thickBot="1">
      <c r="A22" s="640" t="s">
        <v>174</v>
      </c>
      <c r="B22" s="641" t="s">
        <v>1486</v>
      </c>
      <c r="C22" s="642">
        <f>+C23+C24+C25+C26+C27</f>
        <v>0</v>
      </c>
    </row>
    <row r="23" spans="1:3" s="643" customFormat="1" ht="12" customHeight="1">
      <c r="A23" s="644" t="s">
        <v>328</v>
      </c>
      <c r="B23" s="645" t="s">
        <v>329</v>
      </c>
      <c r="C23" s="646"/>
    </row>
    <row r="24" spans="1:3" s="643" customFormat="1" ht="12" customHeight="1">
      <c r="A24" s="647" t="s">
        <v>330</v>
      </c>
      <c r="B24" s="648" t="s">
        <v>331</v>
      </c>
      <c r="C24" s="646">
        <f>'1.'!C26</f>
        <v>0</v>
      </c>
    </row>
    <row r="25" spans="1:3" s="643" customFormat="1" ht="12" customHeight="1">
      <c r="A25" s="647" t="s">
        <v>332</v>
      </c>
      <c r="B25" s="648" t="s">
        <v>333</v>
      </c>
      <c r="C25" s="646">
        <f>'1.'!C27</f>
        <v>0</v>
      </c>
    </row>
    <row r="26" spans="1:3" s="643" customFormat="1" ht="12" customHeight="1">
      <c r="A26" s="647" t="s">
        <v>334</v>
      </c>
      <c r="B26" s="648" t="s">
        <v>335</v>
      </c>
      <c r="C26" s="646">
        <f>'1.'!C28</f>
        <v>0</v>
      </c>
    </row>
    <row r="27" spans="1:3" s="643" customFormat="1" ht="12" customHeight="1">
      <c r="A27" s="647" t="s">
        <v>336</v>
      </c>
      <c r="B27" s="648" t="s">
        <v>337</v>
      </c>
      <c r="C27" s="646"/>
    </row>
    <row r="28" spans="1:3" s="655" customFormat="1" ht="12" customHeight="1" thickBot="1">
      <c r="A28" s="653" t="s">
        <v>338</v>
      </c>
      <c r="B28" s="654" t="s">
        <v>1487</v>
      </c>
      <c r="C28" s="646"/>
    </row>
    <row r="29" spans="1:3" s="643" customFormat="1" ht="12" customHeight="1" thickBot="1">
      <c r="A29" s="640" t="s">
        <v>340</v>
      </c>
      <c r="B29" s="641" t="s">
        <v>341</v>
      </c>
      <c r="C29" s="646">
        <v>0</v>
      </c>
    </row>
    <row r="30" spans="1:3" s="643" customFormat="1" ht="12" customHeight="1">
      <c r="A30" s="644" t="s">
        <v>342</v>
      </c>
      <c r="B30" s="645" t="str">
        <f>[1]KV_1.1.sz.mell.!B32</f>
        <v>Építményadó</v>
      </c>
      <c r="C30" s="646"/>
    </row>
    <row r="31" spans="1:3" s="643" customFormat="1" ht="12" customHeight="1">
      <c r="A31" s="647" t="s">
        <v>344</v>
      </c>
      <c r="B31" s="645" t="str">
        <f>[1]KV_1.1.sz.mell.!B33</f>
        <v>Idegenforgalmi adó</v>
      </c>
      <c r="C31" s="646">
        <f>'1.'!C33</f>
        <v>0</v>
      </c>
    </row>
    <row r="32" spans="1:3" s="643" customFormat="1" ht="12" customHeight="1">
      <c r="A32" s="647" t="s">
        <v>345</v>
      </c>
      <c r="B32" s="645" t="str">
        <f>[1]KV_1.1.sz.mell.!B34</f>
        <v>Iparűzési adó</v>
      </c>
      <c r="C32" s="646"/>
    </row>
    <row r="33" spans="1:3" s="643" customFormat="1" ht="12" customHeight="1">
      <c r="A33" s="647" t="s">
        <v>347</v>
      </c>
      <c r="B33" s="645" t="str">
        <f>[1]KV_1.1.sz.mell.!B35</f>
        <v>Talajterhelési díj</v>
      </c>
      <c r="C33" s="646"/>
    </row>
    <row r="34" spans="1:3" s="643" customFormat="1" ht="12" customHeight="1">
      <c r="A34" s="647" t="s">
        <v>349</v>
      </c>
      <c r="B34" s="645" t="str">
        <f>[1]KV_1.1.sz.mell.!B36</f>
        <v>Gépjárműadó</v>
      </c>
      <c r="C34" s="646">
        <f>'1.'!C36</f>
        <v>0</v>
      </c>
    </row>
    <row r="35" spans="1:3" s="643" customFormat="1" ht="12" customHeight="1">
      <c r="A35" s="647" t="s">
        <v>350</v>
      </c>
      <c r="B35" s="645" t="str">
        <f>[1]KV_1.1.sz.mell.!B37</f>
        <v>Telekadó</v>
      </c>
      <c r="C35" s="646"/>
    </row>
    <row r="36" spans="1:3" s="643" customFormat="1" ht="12" customHeight="1" thickBot="1">
      <c r="A36" s="650" t="s">
        <v>352</v>
      </c>
      <c r="B36" s="645" t="str">
        <f>[1]KV_1.1.sz.mell.!B38</f>
        <v>Kommunális adó</v>
      </c>
      <c r="C36" s="646"/>
    </row>
    <row r="37" spans="1:3" s="643" customFormat="1" ht="12" customHeight="1" thickBot="1">
      <c r="A37" s="640" t="s">
        <v>176</v>
      </c>
      <c r="B37" s="641" t="s">
        <v>354</v>
      </c>
      <c r="C37" s="642">
        <f>SUM(C38:C48)</f>
        <v>0</v>
      </c>
    </row>
    <row r="38" spans="1:3" s="643" customFormat="1" ht="12" customHeight="1">
      <c r="A38" s="644" t="s">
        <v>355</v>
      </c>
      <c r="B38" s="645" t="s">
        <v>356</v>
      </c>
      <c r="C38" s="646"/>
    </row>
    <row r="39" spans="1:3" s="643" customFormat="1" ht="12" customHeight="1">
      <c r="A39" s="647" t="s">
        <v>357</v>
      </c>
      <c r="B39" s="648" t="s">
        <v>358</v>
      </c>
      <c r="C39" s="646"/>
    </row>
    <row r="40" spans="1:3" s="643" customFormat="1" ht="12" customHeight="1">
      <c r="A40" s="647" t="s">
        <v>359</v>
      </c>
      <c r="B40" s="648" t="s">
        <v>360</v>
      </c>
      <c r="C40" s="646"/>
    </row>
    <row r="41" spans="1:3" s="643" customFormat="1" ht="12" customHeight="1">
      <c r="A41" s="647" t="s">
        <v>361</v>
      </c>
      <c r="B41" s="648" t="s">
        <v>362</v>
      </c>
      <c r="C41" s="646"/>
    </row>
    <row r="42" spans="1:3" s="643" customFormat="1" ht="12" customHeight="1">
      <c r="A42" s="647" t="s">
        <v>363</v>
      </c>
      <c r="B42" s="648" t="s">
        <v>364</v>
      </c>
      <c r="C42" s="646"/>
    </row>
    <row r="43" spans="1:3" s="643" customFormat="1" ht="12" customHeight="1">
      <c r="A43" s="647" t="s">
        <v>365</v>
      </c>
      <c r="B43" s="648" t="s">
        <v>366</v>
      </c>
      <c r="C43" s="646"/>
    </row>
    <row r="44" spans="1:3" s="643" customFormat="1" ht="12" customHeight="1">
      <c r="A44" s="647" t="s">
        <v>367</v>
      </c>
      <c r="B44" s="648" t="s">
        <v>368</v>
      </c>
      <c r="C44" s="646">
        <f>'1.'!C46</f>
        <v>0</v>
      </c>
    </row>
    <row r="45" spans="1:3" s="643" customFormat="1" ht="12" customHeight="1">
      <c r="A45" s="647" t="s">
        <v>369</v>
      </c>
      <c r="B45" s="648" t="s">
        <v>370</v>
      </c>
      <c r="C45" s="646"/>
    </row>
    <row r="46" spans="1:3" s="643" customFormat="1" ht="12" customHeight="1">
      <c r="A46" s="647" t="s">
        <v>371</v>
      </c>
      <c r="B46" s="648" t="s">
        <v>372</v>
      </c>
      <c r="C46" s="646">
        <f>'1.'!C48</f>
        <v>0</v>
      </c>
    </row>
    <row r="47" spans="1:3" s="643" customFormat="1" ht="12" customHeight="1">
      <c r="A47" s="650" t="s">
        <v>373</v>
      </c>
      <c r="B47" s="657" t="s">
        <v>374</v>
      </c>
      <c r="C47" s="646">
        <f>'1.'!C49</f>
        <v>0</v>
      </c>
    </row>
    <row r="48" spans="1:3" s="643" customFormat="1" ht="12" customHeight="1" thickBot="1">
      <c r="A48" s="650" t="s">
        <v>375</v>
      </c>
      <c r="B48" s="651" t="s">
        <v>376</v>
      </c>
      <c r="C48" s="646"/>
    </row>
    <row r="49" spans="1:3" s="643" customFormat="1" ht="12" customHeight="1" thickBot="1">
      <c r="A49" s="640" t="s">
        <v>177</v>
      </c>
      <c r="B49" s="641" t="s">
        <v>377</v>
      </c>
      <c r="C49" s="642">
        <f>SUM(C50:C54)</f>
        <v>11400000</v>
      </c>
    </row>
    <row r="50" spans="1:3" s="643" customFormat="1" ht="12" customHeight="1">
      <c r="A50" s="644" t="s">
        <v>378</v>
      </c>
      <c r="B50" s="645" t="s">
        <v>379</v>
      </c>
      <c r="C50" s="646">
        <f>'1.'!C52</f>
        <v>0</v>
      </c>
    </row>
    <row r="51" spans="1:3" s="643" customFormat="1" ht="12" customHeight="1">
      <c r="A51" s="647" t="s">
        <v>380</v>
      </c>
      <c r="B51" s="648" t="s">
        <v>381</v>
      </c>
      <c r="C51" s="646">
        <f>'1.'!C53</f>
        <v>10000000</v>
      </c>
    </row>
    <row r="52" spans="1:3" s="643" customFormat="1" ht="12" customHeight="1">
      <c r="A52" s="647" t="s">
        <v>382</v>
      </c>
      <c r="B52" s="648" t="s">
        <v>383</v>
      </c>
      <c r="C52" s="646">
        <f>'1.'!C54</f>
        <v>1400000</v>
      </c>
    </row>
    <row r="53" spans="1:3" s="643" customFormat="1" ht="12" customHeight="1">
      <c r="A53" s="647" t="s">
        <v>384</v>
      </c>
      <c r="B53" s="648" t="s">
        <v>385</v>
      </c>
      <c r="C53" s="646">
        <f>'1.'!C55</f>
        <v>0</v>
      </c>
    </row>
    <row r="54" spans="1:3" s="643" customFormat="1" ht="12" customHeight="1" thickBot="1">
      <c r="A54" s="650" t="s">
        <v>386</v>
      </c>
      <c r="B54" s="651" t="s">
        <v>387</v>
      </c>
      <c r="C54" s="646">
        <f>'1.'!C56</f>
        <v>0</v>
      </c>
    </row>
    <row r="55" spans="1:3" s="643" customFormat="1" ht="12" customHeight="1" thickBot="1">
      <c r="A55" s="640" t="s">
        <v>388</v>
      </c>
      <c r="B55" s="641" t="s">
        <v>389</v>
      </c>
      <c r="C55" s="642">
        <f>SUM(C56:C58)</f>
        <v>300000</v>
      </c>
    </row>
    <row r="56" spans="1:3" s="643" customFormat="1" ht="12" customHeight="1">
      <c r="A56" s="644" t="s">
        <v>390</v>
      </c>
      <c r="B56" s="645" t="s">
        <v>391</v>
      </c>
      <c r="C56" s="646">
        <f>'1.'!C58</f>
        <v>0</v>
      </c>
    </row>
    <row r="57" spans="1:3" s="643" customFormat="1" ht="12" customHeight="1">
      <c r="A57" s="647" t="s">
        <v>392</v>
      </c>
      <c r="B57" s="648" t="s">
        <v>393</v>
      </c>
      <c r="C57" s="646">
        <f>'1.'!C59</f>
        <v>0</v>
      </c>
    </row>
    <row r="58" spans="1:3" s="643" customFormat="1" ht="12" customHeight="1">
      <c r="A58" s="647" t="s">
        <v>394</v>
      </c>
      <c r="B58" s="648" t="s">
        <v>395</v>
      </c>
      <c r="C58" s="646">
        <f>'1.'!C60</f>
        <v>300000</v>
      </c>
    </row>
    <row r="59" spans="1:3" s="643" customFormat="1" ht="12" customHeight="1" thickBot="1">
      <c r="A59" s="650" t="s">
        <v>396</v>
      </c>
      <c r="B59" s="651" t="s">
        <v>397</v>
      </c>
      <c r="C59" s="646">
        <f>'1.'!C61</f>
        <v>0</v>
      </c>
    </row>
    <row r="60" spans="1:3" s="643" customFormat="1" ht="12" customHeight="1" thickBot="1">
      <c r="A60" s="640" t="s">
        <v>179</v>
      </c>
      <c r="B60" s="652" t="s">
        <v>398</v>
      </c>
      <c r="C60" s="642">
        <f>SUM(C61:C63)</f>
        <v>0</v>
      </c>
    </row>
    <row r="61" spans="1:3" s="643" customFormat="1" ht="12" customHeight="1">
      <c r="A61" s="644" t="s">
        <v>399</v>
      </c>
      <c r="B61" s="645" t="s">
        <v>400</v>
      </c>
      <c r="C61" s="646">
        <f>'1.'!C63</f>
        <v>0</v>
      </c>
    </row>
    <row r="62" spans="1:3" s="643" customFormat="1" ht="12" customHeight="1">
      <c r="A62" s="647" t="s">
        <v>401</v>
      </c>
      <c r="B62" s="648" t="s">
        <v>402</v>
      </c>
      <c r="C62" s="646">
        <f>'1.'!C64</f>
        <v>0</v>
      </c>
    </row>
    <row r="63" spans="1:3" s="643" customFormat="1" ht="12" customHeight="1">
      <c r="A63" s="647" t="s">
        <v>403</v>
      </c>
      <c r="B63" s="648" t="s">
        <v>404</v>
      </c>
      <c r="C63" s="646"/>
    </row>
    <row r="64" spans="1:3" s="643" customFormat="1" ht="12" customHeight="1" thickBot="1">
      <c r="A64" s="650" t="s">
        <v>405</v>
      </c>
      <c r="B64" s="651" t="s">
        <v>406</v>
      </c>
      <c r="C64" s="646">
        <f>'1.'!C66</f>
        <v>0</v>
      </c>
    </row>
    <row r="65" spans="1:3" s="643" customFormat="1" ht="12" customHeight="1" thickBot="1">
      <c r="A65" s="658" t="s">
        <v>407</v>
      </c>
      <c r="B65" s="641" t="s">
        <v>408</v>
      </c>
      <c r="C65" s="656">
        <f>+C8+C15+C22+C29+C37+C49+C55+C60</f>
        <v>21529000</v>
      </c>
    </row>
    <row r="66" spans="1:3" s="643" customFormat="1" ht="12" customHeight="1" thickBot="1">
      <c r="A66" s="659" t="s">
        <v>409</v>
      </c>
      <c r="B66" s="652" t="s">
        <v>410</v>
      </c>
      <c r="C66" s="642">
        <f>SUM(C67:C69)</f>
        <v>0</v>
      </c>
    </row>
    <row r="67" spans="1:3" s="643" customFormat="1" ht="12" customHeight="1">
      <c r="A67" s="644" t="s">
        <v>411</v>
      </c>
      <c r="B67" s="645" t="s">
        <v>412</v>
      </c>
      <c r="C67" s="646"/>
    </row>
    <row r="68" spans="1:3" s="643" customFormat="1" ht="12" customHeight="1">
      <c r="A68" s="647" t="s">
        <v>413</v>
      </c>
      <c r="B68" s="648" t="s">
        <v>414</v>
      </c>
      <c r="C68" s="646">
        <f>'1.'!C70</f>
        <v>0</v>
      </c>
    </row>
    <row r="69" spans="1:3" s="643" customFormat="1" ht="12" customHeight="1" thickBot="1">
      <c r="A69" s="650" t="s">
        <v>415</v>
      </c>
      <c r="B69" s="660" t="s">
        <v>1488</v>
      </c>
      <c r="C69" s="646">
        <f>'1.'!C71</f>
        <v>0</v>
      </c>
    </row>
    <row r="70" spans="1:3" s="643" customFormat="1" ht="12" customHeight="1" thickBot="1">
      <c r="A70" s="659" t="s">
        <v>417</v>
      </c>
      <c r="B70" s="652" t="s">
        <v>418</v>
      </c>
      <c r="C70" s="642">
        <f>SUM(C71:C74)</f>
        <v>0</v>
      </c>
    </row>
    <row r="71" spans="1:3" s="643" customFormat="1" ht="12" customHeight="1">
      <c r="A71" s="644" t="s">
        <v>419</v>
      </c>
      <c r="B71" s="645" t="s">
        <v>420</v>
      </c>
      <c r="C71" s="646">
        <f>'1.'!C73</f>
        <v>0</v>
      </c>
    </row>
    <row r="72" spans="1:3" s="643" customFormat="1" ht="12" customHeight="1">
      <c r="A72" s="647" t="s">
        <v>421</v>
      </c>
      <c r="B72" s="648" t="s">
        <v>422</v>
      </c>
      <c r="C72" s="646">
        <f>'1.'!C74</f>
        <v>0</v>
      </c>
    </row>
    <row r="73" spans="1:3" s="643" customFormat="1" ht="12" customHeight="1" thickBot="1">
      <c r="A73" s="650" t="s">
        <v>423</v>
      </c>
      <c r="B73" s="657" t="s">
        <v>424</v>
      </c>
      <c r="C73" s="646">
        <f>'1.'!C75</f>
        <v>0</v>
      </c>
    </row>
    <row r="74" spans="1:3" s="643" customFormat="1" ht="12" customHeight="1" thickBot="1">
      <c r="A74" s="661" t="s">
        <v>425</v>
      </c>
      <c r="B74" s="662" t="s">
        <v>426</v>
      </c>
      <c r="C74" s="663"/>
    </row>
    <row r="75" spans="1:3" s="643" customFormat="1" ht="12" customHeight="1" thickBot="1">
      <c r="A75" s="659" t="s">
        <v>427</v>
      </c>
      <c r="B75" s="652" t="s">
        <v>428</v>
      </c>
      <c r="C75" s="646"/>
    </row>
    <row r="76" spans="1:3" s="643" customFormat="1" ht="12" customHeight="1" thickBot="1">
      <c r="A76" s="664" t="s">
        <v>429</v>
      </c>
      <c r="B76" s="665" t="s">
        <v>430</v>
      </c>
      <c r="C76" s="646"/>
    </row>
    <row r="77" spans="1:3" s="643" customFormat="1" ht="12" customHeight="1" thickBot="1">
      <c r="A77" s="661" t="s">
        <v>431</v>
      </c>
      <c r="B77" s="662" t="s">
        <v>432</v>
      </c>
      <c r="C77" s="663"/>
    </row>
    <row r="78" spans="1:3" s="643" customFormat="1" ht="12" customHeight="1" thickBot="1">
      <c r="A78" s="659" t="s">
        <v>433</v>
      </c>
      <c r="B78" s="652" t="s">
        <v>434</v>
      </c>
      <c r="C78" s="642">
        <f>SUM(C79:C81)</f>
        <v>0</v>
      </c>
    </row>
    <row r="79" spans="1:3" s="643" customFormat="1" ht="12" customHeight="1">
      <c r="A79" s="644" t="s">
        <v>435</v>
      </c>
      <c r="B79" s="645" t="s">
        <v>436</v>
      </c>
      <c r="C79" s="646"/>
    </row>
    <row r="80" spans="1:3" s="643" customFormat="1" ht="12" customHeight="1">
      <c r="A80" s="647" t="s">
        <v>437</v>
      </c>
      <c r="B80" s="648" t="s">
        <v>438</v>
      </c>
      <c r="C80" s="646">
        <f>'1.'!C82</f>
        <v>0</v>
      </c>
    </row>
    <row r="81" spans="1:4" s="643" customFormat="1" ht="12" customHeight="1" thickBot="1">
      <c r="A81" s="666" t="s">
        <v>439</v>
      </c>
      <c r="B81" s="667" t="s">
        <v>440</v>
      </c>
      <c r="C81" s="646">
        <f>'1.'!C83</f>
        <v>0</v>
      </c>
    </row>
    <row r="82" spans="1:4" s="643" customFormat="1" ht="12" customHeight="1" thickBot="1">
      <c r="A82" s="659" t="s">
        <v>441</v>
      </c>
      <c r="B82" s="652" t="s">
        <v>442</v>
      </c>
      <c r="C82" s="642">
        <f>SUM(C83:C86)</f>
        <v>0</v>
      </c>
    </row>
    <row r="83" spans="1:4" s="643" customFormat="1" ht="12" customHeight="1">
      <c r="A83" s="668" t="s">
        <v>443</v>
      </c>
      <c r="B83" s="645" t="s">
        <v>444</v>
      </c>
      <c r="C83" s="646">
        <f>'1.'!C85</f>
        <v>0</v>
      </c>
    </row>
    <row r="84" spans="1:4" s="643" customFormat="1" ht="12" customHeight="1">
      <c r="A84" s="669" t="s">
        <v>445</v>
      </c>
      <c r="B84" s="648" t="s">
        <v>446</v>
      </c>
      <c r="C84" s="646">
        <f>'1.'!C86</f>
        <v>0</v>
      </c>
    </row>
    <row r="85" spans="1:4" s="643" customFormat="1" ht="12" customHeight="1">
      <c r="A85" s="669" t="s">
        <v>447</v>
      </c>
      <c r="B85" s="648" t="s">
        <v>448</v>
      </c>
      <c r="C85" s="646">
        <f>'1.'!C87</f>
        <v>0</v>
      </c>
    </row>
    <row r="86" spans="1:4" s="643" customFormat="1" ht="12" customHeight="1" thickBot="1">
      <c r="A86" s="670" t="s">
        <v>449</v>
      </c>
      <c r="B86" s="651" t="s">
        <v>450</v>
      </c>
      <c r="C86" s="646">
        <f>'1.'!C88</f>
        <v>0</v>
      </c>
    </row>
    <row r="87" spans="1:4" s="643" customFormat="1" ht="12" customHeight="1" thickBot="1">
      <c r="A87" s="659" t="s">
        <v>451</v>
      </c>
      <c r="B87" s="652" t="s">
        <v>452</v>
      </c>
      <c r="C87" s="646">
        <f>'1.'!C89</f>
        <v>0</v>
      </c>
    </row>
    <row r="88" spans="1:4" s="643" customFormat="1" ht="13.5" customHeight="1" thickBot="1">
      <c r="A88" s="659" t="s">
        <v>453</v>
      </c>
      <c r="B88" s="652" t="s">
        <v>295</v>
      </c>
      <c r="C88" s="646">
        <f>'1.'!C90</f>
        <v>0</v>
      </c>
    </row>
    <row r="89" spans="1:4" s="643" customFormat="1" ht="15.75" customHeight="1" thickBot="1">
      <c r="A89" s="659" t="s">
        <v>454</v>
      </c>
      <c r="B89" s="671" t="s">
        <v>455</v>
      </c>
      <c r="C89" s="656">
        <f>+C66+C70+C75+C78+C82+C88+C87</f>
        <v>0</v>
      </c>
    </row>
    <row r="90" spans="1:4" s="643" customFormat="1" ht="16.5" customHeight="1" thickBot="1">
      <c r="A90" s="672" t="s">
        <v>456</v>
      </c>
      <c r="B90" s="673" t="s">
        <v>457</v>
      </c>
      <c r="C90" s="656">
        <f>+C65+C89</f>
        <v>21529000</v>
      </c>
      <c r="D90" s="900">
        <f>C90+'1.a'!C91-'1.'!C92</f>
        <v>0</v>
      </c>
    </row>
    <row r="91" spans="1:4" s="643" customFormat="1" ht="11.1" customHeight="1">
      <c r="A91" s="674"/>
      <c r="B91" s="675"/>
      <c r="C91" s="676"/>
    </row>
    <row r="92" spans="1:4" ht="16.5" customHeight="1">
      <c r="A92" s="1219" t="s">
        <v>458</v>
      </c>
      <c r="B92" s="1219"/>
      <c r="C92" s="1219"/>
    </row>
    <row r="93" spans="1:4" s="678" customFormat="1" ht="16.5" customHeight="1" thickBot="1">
      <c r="A93" s="1220" t="s">
        <v>1489</v>
      </c>
      <c r="B93" s="1220"/>
      <c r="C93" s="677" t="str">
        <f>C5</f>
        <v>Forintban!</v>
      </c>
    </row>
    <row r="94" spans="1:4" ht="30" customHeight="1" thickBot="1">
      <c r="A94" s="679" t="s">
        <v>286</v>
      </c>
      <c r="B94" s="680" t="s">
        <v>556</v>
      </c>
      <c r="C94" s="681" t="str">
        <f>+C6</f>
        <v>2020. évi előirányzat</v>
      </c>
    </row>
    <row r="95" spans="1:4" s="639" customFormat="1" ht="12" customHeight="1" thickBot="1">
      <c r="A95" s="679"/>
      <c r="B95" s="680" t="s">
        <v>287</v>
      </c>
      <c r="C95" s="681" t="s">
        <v>268</v>
      </c>
    </row>
    <row r="96" spans="1:4" ht="12" customHeight="1" thickBot="1">
      <c r="A96" s="682" t="s">
        <v>172</v>
      </c>
      <c r="B96" s="683" t="s">
        <v>1490</v>
      </c>
      <c r="C96" s="684">
        <f>C97+C98+C99+C100+C101+C114</f>
        <v>197562281.21000001</v>
      </c>
    </row>
    <row r="97" spans="1:3" ht="12" customHeight="1" thickBot="1">
      <c r="A97" s="685" t="s">
        <v>305</v>
      </c>
      <c r="B97" s="686" t="s">
        <v>461</v>
      </c>
      <c r="C97" s="687">
        <f>'3. melléklet'!L7</f>
        <v>22365002</v>
      </c>
    </row>
    <row r="98" spans="1:3" ht="12" customHeight="1" thickBot="1">
      <c r="A98" s="647" t="s">
        <v>307</v>
      </c>
      <c r="B98" s="688" t="s">
        <v>289</v>
      </c>
      <c r="C98" s="687">
        <f>'3. melléklet'!L8</f>
        <v>4002375</v>
      </c>
    </row>
    <row r="99" spans="1:3" ht="12" customHeight="1" thickBot="1">
      <c r="A99" s="647" t="s">
        <v>309</v>
      </c>
      <c r="B99" s="688" t="s">
        <v>462</v>
      </c>
      <c r="C99" s="687">
        <v>61831752.210000001</v>
      </c>
    </row>
    <row r="100" spans="1:3" ht="12" customHeight="1" thickBot="1">
      <c r="A100" s="647" t="s">
        <v>311</v>
      </c>
      <c r="B100" s="689" t="s">
        <v>290</v>
      </c>
      <c r="C100" s="687"/>
    </row>
    <row r="101" spans="1:3" ht="12" customHeight="1" thickBot="1">
      <c r="A101" s="647" t="s">
        <v>463</v>
      </c>
      <c r="B101" s="690" t="s">
        <v>291</v>
      </c>
      <c r="C101" s="687">
        <v>38628586</v>
      </c>
    </row>
    <row r="102" spans="1:3" ht="12" customHeight="1" thickBot="1">
      <c r="A102" s="647" t="s">
        <v>315</v>
      </c>
      <c r="B102" s="688" t="s">
        <v>1491</v>
      </c>
      <c r="C102" s="687">
        <f>'1.'!C104</f>
        <v>0</v>
      </c>
    </row>
    <row r="103" spans="1:3" ht="12" customHeight="1" thickBot="1">
      <c r="A103" s="647" t="s">
        <v>464</v>
      </c>
      <c r="B103" s="691" t="s">
        <v>465</v>
      </c>
      <c r="C103" s="687">
        <f>'1.'!C105</f>
        <v>0</v>
      </c>
    </row>
    <row r="104" spans="1:3" ht="12" customHeight="1" thickBot="1">
      <c r="A104" s="647" t="s">
        <v>466</v>
      </c>
      <c r="B104" s="691" t="s">
        <v>467</v>
      </c>
      <c r="C104" s="687">
        <f>'1.'!C106</f>
        <v>0</v>
      </c>
    </row>
    <row r="105" spans="1:3" ht="12" customHeight="1" thickBot="1">
      <c r="A105" s="647" t="s">
        <v>468</v>
      </c>
      <c r="B105" s="692" t="s">
        <v>469</v>
      </c>
      <c r="C105" s="687">
        <f>'1.'!C107</f>
        <v>0</v>
      </c>
    </row>
    <row r="106" spans="1:3" ht="12" customHeight="1" thickBot="1">
      <c r="A106" s="647" t="s">
        <v>470</v>
      </c>
      <c r="B106" s="693" t="s">
        <v>471</v>
      </c>
      <c r="C106" s="687"/>
    </row>
    <row r="107" spans="1:3" ht="12" customHeight="1" thickBot="1">
      <c r="A107" s="647" t="s">
        <v>472</v>
      </c>
      <c r="B107" s="693" t="s">
        <v>473</v>
      </c>
      <c r="C107" s="687"/>
    </row>
    <row r="108" spans="1:3" ht="12" customHeight="1" thickBot="1">
      <c r="A108" s="647" t="s">
        <v>474</v>
      </c>
      <c r="B108" s="692" t="s">
        <v>475</v>
      </c>
      <c r="C108" s="687"/>
    </row>
    <row r="109" spans="1:3" ht="12" customHeight="1" thickBot="1">
      <c r="A109" s="647" t="s">
        <v>476</v>
      </c>
      <c r="B109" s="692" t="s">
        <v>477</v>
      </c>
      <c r="C109" s="687">
        <f>'1.'!C111</f>
        <v>0</v>
      </c>
    </row>
    <row r="110" spans="1:3" ht="12" customHeight="1" thickBot="1">
      <c r="A110" s="647" t="s">
        <v>478</v>
      </c>
      <c r="B110" s="693" t="s">
        <v>479</v>
      </c>
      <c r="C110" s="687">
        <f>'1.'!C112</f>
        <v>0</v>
      </c>
    </row>
    <row r="111" spans="1:3" ht="12" customHeight="1" thickBot="1">
      <c r="A111" s="664" t="s">
        <v>480</v>
      </c>
      <c r="B111" s="691" t="s">
        <v>481</v>
      </c>
      <c r="C111" s="687">
        <f>'1.'!C113</f>
        <v>0</v>
      </c>
    </row>
    <row r="112" spans="1:3" ht="12" customHeight="1" thickBot="1">
      <c r="A112" s="647" t="s">
        <v>482</v>
      </c>
      <c r="B112" s="691" t="s">
        <v>483</v>
      </c>
      <c r="C112" s="687"/>
    </row>
    <row r="113" spans="1:3" ht="12" customHeight="1" thickBot="1">
      <c r="A113" s="650" t="s">
        <v>484</v>
      </c>
      <c r="B113" s="691" t="s">
        <v>485</v>
      </c>
      <c r="C113" s="687"/>
    </row>
    <row r="114" spans="1:3" ht="12" customHeight="1" thickBot="1">
      <c r="A114" s="647" t="s">
        <v>486</v>
      </c>
      <c r="B114" s="689" t="s">
        <v>292</v>
      </c>
      <c r="C114" s="687">
        <v>70734566</v>
      </c>
    </row>
    <row r="115" spans="1:3" ht="12" customHeight="1">
      <c r="A115" s="647" t="s">
        <v>487</v>
      </c>
      <c r="B115" s="688" t="s">
        <v>488</v>
      </c>
      <c r="C115" s="687"/>
    </row>
    <row r="116" spans="1:3" ht="12" customHeight="1" thickBot="1">
      <c r="A116" s="666" t="s">
        <v>489</v>
      </c>
      <c r="B116" s="694" t="s">
        <v>490</v>
      </c>
      <c r="C116" s="695"/>
    </row>
    <row r="117" spans="1:3" ht="12" customHeight="1" thickBot="1">
      <c r="A117" s="696" t="s">
        <v>173</v>
      </c>
      <c r="B117" s="697" t="s">
        <v>1492</v>
      </c>
      <c r="C117" s="698">
        <f>+C118+C120+C122</f>
        <v>0</v>
      </c>
    </row>
    <row r="118" spans="1:3" ht="12" customHeight="1" thickBot="1">
      <c r="A118" s="644" t="s">
        <v>316</v>
      </c>
      <c r="B118" s="688" t="s">
        <v>296</v>
      </c>
      <c r="C118" s="687"/>
    </row>
    <row r="119" spans="1:3" ht="12" customHeight="1" thickBot="1">
      <c r="A119" s="644" t="s">
        <v>318</v>
      </c>
      <c r="B119" s="699" t="s">
        <v>491</v>
      </c>
      <c r="C119" s="687">
        <f>'1.'!C121</f>
        <v>0</v>
      </c>
    </row>
    <row r="120" spans="1:3" ht="12" customHeight="1" thickBot="1">
      <c r="A120" s="644" t="s">
        <v>320</v>
      </c>
      <c r="B120" s="699" t="s">
        <v>297</v>
      </c>
      <c r="C120" s="687"/>
    </row>
    <row r="121" spans="1:3" ht="12" customHeight="1" thickBot="1">
      <c r="A121" s="644" t="s">
        <v>322</v>
      </c>
      <c r="B121" s="699" t="s">
        <v>492</v>
      </c>
      <c r="C121" s="687">
        <f>'1.'!C123</f>
        <v>0</v>
      </c>
    </row>
    <row r="122" spans="1:3" ht="12" customHeight="1" thickBot="1">
      <c r="A122" s="644" t="s">
        <v>324</v>
      </c>
      <c r="B122" s="651" t="s">
        <v>1493</v>
      </c>
      <c r="C122" s="687"/>
    </row>
    <row r="123" spans="1:3" ht="12" customHeight="1" thickBot="1">
      <c r="A123" s="644" t="s">
        <v>326</v>
      </c>
      <c r="B123" s="649" t="s">
        <v>1494</v>
      </c>
      <c r="C123" s="687">
        <f>'1.'!C125</f>
        <v>0</v>
      </c>
    </row>
    <row r="124" spans="1:3" ht="12" customHeight="1" thickBot="1">
      <c r="A124" s="644" t="s">
        <v>493</v>
      </c>
      <c r="B124" s="701" t="s">
        <v>494</v>
      </c>
      <c r="C124" s="687">
        <f>'1.'!C126</f>
        <v>0</v>
      </c>
    </row>
    <row r="125" spans="1:3" ht="16.5" thickBot="1">
      <c r="A125" s="644" t="s">
        <v>495</v>
      </c>
      <c r="B125" s="693" t="s">
        <v>473</v>
      </c>
      <c r="C125" s="687">
        <f>'1.'!C127</f>
        <v>0</v>
      </c>
    </row>
    <row r="126" spans="1:3" ht="12" customHeight="1" thickBot="1">
      <c r="A126" s="644" t="s">
        <v>496</v>
      </c>
      <c r="B126" s="693" t="s">
        <v>497</v>
      </c>
      <c r="C126" s="687">
        <f>'1.'!C128</f>
        <v>0</v>
      </c>
    </row>
    <row r="127" spans="1:3" ht="12" customHeight="1" thickBot="1">
      <c r="A127" s="644" t="s">
        <v>498</v>
      </c>
      <c r="B127" s="693" t="s">
        <v>499</v>
      </c>
      <c r="C127" s="687">
        <f>'1.'!C129</f>
        <v>0</v>
      </c>
    </row>
    <row r="128" spans="1:3" ht="12" customHeight="1" thickBot="1">
      <c r="A128" s="644" t="s">
        <v>500</v>
      </c>
      <c r="B128" s="693" t="s">
        <v>479</v>
      </c>
      <c r="C128" s="687">
        <f>'1.'!C130</f>
        <v>0</v>
      </c>
    </row>
    <row r="129" spans="1:3" ht="12" customHeight="1" thickBot="1">
      <c r="A129" s="644" t="s">
        <v>501</v>
      </c>
      <c r="B129" s="693" t="s">
        <v>502</v>
      </c>
      <c r="C129" s="687">
        <f>'1.'!C131</f>
        <v>0</v>
      </c>
    </row>
    <row r="130" spans="1:3" ht="16.5" thickBot="1">
      <c r="A130" s="664" t="s">
        <v>503</v>
      </c>
      <c r="B130" s="693" t="s">
        <v>504</v>
      </c>
      <c r="C130" s="687">
        <f>'1.'!C132</f>
        <v>0</v>
      </c>
    </row>
    <row r="131" spans="1:3" ht="12" customHeight="1" thickBot="1">
      <c r="A131" s="640" t="s">
        <v>174</v>
      </c>
      <c r="B131" s="703" t="s">
        <v>505</v>
      </c>
      <c r="C131" s="642">
        <f>+C96+C117</f>
        <v>197562281.21000001</v>
      </c>
    </row>
    <row r="132" spans="1:3" ht="12" customHeight="1" thickBot="1">
      <c r="A132" s="640" t="s">
        <v>175</v>
      </c>
      <c r="B132" s="703" t="s">
        <v>1495</v>
      </c>
      <c r="C132" s="642">
        <f>+C133+C134+C135</f>
        <v>0</v>
      </c>
    </row>
    <row r="133" spans="1:3" ht="12" customHeight="1" thickBot="1">
      <c r="A133" s="644" t="s">
        <v>342</v>
      </c>
      <c r="B133" s="699" t="s">
        <v>507</v>
      </c>
      <c r="C133" s="687"/>
    </row>
    <row r="134" spans="1:3" ht="12" customHeight="1" thickBot="1">
      <c r="A134" s="644" t="s">
        <v>344</v>
      </c>
      <c r="B134" s="699" t="s">
        <v>508</v>
      </c>
      <c r="C134" s="687">
        <f>'1.'!C136</f>
        <v>0</v>
      </c>
    </row>
    <row r="135" spans="1:3" ht="12" customHeight="1" thickBot="1">
      <c r="A135" s="664" t="s">
        <v>345</v>
      </c>
      <c r="B135" s="699" t="s">
        <v>509</v>
      </c>
      <c r="C135" s="687">
        <f>'1.'!C137</f>
        <v>0</v>
      </c>
    </row>
    <row r="136" spans="1:3" ht="12" customHeight="1" thickBot="1">
      <c r="A136" s="640" t="s">
        <v>176</v>
      </c>
      <c r="B136" s="703" t="s">
        <v>510</v>
      </c>
      <c r="C136" s="642">
        <f>SUM(C137:C142)</f>
        <v>0</v>
      </c>
    </row>
    <row r="137" spans="1:3" ht="12" customHeight="1" thickBot="1">
      <c r="A137" s="644" t="s">
        <v>355</v>
      </c>
      <c r="B137" s="704" t="s">
        <v>511</v>
      </c>
      <c r="C137" s="687">
        <f>'1.'!C139</f>
        <v>0</v>
      </c>
    </row>
    <row r="138" spans="1:3" ht="12" customHeight="1">
      <c r="A138" s="644" t="s">
        <v>357</v>
      </c>
      <c r="B138" s="704" t="s">
        <v>512</v>
      </c>
      <c r="C138" s="687">
        <f>'1.'!C140</f>
        <v>0</v>
      </c>
    </row>
    <row r="139" spans="1:3" ht="12" customHeight="1">
      <c r="A139" s="644" t="s">
        <v>359</v>
      </c>
      <c r="B139" s="704" t="s">
        <v>513</v>
      </c>
      <c r="C139" s="700"/>
    </row>
    <row r="140" spans="1:3" ht="12" customHeight="1">
      <c r="A140" s="644" t="s">
        <v>361</v>
      </c>
      <c r="B140" s="704" t="s">
        <v>514</v>
      </c>
      <c r="C140" s="700"/>
    </row>
    <row r="141" spans="1:3" ht="12" customHeight="1" thickBot="1">
      <c r="A141" s="664" t="s">
        <v>363</v>
      </c>
      <c r="B141" s="705" t="s">
        <v>515</v>
      </c>
      <c r="C141" s="702"/>
    </row>
    <row r="142" spans="1:3" ht="12" customHeight="1" thickBot="1">
      <c r="A142" s="666" t="s">
        <v>365</v>
      </c>
      <c r="B142" s="706" t="s">
        <v>516</v>
      </c>
      <c r="C142" s="687">
        <f>'1.'!C144</f>
        <v>0</v>
      </c>
    </row>
    <row r="143" spans="1:3" ht="12" customHeight="1" thickBot="1">
      <c r="A143" s="640" t="s">
        <v>177</v>
      </c>
      <c r="B143" s="703" t="s">
        <v>517</v>
      </c>
      <c r="C143" s="656"/>
    </row>
    <row r="144" spans="1:3" ht="12" customHeight="1" thickBot="1">
      <c r="A144" s="644" t="s">
        <v>378</v>
      </c>
      <c r="B144" s="704" t="s">
        <v>518</v>
      </c>
      <c r="C144" s="687">
        <f>'1.'!C146</f>
        <v>0</v>
      </c>
    </row>
    <row r="145" spans="1:9" ht="12" customHeight="1" thickBot="1">
      <c r="A145" s="644" t="s">
        <v>380</v>
      </c>
      <c r="B145" s="704" t="s">
        <v>519</v>
      </c>
      <c r="C145" s="687"/>
    </row>
    <row r="146" spans="1:9" ht="12" customHeight="1" thickBot="1">
      <c r="A146" s="664" t="s">
        <v>382</v>
      </c>
      <c r="B146" s="705" t="s">
        <v>293</v>
      </c>
      <c r="C146" s="687"/>
    </row>
    <row r="147" spans="1:9" ht="12" customHeight="1" thickBot="1">
      <c r="A147" s="661" t="s">
        <v>384</v>
      </c>
      <c r="B147" s="707" t="s">
        <v>299</v>
      </c>
      <c r="C147" s="708"/>
    </row>
    <row r="148" spans="1:9" ht="12" customHeight="1" thickBot="1">
      <c r="A148" s="640" t="s">
        <v>178</v>
      </c>
      <c r="B148" s="703" t="s">
        <v>520</v>
      </c>
      <c r="C148" s="709">
        <f>SUM(C149:C153)</f>
        <v>0</v>
      </c>
    </row>
    <row r="149" spans="1:9" ht="12" customHeight="1">
      <c r="A149" s="644" t="s">
        <v>390</v>
      </c>
      <c r="B149" s="704" t="s">
        <v>521</v>
      </c>
      <c r="C149" s="700"/>
    </row>
    <row r="150" spans="1:9" ht="12" customHeight="1">
      <c r="A150" s="644" t="s">
        <v>392</v>
      </c>
      <c r="B150" s="704" t="s">
        <v>522</v>
      </c>
      <c r="C150" s="700"/>
    </row>
    <row r="151" spans="1:9" ht="12" customHeight="1">
      <c r="A151" s="644" t="s">
        <v>394</v>
      </c>
      <c r="B151" s="704" t="s">
        <v>523</v>
      </c>
      <c r="C151" s="700"/>
    </row>
    <row r="152" spans="1:9" ht="12" customHeight="1">
      <c r="A152" s="644" t="s">
        <v>396</v>
      </c>
      <c r="B152" s="704" t="s">
        <v>1496</v>
      </c>
      <c r="C152" s="700"/>
    </row>
    <row r="153" spans="1:9" ht="12" customHeight="1" thickBot="1">
      <c r="A153" s="644" t="s">
        <v>525</v>
      </c>
      <c r="B153" s="704" t="s">
        <v>526</v>
      </c>
      <c r="C153" s="700"/>
    </row>
    <row r="154" spans="1:9" ht="12" customHeight="1" thickBot="1">
      <c r="A154" s="640" t="s">
        <v>179</v>
      </c>
      <c r="B154" s="703" t="s">
        <v>527</v>
      </c>
      <c r="C154" s="710"/>
    </row>
    <row r="155" spans="1:9" ht="12" customHeight="1" thickBot="1">
      <c r="A155" s="640" t="s">
        <v>180</v>
      </c>
      <c r="B155" s="703" t="s">
        <v>294</v>
      </c>
      <c r="C155" s="710"/>
    </row>
    <row r="156" spans="1:9" ht="15.2" customHeight="1" thickBot="1">
      <c r="A156" s="640" t="s">
        <v>181</v>
      </c>
      <c r="B156" s="703" t="s">
        <v>528</v>
      </c>
      <c r="C156" s="711">
        <f>+C132+C136+C143+C148+C154+C155</f>
        <v>0</v>
      </c>
      <c r="F156" s="712"/>
      <c r="G156" s="713"/>
      <c r="H156" s="713"/>
      <c r="I156" s="713"/>
    </row>
    <row r="157" spans="1:9" s="643" customFormat="1" ht="17.25" customHeight="1" thickBot="1">
      <c r="A157" s="714" t="s">
        <v>182</v>
      </c>
      <c r="B157" s="715" t="s">
        <v>529</v>
      </c>
      <c r="C157" s="711">
        <f>+C131+C156</f>
        <v>197562281.21000001</v>
      </c>
      <c r="D157" s="900">
        <f>C157+'1.a'!C158-'1.'!C159</f>
        <v>0</v>
      </c>
    </row>
    <row r="158" spans="1:9" ht="15.95" customHeight="1">
      <c r="A158" s="716"/>
      <c r="B158" s="716"/>
      <c r="C158" s="1126">
        <f>C90-C157</f>
        <v>-176033281.21000001</v>
      </c>
    </row>
    <row r="159" spans="1:9">
      <c r="A159" s="1221" t="s">
        <v>530</v>
      </c>
      <c r="B159" s="1221"/>
      <c r="C159" s="1221"/>
    </row>
    <row r="160" spans="1:9" ht="15.2" customHeight="1" thickBot="1">
      <c r="A160" s="1216" t="s">
        <v>1497</v>
      </c>
      <c r="B160" s="1216"/>
      <c r="C160" s="718" t="str">
        <f>C93</f>
        <v>Forintban!</v>
      </c>
    </row>
    <row r="161" spans="1:4" ht="13.5" customHeight="1" thickBot="1">
      <c r="A161" s="640">
        <v>1</v>
      </c>
      <c r="B161" s="719" t="s">
        <v>531</v>
      </c>
      <c r="C161" s="642">
        <f>+C65-C131</f>
        <v>-176033281.21000001</v>
      </c>
      <c r="D161" s="720"/>
    </row>
    <row r="162" spans="1:4" ht="27.75" customHeight="1" thickBot="1">
      <c r="A162" s="640" t="s">
        <v>173</v>
      </c>
      <c r="B162" s="719" t="s">
        <v>1498</v>
      </c>
      <c r="C162" s="642">
        <f>+C89-C156</f>
        <v>0</v>
      </c>
    </row>
  </sheetData>
  <mergeCells count="6">
    <mergeCell ref="A160:B160"/>
    <mergeCell ref="A4:C4"/>
    <mergeCell ref="A5:B5"/>
    <mergeCell ref="A92:C92"/>
    <mergeCell ref="A93:B93"/>
    <mergeCell ref="A159:C159"/>
  </mergeCells>
  <pageMargins left="0.19685039370078741" right="0.11811023622047245" top="0.35433070866141736" bottom="0.55118110236220474" header="0.31496062992125984" footer="0.31496062992125984"/>
  <pageSetup paperSize="9" fitToHeight="0" orientation="landscape" r:id="rId1"/>
  <headerFooter>
    <oddHeader>&amp;RRáckeve Város 2020 évi költségvetés melléklete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64"/>
  <sheetViews>
    <sheetView workbookViewId="0">
      <selection activeCell="B13" sqref="B13"/>
    </sheetView>
  </sheetViews>
  <sheetFormatPr defaultRowHeight="15.75"/>
  <cols>
    <col min="1" max="1" width="8.140625" style="721" customWidth="1"/>
    <col min="2" max="2" width="85.140625" style="721" customWidth="1"/>
    <col min="3" max="3" width="18.5703125" style="722" customWidth="1"/>
    <col min="4" max="4" width="10.85546875" style="627" bestFit="1" customWidth="1"/>
    <col min="5" max="256" width="9.140625" style="627"/>
    <col min="257" max="257" width="8.140625" style="627" customWidth="1"/>
    <col min="258" max="258" width="85.140625" style="627" customWidth="1"/>
    <col min="259" max="259" width="18.5703125" style="627" customWidth="1"/>
    <col min="260" max="260" width="7.7109375" style="627" customWidth="1"/>
    <col min="261" max="512" width="9.140625" style="627"/>
    <col min="513" max="513" width="8.140625" style="627" customWidth="1"/>
    <col min="514" max="514" width="85.140625" style="627" customWidth="1"/>
    <col min="515" max="515" width="18.5703125" style="627" customWidth="1"/>
    <col min="516" max="516" width="7.7109375" style="627" customWidth="1"/>
    <col min="517" max="768" width="9.140625" style="627"/>
    <col min="769" max="769" width="8.140625" style="627" customWidth="1"/>
    <col min="770" max="770" width="85.140625" style="627" customWidth="1"/>
    <col min="771" max="771" width="18.5703125" style="627" customWidth="1"/>
    <col min="772" max="772" width="7.7109375" style="627" customWidth="1"/>
    <col min="773" max="1024" width="9.140625" style="627"/>
    <col min="1025" max="1025" width="8.140625" style="627" customWidth="1"/>
    <col min="1026" max="1026" width="85.140625" style="627" customWidth="1"/>
    <col min="1027" max="1027" width="18.5703125" style="627" customWidth="1"/>
    <col min="1028" max="1028" width="7.7109375" style="627" customWidth="1"/>
    <col min="1029" max="1280" width="9.140625" style="627"/>
    <col min="1281" max="1281" width="8.140625" style="627" customWidth="1"/>
    <col min="1282" max="1282" width="85.140625" style="627" customWidth="1"/>
    <col min="1283" max="1283" width="18.5703125" style="627" customWidth="1"/>
    <col min="1284" max="1284" width="7.7109375" style="627" customWidth="1"/>
    <col min="1285" max="1536" width="9.140625" style="627"/>
    <col min="1537" max="1537" width="8.140625" style="627" customWidth="1"/>
    <col min="1538" max="1538" width="85.140625" style="627" customWidth="1"/>
    <col min="1539" max="1539" width="18.5703125" style="627" customWidth="1"/>
    <col min="1540" max="1540" width="7.7109375" style="627" customWidth="1"/>
    <col min="1541" max="1792" width="9.140625" style="627"/>
    <col min="1793" max="1793" width="8.140625" style="627" customWidth="1"/>
    <col min="1794" max="1794" width="85.140625" style="627" customWidth="1"/>
    <col min="1795" max="1795" width="18.5703125" style="627" customWidth="1"/>
    <col min="1796" max="1796" width="7.7109375" style="627" customWidth="1"/>
    <col min="1797" max="2048" width="9.140625" style="627"/>
    <col min="2049" max="2049" width="8.140625" style="627" customWidth="1"/>
    <col min="2050" max="2050" width="85.140625" style="627" customWidth="1"/>
    <col min="2051" max="2051" width="18.5703125" style="627" customWidth="1"/>
    <col min="2052" max="2052" width="7.7109375" style="627" customWidth="1"/>
    <col min="2053" max="2304" width="9.140625" style="627"/>
    <col min="2305" max="2305" width="8.140625" style="627" customWidth="1"/>
    <col min="2306" max="2306" width="85.140625" style="627" customWidth="1"/>
    <col min="2307" max="2307" width="18.5703125" style="627" customWidth="1"/>
    <col min="2308" max="2308" width="7.7109375" style="627" customWidth="1"/>
    <col min="2309" max="2560" width="9.140625" style="627"/>
    <col min="2561" max="2561" width="8.140625" style="627" customWidth="1"/>
    <col min="2562" max="2562" width="85.140625" style="627" customWidth="1"/>
    <col min="2563" max="2563" width="18.5703125" style="627" customWidth="1"/>
    <col min="2564" max="2564" width="7.7109375" style="627" customWidth="1"/>
    <col min="2565" max="2816" width="9.140625" style="627"/>
    <col min="2817" max="2817" width="8.140625" style="627" customWidth="1"/>
    <col min="2818" max="2818" width="85.140625" style="627" customWidth="1"/>
    <col min="2819" max="2819" width="18.5703125" style="627" customWidth="1"/>
    <col min="2820" max="2820" width="7.7109375" style="627" customWidth="1"/>
    <col min="2821" max="3072" width="9.140625" style="627"/>
    <col min="3073" max="3073" width="8.140625" style="627" customWidth="1"/>
    <col min="3074" max="3074" width="85.140625" style="627" customWidth="1"/>
    <col min="3075" max="3075" width="18.5703125" style="627" customWidth="1"/>
    <col min="3076" max="3076" width="7.7109375" style="627" customWidth="1"/>
    <col min="3077" max="3328" width="9.140625" style="627"/>
    <col min="3329" max="3329" width="8.140625" style="627" customWidth="1"/>
    <col min="3330" max="3330" width="85.140625" style="627" customWidth="1"/>
    <col min="3331" max="3331" width="18.5703125" style="627" customWidth="1"/>
    <col min="3332" max="3332" width="7.7109375" style="627" customWidth="1"/>
    <col min="3333" max="3584" width="9.140625" style="627"/>
    <col min="3585" max="3585" width="8.140625" style="627" customWidth="1"/>
    <col min="3586" max="3586" width="85.140625" style="627" customWidth="1"/>
    <col min="3587" max="3587" width="18.5703125" style="627" customWidth="1"/>
    <col min="3588" max="3588" width="7.7109375" style="627" customWidth="1"/>
    <col min="3589" max="3840" width="9.140625" style="627"/>
    <col min="3841" max="3841" width="8.140625" style="627" customWidth="1"/>
    <col min="3842" max="3842" width="85.140625" style="627" customWidth="1"/>
    <col min="3843" max="3843" width="18.5703125" style="627" customWidth="1"/>
    <col min="3844" max="3844" width="7.7109375" style="627" customWidth="1"/>
    <col min="3845" max="4096" width="9.140625" style="627"/>
    <col min="4097" max="4097" width="8.140625" style="627" customWidth="1"/>
    <col min="4098" max="4098" width="85.140625" style="627" customWidth="1"/>
    <col min="4099" max="4099" width="18.5703125" style="627" customWidth="1"/>
    <col min="4100" max="4100" width="7.7109375" style="627" customWidth="1"/>
    <col min="4101" max="4352" width="9.140625" style="627"/>
    <col min="4353" max="4353" width="8.140625" style="627" customWidth="1"/>
    <col min="4354" max="4354" width="85.140625" style="627" customWidth="1"/>
    <col min="4355" max="4355" width="18.5703125" style="627" customWidth="1"/>
    <col min="4356" max="4356" width="7.7109375" style="627" customWidth="1"/>
    <col min="4357" max="4608" width="9.140625" style="627"/>
    <col min="4609" max="4609" width="8.140625" style="627" customWidth="1"/>
    <col min="4610" max="4610" width="85.140625" style="627" customWidth="1"/>
    <col min="4611" max="4611" width="18.5703125" style="627" customWidth="1"/>
    <col min="4612" max="4612" width="7.7109375" style="627" customWidth="1"/>
    <col min="4613" max="4864" width="9.140625" style="627"/>
    <col min="4865" max="4865" width="8.140625" style="627" customWidth="1"/>
    <col min="4866" max="4866" width="85.140625" style="627" customWidth="1"/>
    <col min="4867" max="4867" width="18.5703125" style="627" customWidth="1"/>
    <col min="4868" max="4868" width="7.7109375" style="627" customWidth="1"/>
    <col min="4869" max="5120" width="9.140625" style="627"/>
    <col min="5121" max="5121" width="8.140625" style="627" customWidth="1"/>
    <col min="5122" max="5122" width="85.140625" style="627" customWidth="1"/>
    <col min="5123" max="5123" width="18.5703125" style="627" customWidth="1"/>
    <col min="5124" max="5124" width="7.7109375" style="627" customWidth="1"/>
    <col min="5125" max="5376" width="9.140625" style="627"/>
    <col min="5377" max="5377" width="8.140625" style="627" customWidth="1"/>
    <col min="5378" max="5378" width="85.140625" style="627" customWidth="1"/>
    <col min="5379" max="5379" width="18.5703125" style="627" customWidth="1"/>
    <col min="5380" max="5380" width="7.7109375" style="627" customWidth="1"/>
    <col min="5381" max="5632" width="9.140625" style="627"/>
    <col min="5633" max="5633" width="8.140625" style="627" customWidth="1"/>
    <col min="5634" max="5634" width="85.140625" style="627" customWidth="1"/>
    <col min="5635" max="5635" width="18.5703125" style="627" customWidth="1"/>
    <col min="5636" max="5636" width="7.7109375" style="627" customWidth="1"/>
    <col min="5637" max="5888" width="9.140625" style="627"/>
    <col min="5889" max="5889" width="8.140625" style="627" customWidth="1"/>
    <col min="5890" max="5890" width="85.140625" style="627" customWidth="1"/>
    <col min="5891" max="5891" width="18.5703125" style="627" customWidth="1"/>
    <col min="5892" max="5892" width="7.7109375" style="627" customWidth="1"/>
    <col min="5893" max="6144" width="9.140625" style="627"/>
    <col min="6145" max="6145" width="8.140625" style="627" customWidth="1"/>
    <col min="6146" max="6146" width="85.140625" style="627" customWidth="1"/>
    <col min="6147" max="6147" width="18.5703125" style="627" customWidth="1"/>
    <col min="6148" max="6148" width="7.7109375" style="627" customWidth="1"/>
    <col min="6149" max="6400" width="9.140625" style="627"/>
    <col min="6401" max="6401" width="8.140625" style="627" customWidth="1"/>
    <col min="6402" max="6402" width="85.140625" style="627" customWidth="1"/>
    <col min="6403" max="6403" width="18.5703125" style="627" customWidth="1"/>
    <col min="6404" max="6404" width="7.7109375" style="627" customWidth="1"/>
    <col min="6405" max="6656" width="9.140625" style="627"/>
    <col min="6657" max="6657" width="8.140625" style="627" customWidth="1"/>
    <col min="6658" max="6658" width="85.140625" style="627" customWidth="1"/>
    <col min="6659" max="6659" width="18.5703125" style="627" customWidth="1"/>
    <col min="6660" max="6660" width="7.7109375" style="627" customWidth="1"/>
    <col min="6661" max="6912" width="9.140625" style="627"/>
    <col min="6913" max="6913" width="8.140625" style="627" customWidth="1"/>
    <col min="6914" max="6914" width="85.140625" style="627" customWidth="1"/>
    <col min="6915" max="6915" width="18.5703125" style="627" customWidth="1"/>
    <col min="6916" max="6916" width="7.7109375" style="627" customWidth="1"/>
    <col min="6917" max="7168" width="9.140625" style="627"/>
    <col min="7169" max="7169" width="8.140625" style="627" customWidth="1"/>
    <col min="7170" max="7170" width="85.140625" style="627" customWidth="1"/>
    <col min="7171" max="7171" width="18.5703125" style="627" customWidth="1"/>
    <col min="7172" max="7172" width="7.7109375" style="627" customWidth="1"/>
    <col min="7173" max="7424" width="9.140625" style="627"/>
    <col min="7425" max="7425" width="8.140625" style="627" customWidth="1"/>
    <col min="7426" max="7426" width="85.140625" style="627" customWidth="1"/>
    <col min="7427" max="7427" width="18.5703125" style="627" customWidth="1"/>
    <col min="7428" max="7428" width="7.7109375" style="627" customWidth="1"/>
    <col min="7429" max="7680" width="9.140625" style="627"/>
    <col min="7681" max="7681" width="8.140625" style="627" customWidth="1"/>
    <col min="7682" max="7682" width="85.140625" style="627" customWidth="1"/>
    <col min="7683" max="7683" width="18.5703125" style="627" customWidth="1"/>
    <col min="7684" max="7684" width="7.7109375" style="627" customWidth="1"/>
    <col min="7685" max="7936" width="9.140625" style="627"/>
    <col min="7937" max="7937" width="8.140625" style="627" customWidth="1"/>
    <col min="7938" max="7938" width="85.140625" style="627" customWidth="1"/>
    <col min="7939" max="7939" width="18.5703125" style="627" customWidth="1"/>
    <col min="7940" max="7940" width="7.7109375" style="627" customWidth="1"/>
    <col min="7941" max="8192" width="9.140625" style="627"/>
    <col min="8193" max="8193" width="8.140625" style="627" customWidth="1"/>
    <col min="8194" max="8194" width="85.140625" style="627" customWidth="1"/>
    <col min="8195" max="8195" width="18.5703125" style="627" customWidth="1"/>
    <col min="8196" max="8196" width="7.7109375" style="627" customWidth="1"/>
    <col min="8197" max="8448" width="9.140625" style="627"/>
    <col min="8449" max="8449" width="8.140625" style="627" customWidth="1"/>
    <col min="8450" max="8450" width="85.140625" style="627" customWidth="1"/>
    <col min="8451" max="8451" width="18.5703125" style="627" customWidth="1"/>
    <col min="8452" max="8452" width="7.7109375" style="627" customWidth="1"/>
    <col min="8453" max="8704" width="9.140625" style="627"/>
    <col min="8705" max="8705" width="8.140625" style="627" customWidth="1"/>
    <col min="8706" max="8706" width="85.140625" style="627" customWidth="1"/>
    <col min="8707" max="8707" width="18.5703125" style="627" customWidth="1"/>
    <col min="8708" max="8708" width="7.7109375" style="627" customWidth="1"/>
    <col min="8709" max="8960" width="9.140625" style="627"/>
    <col min="8961" max="8961" width="8.140625" style="627" customWidth="1"/>
    <col min="8962" max="8962" width="85.140625" style="627" customWidth="1"/>
    <col min="8963" max="8963" width="18.5703125" style="627" customWidth="1"/>
    <col min="8964" max="8964" width="7.7109375" style="627" customWidth="1"/>
    <col min="8965" max="9216" width="9.140625" style="627"/>
    <col min="9217" max="9217" width="8.140625" style="627" customWidth="1"/>
    <col min="9218" max="9218" width="85.140625" style="627" customWidth="1"/>
    <col min="9219" max="9219" width="18.5703125" style="627" customWidth="1"/>
    <col min="9220" max="9220" width="7.7109375" style="627" customWidth="1"/>
    <col min="9221" max="9472" width="9.140625" style="627"/>
    <col min="9473" max="9473" width="8.140625" style="627" customWidth="1"/>
    <col min="9474" max="9474" width="85.140625" style="627" customWidth="1"/>
    <col min="9475" max="9475" width="18.5703125" style="627" customWidth="1"/>
    <col min="9476" max="9476" width="7.7109375" style="627" customWidth="1"/>
    <col min="9477" max="9728" width="9.140625" style="627"/>
    <col min="9729" max="9729" width="8.140625" style="627" customWidth="1"/>
    <col min="9730" max="9730" width="85.140625" style="627" customWidth="1"/>
    <col min="9731" max="9731" width="18.5703125" style="627" customWidth="1"/>
    <col min="9732" max="9732" width="7.7109375" style="627" customWidth="1"/>
    <col min="9733" max="9984" width="9.140625" style="627"/>
    <col min="9985" max="9985" width="8.140625" style="627" customWidth="1"/>
    <col min="9986" max="9986" width="85.140625" style="627" customWidth="1"/>
    <col min="9987" max="9987" width="18.5703125" style="627" customWidth="1"/>
    <col min="9988" max="9988" width="7.7109375" style="627" customWidth="1"/>
    <col min="9989" max="10240" width="9.140625" style="627"/>
    <col min="10241" max="10241" width="8.140625" style="627" customWidth="1"/>
    <col min="10242" max="10242" width="85.140625" style="627" customWidth="1"/>
    <col min="10243" max="10243" width="18.5703125" style="627" customWidth="1"/>
    <col min="10244" max="10244" width="7.7109375" style="627" customWidth="1"/>
    <col min="10245" max="10496" width="9.140625" style="627"/>
    <col min="10497" max="10497" width="8.140625" style="627" customWidth="1"/>
    <col min="10498" max="10498" width="85.140625" style="627" customWidth="1"/>
    <col min="10499" max="10499" width="18.5703125" style="627" customWidth="1"/>
    <col min="10500" max="10500" width="7.7109375" style="627" customWidth="1"/>
    <col min="10501" max="10752" width="9.140625" style="627"/>
    <col min="10753" max="10753" width="8.140625" style="627" customWidth="1"/>
    <col min="10754" max="10754" width="85.140625" style="627" customWidth="1"/>
    <col min="10755" max="10755" width="18.5703125" style="627" customWidth="1"/>
    <col min="10756" max="10756" width="7.7109375" style="627" customWidth="1"/>
    <col min="10757" max="11008" width="9.140625" style="627"/>
    <col min="11009" max="11009" width="8.140625" style="627" customWidth="1"/>
    <col min="11010" max="11010" width="85.140625" style="627" customWidth="1"/>
    <col min="11011" max="11011" width="18.5703125" style="627" customWidth="1"/>
    <col min="11012" max="11012" width="7.7109375" style="627" customWidth="1"/>
    <col min="11013" max="11264" width="9.140625" style="627"/>
    <col min="11265" max="11265" width="8.140625" style="627" customWidth="1"/>
    <col min="11266" max="11266" width="85.140625" style="627" customWidth="1"/>
    <col min="11267" max="11267" width="18.5703125" style="627" customWidth="1"/>
    <col min="11268" max="11268" width="7.7109375" style="627" customWidth="1"/>
    <col min="11269" max="11520" width="9.140625" style="627"/>
    <col min="11521" max="11521" width="8.140625" style="627" customWidth="1"/>
    <col min="11522" max="11522" width="85.140625" style="627" customWidth="1"/>
    <col min="11523" max="11523" width="18.5703125" style="627" customWidth="1"/>
    <col min="11524" max="11524" width="7.7109375" style="627" customWidth="1"/>
    <col min="11525" max="11776" width="9.140625" style="627"/>
    <col min="11777" max="11777" width="8.140625" style="627" customWidth="1"/>
    <col min="11778" max="11778" width="85.140625" style="627" customWidth="1"/>
    <col min="11779" max="11779" width="18.5703125" style="627" customWidth="1"/>
    <col min="11780" max="11780" width="7.7109375" style="627" customWidth="1"/>
    <col min="11781" max="12032" width="9.140625" style="627"/>
    <col min="12033" max="12033" width="8.140625" style="627" customWidth="1"/>
    <col min="12034" max="12034" width="85.140625" style="627" customWidth="1"/>
    <col min="12035" max="12035" width="18.5703125" style="627" customWidth="1"/>
    <col min="12036" max="12036" width="7.7109375" style="627" customWidth="1"/>
    <col min="12037" max="12288" width="9.140625" style="627"/>
    <col min="12289" max="12289" width="8.140625" style="627" customWidth="1"/>
    <col min="12290" max="12290" width="85.140625" style="627" customWidth="1"/>
    <col min="12291" max="12291" width="18.5703125" style="627" customWidth="1"/>
    <col min="12292" max="12292" width="7.7109375" style="627" customWidth="1"/>
    <col min="12293" max="12544" width="9.140625" style="627"/>
    <col min="12545" max="12545" width="8.140625" style="627" customWidth="1"/>
    <col min="12546" max="12546" width="85.140625" style="627" customWidth="1"/>
    <col min="12547" max="12547" width="18.5703125" style="627" customWidth="1"/>
    <col min="12548" max="12548" width="7.7109375" style="627" customWidth="1"/>
    <col min="12549" max="12800" width="9.140625" style="627"/>
    <col min="12801" max="12801" width="8.140625" style="627" customWidth="1"/>
    <col min="12802" max="12802" width="85.140625" style="627" customWidth="1"/>
    <col min="12803" max="12803" width="18.5703125" style="627" customWidth="1"/>
    <col min="12804" max="12804" width="7.7109375" style="627" customWidth="1"/>
    <col min="12805" max="13056" width="9.140625" style="627"/>
    <col min="13057" max="13057" width="8.140625" style="627" customWidth="1"/>
    <col min="13058" max="13058" width="85.140625" style="627" customWidth="1"/>
    <col min="13059" max="13059" width="18.5703125" style="627" customWidth="1"/>
    <col min="13060" max="13060" width="7.7109375" style="627" customWidth="1"/>
    <col min="13061" max="13312" width="9.140625" style="627"/>
    <col min="13313" max="13313" width="8.140625" style="627" customWidth="1"/>
    <col min="13314" max="13314" width="85.140625" style="627" customWidth="1"/>
    <col min="13315" max="13315" width="18.5703125" style="627" customWidth="1"/>
    <col min="13316" max="13316" width="7.7109375" style="627" customWidth="1"/>
    <col min="13317" max="13568" width="9.140625" style="627"/>
    <col min="13569" max="13569" width="8.140625" style="627" customWidth="1"/>
    <col min="13570" max="13570" width="85.140625" style="627" customWidth="1"/>
    <col min="13571" max="13571" width="18.5703125" style="627" customWidth="1"/>
    <col min="13572" max="13572" width="7.7109375" style="627" customWidth="1"/>
    <col min="13573" max="13824" width="9.140625" style="627"/>
    <col min="13825" max="13825" width="8.140625" style="627" customWidth="1"/>
    <col min="13826" max="13826" width="85.140625" style="627" customWidth="1"/>
    <col min="13827" max="13827" width="18.5703125" style="627" customWidth="1"/>
    <col min="13828" max="13828" width="7.7109375" style="627" customWidth="1"/>
    <col min="13829" max="14080" width="9.140625" style="627"/>
    <col min="14081" max="14081" width="8.140625" style="627" customWidth="1"/>
    <col min="14082" max="14082" width="85.140625" style="627" customWidth="1"/>
    <col min="14083" max="14083" width="18.5703125" style="627" customWidth="1"/>
    <col min="14084" max="14084" width="7.7109375" style="627" customWidth="1"/>
    <col min="14085" max="14336" width="9.140625" style="627"/>
    <col min="14337" max="14337" width="8.140625" style="627" customWidth="1"/>
    <col min="14338" max="14338" width="85.140625" style="627" customWidth="1"/>
    <col min="14339" max="14339" width="18.5703125" style="627" customWidth="1"/>
    <col min="14340" max="14340" width="7.7109375" style="627" customWidth="1"/>
    <col min="14341" max="14592" width="9.140625" style="627"/>
    <col min="14593" max="14593" width="8.140625" style="627" customWidth="1"/>
    <col min="14594" max="14594" width="85.140625" style="627" customWidth="1"/>
    <col min="14595" max="14595" width="18.5703125" style="627" customWidth="1"/>
    <col min="14596" max="14596" width="7.7109375" style="627" customWidth="1"/>
    <col min="14597" max="14848" width="9.140625" style="627"/>
    <col min="14849" max="14849" width="8.140625" style="627" customWidth="1"/>
    <col min="14850" max="14850" width="85.140625" style="627" customWidth="1"/>
    <col min="14851" max="14851" width="18.5703125" style="627" customWidth="1"/>
    <col min="14852" max="14852" width="7.7109375" style="627" customWidth="1"/>
    <col min="14853" max="15104" width="9.140625" style="627"/>
    <col min="15105" max="15105" width="8.140625" style="627" customWidth="1"/>
    <col min="15106" max="15106" width="85.140625" style="627" customWidth="1"/>
    <col min="15107" max="15107" width="18.5703125" style="627" customWidth="1"/>
    <col min="15108" max="15108" width="7.7109375" style="627" customWidth="1"/>
    <col min="15109" max="15360" width="9.140625" style="627"/>
    <col min="15361" max="15361" width="8.140625" style="627" customWidth="1"/>
    <col min="15362" max="15362" width="85.140625" style="627" customWidth="1"/>
    <col min="15363" max="15363" width="18.5703125" style="627" customWidth="1"/>
    <col min="15364" max="15364" width="7.7109375" style="627" customWidth="1"/>
    <col min="15365" max="15616" width="9.140625" style="627"/>
    <col min="15617" max="15617" width="8.140625" style="627" customWidth="1"/>
    <col min="15618" max="15618" width="85.140625" style="627" customWidth="1"/>
    <col min="15619" max="15619" width="18.5703125" style="627" customWidth="1"/>
    <col min="15620" max="15620" width="7.7109375" style="627" customWidth="1"/>
    <col min="15621" max="15872" width="9.140625" style="627"/>
    <col min="15873" max="15873" width="8.140625" style="627" customWidth="1"/>
    <col min="15874" max="15874" width="85.140625" style="627" customWidth="1"/>
    <col min="15875" max="15875" width="18.5703125" style="627" customWidth="1"/>
    <col min="15876" max="15876" width="7.7109375" style="627" customWidth="1"/>
    <col min="15877" max="16128" width="9.140625" style="627"/>
    <col min="16129" max="16129" width="8.140625" style="627" customWidth="1"/>
    <col min="16130" max="16130" width="85.140625" style="627" customWidth="1"/>
    <col min="16131" max="16131" width="18.5703125" style="627" customWidth="1"/>
    <col min="16132" max="16132" width="7.7109375" style="627" customWidth="1"/>
    <col min="16133" max="16384" width="9.140625" style="627"/>
  </cols>
  <sheetData>
    <row r="1" spans="1:3" ht="18.75" customHeight="1">
      <c r="A1" s="626"/>
      <c r="B1" s="1222"/>
      <c r="C1" s="1223"/>
    </row>
    <row r="2" spans="1:3" ht="21.95" customHeight="1">
      <c r="A2" s="628"/>
      <c r="B2" s="629"/>
      <c r="C2" s="1118" t="s">
        <v>1712</v>
      </c>
    </row>
    <row r="3" spans="1:3" ht="21.95" customHeight="1">
      <c r="A3" s="630"/>
      <c r="B3" s="629" t="s">
        <v>1626</v>
      </c>
      <c r="C3" s="630"/>
    </row>
    <row r="4" spans="1:3" ht="21.95" customHeight="1">
      <c r="A4" s="630"/>
      <c r="B4" s="629" t="s">
        <v>1674</v>
      </c>
      <c r="C4" s="630"/>
    </row>
    <row r="5" spans="1:3" ht="21.95" customHeight="1">
      <c r="A5" s="626"/>
      <c r="B5" s="1127"/>
      <c r="C5" s="631"/>
    </row>
    <row r="6" spans="1:3" ht="15.2" customHeight="1">
      <c r="A6" s="1217" t="s">
        <v>301</v>
      </c>
      <c r="B6" s="1217"/>
      <c r="C6" s="1217"/>
    </row>
    <row r="7" spans="1:3" ht="15.2" customHeight="1" thickBot="1">
      <c r="A7" s="1218"/>
      <c r="B7" s="1218"/>
      <c r="C7" s="632" t="str">
        <f>CONCATENATE([1]KV_1.1.sz.mell.!C7)</f>
        <v>Forintban!</v>
      </c>
    </row>
    <row r="8" spans="1:3" ht="24" customHeight="1" thickBot="1">
      <c r="A8" s="633" t="s">
        <v>286</v>
      </c>
      <c r="B8" s="634" t="s">
        <v>302</v>
      </c>
      <c r="C8" s="635" t="str">
        <f>+CONCATENATE(LEFT([1]KV_ÖSSZEFÜGGÉSEK!A5,4),". évi előirányzat")</f>
        <v>2020. évi előirányzat</v>
      </c>
    </row>
    <row r="9" spans="1:3" s="639" customFormat="1" ht="12" customHeight="1" thickBot="1">
      <c r="A9" s="636"/>
      <c r="B9" s="637" t="s">
        <v>287</v>
      </c>
      <c r="C9" s="638" t="s">
        <v>268</v>
      </c>
    </row>
    <row r="10" spans="1:3" s="643" customFormat="1" ht="12" customHeight="1" thickBot="1">
      <c r="A10" s="640" t="s">
        <v>172</v>
      </c>
      <c r="B10" s="641" t="s">
        <v>304</v>
      </c>
      <c r="C10" s="642">
        <f>+C11+C12+C13+C14+C15+C16</f>
        <v>0</v>
      </c>
    </row>
    <row r="11" spans="1:3" s="643" customFormat="1" ht="12" customHeight="1">
      <c r="A11" s="644" t="s">
        <v>305</v>
      </c>
      <c r="B11" s="645" t="s">
        <v>306</v>
      </c>
      <c r="C11" s="646"/>
    </row>
    <row r="12" spans="1:3" s="643" customFormat="1" ht="12" customHeight="1">
      <c r="A12" s="647" t="s">
        <v>307</v>
      </c>
      <c r="B12" s="648" t="s">
        <v>308</v>
      </c>
      <c r="C12" s="646"/>
    </row>
    <row r="13" spans="1:3" s="643" customFormat="1" ht="12" customHeight="1">
      <c r="A13" s="647" t="s">
        <v>309</v>
      </c>
      <c r="B13" s="648" t="s">
        <v>1483</v>
      </c>
      <c r="C13" s="646"/>
    </row>
    <row r="14" spans="1:3" s="643" customFormat="1" ht="12" customHeight="1">
      <c r="A14" s="647" t="s">
        <v>311</v>
      </c>
      <c r="B14" s="648" t="s">
        <v>312</v>
      </c>
      <c r="C14" s="646">
        <v>0</v>
      </c>
    </row>
    <row r="15" spans="1:3" s="643" customFormat="1" ht="12" customHeight="1">
      <c r="A15" s="647" t="s">
        <v>313</v>
      </c>
      <c r="B15" s="649" t="s">
        <v>314</v>
      </c>
      <c r="C15" s="646"/>
    </row>
    <row r="16" spans="1:3" s="643" customFormat="1" ht="12" customHeight="1" thickBot="1">
      <c r="A16" s="650" t="s">
        <v>315</v>
      </c>
      <c r="B16" s="651" t="s">
        <v>265</v>
      </c>
      <c r="C16" s="646">
        <f>'1.'!C16</f>
        <v>0</v>
      </c>
    </row>
    <row r="17" spans="1:3" s="643" customFormat="1" ht="12" customHeight="1" thickBot="1">
      <c r="A17" s="640" t="s">
        <v>173</v>
      </c>
      <c r="B17" s="652" t="s">
        <v>1484</v>
      </c>
      <c r="C17" s="642">
        <f>+C18+C19+C20+C21+C22</f>
        <v>0</v>
      </c>
    </row>
    <row r="18" spans="1:3" s="643" customFormat="1" ht="12" customHeight="1">
      <c r="A18" s="644" t="s">
        <v>316</v>
      </c>
      <c r="B18" s="645" t="s">
        <v>317</v>
      </c>
      <c r="C18" s="646">
        <f>'1.'!C18</f>
        <v>0</v>
      </c>
    </row>
    <row r="19" spans="1:3" s="643" customFormat="1" ht="12" customHeight="1">
      <c r="A19" s="647" t="s">
        <v>318</v>
      </c>
      <c r="B19" s="648" t="s">
        <v>319</v>
      </c>
      <c r="C19" s="646">
        <f>'1.'!C19</f>
        <v>0</v>
      </c>
    </row>
    <row r="20" spans="1:3" s="643" customFormat="1" ht="12" customHeight="1">
      <c r="A20" s="647" t="s">
        <v>320</v>
      </c>
      <c r="B20" s="648" t="s">
        <v>321</v>
      </c>
      <c r="C20" s="646"/>
    </row>
    <row r="21" spans="1:3" s="643" customFormat="1" ht="12" customHeight="1">
      <c r="A21" s="647" t="s">
        <v>322</v>
      </c>
      <c r="B21" s="648" t="s">
        <v>323</v>
      </c>
      <c r="C21" s="646"/>
    </row>
    <row r="22" spans="1:3" s="643" customFormat="1" ht="12" customHeight="1">
      <c r="A22" s="647" t="s">
        <v>324</v>
      </c>
      <c r="B22" s="648" t="s">
        <v>1485</v>
      </c>
      <c r="C22" s="646"/>
    </row>
    <row r="23" spans="1:3" s="643" customFormat="1" ht="12" customHeight="1" thickBot="1">
      <c r="A23" s="650" t="s">
        <v>326</v>
      </c>
      <c r="B23" s="651" t="s">
        <v>327</v>
      </c>
      <c r="C23" s="646">
        <f>'1.'!C23</f>
        <v>0</v>
      </c>
    </row>
    <row r="24" spans="1:3" s="643" customFormat="1" ht="12" customHeight="1" thickBot="1">
      <c r="A24" s="640" t="s">
        <v>174</v>
      </c>
      <c r="B24" s="641" t="s">
        <v>1486</v>
      </c>
      <c r="C24" s="642">
        <f>+C25+C26+C27+C28+C29</f>
        <v>0</v>
      </c>
    </row>
    <row r="25" spans="1:3" s="643" customFormat="1" ht="12" customHeight="1">
      <c r="A25" s="644" t="s">
        <v>328</v>
      </c>
      <c r="B25" s="645" t="s">
        <v>329</v>
      </c>
      <c r="C25" s="646"/>
    </row>
    <row r="26" spans="1:3" s="643" customFormat="1" ht="12" customHeight="1">
      <c r="A26" s="647" t="s">
        <v>330</v>
      </c>
      <c r="B26" s="648" t="s">
        <v>331</v>
      </c>
      <c r="C26" s="646">
        <f>'1.'!C26</f>
        <v>0</v>
      </c>
    </row>
    <row r="27" spans="1:3" s="643" customFormat="1" ht="12" customHeight="1">
      <c r="A27" s="647" t="s">
        <v>332</v>
      </c>
      <c r="B27" s="648" t="s">
        <v>333</v>
      </c>
      <c r="C27" s="646">
        <f>'1.'!C27</f>
        <v>0</v>
      </c>
    </row>
    <row r="28" spans="1:3" s="643" customFormat="1" ht="12" customHeight="1">
      <c r="A28" s="647" t="s">
        <v>334</v>
      </c>
      <c r="B28" s="648" t="s">
        <v>335</v>
      </c>
      <c r="C28" s="646">
        <f>'1.'!C28</f>
        <v>0</v>
      </c>
    </row>
    <row r="29" spans="1:3" s="643" customFormat="1" ht="12" customHeight="1">
      <c r="A29" s="647" t="s">
        <v>336</v>
      </c>
      <c r="B29" s="648" t="s">
        <v>337</v>
      </c>
      <c r="C29" s="646"/>
    </row>
    <row r="30" spans="1:3" s="655" customFormat="1" ht="12" customHeight="1" thickBot="1">
      <c r="A30" s="653" t="s">
        <v>338</v>
      </c>
      <c r="B30" s="654" t="s">
        <v>1487</v>
      </c>
      <c r="C30" s="646"/>
    </row>
    <row r="31" spans="1:3" s="643" customFormat="1" ht="12" customHeight="1" thickBot="1">
      <c r="A31" s="640" t="s">
        <v>340</v>
      </c>
      <c r="B31" s="641" t="s">
        <v>341</v>
      </c>
      <c r="C31" s="646">
        <v>0</v>
      </c>
    </row>
    <row r="32" spans="1:3" s="643" customFormat="1" ht="12" customHeight="1">
      <c r="A32" s="644" t="s">
        <v>342</v>
      </c>
      <c r="B32" s="645" t="str">
        <f>[1]KV_1.1.sz.mell.!B32</f>
        <v>Építményadó</v>
      </c>
      <c r="C32" s="646"/>
    </row>
    <row r="33" spans="1:3" s="643" customFormat="1" ht="12" customHeight="1">
      <c r="A33" s="647" t="s">
        <v>344</v>
      </c>
      <c r="B33" s="645" t="str">
        <f>[1]KV_1.1.sz.mell.!B33</f>
        <v>Idegenforgalmi adó</v>
      </c>
      <c r="C33" s="646">
        <f>'1.'!C33</f>
        <v>0</v>
      </c>
    </row>
    <row r="34" spans="1:3" s="643" customFormat="1" ht="12" customHeight="1">
      <c r="A34" s="647" t="s">
        <v>345</v>
      </c>
      <c r="B34" s="645" t="str">
        <f>[1]KV_1.1.sz.mell.!B34</f>
        <v>Iparűzési adó</v>
      </c>
      <c r="C34" s="646"/>
    </row>
    <row r="35" spans="1:3" s="643" customFormat="1" ht="12" customHeight="1">
      <c r="A35" s="647" t="s">
        <v>347</v>
      </c>
      <c r="B35" s="645" t="str">
        <f>[1]KV_1.1.sz.mell.!B35</f>
        <v>Talajterhelési díj</v>
      </c>
      <c r="C35" s="646"/>
    </row>
    <row r="36" spans="1:3" s="643" customFormat="1" ht="12" customHeight="1">
      <c r="A36" s="647" t="s">
        <v>349</v>
      </c>
      <c r="B36" s="645" t="str">
        <f>[1]KV_1.1.sz.mell.!B36</f>
        <v>Gépjárműadó</v>
      </c>
      <c r="C36" s="646">
        <f>'1.'!C36</f>
        <v>0</v>
      </c>
    </row>
    <row r="37" spans="1:3" s="643" customFormat="1" ht="12" customHeight="1">
      <c r="A37" s="647" t="s">
        <v>350</v>
      </c>
      <c r="B37" s="645" t="str">
        <f>[1]KV_1.1.sz.mell.!B37</f>
        <v>Telekadó</v>
      </c>
      <c r="C37" s="646"/>
    </row>
    <row r="38" spans="1:3" s="643" customFormat="1" ht="12" customHeight="1" thickBot="1">
      <c r="A38" s="650" t="s">
        <v>352</v>
      </c>
      <c r="B38" s="645" t="str">
        <f>[1]KV_1.1.sz.mell.!B38</f>
        <v>Kommunális adó</v>
      </c>
      <c r="C38" s="646"/>
    </row>
    <row r="39" spans="1:3" s="643" customFormat="1" ht="12" customHeight="1" thickBot="1">
      <c r="A39" s="640" t="s">
        <v>176</v>
      </c>
      <c r="B39" s="641" t="s">
        <v>354</v>
      </c>
      <c r="C39" s="642">
        <f>SUM(C40:C50)</f>
        <v>0</v>
      </c>
    </row>
    <row r="40" spans="1:3" s="643" customFormat="1" ht="12" customHeight="1">
      <c r="A40" s="644" t="s">
        <v>355</v>
      </c>
      <c r="B40" s="645" t="s">
        <v>356</v>
      </c>
      <c r="C40" s="646"/>
    </row>
    <row r="41" spans="1:3" s="643" customFormat="1" ht="12" customHeight="1">
      <c r="A41" s="647" t="s">
        <v>357</v>
      </c>
      <c r="B41" s="648" t="s">
        <v>358</v>
      </c>
      <c r="C41" s="646"/>
    </row>
    <row r="42" spans="1:3" s="643" customFormat="1" ht="12" customHeight="1">
      <c r="A42" s="647" t="s">
        <v>359</v>
      </c>
      <c r="B42" s="648" t="s">
        <v>360</v>
      </c>
      <c r="C42" s="646"/>
    </row>
    <row r="43" spans="1:3" s="643" customFormat="1" ht="12" customHeight="1">
      <c r="A43" s="647" t="s">
        <v>361</v>
      </c>
      <c r="B43" s="648" t="s">
        <v>362</v>
      </c>
      <c r="C43" s="646"/>
    </row>
    <row r="44" spans="1:3" s="643" customFormat="1" ht="12" customHeight="1">
      <c r="A44" s="647" t="s">
        <v>363</v>
      </c>
      <c r="B44" s="648" t="s">
        <v>364</v>
      </c>
      <c r="C44" s="646"/>
    </row>
    <row r="45" spans="1:3" s="643" customFormat="1" ht="12" customHeight="1">
      <c r="A45" s="647" t="s">
        <v>365</v>
      </c>
      <c r="B45" s="648" t="s">
        <v>366</v>
      </c>
      <c r="C45" s="646"/>
    </row>
    <row r="46" spans="1:3" s="643" customFormat="1" ht="12" customHeight="1">
      <c r="A46" s="647" t="s">
        <v>367</v>
      </c>
      <c r="B46" s="648" t="s">
        <v>368</v>
      </c>
      <c r="C46" s="646">
        <f>'1.'!C46</f>
        <v>0</v>
      </c>
    </row>
    <row r="47" spans="1:3" s="643" customFormat="1" ht="12" customHeight="1">
      <c r="A47" s="647" t="s">
        <v>369</v>
      </c>
      <c r="B47" s="648" t="s">
        <v>370</v>
      </c>
      <c r="C47" s="646"/>
    </row>
    <row r="48" spans="1:3" s="643" customFormat="1" ht="12" customHeight="1">
      <c r="A48" s="647" t="s">
        <v>371</v>
      </c>
      <c r="B48" s="648" t="s">
        <v>372</v>
      </c>
      <c r="C48" s="646">
        <f>'1.'!C48</f>
        <v>0</v>
      </c>
    </row>
    <row r="49" spans="1:3" s="643" customFormat="1" ht="12" customHeight="1">
      <c r="A49" s="650" t="s">
        <v>373</v>
      </c>
      <c r="B49" s="657" t="s">
        <v>374</v>
      </c>
      <c r="C49" s="646">
        <f>'1.'!C49</f>
        <v>0</v>
      </c>
    </row>
    <row r="50" spans="1:3" s="643" customFormat="1" ht="12" customHeight="1" thickBot="1">
      <c r="A50" s="650" t="s">
        <v>375</v>
      </c>
      <c r="B50" s="651" t="s">
        <v>376</v>
      </c>
      <c r="C50" s="646"/>
    </row>
    <row r="51" spans="1:3" s="643" customFormat="1" ht="12" customHeight="1" thickBot="1">
      <c r="A51" s="640" t="s">
        <v>177</v>
      </c>
      <c r="B51" s="641" t="s">
        <v>377</v>
      </c>
      <c r="C51" s="642">
        <f>SUM(C52:C56)</f>
        <v>0</v>
      </c>
    </row>
    <row r="52" spans="1:3" s="643" customFormat="1" ht="12" customHeight="1">
      <c r="A52" s="644" t="s">
        <v>378</v>
      </c>
      <c r="B52" s="645" t="s">
        <v>379</v>
      </c>
      <c r="C52" s="646">
        <f>'1.'!C52</f>
        <v>0</v>
      </c>
    </row>
    <row r="53" spans="1:3" s="643" customFormat="1" ht="12" customHeight="1">
      <c r="A53" s="647" t="s">
        <v>380</v>
      </c>
      <c r="B53" s="648" t="s">
        <v>381</v>
      </c>
      <c r="C53" s="646">
        <v>0</v>
      </c>
    </row>
    <row r="54" spans="1:3" s="643" customFormat="1" ht="12" customHeight="1">
      <c r="A54" s="647" t="s">
        <v>382</v>
      </c>
      <c r="B54" s="648" t="s">
        <v>383</v>
      </c>
      <c r="C54" s="646">
        <v>0</v>
      </c>
    </row>
    <row r="55" spans="1:3" s="643" customFormat="1" ht="12" customHeight="1">
      <c r="A55" s="647" t="s">
        <v>384</v>
      </c>
      <c r="B55" s="648" t="s">
        <v>385</v>
      </c>
      <c r="C55" s="646">
        <f>'1.'!C55</f>
        <v>0</v>
      </c>
    </row>
    <row r="56" spans="1:3" s="643" customFormat="1" ht="12" customHeight="1" thickBot="1">
      <c r="A56" s="650" t="s">
        <v>386</v>
      </c>
      <c r="B56" s="651" t="s">
        <v>387</v>
      </c>
      <c r="C56" s="646">
        <f>'1.'!C56</f>
        <v>0</v>
      </c>
    </row>
    <row r="57" spans="1:3" s="643" customFormat="1" ht="12" customHeight="1" thickBot="1">
      <c r="A57" s="640" t="s">
        <v>388</v>
      </c>
      <c r="B57" s="641" t="s">
        <v>389</v>
      </c>
      <c r="C57" s="642">
        <v>0</v>
      </c>
    </row>
    <row r="58" spans="1:3" s="643" customFormat="1" ht="12" customHeight="1">
      <c r="A58" s="644" t="s">
        <v>390</v>
      </c>
      <c r="B58" s="645" t="s">
        <v>391</v>
      </c>
      <c r="C58" s="646">
        <f>'1.'!C58</f>
        <v>0</v>
      </c>
    </row>
    <row r="59" spans="1:3" s="643" customFormat="1" ht="12" customHeight="1">
      <c r="A59" s="647" t="s">
        <v>392</v>
      </c>
      <c r="B59" s="648" t="s">
        <v>393</v>
      </c>
      <c r="C59" s="646">
        <f>'1.'!C59</f>
        <v>0</v>
      </c>
    </row>
    <row r="60" spans="1:3" s="643" customFormat="1" ht="12" customHeight="1">
      <c r="A60" s="647" t="s">
        <v>394</v>
      </c>
      <c r="B60" s="648" t="s">
        <v>395</v>
      </c>
      <c r="C60" s="646">
        <v>0</v>
      </c>
    </row>
    <row r="61" spans="1:3" s="643" customFormat="1" ht="12" customHeight="1" thickBot="1">
      <c r="A61" s="650" t="s">
        <v>396</v>
      </c>
      <c r="B61" s="651" t="s">
        <v>397</v>
      </c>
      <c r="C61" s="646">
        <f>'1.'!C61</f>
        <v>0</v>
      </c>
    </row>
    <row r="62" spans="1:3" s="643" customFormat="1" ht="12" customHeight="1" thickBot="1">
      <c r="A62" s="640" t="s">
        <v>179</v>
      </c>
      <c r="B62" s="652" t="s">
        <v>398</v>
      </c>
      <c r="C62" s="642">
        <f>SUM(C63:C65)</f>
        <v>0</v>
      </c>
    </row>
    <row r="63" spans="1:3" s="643" customFormat="1" ht="12" customHeight="1">
      <c r="A63" s="644" t="s">
        <v>399</v>
      </c>
      <c r="B63" s="645" t="s">
        <v>400</v>
      </c>
      <c r="C63" s="646">
        <f>'1.'!C63</f>
        <v>0</v>
      </c>
    </row>
    <row r="64" spans="1:3" s="643" customFormat="1" ht="12" customHeight="1">
      <c r="A64" s="647" t="s">
        <v>401</v>
      </c>
      <c r="B64" s="648" t="s">
        <v>402</v>
      </c>
      <c r="C64" s="646">
        <f>'1.'!C64</f>
        <v>0</v>
      </c>
    </row>
    <row r="65" spans="1:3" s="643" customFormat="1" ht="12" customHeight="1">
      <c r="A65" s="647" t="s">
        <v>403</v>
      </c>
      <c r="B65" s="648" t="s">
        <v>404</v>
      </c>
      <c r="C65" s="646"/>
    </row>
    <row r="66" spans="1:3" s="643" customFormat="1" ht="12" customHeight="1" thickBot="1">
      <c r="A66" s="650" t="s">
        <v>405</v>
      </c>
      <c r="B66" s="651" t="s">
        <v>406</v>
      </c>
      <c r="C66" s="646">
        <f>'1.'!C66</f>
        <v>0</v>
      </c>
    </row>
    <row r="67" spans="1:3" s="643" customFormat="1" ht="12" customHeight="1" thickBot="1">
      <c r="A67" s="658" t="s">
        <v>407</v>
      </c>
      <c r="B67" s="641" t="s">
        <v>408</v>
      </c>
      <c r="C67" s="656">
        <f>+C10+C17+C24+C31+C39+C51+C57+C62</f>
        <v>0</v>
      </c>
    </row>
    <row r="68" spans="1:3" s="643" customFormat="1" ht="12" customHeight="1" thickBot="1">
      <c r="A68" s="659" t="s">
        <v>409</v>
      </c>
      <c r="B68" s="652" t="s">
        <v>410</v>
      </c>
      <c r="C68" s="642">
        <f>SUM(C69:C71)</f>
        <v>0</v>
      </c>
    </row>
    <row r="69" spans="1:3" s="643" customFormat="1" ht="12" customHeight="1">
      <c r="A69" s="644" t="s">
        <v>411</v>
      </c>
      <c r="B69" s="645" t="s">
        <v>412</v>
      </c>
      <c r="C69" s="646"/>
    </row>
    <row r="70" spans="1:3" s="643" customFormat="1" ht="12" customHeight="1">
      <c r="A70" s="647" t="s">
        <v>413</v>
      </c>
      <c r="B70" s="648" t="s">
        <v>414</v>
      </c>
      <c r="C70" s="646">
        <f>'1.'!C70</f>
        <v>0</v>
      </c>
    </row>
    <row r="71" spans="1:3" s="643" customFormat="1" ht="12" customHeight="1" thickBot="1">
      <c r="A71" s="650" t="s">
        <v>415</v>
      </c>
      <c r="B71" s="660" t="s">
        <v>1488</v>
      </c>
      <c r="C71" s="646">
        <f>'1.'!C71</f>
        <v>0</v>
      </c>
    </row>
    <row r="72" spans="1:3" s="643" customFormat="1" ht="12" customHeight="1" thickBot="1">
      <c r="A72" s="659" t="s">
        <v>417</v>
      </c>
      <c r="B72" s="652" t="s">
        <v>418</v>
      </c>
      <c r="C72" s="642">
        <f>SUM(C73:C76)</f>
        <v>0</v>
      </c>
    </row>
    <row r="73" spans="1:3" s="643" customFormat="1" ht="12" customHeight="1">
      <c r="A73" s="644" t="s">
        <v>419</v>
      </c>
      <c r="B73" s="645" t="s">
        <v>420</v>
      </c>
      <c r="C73" s="646">
        <f>'1.'!C73</f>
        <v>0</v>
      </c>
    </row>
    <row r="74" spans="1:3" s="643" customFormat="1" ht="12" customHeight="1">
      <c r="A74" s="647" t="s">
        <v>421</v>
      </c>
      <c r="B74" s="648" t="s">
        <v>422</v>
      </c>
      <c r="C74" s="646">
        <f>'1.'!C74</f>
        <v>0</v>
      </c>
    </row>
    <row r="75" spans="1:3" s="643" customFormat="1" ht="12" customHeight="1" thickBot="1">
      <c r="A75" s="650" t="s">
        <v>423</v>
      </c>
      <c r="B75" s="657" t="s">
        <v>424</v>
      </c>
      <c r="C75" s="646">
        <f>'1.'!C75</f>
        <v>0</v>
      </c>
    </row>
    <row r="76" spans="1:3" s="643" customFormat="1" ht="12" customHeight="1" thickBot="1">
      <c r="A76" s="661" t="s">
        <v>425</v>
      </c>
      <c r="B76" s="662" t="s">
        <v>426</v>
      </c>
      <c r="C76" s="663"/>
    </row>
    <row r="77" spans="1:3" s="643" customFormat="1" ht="12" customHeight="1" thickBot="1">
      <c r="A77" s="659" t="s">
        <v>427</v>
      </c>
      <c r="B77" s="652" t="s">
        <v>428</v>
      </c>
      <c r="C77" s="646"/>
    </row>
    <row r="78" spans="1:3" s="643" customFormat="1" ht="12" customHeight="1" thickBot="1">
      <c r="A78" s="664" t="s">
        <v>429</v>
      </c>
      <c r="B78" s="665" t="s">
        <v>430</v>
      </c>
      <c r="C78" s="646"/>
    </row>
    <row r="79" spans="1:3" s="643" customFormat="1" ht="12" customHeight="1" thickBot="1">
      <c r="A79" s="661" t="s">
        <v>431</v>
      </c>
      <c r="B79" s="662" t="s">
        <v>432</v>
      </c>
      <c r="C79" s="663"/>
    </row>
    <row r="80" spans="1:3" s="643" customFormat="1" ht="12" customHeight="1" thickBot="1">
      <c r="A80" s="659" t="s">
        <v>433</v>
      </c>
      <c r="B80" s="652" t="s">
        <v>434</v>
      </c>
      <c r="C80" s="642">
        <f>SUM(C81:C83)</f>
        <v>0</v>
      </c>
    </row>
    <row r="81" spans="1:4" s="643" customFormat="1" ht="12" customHeight="1">
      <c r="A81" s="644" t="s">
        <v>435</v>
      </c>
      <c r="B81" s="645" t="s">
        <v>436</v>
      </c>
      <c r="C81" s="646"/>
    </row>
    <row r="82" spans="1:4" s="643" customFormat="1" ht="12" customHeight="1">
      <c r="A82" s="647" t="s">
        <v>437</v>
      </c>
      <c r="B82" s="648" t="s">
        <v>438</v>
      </c>
      <c r="C82" s="646">
        <f>'1.'!C82</f>
        <v>0</v>
      </c>
    </row>
    <row r="83" spans="1:4" s="643" customFormat="1" ht="12" customHeight="1" thickBot="1">
      <c r="A83" s="666" t="s">
        <v>439</v>
      </c>
      <c r="B83" s="667" t="s">
        <v>440</v>
      </c>
      <c r="C83" s="646">
        <f>'1.'!C83</f>
        <v>0</v>
      </c>
    </row>
    <row r="84" spans="1:4" s="643" customFormat="1" ht="12" customHeight="1" thickBot="1">
      <c r="A84" s="659" t="s">
        <v>441</v>
      </c>
      <c r="B84" s="652" t="s">
        <v>442</v>
      </c>
      <c r="C84" s="642">
        <f>SUM(C85:C88)</f>
        <v>0</v>
      </c>
    </row>
    <row r="85" spans="1:4" s="643" customFormat="1" ht="12" customHeight="1">
      <c r="A85" s="668" t="s">
        <v>443</v>
      </c>
      <c r="B85" s="645" t="s">
        <v>444</v>
      </c>
      <c r="C85" s="646">
        <f>'1.'!C85</f>
        <v>0</v>
      </c>
    </row>
    <row r="86" spans="1:4" s="643" customFormat="1" ht="12" customHeight="1">
      <c r="A86" s="669" t="s">
        <v>445</v>
      </c>
      <c r="B86" s="648" t="s">
        <v>446</v>
      </c>
      <c r="C86" s="646">
        <f>'1.'!C86</f>
        <v>0</v>
      </c>
    </row>
    <row r="87" spans="1:4" s="643" customFormat="1" ht="12" customHeight="1">
      <c r="A87" s="669" t="s">
        <v>447</v>
      </c>
      <c r="B87" s="648" t="s">
        <v>448</v>
      </c>
      <c r="C87" s="646">
        <f>'1.'!C87</f>
        <v>0</v>
      </c>
    </row>
    <row r="88" spans="1:4" s="643" customFormat="1" ht="12" customHeight="1" thickBot="1">
      <c r="A88" s="670" t="s">
        <v>449</v>
      </c>
      <c r="B88" s="651" t="s">
        <v>450</v>
      </c>
      <c r="C88" s="646">
        <f>'1.'!C88</f>
        <v>0</v>
      </c>
    </row>
    <row r="89" spans="1:4" s="643" customFormat="1" ht="12" customHeight="1" thickBot="1">
      <c r="A89" s="659" t="s">
        <v>451</v>
      </c>
      <c r="B89" s="652" t="s">
        <v>452</v>
      </c>
      <c r="C89" s="646">
        <f>'1.'!C89</f>
        <v>0</v>
      </c>
    </row>
    <row r="90" spans="1:4" s="643" customFormat="1" ht="13.5" customHeight="1" thickBot="1">
      <c r="A90" s="659" t="s">
        <v>453</v>
      </c>
      <c r="B90" s="652" t="s">
        <v>295</v>
      </c>
      <c r="C90" s="646">
        <f>'1.'!C90</f>
        <v>0</v>
      </c>
    </row>
    <row r="91" spans="1:4" s="643" customFormat="1" ht="15.75" customHeight="1" thickBot="1">
      <c r="A91" s="659" t="s">
        <v>454</v>
      </c>
      <c r="B91" s="671" t="s">
        <v>455</v>
      </c>
      <c r="C91" s="656">
        <f>+C68+C72+C77+C80+C84+C90+C89</f>
        <v>0</v>
      </c>
    </row>
    <row r="92" spans="1:4" s="643" customFormat="1" ht="16.5" customHeight="1" thickBot="1">
      <c r="A92" s="672" t="s">
        <v>456</v>
      </c>
      <c r="B92" s="673" t="s">
        <v>457</v>
      </c>
      <c r="C92" s="656">
        <f>+C67+C91</f>
        <v>0</v>
      </c>
      <c r="D92" s="900">
        <v>0</v>
      </c>
    </row>
    <row r="93" spans="1:4" s="643" customFormat="1" ht="11.1" customHeight="1">
      <c r="A93" s="674"/>
      <c r="B93" s="675"/>
      <c r="C93" s="676"/>
    </row>
    <row r="94" spans="1:4" ht="16.5" customHeight="1">
      <c r="A94" s="1219" t="s">
        <v>458</v>
      </c>
      <c r="B94" s="1219"/>
      <c r="C94" s="1219"/>
    </row>
    <row r="95" spans="1:4" s="678" customFormat="1" ht="16.5" customHeight="1" thickBot="1">
      <c r="A95" s="1220" t="s">
        <v>1489</v>
      </c>
      <c r="B95" s="1220"/>
      <c r="C95" s="677" t="str">
        <f>C7</f>
        <v>Forintban!</v>
      </c>
    </row>
    <row r="96" spans="1:4" ht="30" customHeight="1" thickBot="1">
      <c r="A96" s="679" t="s">
        <v>286</v>
      </c>
      <c r="B96" s="680" t="s">
        <v>556</v>
      </c>
      <c r="C96" s="681" t="str">
        <f>+C8</f>
        <v>2020. évi előirányzat</v>
      </c>
    </row>
    <row r="97" spans="1:3" s="639" customFormat="1" ht="12" customHeight="1" thickBot="1">
      <c r="A97" s="679"/>
      <c r="B97" s="680" t="s">
        <v>287</v>
      </c>
      <c r="C97" s="681" t="s">
        <v>268</v>
      </c>
    </row>
    <row r="98" spans="1:3" ht="12" customHeight="1" thickBot="1">
      <c r="A98" s="682" t="s">
        <v>172</v>
      </c>
      <c r="B98" s="683" t="s">
        <v>1490</v>
      </c>
      <c r="C98" s="684"/>
    </row>
    <row r="99" spans="1:3" ht="12" customHeight="1" thickBot="1">
      <c r="A99" s="685" t="s">
        <v>305</v>
      </c>
      <c r="B99" s="686" t="s">
        <v>461</v>
      </c>
      <c r="C99" s="687"/>
    </row>
    <row r="100" spans="1:3" ht="12" customHeight="1" thickBot="1">
      <c r="A100" s="647" t="s">
        <v>307</v>
      </c>
      <c r="B100" s="688" t="s">
        <v>289</v>
      </c>
      <c r="C100" s="687"/>
    </row>
    <row r="101" spans="1:3" ht="12" customHeight="1" thickBot="1">
      <c r="A101" s="647" t="s">
        <v>309</v>
      </c>
      <c r="B101" s="688" t="s">
        <v>462</v>
      </c>
      <c r="C101" s="687"/>
    </row>
    <row r="102" spans="1:3" ht="12" customHeight="1" thickBot="1">
      <c r="A102" s="647" t="s">
        <v>311</v>
      </c>
      <c r="B102" s="689" t="s">
        <v>290</v>
      </c>
      <c r="C102" s="687"/>
    </row>
    <row r="103" spans="1:3" ht="12" customHeight="1" thickBot="1">
      <c r="A103" s="647" t="s">
        <v>463</v>
      </c>
      <c r="B103" s="690" t="s">
        <v>291</v>
      </c>
      <c r="C103" s="687"/>
    </row>
    <row r="104" spans="1:3" ht="12" customHeight="1" thickBot="1">
      <c r="A104" s="647" t="s">
        <v>315</v>
      </c>
      <c r="B104" s="688" t="s">
        <v>1491</v>
      </c>
      <c r="C104" s="687"/>
    </row>
    <row r="105" spans="1:3" ht="12" customHeight="1" thickBot="1">
      <c r="A105" s="647" t="s">
        <v>464</v>
      </c>
      <c r="B105" s="691" t="s">
        <v>465</v>
      </c>
      <c r="C105" s="687"/>
    </row>
    <row r="106" spans="1:3" ht="12" customHeight="1" thickBot="1">
      <c r="A106" s="647" t="s">
        <v>466</v>
      </c>
      <c r="B106" s="691" t="s">
        <v>467</v>
      </c>
      <c r="C106" s="687"/>
    </row>
    <row r="107" spans="1:3" ht="12" customHeight="1" thickBot="1">
      <c r="A107" s="647" t="s">
        <v>468</v>
      </c>
      <c r="B107" s="692" t="s">
        <v>469</v>
      </c>
      <c r="C107" s="687"/>
    </row>
    <row r="108" spans="1:3" ht="12" customHeight="1" thickBot="1">
      <c r="A108" s="647" t="s">
        <v>470</v>
      </c>
      <c r="B108" s="693" t="s">
        <v>471</v>
      </c>
      <c r="C108" s="687"/>
    </row>
    <row r="109" spans="1:3" ht="12" customHeight="1" thickBot="1">
      <c r="A109" s="647" t="s">
        <v>472</v>
      </c>
      <c r="B109" s="693" t="s">
        <v>473</v>
      </c>
      <c r="C109" s="687"/>
    </row>
    <row r="110" spans="1:3" ht="12" customHeight="1" thickBot="1">
      <c r="A110" s="647" t="s">
        <v>474</v>
      </c>
      <c r="B110" s="692" t="s">
        <v>475</v>
      </c>
      <c r="C110" s="687"/>
    </row>
    <row r="111" spans="1:3" ht="12" customHeight="1" thickBot="1">
      <c r="A111" s="647" t="s">
        <v>476</v>
      </c>
      <c r="B111" s="692" t="s">
        <v>477</v>
      </c>
      <c r="C111" s="687"/>
    </row>
    <row r="112" spans="1:3" ht="12" customHeight="1" thickBot="1">
      <c r="A112" s="647" t="s">
        <v>478</v>
      </c>
      <c r="B112" s="693" t="s">
        <v>479</v>
      </c>
      <c r="C112" s="687"/>
    </row>
    <row r="113" spans="1:3" ht="12" customHeight="1" thickBot="1">
      <c r="A113" s="664" t="s">
        <v>480</v>
      </c>
      <c r="B113" s="691" t="s">
        <v>481</v>
      </c>
      <c r="C113" s="687"/>
    </row>
    <row r="114" spans="1:3" ht="12" customHeight="1" thickBot="1">
      <c r="A114" s="647" t="s">
        <v>482</v>
      </c>
      <c r="B114" s="691" t="s">
        <v>483</v>
      </c>
      <c r="C114" s="687"/>
    </row>
    <row r="115" spans="1:3" ht="12" customHeight="1" thickBot="1">
      <c r="A115" s="650" t="s">
        <v>484</v>
      </c>
      <c r="B115" s="691" t="s">
        <v>485</v>
      </c>
      <c r="C115" s="687"/>
    </row>
    <row r="116" spans="1:3" ht="12" customHeight="1" thickBot="1">
      <c r="A116" s="647" t="s">
        <v>486</v>
      </c>
      <c r="B116" s="689" t="s">
        <v>292</v>
      </c>
      <c r="C116" s="687"/>
    </row>
    <row r="117" spans="1:3" ht="12" customHeight="1">
      <c r="A117" s="647" t="s">
        <v>487</v>
      </c>
      <c r="B117" s="688" t="s">
        <v>488</v>
      </c>
      <c r="C117" s="687"/>
    </row>
    <row r="118" spans="1:3" ht="12" customHeight="1" thickBot="1">
      <c r="A118" s="666" t="s">
        <v>489</v>
      </c>
      <c r="B118" s="694" t="s">
        <v>490</v>
      </c>
      <c r="C118" s="695"/>
    </row>
    <row r="119" spans="1:3" ht="12" customHeight="1" thickBot="1">
      <c r="A119" s="696" t="s">
        <v>173</v>
      </c>
      <c r="B119" s="697" t="s">
        <v>1492</v>
      </c>
      <c r="C119" s="698"/>
    </row>
    <row r="120" spans="1:3" ht="12" customHeight="1" thickBot="1">
      <c r="A120" s="644" t="s">
        <v>316</v>
      </c>
      <c r="B120" s="688" t="s">
        <v>296</v>
      </c>
      <c r="C120" s="687"/>
    </row>
    <row r="121" spans="1:3" ht="12" customHeight="1" thickBot="1">
      <c r="A121" s="644" t="s">
        <v>318</v>
      </c>
      <c r="B121" s="699" t="s">
        <v>491</v>
      </c>
      <c r="C121" s="687"/>
    </row>
    <row r="122" spans="1:3" ht="12" customHeight="1" thickBot="1">
      <c r="A122" s="644" t="s">
        <v>320</v>
      </c>
      <c r="B122" s="699" t="s">
        <v>297</v>
      </c>
      <c r="C122" s="687"/>
    </row>
    <row r="123" spans="1:3" ht="12" customHeight="1" thickBot="1">
      <c r="A123" s="644" t="s">
        <v>322</v>
      </c>
      <c r="B123" s="699" t="s">
        <v>492</v>
      </c>
      <c r="C123" s="687"/>
    </row>
    <row r="124" spans="1:3" ht="12" customHeight="1" thickBot="1">
      <c r="A124" s="644" t="s">
        <v>324</v>
      </c>
      <c r="B124" s="651" t="s">
        <v>1493</v>
      </c>
      <c r="C124" s="687"/>
    </row>
    <row r="125" spans="1:3" ht="12" customHeight="1" thickBot="1">
      <c r="A125" s="644" t="s">
        <v>326</v>
      </c>
      <c r="B125" s="649" t="s">
        <v>1494</v>
      </c>
      <c r="C125" s="687"/>
    </row>
    <row r="126" spans="1:3" ht="12" customHeight="1" thickBot="1">
      <c r="A126" s="644" t="s">
        <v>493</v>
      </c>
      <c r="B126" s="701" t="s">
        <v>494</v>
      </c>
      <c r="C126" s="687"/>
    </row>
    <row r="127" spans="1:3" ht="16.5" thickBot="1">
      <c r="A127" s="644" t="s">
        <v>495</v>
      </c>
      <c r="B127" s="693" t="s">
        <v>473</v>
      </c>
      <c r="C127" s="687"/>
    </row>
    <row r="128" spans="1:3" ht="12" customHeight="1" thickBot="1">
      <c r="A128" s="644" t="s">
        <v>496</v>
      </c>
      <c r="B128" s="693" t="s">
        <v>497</v>
      </c>
      <c r="C128" s="687"/>
    </row>
    <row r="129" spans="1:3" ht="12" customHeight="1" thickBot="1">
      <c r="A129" s="644" t="s">
        <v>498</v>
      </c>
      <c r="B129" s="693" t="s">
        <v>499</v>
      </c>
      <c r="C129" s="687"/>
    </row>
    <row r="130" spans="1:3" ht="12" customHeight="1" thickBot="1">
      <c r="A130" s="644" t="s">
        <v>500</v>
      </c>
      <c r="B130" s="693" t="s">
        <v>479</v>
      </c>
      <c r="C130" s="687"/>
    </row>
    <row r="131" spans="1:3" ht="12" customHeight="1" thickBot="1">
      <c r="A131" s="644" t="s">
        <v>501</v>
      </c>
      <c r="B131" s="693" t="s">
        <v>502</v>
      </c>
      <c r="C131" s="687"/>
    </row>
    <row r="132" spans="1:3" ht="16.5" thickBot="1">
      <c r="A132" s="664" t="s">
        <v>503</v>
      </c>
      <c r="B132" s="693" t="s">
        <v>504</v>
      </c>
      <c r="C132" s="687"/>
    </row>
    <row r="133" spans="1:3" ht="12" customHeight="1" thickBot="1">
      <c r="A133" s="640" t="s">
        <v>174</v>
      </c>
      <c r="B133" s="703" t="s">
        <v>505</v>
      </c>
      <c r="C133" s="642"/>
    </row>
    <row r="134" spans="1:3" ht="12" customHeight="1" thickBot="1">
      <c r="A134" s="640" t="s">
        <v>175</v>
      </c>
      <c r="B134" s="703" t="s">
        <v>1495</v>
      </c>
      <c r="C134" s="642"/>
    </row>
    <row r="135" spans="1:3" ht="12" customHeight="1" thickBot="1">
      <c r="A135" s="644" t="s">
        <v>342</v>
      </c>
      <c r="B135" s="699" t="s">
        <v>507</v>
      </c>
      <c r="C135" s="687"/>
    </row>
    <row r="136" spans="1:3" ht="12" customHeight="1" thickBot="1">
      <c r="A136" s="644" t="s">
        <v>344</v>
      </c>
      <c r="B136" s="699" t="s">
        <v>508</v>
      </c>
      <c r="C136" s="687"/>
    </row>
    <row r="137" spans="1:3" ht="12" customHeight="1" thickBot="1">
      <c r="A137" s="664" t="s">
        <v>345</v>
      </c>
      <c r="B137" s="699" t="s">
        <v>509</v>
      </c>
      <c r="C137" s="687"/>
    </row>
    <row r="138" spans="1:3" ht="12" customHeight="1" thickBot="1">
      <c r="A138" s="640" t="s">
        <v>176</v>
      </c>
      <c r="B138" s="703" t="s">
        <v>510</v>
      </c>
      <c r="C138" s="642"/>
    </row>
    <row r="139" spans="1:3" ht="12" customHeight="1" thickBot="1">
      <c r="A139" s="644" t="s">
        <v>355</v>
      </c>
      <c r="B139" s="704" t="s">
        <v>511</v>
      </c>
      <c r="C139" s="687"/>
    </row>
    <row r="140" spans="1:3" ht="12" customHeight="1">
      <c r="A140" s="644" t="s">
        <v>357</v>
      </c>
      <c r="B140" s="704" t="s">
        <v>512</v>
      </c>
      <c r="C140" s="687"/>
    </row>
    <row r="141" spans="1:3" ht="12" customHeight="1">
      <c r="A141" s="644" t="s">
        <v>359</v>
      </c>
      <c r="B141" s="704" t="s">
        <v>513</v>
      </c>
      <c r="C141" s="700"/>
    </row>
    <row r="142" spans="1:3" ht="12" customHeight="1">
      <c r="A142" s="644" t="s">
        <v>361</v>
      </c>
      <c r="B142" s="704" t="s">
        <v>514</v>
      </c>
      <c r="C142" s="700"/>
    </row>
    <row r="143" spans="1:3" ht="12" customHeight="1" thickBot="1">
      <c r="A143" s="664" t="s">
        <v>363</v>
      </c>
      <c r="B143" s="705" t="s">
        <v>515</v>
      </c>
      <c r="C143" s="702"/>
    </row>
    <row r="144" spans="1:3" ht="12" customHeight="1" thickBot="1">
      <c r="A144" s="666" t="s">
        <v>365</v>
      </c>
      <c r="B144" s="706" t="s">
        <v>516</v>
      </c>
      <c r="C144" s="687"/>
    </row>
    <row r="145" spans="1:9" ht="12" customHeight="1" thickBot="1">
      <c r="A145" s="640" t="s">
        <v>177</v>
      </c>
      <c r="B145" s="703" t="s">
        <v>517</v>
      </c>
      <c r="C145" s="656"/>
    </row>
    <row r="146" spans="1:9" ht="12" customHeight="1" thickBot="1">
      <c r="A146" s="644" t="s">
        <v>378</v>
      </c>
      <c r="B146" s="704" t="s">
        <v>518</v>
      </c>
      <c r="C146" s="687"/>
    </row>
    <row r="147" spans="1:9" ht="12" customHeight="1" thickBot="1">
      <c r="A147" s="644" t="s">
        <v>380</v>
      </c>
      <c r="B147" s="704" t="s">
        <v>519</v>
      </c>
      <c r="C147" s="687"/>
    </row>
    <row r="148" spans="1:9" ht="12" customHeight="1" thickBot="1">
      <c r="A148" s="664" t="s">
        <v>382</v>
      </c>
      <c r="B148" s="705" t="s">
        <v>293</v>
      </c>
      <c r="C148" s="687"/>
    </row>
    <row r="149" spans="1:9" ht="12" customHeight="1" thickBot="1">
      <c r="A149" s="661" t="s">
        <v>384</v>
      </c>
      <c r="B149" s="707" t="s">
        <v>299</v>
      </c>
      <c r="C149" s="708"/>
    </row>
    <row r="150" spans="1:9" ht="12" customHeight="1" thickBot="1">
      <c r="A150" s="640" t="s">
        <v>178</v>
      </c>
      <c r="B150" s="703" t="s">
        <v>520</v>
      </c>
      <c r="C150" s="709"/>
    </row>
    <row r="151" spans="1:9" ht="12" customHeight="1">
      <c r="A151" s="644" t="s">
        <v>390</v>
      </c>
      <c r="B151" s="704" t="s">
        <v>521</v>
      </c>
      <c r="C151" s="700"/>
    </row>
    <row r="152" spans="1:9" ht="12" customHeight="1">
      <c r="A152" s="644" t="s">
        <v>392</v>
      </c>
      <c r="B152" s="704" t="s">
        <v>522</v>
      </c>
      <c r="C152" s="700"/>
    </row>
    <row r="153" spans="1:9" ht="12" customHeight="1">
      <c r="A153" s="644" t="s">
        <v>394</v>
      </c>
      <c r="B153" s="704" t="s">
        <v>523</v>
      </c>
      <c r="C153" s="700"/>
    </row>
    <row r="154" spans="1:9" ht="12" customHeight="1">
      <c r="A154" s="644" t="s">
        <v>396</v>
      </c>
      <c r="B154" s="704" t="s">
        <v>1496</v>
      </c>
      <c r="C154" s="700"/>
    </row>
    <row r="155" spans="1:9" ht="12" customHeight="1" thickBot="1">
      <c r="A155" s="644" t="s">
        <v>525</v>
      </c>
      <c r="B155" s="704" t="s">
        <v>526</v>
      </c>
      <c r="C155" s="700"/>
    </row>
    <row r="156" spans="1:9" ht="12" customHeight="1" thickBot="1">
      <c r="A156" s="640" t="s">
        <v>179</v>
      </c>
      <c r="B156" s="703" t="s">
        <v>527</v>
      </c>
      <c r="C156" s="710"/>
    </row>
    <row r="157" spans="1:9" ht="12" customHeight="1" thickBot="1">
      <c r="A157" s="640" t="s">
        <v>180</v>
      </c>
      <c r="B157" s="703" t="s">
        <v>294</v>
      </c>
      <c r="C157" s="710"/>
    </row>
    <row r="158" spans="1:9" ht="15.2" customHeight="1" thickBot="1">
      <c r="A158" s="640" t="s">
        <v>181</v>
      </c>
      <c r="B158" s="703" t="s">
        <v>528</v>
      </c>
      <c r="C158" s="711"/>
      <c r="F158" s="712"/>
      <c r="G158" s="713"/>
      <c r="H158" s="713"/>
      <c r="I158" s="713"/>
    </row>
    <row r="159" spans="1:9" s="643" customFormat="1" ht="17.25" customHeight="1" thickBot="1">
      <c r="A159" s="714" t="s">
        <v>182</v>
      </c>
      <c r="B159" s="715" t="s">
        <v>529</v>
      </c>
      <c r="C159" s="711"/>
      <c r="D159" s="900"/>
    </row>
    <row r="160" spans="1:9" ht="15.95" customHeight="1">
      <c r="A160" s="716"/>
      <c r="B160" s="716"/>
      <c r="C160" s="717">
        <f>C92-C159</f>
        <v>0</v>
      </c>
    </row>
    <row r="161" spans="1:4">
      <c r="A161" s="1221" t="s">
        <v>530</v>
      </c>
      <c r="B161" s="1221"/>
      <c r="C161" s="1221"/>
    </row>
    <row r="162" spans="1:4" ht="15.2" customHeight="1" thickBot="1">
      <c r="A162" s="1216" t="s">
        <v>1497</v>
      </c>
      <c r="B162" s="1216"/>
      <c r="C162" s="718" t="str">
        <f>C95</f>
        <v>Forintban!</v>
      </c>
    </row>
    <row r="163" spans="1:4" ht="13.5" customHeight="1" thickBot="1">
      <c r="A163" s="640">
        <v>1</v>
      </c>
      <c r="B163" s="719" t="s">
        <v>531</v>
      </c>
      <c r="C163" s="642">
        <f>+C67-C133</f>
        <v>0</v>
      </c>
      <c r="D163" s="720"/>
    </row>
    <row r="164" spans="1:4" ht="27.75" customHeight="1" thickBot="1">
      <c r="A164" s="640" t="s">
        <v>173</v>
      </c>
      <c r="B164" s="719" t="s">
        <v>1498</v>
      </c>
      <c r="C164" s="642">
        <f>+C91-C158</f>
        <v>0</v>
      </c>
    </row>
  </sheetData>
  <mergeCells count="7">
    <mergeCell ref="A162:B162"/>
    <mergeCell ref="B1:C1"/>
    <mergeCell ref="A6:C6"/>
    <mergeCell ref="A7:B7"/>
    <mergeCell ref="A94:C94"/>
    <mergeCell ref="A95:B95"/>
    <mergeCell ref="A161:C161"/>
  </mergeCells>
  <pageMargins left="0.19685039370078741" right="0.11811023622047245" top="0.35433070866141736" bottom="0.55118110236220474" header="0.31496062992125984" footer="0.31496062992125984"/>
  <pageSetup paperSize="9" fitToHeight="0" orientation="landscape" r:id="rId1"/>
  <headerFooter>
    <oddHeader>&amp;RRáckeve Város 2020 évi költségvetés melléklete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4"/>
  <sheetViews>
    <sheetView workbookViewId="0">
      <selection activeCell="B14" sqref="B14"/>
    </sheetView>
  </sheetViews>
  <sheetFormatPr defaultRowHeight="12.75"/>
  <cols>
    <col min="1" max="1" width="5.85546875" style="723" customWidth="1"/>
    <col min="2" max="2" width="47.28515625" style="726" customWidth="1"/>
    <col min="3" max="3" width="14" style="723" customWidth="1"/>
    <col min="4" max="4" width="47.28515625" style="723" customWidth="1"/>
    <col min="5" max="5" width="14" style="723" customWidth="1"/>
    <col min="6" max="6" width="4.140625" style="723" customWidth="1"/>
    <col min="7" max="256" width="9.140625" style="723"/>
    <col min="257" max="257" width="5.85546875" style="723" customWidth="1"/>
    <col min="258" max="258" width="47.28515625" style="723" customWidth="1"/>
    <col min="259" max="259" width="14" style="723" customWidth="1"/>
    <col min="260" max="260" width="47.28515625" style="723" customWidth="1"/>
    <col min="261" max="261" width="14" style="723" customWidth="1"/>
    <col min="262" max="262" width="4.140625" style="723" customWidth="1"/>
    <col min="263" max="512" width="9.140625" style="723"/>
    <col min="513" max="513" width="5.85546875" style="723" customWidth="1"/>
    <col min="514" max="514" width="47.28515625" style="723" customWidth="1"/>
    <col min="515" max="515" width="14" style="723" customWidth="1"/>
    <col min="516" max="516" width="47.28515625" style="723" customWidth="1"/>
    <col min="517" max="517" width="14" style="723" customWidth="1"/>
    <col min="518" max="518" width="4.140625" style="723" customWidth="1"/>
    <col min="519" max="768" width="9.140625" style="723"/>
    <col min="769" max="769" width="5.85546875" style="723" customWidth="1"/>
    <col min="770" max="770" width="47.28515625" style="723" customWidth="1"/>
    <col min="771" max="771" width="14" style="723" customWidth="1"/>
    <col min="772" max="772" width="47.28515625" style="723" customWidth="1"/>
    <col min="773" max="773" width="14" style="723" customWidth="1"/>
    <col min="774" max="774" width="4.140625" style="723" customWidth="1"/>
    <col min="775" max="1024" width="9.140625" style="723"/>
    <col min="1025" max="1025" width="5.85546875" style="723" customWidth="1"/>
    <col min="1026" max="1026" width="47.28515625" style="723" customWidth="1"/>
    <col min="1027" max="1027" width="14" style="723" customWidth="1"/>
    <col min="1028" max="1028" width="47.28515625" style="723" customWidth="1"/>
    <col min="1029" max="1029" width="14" style="723" customWidth="1"/>
    <col min="1030" max="1030" width="4.140625" style="723" customWidth="1"/>
    <col min="1031" max="1280" width="9.140625" style="723"/>
    <col min="1281" max="1281" width="5.85546875" style="723" customWidth="1"/>
    <col min="1282" max="1282" width="47.28515625" style="723" customWidth="1"/>
    <col min="1283" max="1283" width="14" style="723" customWidth="1"/>
    <col min="1284" max="1284" width="47.28515625" style="723" customWidth="1"/>
    <col min="1285" max="1285" width="14" style="723" customWidth="1"/>
    <col min="1286" max="1286" width="4.140625" style="723" customWidth="1"/>
    <col min="1287" max="1536" width="9.140625" style="723"/>
    <col min="1537" max="1537" width="5.85546875" style="723" customWidth="1"/>
    <col min="1538" max="1538" width="47.28515625" style="723" customWidth="1"/>
    <col min="1539" max="1539" width="14" style="723" customWidth="1"/>
    <col min="1540" max="1540" width="47.28515625" style="723" customWidth="1"/>
    <col min="1541" max="1541" width="14" style="723" customWidth="1"/>
    <col min="1542" max="1542" width="4.140625" style="723" customWidth="1"/>
    <col min="1543" max="1792" width="9.140625" style="723"/>
    <col min="1793" max="1793" width="5.85546875" style="723" customWidth="1"/>
    <col min="1794" max="1794" width="47.28515625" style="723" customWidth="1"/>
    <col min="1795" max="1795" width="14" style="723" customWidth="1"/>
    <col min="1796" max="1796" width="47.28515625" style="723" customWidth="1"/>
    <col min="1797" max="1797" width="14" style="723" customWidth="1"/>
    <col min="1798" max="1798" width="4.140625" style="723" customWidth="1"/>
    <col min="1799" max="2048" width="9.140625" style="723"/>
    <col min="2049" max="2049" width="5.85546875" style="723" customWidth="1"/>
    <col min="2050" max="2050" width="47.28515625" style="723" customWidth="1"/>
    <col min="2051" max="2051" width="14" style="723" customWidth="1"/>
    <col min="2052" max="2052" width="47.28515625" style="723" customWidth="1"/>
    <col min="2053" max="2053" width="14" style="723" customWidth="1"/>
    <col min="2054" max="2054" width="4.140625" style="723" customWidth="1"/>
    <col min="2055" max="2304" width="9.140625" style="723"/>
    <col min="2305" max="2305" width="5.85546875" style="723" customWidth="1"/>
    <col min="2306" max="2306" width="47.28515625" style="723" customWidth="1"/>
    <col min="2307" max="2307" width="14" style="723" customWidth="1"/>
    <col min="2308" max="2308" width="47.28515625" style="723" customWidth="1"/>
    <col min="2309" max="2309" width="14" style="723" customWidth="1"/>
    <col min="2310" max="2310" width="4.140625" style="723" customWidth="1"/>
    <col min="2311" max="2560" width="9.140625" style="723"/>
    <col min="2561" max="2561" width="5.85546875" style="723" customWidth="1"/>
    <col min="2562" max="2562" width="47.28515625" style="723" customWidth="1"/>
    <col min="2563" max="2563" width="14" style="723" customWidth="1"/>
    <col min="2564" max="2564" width="47.28515625" style="723" customWidth="1"/>
    <col min="2565" max="2565" width="14" style="723" customWidth="1"/>
    <col min="2566" max="2566" width="4.140625" style="723" customWidth="1"/>
    <col min="2567" max="2816" width="9.140625" style="723"/>
    <col min="2817" max="2817" width="5.85546875" style="723" customWidth="1"/>
    <col min="2818" max="2818" width="47.28515625" style="723" customWidth="1"/>
    <col min="2819" max="2819" width="14" style="723" customWidth="1"/>
    <col min="2820" max="2820" width="47.28515625" style="723" customWidth="1"/>
    <col min="2821" max="2821" width="14" style="723" customWidth="1"/>
    <col min="2822" max="2822" width="4.140625" style="723" customWidth="1"/>
    <col min="2823" max="3072" width="9.140625" style="723"/>
    <col min="3073" max="3073" width="5.85546875" style="723" customWidth="1"/>
    <col min="3074" max="3074" width="47.28515625" style="723" customWidth="1"/>
    <col min="3075" max="3075" width="14" style="723" customWidth="1"/>
    <col min="3076" max="3076" width="47.28515625" style="723" customWidth="1"/>
    <col min="3077" max="3077" width="14" style="723" customWidth="1"/>
    <col min="3078" max="3078" width="4.140625" style="723" customWidth="1"/>
    <col min="3079" max="3328" width="9.140625" style="723"/>
    <col min="3329" max="3329" width="5.85546875" style="723" customWidth="1"/>
    <col min="3330" max="3330" width="47.28515625" style="723" customWidth="1"/>
    <col min="3331" max="3331" width="14" style="723" customWidth="1"/>
    <col min="3332" max="3332" width="47.28515625" style="723" customWidth="1"/>
    <col min="3333" max="3333" width="14" style="723" customWidth="1"/>
    <col min="3334" max="3334" width="4.140625" style="723" customWidth="1"/>
    <col min="3335" max="3584" width="9.140625" style="723"/>
    <col min="3585" max="3585" width="5.85546875" style="723" customWidth="1"/>
    <col min="3586" max="3586" width="47.28515625" style="723" customWidth="1"/>
    <col min="3587" max="3587" width="14" style="723" customWidth="1"/>
    <col min="3588" max="3588" width="47.28515625" style="723" customWidth="1"/>
    <col min="3589" max="3589" width="14" style="723" customWidth="1"/>
    <col min="3590" max="3590" width="4.140625" style="723" customWidth="1"/>
    <col min="3591" max="3840" width="9.140625" style="723"/>
    <col min="3841" max="3841" width="5.85546875" style="723" customWidth="1"/>
    <col min="3842" max="3842" width="47.28515625" style="723" customWidth="1"/>
    <col min="3843" max="3843" width="14" style="723" customWidth="1"/>
    <col min="3844" max="3844" width="47.28515625" style="723" customWidth="1"/>
    <col min="3845" max="3845" width="14" style="723" customWidth="1"/>
    <col min="3846" max="3846" width="4.140625" style="723" customWidth="1"/>
    <col min="3847" max="4096" width="9.140625" style="723"/>
    <col min="4097" max="4097" width="5.85546875" style="723" customWidth="1"/>
    <col min="4098" max="4098" width="47.28515625" style="723" customWidth="1"/>
    <col min="4099" max="4099" width="14" style="723" customWidth="1"/>
    <col min="4100" max="4100" width="47.28515625" style="723" customWidth="1"/>
    <col min="4101" max="4101" width="14" style="723" customWidth="1"/>
    <col min="4102" max="4102" width="4.140625" style="723" customWidth="1"/>
    <col min="4103" max="4352" width="9.140625" style="723"/>
    <col min="4353" max="4353" width="5.85546875" style="723" customWidth="1"/>
    <col min="4354" max="4354" width="47.28515625" style="723" customWidth="1"/>
    <col min="4355" max="4355" width="14" style="723" customWidth="1"/>
    <col min="4356" max="4356" width="47.28515625" style="723" customWidth="1"/>
    <col min="4357" max="4357" width="14" style="723" customWidth="1"/>
    <col min="4358" max="4358" width="4.140625" style="723" customWidth="1"/>
    <col min="4359" max="4608" width="9.140625" style="723"/>
    <col min="4609" max="4609" width="5.85546875" style="723" customWidth="1"/>
    <col min="4610" max="4610" width="47.28515625" style="723" customWidth="1"/>
    <col min="4611" max="4611" width="14" style="723" customWidth="1"/>
    <col min="4612" max="4612" width="47.28515625" style="723" customWidth="1"/>
    <col min="4613" max="4613" width="14" style="723" customWidth="1"/>
    <col min="4614" max="4614" width="4.140625" style="723" customWidth="1"/>
    <col min="4615" max="4864" width="9.140625" style="723"/>
    <col min="4865" max="4865" width="5.85546875" style="723" customWidth="1"/>
    <col min="4866" max="4866" width="47.28515625" style="723" customWidth="1"/>
    <col min="4867" max="4867" width="14" style="723" customWidth="1"/>
    <col min="4868" max="4868" width="47.28515625" style="723" customWidth="1"/>
    <col min="4869" max="4869" width="14" style="723" customWidth="1"/>
    <col min="4870" max="4870" width="4.140625" style="723" customWidth="1"/>
    <col min="4871" max="5120" width="9.140625" style="723"/>
    <col min="5121" max="5121" width="5.85546875" style="723" customWidth="1"/>
    <col min="5122" max="5122" width="47.28515625" style="723" customWidth="1"/>
    <col min="5123" max="5123" width="14" style="723" customWidth="1"/>
    <col min="5124" max="5124" width="47.28515625" style="723" customWidth="1"/>
    <col min="5125" max="5125" width="14" style="723" customWidth="1"/>
    <col min="5126" max="5126" width="4.140625" style="723" customWidth="1"/>
    <col min="5127" max="5376" width="9.140625" style="723"/>
    <col min="5377" max="5377" width="5.85546875" style="723" customWidth="1"/>
    <col min="5378" max="5378" width="47.28515625" style="723" customWidth="1"/>
    <col min="5379" max="5379" width="14" style="723" customWidth="1"/>
    <col min="5380" max="5380" width="47.28515625" style="723" customWidth="1"/>
    <col min="5381" max="5381" width="14" style="723" customWidth="1"/>
    <col min="5382" max="5382" width="4.140625" style="723" customWidth="1"/>
    <col min="5383" max="5632" width="9.140625" style="723"/>
    <col min="5633" max="5633" width="5.85546875" style="723" customWidth="1"/>
    <col min="5634" max="5634" width="47.28515625" style="723" customWidth="1"/>
    <col min="5635" max="5635" width="14" style="723" customWidth="1"/>
    <col min="5636" max="5636" width="47.28515625" style="723" customWidth="1"/>
    <col min="5637" max="5637" width="14" style="723" customWidth="1"/>
    <col min="5638" max="5638" width="4.140625" style="723" customWidth="1"/>
    <col min="5639" max="5888" width="9.140625" style="723"/>
    <col min="5889" max="5889" width="5.85546875" style="723" customWidth="1"/>
    <col min="5890" max="5890" width="47.28515625" style="723" customWidth="1"/>
    <col min="5891" max="5891" width="14" style="723" customWidth="1"/>
    <col min="5892" max="5892" width="47.28515625" style="723" customWidth="1"/>
    <col min="5893" max="5893" width="14" style="723" customWidth="1"/>
    <col min="5894" max="5894" width="4.140625" style="723" customWidth="1"/>
    <col min="5895" max="6144" width="9.140625" style="723"/>
    <col min="6145" max="6145" width="5.85546875" style="723" customWidth="1"/>
    <col min="6146" max="6146" width="47.28515625" style="723" customWidth="1"/>
    <col min="6147" max="6147" width="14" style="723" customWidth="1"/>
    <col min="6148" max="6148" width="47.28515625" style="723" customWidth="1"/>
    <col min="6149" max="6149" width="14" style="723" customWidth="1"/>
    <col min="6150" max="6150" width="4.140625" style="723" customWidth="1"/>
    <col min="6151" max="6400" width="9.140625" style="723"/>
    <col min="6401" max="6401" width="5.85546875" style="723" customWidth="1"/>
    <col min="6402" max="6402" width="47.28515625" style="723" customWidth="1"/>
    <col min="6403" max="6403" width="14" style="723" customWidth="1"/>
    <col min="6404" max="6404" width="47.28515625" style="723" customWidth="1"/>
    <col min="6405" max="6405" width="14" style="723" customWidth="1"/>
    <col min="6406" max="6406" width="4.140625" style="723" customWidth="1"/>
    <col min="6407" max="6656" width="9.140625" style="723"/>
    <col min="6657" max="6657" width="5.85546875" style="723" customWidth="1"/>
    <col min="6658" max="6658" width="47.28515625" style="723" customWidth="1"/>
    <col min="6659" max="6659" width="14" style="723" customWidth="1"/>
    <col min="6660" max="6660" width="47.28515625" style="723" customWidth="1"/>
    <col min="6661" max="6661" width="14" style="723" customWidth="1"/>
    <col min="6662" max="6662" width="4.140625" style="723" customWidth="1"/>
    <col min="6663" max="6912" width="9.140625" style="723"/>
    <col min="6913" max="6913" width="5.85546875" style="723" customWidth="1"/>
    <col min="6914" max="6914" width="47.28515625" style="723" customWidth="1"/>
    <col min="6915" max="6915" width="14" style="723" customWidth="1"/>
    <col min="6916" max="6916" width="47.28515625" style="723" customWidth="1"/>
    <col min="6917" max="6917" width="14" style="723" customWidth="1"/>
    <col min="6918" max="6918" width="4.140625" style="723" customWidth="1"/>
    <col min="6919" max="7168" width="9.140625" style="723"/>
    <col min="7169" max="7169" width="5.85546875" style="723" customWidth="1"/>
    <col min="7170" max="7170" width="47.28515625" style="723" customWidth="1"/>
    <col min="7171" max="7171" width="14" style="723" customWidth="1"/>
    <col min="7172" max="7172" width="47.28515625" style="723" customWidth="1"/>
    <col min="7173" max="7173" width="14" style="723" customWidth="1"/>
    <col min="7174" max="7174" width="4.140625" style="723" customWidth="1"/>
    <col min="7175" max="7424" width="9.140625" style="723"/>
    <col min="7425" max="7425" width="5.85546875" style="723" customWidth="1"/>
    <col min="7426" max="7426" width="47.28515625" style="723" customWidth="1"/>
    <col min="7427" max="7427" width="14" style="723" customWidth="1"/>
    <col min="7428" max="7428" width="47.28515625" style="723" customWidth="1"/>
    <col min="7429" max="7429" width="14" style="723" customWidth="1"/>
    <col min="7430" max="7430" width="4.140625" style="723" customWidth="1"/>
    <col min="7431" max="7680" width="9.140625" style="723"/>
    <col min="7681" max="7681" width="5.85546875" style="723" customWidth="1"/>
    <col min="7682" max="7682" width="47.28515625" style="723" customWidth="1"/>
    <col min="7683" max="7683" width="14" style="723" customWidth="1"/>
    <col min="7684" max="7684" width="47.28515625" style="723" customWidth="1"/>
    <col min="7685" max="7685" width="14" style="723" customWidth="1"/>
    <col min="7686" max="7686" width="4.140625" style="723" customWidth="1"/>
    <col min="7687" max="7936" width="9.140625" style="723"/>
    <col min="7937" max="7937" width="5.85546875" style="723" customWidth="1"/>
    <col min="7938" max="7938" width="47.28515625" style="723" customWidth="1"/>
    <col min="7939" max="7939" width="14" style="723" customWidth="1"/>
    <col min="7940" max="7940" width="47.28515625" style="723" customWidth="1"/>
    <col min="7941" max="7941" width="14" style="723" customWidth="1"/>
    <col min="7942" max="7942" width="4.140625" style="723" customWidth="1"/>
    <col min="7943" max="8192" width="9.140625" style="723"/>
    <col min="8193" max="8193" width="5.85546875" style="723" customWidth="1"/>
    <col min="8194" max="8194" width="47.28515625" style="723" customWidth="1"/>
    <col min="8195" max="8195" width="14" style="723" customWidth="1"/>
    <col min="8196" max="8196" width="47.28515625" style="723" customWidth="1"/>
    <col min="8197" max="8197" width="14" style="723" customWidth="1"/>
    <col min="8198" max="8198" width="4.140625" style="723" customWidth="1"/>
    <col min="8199" max="8448" width="9.140625" style="723"/>
    <col min="8449" max="8449" width="5.85546875" style="723" customWidth="1"/>
    <col min="8450" max="8450" width="47.28515625" style="723" customWidth="1"/>
    <col min="8451" max="8451" width="14" style="723" customWidth="1"/>
    <col min="8452" max="8452" width="47.28515625" style="723" customWidth="1"/>
    <col min="8453" max="8453" width="14" style="723" customWidth="1"/>
    <col min="8454" max="8454" width="4.140625" style="723" customWidth="1"/>
    <col min="8455" max="8704" width="9.140625" style="723"/>
    <col min="8705" max="8705" width="5.85546875" style="723" customWidth="1"/>
    <col min="8706" max="8706" width="47.28515625" style="723" customWidth="1"/>
    <col min="8707" max="8707" width="14" style="723" customWidth="1"/>
    <col min="8708" max="8708" width="47.28515625" style="723" customWidth="1"/>
    <col min="8709" max="8709" width="14" style="723" customWidth="1"/>
    <col min="8710" max="8710" width="4.140625" style="723" customWidth="1"/>
    <col min="8711" max="8960" width="9.140625" style="723"/>
    <col min="8961" max="8961" width="5.85546875" style="723" customWidth="1"/>
    <col min="8962" max="8962" width="47.28515625" style="723" customWidth="1"/>
    <col min="8963" max="8963" width="14" style="723" customWidth="1"/>
    <col min="8964" max="8964" width="47.28515625" style="723" customWidth="1"/>
    <col min="8965" max="8965" width="14" style="723" customWidth="1"/>
    <col min="8966" max="8966" width="4.140625" style="723" customWidth="1"/>
    <col min="8967" max="9216" width="9.140625" style="723"/>
    <col min="9217" max="9217" width="5.85546875" style="723" customWidth="1"/>
    <col min="9218" max="9218" width="47.28515625" style="723" customWidth="1"/>
    <col min="9219" max="9219" width="14" style="723" customWidth="1"/>
    <col min="9220" max="9220" width="47.28515625" style="723" customWidth="1"/>
    <col min="9221" max="9221" width="14" style="723" customWidth="1"/>
    <col min="9222" max="9222" width="4.140625" style="723" customWidth="1"/>
    <col min="9223" max="9472" width="9.140625" style="723"/>
    <col min="9473" max="9473" width="5.85546875" style="723" customWidth="1"/>
    <col min="9474" max="9474" width="47.28515625" style="723" customWidth="1"/>
    <col min="9475" max="9475" width="14" style="723" customWidth="1"/>
    <col min="9476" max="9476" width="47.28515625" style="723" customWidth="1"/>
    <col min="9477" max="9477" width="14" style="723" customWidth="1"/>
    <col min="9478" max="9478" width="4.140625" style="723" customWidth="1"/>
    <col min="9479" max="9728" width="9.140625" style="723"/>
    <col min="9729" max="9729" width="5.85546875" style="723" customWidth="1"/>
    <col min="9730" max="9730" width="47.28515625" style="723" customWidth="1"/>
    <col min="9731" max="9731" width="14" style="723" customWidth="1"/>
    <col min="9732" max="9732" width="47.28515625" style="723" customWidth="1"/>
    <col min="9733" max="9733" width="14" style="723" customWidth="1"/>
    <col min="9734" max="9734" width="4.140625" style="723" customWidth="1"/>
    <col min="9735" max="9984" width="9.140625" style="723"/>
    <col min="9985" max="9985" width="5.85546875" style="723" customWidth="1"/>
    <col min="9986" max="9986" width="47.28515625" style="723" customWidth="1"/>
    <col min="9987" max="9987" width="14" style="723" customWidth="1"/>
    <col min="9988" max="9988" width="47.28515625" style="723" customWidth="1"/>
    <col min="9989" max="9989" width="14" style="723" customWidth="1"/>
    <col min="9990" max="9990" width="4.140625" style="723" customWidth="1"/>
    <col min="9991" max="10240" width="9.140625" style="723"/>
    <col min="10241" max="10241" width="5.85546875" style="723" customWidth="1"/>
    <col min="10242" max="10242" width="47.28515625" style="723" customWidth="1"/>
    <col min="10243" max="10243" width="14" style="723" customWidth="1"/>
    <col min="10244" max="10244" width="47.28515625" style="723" customWidth="1"/>
    <col min="10245" max="10245" width="14" style="723" customWidth="1"/>
    <col min="10246" max="10246" width="4.140625" style="723" customWidth="1"/>
    <col min="10247" max="10496" width="9.140625" style="723"/>
    <col min="10497" max="10497" width="5.85546875" style="723" customWidth="1"/>
    <col min="10498" max="10498" width="47.28515625" style="723" customWidth="1"/>
    <col min="10499" max="10499" width="14" style="723" customWidth="1"/>
    <col min="10500" max="10500" width="47.28515625" style="723" customWidth="1"/>
    <col min="10501" max="10501" width="14" style="723" customWidth="1"/>
    <col min="10502" max="10502" width="4.140625" style="723" customWidth="1"/>
    <col min="10503" max="10752" width="9.140625" style="723"/>
    <col min="10753" max="10753" width="5.85546875" style="723" customWidth="1"/>
    <col min="10754" max="10754" width="47.28515625" style="723" customWidth="1"/>
    <col min="10755" max="10755" width="14" style="723" customWidth="1"/>
    <col min="10756" max="10756" width="47.28515625" style="723" customWidth="1"/>
    <col min="10757" max="10757" width="14" style="723" customWidth="1"/>
    <col min="10758" max="10758" width="4.140625" style="723" customWidth="1"/>
    <col min="10759" max="11008" width="9.140625" style="723"/>
    <col min="11009" max="11009" width="5.85546875" style="723" customWidth="1"/>
    <col min="11010" max="11010" width="47.28515625" style="723" customWidth="1"/>
    <col min="11011" max="11011" width="14" style="723" customWidth="1"/>
    <col min="11012" max="11012" width="47.28515625" style="723" customWidth="1"/>
    <col min="11013" max="11013" width="14" style="723" customWidth="1"/>
    <col min="11014" max="11014" width="4.140625" style="723" customWidth="1"/>
    <col min="11015" max="11264" width="9.140625" style="723"/>
    <col min="11265" max="11265" width="5.85546875" style="723" customWidth="1"/>
    <col min="11266" max="11266" width="47.28515625" style="723" customWidth="1"/>
    <col min="11267" max="11267" width="14" style="723" customWidth="1"/>
    <col min="11268" max="11268" width="47.28515625" style="723" customWidth="1"/>
    <col min="11269" max="11269" width="14" style="723" customWidth="1"/>
    <col min="11270" max="11270" width="4.140625" style="723" customWidth="1"/>
    <col min="11271" max="11520" width="9.140625" style="723"/>
    <col min="11521" max="11521" width="5.85546875" style="723" customWidth="1"/>
    <col min="11522" max="11522" width="47.28515625" style="723" customWidth="1"/>
    <col min="11523" max="11523" width="14" style="723" customWidth="1"/>
    <col min="11524" max="11524" width="47.28515625" style="723" customWidth="1"/>
    <col min="11525" max="11525" width="14" style="723" customWidth="1"/>
    <col min="11526" max="11526" width="4.140625" style="723" customWidth="1"/>
    <col min="11527" max="11776" width="9.140625" style="723"/>
    <col min="11777" max="11777" width="5.85546875" style="723" customWidth="1"/>
    <col min="11778" max="11778" width="47.28515625" style="723" customWidth="1"/>
    <col min="11779" max="11779" width="14" style="723" customWidth="1"/>
    <col min="11780" max="11780" width="47.28515625" style="723" customWidth="1"/>
    <col min="11781" max="11781" width="14" style="723" customWidth="1"/>
    <col min="11782" max="11782" width="4.140625" style="723" customWidth="1"/>
    <col min="11783" max="12032" width="9.140625" style="723"/>
    <col min="12033" max="12033" width="5.85546875" style="723" customWidth="1"/>
    <col min="12034" max="12034" width="47.28515625" style="723" customWidth="1"/>
    <col min="12035" max="12035" width="14" style="723" customWidth="1"/>
    <col min="12036" max="12036" width="47.28515625" style="723" customWidth="1"/>
    <col min="12037" max="12037" width="14" style="723" customWidth="1"/>
    <col min="12038" max="12038" width="4.140625" style="723" customWidth="1"/>
    <col min="12039" max="12288" width="9.140625" style="723"/>
    <col min="12289" max="12289" width="5.85546875" style="723" customWidth="1"/>
    <col min="12290" max="12290" width="47.28515625" style="723" customWidth="1"/>
    <col min="12291" max="12291" width="14" style="723" customWidth="1"/>
    <col min="12292" max="12292" width="47.28515625" style="723" customWidth="1"/>
    <col min="12293" max="12293" width="14" style="723" customWidth="1"/>
    <col min="12294" max="12294" width="4.140625" style="723" customWidth="1"/>
    <col min="12295" max="12544" width="9.140625" style="723"/>
    <col min="12545" max="12545" width="5.85546875" style="723" customWidth="1"/>
    <col min="12546" max="12546" width="47.28515625" style="723" customWidth="1"/>
    <col min="12547" max="12547" width="14" style="723" customWidth="1"/>
    <col min="12548" max="12548" width="47.28515625" style="723" customWidth="1"/>
    <col min="12549" max="12549" width="14" style="723" customWidth="1"/>
    <col min="12550" max="12550" width="4.140625" style="723" customWidth="1"/>
    <col min="12551" max="12800" width="9.140625" style="723"/>
    <col min="12801" max="12801" width="5.85546875" style="723" customWidth="1"/>
    <col min="12802" max="12802" width="47.28515625" style="723" customWidth="1"/>
    <col min="12803" max="12803" width="14" style="723" customWidth="1"/>
    <col min="12804" max="12804" width="47.28515625" style="723" customWidth="1"/>
    <col min="12805" max="12805" width="14" style="723" customWidth="1"/>
    <col min="12806" max="12806" width="4.140625" style="723" customWidth="1"/>
    <col min="12807" max="13056" width="9.140625" style="723"/>
    <col min="13057" max="13057" width="5.85546875" style="723" customWidth="1"/>
    <col min="13058" max="13058" width="47.28515625" style="723" customWidth="1"/>
    <col min="13059" max="13059" width="14" style="723" customWidth="1"/>
    <col min="13060" max="13060" width="47.28515625" style="723" customWidth="1"/>
    <col min="13061" max="13061" width="14" style="723" customWidth="1"/>
    <col min="13062" max="13062" width="4.140625" style="723" customWidth="1"/>
    <col min="13063" max="13312" width="9.140625" style="723"/>
    <col min="13313" max="13313" width="5.85546875" style="723" customWidth="1"/>
    <col min="13314" max="13314" width="47.28515625" style="723" customWidth="1"/>
    <col min="13315" max="13315" width="14" style="723" customWidth="1"/>
    <col min="13316" max="13316" width="47.28515625" style="723" customWidth="1"/>
    <col min="13317" max="13317" width="14" style="723" customWidth="1"/>
    <col min="13318" max="13318" width="4.140625" style="723" customWidth="1"/>
    <col min="13319" max="13568" width="9.140625" style="723"/>
    <col min="13569" max="13569" width="5.85546875" style="723" customWidth="1"/>
    <col min="13570" max="13570" width="47.28515625" style="723" customWidth="1"/>
    <col min="13571" max="13571" width="14" style="723" customWidth="1"/>
    <col min="13572" max="13572" width="47.28515625" style="723" customWidth="1"/>
    <col min="13573" max="13573" width="14" style="723" customWidth="1"/>
    <col min="13574" max="13574" width="4.140625" style="723" customWidth="1"/>
    <col min="13575" max="13824" width="9.140625" style="723"/>
    <col min="13825" max="13825" width="5.85546875" style="723" customWidth="1"/>
    <col min="13826" max="13826" width="47.28515625" style="723" customWidth="1"/>
    <col min="13827" max="13827" width="14" style="723" customWidth="1"/>
    <col min="13828" max="13828" width="47.28515625" style="723" customWidth="1"/>
    <col min="13829" max="13829" width="14" style="723" customWidth="1"/>
    <col min="13830" max="13830" width="4.140625" style="723" customWidth="1"/>
    <col min="13831" max="14080" width="9.140625" style="723"/>
    <col min="14081" max="14081" width="5.85546875" style="723" customWidth="1"/>
    <col min="14082" max="14082" width="47.28515625" style="723" customWidth="1"/>
    <col min="14083" max="14083" width="14" style="723" customWidth="1"/>
    <col min="14084" max="14084" width="47.28515625" style="723" customWidth="1"/>
    <col min="14085" max="14085" width="14" style="723" customWidth="1"/>
    <col min="14086" max="14086" width="4.140625" style="723" customWidth="1"/>
    <col min="14087" max="14336" width="9.140625" style="723"/>
    <col min="14337" max="14337" width="5.85546875" style="723" customWidth="1"/>
    <col min="14338" max="14338" width="47.28515625" style="723" customWidth="1"/>
    <col min="14339" max="14339" width="14" style="723" customWidth="1"/>
    <col min="14340" max="14340" width="47.28515625" style="723" customWidth="1"/>
    <col min="14341" max="14341" width="14" style="723" customWidth="1"/>
    <col min="14342" max="14342" width="4.140625" style="723" customWidth="1"/>
    <col min="14343" max="14592" width="9.140625" style="723"/>
    <col min="14593" max="14593" width="5.85546875" style="723" customWidth="1"/>
    <col min="14594" max="14594" width="47.28515625" style="723" customWidth="1"/>
    <col min="14595" max="14595" width="14" style="723" customWidth="1"/>
    <col min="14596" max="14596" width="47.28515625" style="723" customWidth="1"/>
    <col min="14597" max="14597" width="14" style="723" customWidth="1"/>
    <col min="14598" max="14598" width="4.140625" style="723" customWidth="1"/>
    <col min="14599" max="14848" width="9.140625" style="723"/>
    <col min="14849" max="14849" width="5.85546875" style="723" customWidth="1"/>
    <col min="14850" max="14850" width="47.28515625" style="723" customWidth="1"/>
    <col min="14851" max="14851" width="14" style="723" customWidth="1"/>
    <col min="14852" max="14852" width="47.28515625" style="723" customWidth="1"/>
    <col min="14853" max="14853" width="14" style="723" customWidth="1"/>
    <col min="14854" max="14854" width="4.140625" style="723" customWidth="1"/>
    <col min="14855" max="15104" width="9.140625" style="723"/>
    <col min="15105" max="15105" width="5.85546875" style="723" customWidth="1"/>
    <col min="15106" max="15106" width="47.28515625" style="723" customWidth="1"/>
    <col min="15107" max="15107" width="14" style="723" customWidth="1"/>
    <col min="15108" max="15108" width="47.28515625" style="723" customWidth="1"/>
    <col min="15109" max="15109" width="14" style="723" customWidth="1"/>
    <col min="15110" max="15110" width="4.140625" style="723" customWidth="1"/>
    <col min="15111" max="15360" width="9.140625" style="723"/>
    <col min="15361" max="15361" width="5.85546875" style="723" customWidth="1"/>
    <col min="15362" max="15362" width="47.28515625" style="723" customWidth="1"/>
    <col min="15363" max="15363" width="14" style="723" customWidth="1"/>
    <col min="15364" max="15364" width="47.28515625" style="723" customWidth="1"/>
    <col min="15365" max="15365" width="14" style="723" customWidth="1"/>
    <col min="15366" max="15366" width="4.140625" style="723" customWidth="1"/>
    <col min="15367" max="15616" width="9.140625" style="723"/>
    <col min="15617" max="15617" width="5.85546875" style="723" customWidth="1"/>
    <col min="15618" max="15618" width="47.28515625" style="723" customWidth="1"/>
    <col min="15619" max="15619" width="14" style="723" customWidth="1"/>
    <col min="15620" max="15620" width="47.28515625" style="723" customWidth="1"/>
    <col min="15621" max="15621" width="14" style="723" customWidth="1"/>
    <col min="15622" max="15622" width="4.140625" style="723" customWidth="1"/>
    <col min="15623" max="15872" width="9.140625" style="723"/>
    <col min="15873" max="15873" width="5.85546875" style="723" customWidth="1"/>
    <col min="15874" max="15874" width="47.28515625" style="723" customWidth="1"/>
    <col min="15875" max="15875" width="14" style="723" customWidth="1"/>
    <col min="15876" max="15876" width="47.28515625" style="723" customWidth="1"/>
    <col min="15877" max="15877" width="14" style="723" customWidth="1"/>
    <col min="15878" max="15878" width="4.140625" style="723" customWidth="1"/>
    <col min="15879" max="16128" width="9.140625" style="723"/>
    <col min="16129" max="16129" width="5.85546875" style="723" customWidth="1"/>
    <col min="16130" max="16130" width="47.28515625" style="723" customWidth="1"/>
    <col min="16131" max="16131" width="14" style="723" customWidth="1"/>
    <col min="16132" max="16132" width="47.28515625" style="723" customWidth="1"/>
    <col min="16133" max="16133" width="14" style="723" customWidth="1"/>
    <col min="16134" max="16134" width="4.140625" style="723" customWidth="1"/>
    <col min="16135" max="16384" width="9.140625" style="723"/>
  </cols>
  <sheetData>
    <row r="1" spans="1:6">
      <c r="D1" s="1118"/>
      <c r="E1" s="1118"/>
    </row>
    <row r="2" spans="1:6" ht="39.75" customHeight="1">
      <c r="B2" s="724" t="s">
        <v>1500</v>
      </c>
      <c r="C2" s="725"/>
      <c r="D2" s="725"/>
      <c r="E2" s="1118" t="s">
        <v>1710</v>
      </c>
      <c r="F2" s="1224"/>
    </row>
    <row r="3" spans="1:6" ht="13.5" thickBot="1">
      <c r="D3" s="1118"/>
      <c r="E3" s="727" t="str">
        <f>CONCATENATE([1]KV_1.1.sz.mell.!C7)</f>
        <v>Forintban!</v>
      </c>
      <c r="F3" s="1224"/>
    </row>
    <row r="4" spans="1:6" ht="18" customHeight="1" thickBot="1">
      <c r="A4" s="1225" t="s">
        <v>286</v>
      </c>
      <c r="B4" s="728" t="s">
        <v>584</v>
      </c>
      <c r="C4" s="729"/>
      <c r="D4" s="728" t="s">
        <v>1501</v>
      </c>
      <c r="E4" s="730"/>
      <c r="F4" s="1224"/>
    </row>
    <row r="5" spans="1:6" s="734" customFormat="1" ht="35.25" customHeight="1" thickBot="1">
      <c r="A5" s="1226"/>
      <c r="B5" s="731" t="s">
        <v>1058</v>
      </c>
      <c r="C5" s="732" t="str">
        <f>+[1]KV_1.1.sz.mell.!C8</f>
        <v>2020. évi előirányzat</v>
      </c>
      <c r="D5" s="731" t="s">
        <v>1058</v>
      </c>
      <c r="E5" s="733" t="str">
        <f>+C5</f>
        <v>2020. évi előirányzat</v>
      </c>
      <c r="F5" s="1224"/>
    </row>
    <row r="6" spans="1:6" s="739" customFormat="1" ht="12" customHeight="1" thickBot="1">
      <c r="A6" s="735"/>
      <c r="B6" s="736" t="s">
        <v>287</v>
      </c>
      <c r="C6" s="737" t="s">
        <v>268</v>
      </c>
      <c r="D6" s="736" t="s">
        <v>288</v>
      </c>
      <c r="E6" s="738" t="s">
        <v>1502</v>
      </c>
      <c r="F6" s="1224"/>
    </row>
    <row r="7" spans="1:6" ht="12.95" customHeight="1">
      <c r="A7" s="740" t="s">
        <v>172</v>
      </c>
      <c r="B7" s="741" t="s">
        <v>1503</v>
      </c>
      <c r="C7" s="742">
        <f>'1.'!C10</f>
        <v>1012426632</v>
      </c>
      <c r="D7" s="741" t="s">
        <v>1504</v>
      </c>
      <c r="E7" s="743">
        <f>'1.'!C99</f>
        <v>983392540</v>
      </c>
      <c r="F7" s="1224"/>
    </row>
    <row r="8" spans="1:6" ht="12.95" customHeight="1">
      <c r="A8" s="744" t="s">
        <v>173</v>
      </c>
      <c r="B8" s="745" t="s">
        <v>1505</v>
      </c>
      <c r="C8" s="746">
        <f>'1.'!C17</f>
        <v>537913170.96541262</v>
      </c>
      <c r="D8" s="745" t="s">
        <v>289</v>
      </c>
      <c r="E8" s="743">
        <f>'1.'!C100</f>
        <v>184289834.5</v>
      </c>
      <c r="F8" s="1224"/>
    </row>
    <row r="9" spans="1:6" ht="12.95" customHeight="1">
      <c r="A9" s="744" t="s">
        <v>174</v>
      </c>
      <c r="B9" s="745" t="s">
        <v>1506</v>
      </c>
      <c r="C9" s="746"/>
      <c r="D9" s="745" t="s">
        <v>1507</v>
      </c>
      <c r="E9" s="743">
        <f>'1.'!C101</f>
        <v>661367710.23000002</v>
      </c>
      <c r="F9" s="1224"/>
    </row>
    <row r="10" spans="1:6" ht="12.95" customHeight="1">
      <c r="A10" s="744" t="s">
        <v>175</v>
      </c>
      <c r="B10" s="745" t="s">
        <v>1508</v>
      </c>
      <c r="C10" s="746">
        <f>'1.'!C31</f>
        <v>485095000</v>
      </c>
      <c r="D10" s="745" t="s">
        <v>290</v>
      </c>
      <c r="E10" s="743">
        <f>'1.'!C102</f>
        <v>13000000</v>
      </c>
      <c r="F10" s="1224"/>
    </row>
    <row r="11" spans="1:6" ht="12.95" customHeight="1">
      <c r="A11" s="744" t="s">
        <v>176</v>
      </c>
      <c r="B11" s="748" t="s">
        <v>1509</v>
      </c>
      <c r="C11" s="746">
        <f>'1.'!C39</f>
        <v>231665967</v>
      </c>
      <c r="D11" s="745" t="s">
        <v>291</v>
      </c>
      <c r="E11" s="743">
        <f>'1.'!C103</f>
        <v>381231152.34441459</v>
      </c>
      <c r="F11" s="1224"/>
    </row>
    <row r="12" spans="1:6" ht="12.95" customHeight="1">
      <c r="A12" s="744" t="s">
        <v>177</v>
      </c>
      <c r="B12" s="745" t="s">
        <v>1510</v>
      </c>
      <c r="C12" s="749">
        <f>'1.'!C57</f>
        <v>300000</v>
      </c>
      <c r="D12" s="745" t="s">
        <v>292</v>
      </c>
      <c r="E12" s="743">
        <f>'3.c. tartalék'!F7+'3.c. tartalék'!F16</f>
        <v>67552241</v>
      </c>
      <c r="F12" s="1224"/>
    </row>
    <row r="13" spans="1:6" ht="12.95" customHeight="1">
      <c r="A13" s="744" t="s">
        <v>178</v>
      </c>
      <c r="B13" s="745" t="s">
        <v>1511</v>
      </c>
      <c r="C13" s="746"/>
      <c r="D13" s="750"/>
      <c r="E13" s="747"/>
      <c r="F13" s="1224"/>
    </row>
    <row r="14" spans="1:6" ht="12.95" customHeight="1">
      <c r="A14" s="744" t="s">
        <v>179</v>
      </c>
      <c r="B14" s="750"/>
      <c r="C14" s="746"/>
      <c r="D14" s="750"/>
      <c r="E14" s="747"/>
      <c r="F14" s="1224"/>
    </row>
    <row r="15" spans="1:6" ht="12.95" customHeight="1">
      <c r="A15" s="744" t="s">
        <v>180</v>
      </c>
      <c r="B15" s="751"/>
      <c r="C15" s="749"/>
      <c r="D15" s="750"/>
      <c r="E15" s="747"/>
      <c r="F15" s="1224"/>
    </row>
    <row r="16" spans="1:6" ht="12.95" customHeight="1">
      <c r="A16" s="744" t="s">
        <v>181</v>
      </c>
      <c r="B16" s="750"/>
      <c r="C16" s="746"/>
      <c r="D16" s="750"/>
      <c r="E16" s="747"/>
      <c r="F16" s="1224"/>
    </row>
    <row r="17" spans="1:6" ht="12.95" customHeight="1">
      <c r="A17" s="744" t="s">
        <v>182</v>
      </c>
      <c r="B17" s="750"/>
      <c r="C17" s="746"/>
      <c r="D17" s="750"/>
      <c r="E17" s="747"/>
      <c r="F17" s="1224"/>
    </row>
    <row r="18" spans="1:6" ht="12.95" customHeight="1" thickBot="1">
      <c r="A18" s="744" t="s">
        <v>183</v>
      </c>
      <c r="B18" s="752"/>
      <c r="C18" s="753"/>
      <c r="D18" s="750"/>
      <c r="E18" s="754"/>
      <c r="F18" s="1224"/>
    </row>
    <row r="19" spans="1:6" ht="15.95" customHeight="1" thickBot="1">
      <c r="A19" s="755" t="s">
        <v>184</v>
      </c>
      <c r="B19" s="756" t="s">
        <v>1512</v>
      </c>
      <c r="C19" s="757">
        <f>C7+C8+C10+C11+C12+C14+C15+C16+C17+C18</f>
        <v>2267400769.9654126</v>
      </c>
      <c r="D19" s="756" t="s">
        <v>1513</v>
      </c>
      <c r="E19" s="758">
        <f>SUM(E7:E18)</f>
        <v>2290833478.0744147</v>
      </c>
      <c r="F19" s="1224"/>
    </row>
    <row r="20" spans="1:6" ht="12.95" customHeight="1">
      <c r="A20" s="759" t="s">
        <v>185</v>
      </c>
      <c r="B20" s="760" t="s">
        <v>1514</v>
      </c>
      <c r="C20" s="761">
        <f>+C21+C22+C23+C24</f>
        <v>48000000</v>
      </c>
      <c r="D20" s="762" t="s">
        <v>1515</v>
      </c>
      <c r="E20" s="763"/>
      <c r="F20" s="1224"/>
    </row>
    <row r="21" spans="1:6" ht="12.95" customHeight="1">
      <c r="A21" s="764" t="s">
        <v>186</v>
      </c>
      <c r="B21" s="762" t="s">
        <v>1516</v>
      </c>
      <c r="C21" s="765">
        <v>48000000</v>
      </c>
      <c r="D21" s="762" t="s">
        <v>1517</v>
      </c>
      <c r="E21" s="766"/>
      <c r="F21" s="1224"/>
    </row>
    <row r="22" spans="1:6" ht="12.95" customHeight="1">
      <c r="A22" s="764" t="s">
        <v>187</v>
      </c>
      <c r="B22" s="762" t="s">
        <v>1518</v>
      </c>
      <c r="C22" s="765"/>
      <c r="D22" s="762" t="s">
        <v>1519</v>
      </c>
      <c r="E22" s="766"/>
      <c r="F22" s="1224"/>
    </row>
    <row r="23" spans="1:6" ht="12.95" customHeight="1">
      <c r="A23" s="764" t="s">
        <v>188</v>
      </c>
      <c r="B23" s="762" t="s">
        <v>1520</v>
      </c>
      <c r="C23" s="765"/>
      <c r="D23" s="762" t="s">
        <v>1521</v>
      </c>
      <c r="E23" s="766"/>
      <c r="F23" s="1224"/>
    </row>
    <row r="24" spans="1:6" ht="12.95" customHeight="1">
      <c r="A24" s="764" t="s">
        <v>189</v>
      </c>
      <c r="B24" s="767" t="s">
        <v>1522</v>
      </c>
      <c r="C24" s="765"/>
      <c r="D24" s="760" t="s">
        <v>1523</v>
      </c>
      <c r="E24" s="766">
        <f>'1.'!C147</f>
        <v>40868059</v>
      </c>
      <c r="F24" s="1224"/>
    </row>
    <row r="25" spans="1:6" ht="12.95" customHeight="1">
      <c r="A25" s="764" t="s">
        <v>190</v>
      </c>
      <c r="B25" s="762" t="s">
        <v>1524</v>
      </c>
      <c r="C25" s="768">
        <f>+C26+C27</f>
        <v>40868059</v>
      </c>
      <c r="D25" s="762" t="s">
        <v>1525</v>
      </c>
      <c r="E25" s="766"/>
      <c r="F25" s="1224"/>
    </row>
    <row r="26" spans="1:6" ht="12.95" customHeight="1">
      <c r="A26" s="759" t="s">
        <v>191</v>
      </c>
      <c r="B26" s="760" t="s">
        <v>1526</v>
      </c>
      <c r="C26" s="769"/>
      <c r="D26" s="741" t="s">
        <v>293</v>
      </c>
      <c r="E26" s="763"/>
      <c r="F26" s="1224"/>
    </row>
    <row r="27" spans="1:6" ht="12.95" customHeight="1">
      <c r="A27" s="764" t="s">
        <v>192</v>
      </c>
      <c r="B27" s="767" t="s">
        <v>1527</v>
      </c>
      <c r="C27" s="765">
        <f>'1.'!C81</f>
        <v>40868059</v>
      </c>
      <c r="D27" s="745" t="s">
        <v>527</v>
      </c>
      <c r="E27" s="766"/>
      <c r="F27" s="1224"/>
    </row>
    <row r="28" spans="1:6" ht="12.95" customHeight="1">
      <c r="A28" s="744" t="s">
        <v>193</v>
      </c>
      <c r="B28" s="762" t="s">
        <v>452</v>
      </c>
      <c r="C28" s="765"/>
      <c r="D28" s="745" t="s">
        <v>294</v>
      </c>
      <c r="E28" s="766"/>
      <c r="F28" s="1224"/>
    </row>
    <row r="29" spans="1:6" ht="12.95" customHeight="1" thickBot="1">
      <c r="A29" s="770" t="s">
        <v>194</v>
      </c>
      <c r="B29" s="760" t="s">
        <v>295</v>
      </c>
      <c r="C29" s="769"/>
      <c r="D29" s="771"/>
      <c r="E29" s="763"/>
      <c r="F29" s="1224"/>
    </row>
    <row r="30" spans="1:6" ht="15.95" customHeight="1" thickBot="1">
      <c r="A30" s="755" t="s">
        <v>195</v>
      </c>
      <c r="B30" s="756" t="s">
        <v>1528</v>
      </c>
      <c r="C30" s="757">
        <f>+C20+C25+C28+C29</f>
        <v>88868059</v>
      </c>
      <c r="D30" s="756" t="s">
        <v>1529</v>
      </c>
      <c r="E30" s="758">
        <f>SUM(E20:E29)</f>
        <v>40868059</v>
      </c>
      <c r="F30" s="1224"/>
    </row>
    <row r="31" spans="1:6" ht="13.5" thickBot="1">
      <c r="A31" s="755" t="s">
        <v>196</v>
      </c>
      <c r="B31" s="772" t="s">
        <v>1530</v>
      </c>
      <c r="C31" s="773">
        <f>+C19+C30</f>
        <v>2356268828.9654126</v>
      </c>
      <c r="D31" s="772" t="s">
        <v>1531</v>
      </c>
      <c r="E31" s="773">
        <f>+E19+E30</f>
        <v>2331701537.0744147</v>
      </c>
      <c r="F31" s="1224"/>
    </row>
    <row r="32" spans="1:6" ht="13.5" thickBot="1">
      <c r="A32" s="755" t="s">
        <v>197</v>
      </c>
      <c r="B32" s="772" t="s">
        <v>1532</v>
      </c>
      <c r="C32" s="773">
        <f>IF(C19-E19&lt;0,E19-C19,"-")</f>
        <v>23432708.109002113</v>
      </c>
      <c r="D32" s="772" t="s">
        <v>1533</v>
      </c>
      <c r="E32" s="773" t="str">
        <f>IF(C19-E19&gt;0,C19-E19,"-")</f>
        <v>-</v>
      </c>
      <c r="F32" s="1224"/>
    </row>
    <row r="33" spans="1:6" ht="13.5" thickBot="1">
      <c r="A33" s="755" t="s">
        <v>198</v>
      </c>
      <c r="B33" s="772" t="s">
        <v>1534</v>
      </c>
      <c r="C33" s="773" t="str">
        <f>IF(C31-E31&lt;0,E31-C31,"-")</f>
        <v>-</v>
      </c>
      <c r="D33" s="772" t="s">
        <v>1535</v>
      </c>
      <c r="E33" s="773">
        <f>IF(C31-E31&gt;0,C31-E31,"-")</f>
        <v>24567291.890997887</v>
      </c>
      <c r="F33" s="1224"/>
    </row>
    <row r="34" spans="1:6" ht="15.75">
      <c r="A34" s="1227" t="str">
        <f>IF(C33&lt;&gt;"-","Nem lehet bruttó hiány, mert az Mötv. 111. § (4) bekezédse szerint A költségvetési rendeletben működési hiány nem tervezhető.","")</f>
        <v/>
      </c>
      <c r="B34" s="1227"/>
      <c r="C34" s="1227"/>
      <c r="D34" s="1227"/>
      <c r="E34" s="1227"/>
    </row>
  </sheetData>
  <mergeCells count="3">
    <mergeCell ref="F2:F33"/>
    <mergeCell ref="A4:A5"/>
    <mergeCell ref="A34:E34"/>
  </mergeCells>
  <conditionalFormatting sqref="C33">
    <cfRule type="cellIs" dxfId="84" priority="1" stopIfTrue="1" operator="notEqual">
      <formula>"-"</formula>
    </cfRule>
  </conditionalFormatting>
  <pageMargins left="0.19685039370078741" right="0.11811023622047245" top="0.35433070866141736" bottom="0.55118110236220474" header="0.31496062992125984" footer="0.31496062992125984"/>
  <pageSetup paperSize="9" fitToHeight="0" orientation="landscape" r:id="rId1"/>
  <headerFooter>
    <oddHeader>&amp;RRáckeve Város 2020 évi költségvetés melléklete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3"/>
  <sheetViews>
    <sheetView workbookViewId="0">
      <selection activeCell="E1" sqref="E1"/>
    </sheetView>
  </sheetViews>
  <sheetFormatPr defaultRowHeight="12.75"/>
  <cols>
    <col min="1" max="1" width="5.85546875" style="723" customWidth="1"/>
    <col min="2" max="2" width="47.28515625" style="726" customWidth="1"/>
    <col min="3" max="3" width="14" style="723" customWidth="1"/>
    <col min="4" max="4" width="47.28515625" style="723" customWidth="1"/>
    <col min="5" max="5" width="14" style="723" customWidth="1"/>
    <col min="6" max="6" width="4.140625" style="723" customWidth="1"/>
    <col min="7" max="256" width="9.140625" style="723"/>
    <col min="257" max="257" width="5.85546875" style="723" customWidth="1"/>
    <col min="258" max="258" width="47.28515625" style="723" customWidth="1"/>
    <col min="259" max="259" width="14" style="723" customWidth="1"/>
    <col min="260" max="260" width="47.28515625" style="723" customWidth="1"/>
    <col min="261" max="261" width="14" style="723" customWidth="1"/>
    <col min="262" max="262" width="4.140625" style="723" customWidth="1"/>
    <col min="263" max="512" width="9.140625" style="723"/>
    <col min="513" max="513" width="5.85546875" style="723" customWidth="1"/>
    <col min="514" max="514" width="47.28515625" style="723" customWidth="1"/>
    <col min="515" max="515" width="14" style="723" customWidth="1"/>
    <col min="516" max="516" width="47.28515625" style="723" customWidth="1"/>
    <col min="517" max="517" width="14" style="723" customWidth="1"/>
    <col min="518" max="518" width="4.140625" style="723" customWidth="1"/>
    <col min="519" max="768" width="9.140625" style="723"/>
    <col min="769" max="769" width="5.85546875" style="723" customWidth="1"/>
    <col min="770" max="770" width="47.28515625" style="723" customWidth="1"/>
    <col min="771" max="771" width="14" style="723" customWidth="1"/>
    <col min="772" max="772" width="47.28515625" style="723" customWidth="1"/>
    <col min="773" max="773" width="14" style="723" customWidth="1"/>
    <col min="774" max="774" width="4.140625" style="723" customWidth="1"/>
    <col min="775" max="1024" width="9.140625" style="723"/>
    <col min="1025" max="1025" width="5.85546875" style="723" customWidth="1"/>
    <col min="1026" max="1026" width="47.28515625" style="723" customWidth="1"/>
    <col min="1027" max="1027" width="14" style="723" customWidth="1"/>
    <col min="1028" max="1028" width="47.28515625" style="723" customWidth="1"/>
    <col min="1029" max="1029" width="14" style="723" customWidth="1"/>
    <col min="1030" max="1030" width="4.140625" style="723" customWidth="1"/>
    <col min="1031" max="1280" width="9.140625" style="723"/>
    <col min="1281" max="1281" width="5.85546875" style="723" customWidth="1"/>
    <col min="1282" max="1282" width="47.28515625" style="723" customWidth="1"/>
    <col min="1283" max="1283" width="14" style="723" customWidth="1"/>
    <col min="1284" max="1284" width="47.28515625" style="723" customWidth="1"/>
    <col min="1285" max="1285" width="14" style="723" customWidth="1"/>
    <col min="1286" max="1286" width="4.140625" style="723" customWidth="1"/>
    <col min="1287" max="1536" width="9.140625" style="723"/>
    <col min="1537" max="1537" width="5.85546875" style="723" customWidth="1"/>
    <col min="1538" max="1538" width="47.28515625" style="723" customWidth="1"/>
    <col min="1539" max="1539" width="14" style="723" customWidth="1"/>
    <col min="1540" max="1540" width="47.28515625" style="723" customWidth="1"/>
    <col min="1541" max="1541" width="14" style="723" customWidth="1"/>
    <col min="1542" max="1542" width="4.140625" style="723" customWidth="1"/>
    <col min="1543" max="1792" width="9.140625" style="723"/>
    <col min="1793" max="1793" width="5.85546875" style="723" customWidth="1"/>
    <col min="1794" max="1794" width="47.28515625" style="723" customWidth="1"/>
    <col min="1795" max="1795" width="14" style="723" customWidth="1"/>
    <col min="1796" max="1796" width="47.28515625" style="723" customWidth="1"/>
    <col min="1797" max="1797" width="14" style="723" customWidth="1"/>
    <col min="1798" max="1798" width="4.140625" style="723" customWidth="1"/>
    <col min="1799" max="2048" width="9.140625" style="723"/>
    <col min="2049" max="2049" width="5.85546875" style="723" customWidth="1"/>
    <col min="2050" max="2050" width="47.28515625" style="723" customWidth="1"/>
    <col min="2051" max="2051" width="14" style="723" customWidth="1"/>
    <col min="2052" max="2052" width="47.28515625" style="723" customWidth="1"/>
    <col min="2053" max="2053" width="14" style="723" customWidth="1"/>
    <col min="2054" max="2054" width="4.140625" style="723" customWidth="1"/>
    <col min="2055" max="2304" width="9.140625" style="723"/>
    <col min="2305" max="2305" width="5.85546875" style="723" customWidth="1"/>
    <col min="2306" max="2306" width="47.28515625" style="723" customWidth="1"/>
    <col min="2307" max="2307" width="14" style="723" customWidth="1"/>
    <col min="2308" max="2308" width="47.28515625" style="723" customWidth="1"/>
    <col min="2309" max="2309" width="14" style="723" customWidth="1"/>
    <col min="2310" max="2310" width="4.140625" style="723" customWidth="1"/>
    <col min="2311" max="2560" width="9.140625" style="723"/>
    <col min="2561" max="2561" width="5.85546875" style="723" customWidth="1"/>
    <col min="2562" max="2562" width="47.28515625" style="723" customWidth="1"/>
    <col min="2563" max="2563" width="14" style="723" customWidth="1"/>
    <col min="2564" max="2564" width="47.28515625" style="723" customWidth="1"/>
    <col min="2565" max="2565" width="14" style="723" customWidth="1"/>
    <col min="2566" max="2566" width="4.140625" style="723" customWidth="1"/>
    <col min="2567" max="2816" width="9.140625" style="723"/>
    <col min="2817" max="2817" width="5.85546875" style="723" customWidth="1"/>
    <col min="2818" max="2818" width="47.28515625" style="723" customWidth="1"/>
    <col min="2819" max="2819" width="14" style="723" customWidth="1"/>
    <col min="2820" max="2820" width="47.28515625" style="723" customWidth="1"/>
    <col min="2821" max="2821" width="14" style="723" customWidth="1"/>
    <col min="2822" max="2822" width="4.140625" style="723" customWidth="1"/>
    <col min="2823" max="3072" width="9.140625" style="723"/>
    <col min="3073" max="3073" width="5.85546875" style="723" customWidth="1"/>
    <col min="3074" max="3074" width="47.28515625" style="723" customWidth="1"/>
    <col min="3075" max="3075" width="14" style="723" customWidth="1"/>
    <col min="3076" max="3076" width="47.28515625" style="723" customWidth="1"/>
    <col min="3077" max="3077" width="14" style="723" customWidth="1"/>
    <col min="3078" max="3078" width="4.140625" style="723" customWidth="1"/>
    <col min="3079" max="3328" width="9.140625" style="723"/>
    <col min="3329" max="3329" width="5.85546875" style="723" customWidth="1"/>
    <col min="3330" max="3330" width="47.28515625" style="723" customWidth="1"/>
    <col min="3331" max="3331" width="14" style="723" customWidth="1"/>
    <col min="3332" max="3332" width="47.28515625" style="723" customWidth="1"/>
    <col min="3333" max="3333" width="14" style="723" customWidth="1"/>
    <col min="3334" max="3334" width="4.140625" style="723" customWidth="1"/>
    <col min="3335" max="3584" width="9.140625" style="723"/>
    <col min="3585" max="3585" width="5.85546875" style="723" customWidth="1"/>
    <col min="3586" max="3586" width="47.28515625" style="723" customWidth="1"/>
    <col min="3587" max="3587" width="14" style="723" customWidth="1"/>
    <col min="3588" max="3588" width="47.28515625" style="723" customWidth="1"/>
    <col min="3589" max="3589" width="14" style="723" customWidth="1"/>
    <col min="3590" max="3590" width="4.140625" style="723" customWidth="1"/>
    <col min="3591" max="3840" width="9.140625" style="723"/>
    <col min="3841" max="3841" width="5.85546875" style="723" customWidth="1"/>
    <col min="3842" max="3842" width="47.28515625" style="723" customWidth="1"/>
    <col min="3843" max="3843" width="14" style="723" customWidth="1"/>
    <col min="3844" max="3844" width="47.28515625" style="723" customWidth="1"/>
    <col min="3845" max="3845" width="14" style="723" customWidth="1"/>
    <col min="3846" max="3846" width="4.140625" style="723" customWidth="1"/>
    <col min="3847" max="4096" width="9.140625" style="723"/>
    <col min="4097" max="4097" width="5.85546875" style="723" customWidth="1"/>
    <col min="4098" max="4098" width="47.28515625" style="723" customWidth="1"/>
    <col min="4099" max="4099" width="14" style="723" customWidth="1"/>
    <col min="4100" max="4100" width="47.28515625" style="723" customWidth="1"/>
    <col min="4101" max="4101" width="14" style="723" customWidth="1"/>
    <col min="4102" max="4102" width="4.140625" style="723" customWidth="1"/>
    <col min="4103" max="4352" width="9.140625" style="723"/>
    <col min="4353" max="4353" width="5.85546875" style="723" customWidth="1"/>
    <col min="4354" max="4354" width="47.28515625" style="723" customWidth="1"/>
    <col min="4355" max="4355" width="14" style="723" customWidth="1"/>
    <col min="4356" max="4356" width="47.28515625" style="723" customWidth="1"/>
    <col min="4357" max="4357" width="14" style="723" customWidth="1"/>
    <col min="4358" max="4358" width="4.140625" style="723" customWidth="1"/>
    <col min="4359" max="4608" width="9.140625" style="723"/>
    <col min="4609" max="4609" width="5.85546875" style="723" customWidth="1"/>
    <col min="4610" max="4610" width="47.28515625" style="723" customWidth="1"/>
    <col min="4611" max="4611" width="14" style="723" customWidth="1"/>
    <col min="4612" max="4612" width="47.28515625" style="723" customWidth="1"/>
    <col min="4613" max="4613" width="14" style="723" customWidth="1"/>
    <col min="4614" max="4614" width="4.140625" style="723" customWidth="1"/>
    <col min="4615" max="4864" width="9.140625" style="723"/>
    <col min="4865" max="4865" width="5.85546875" style="723" customWidth="1"/>
    <col min="4866" max="4866" width="47.28515625" style="723" customWidth="1"/>
    <col min="4867" max="4867" width="14" style="723" customWidth="1"/>
    <col min="4868" max="4868" width="47.28515625" style="723" customWidth="1"/>
    <col min="4869" max="4869" width="14" style="723" customWidth="1"/>
    <col min="4870" max="4870" width="4.140625" style="723" customWidth="1"/>
    <col min="4871" max="5120" width="9.140625" style="723"/>
    <col min="5121" max="5121" width="5.85546875" style="723" customWidth="1"/>
    <col min="5122" max="5122" width="47.28515625" style="723" customWidth="1"/>
    <col min="5123" max="5123" width="14" style="723" customWidth="1"/>
    <col min="5124" max="5124" width="47.28515625" style="723" customWidth="1"/>
    <col min="5125" max="5125" width="14" style="723" customWidth="1"/>
    <col min="5126" max="5126" width="4.140625" style="723" customWidth="1"/>
    <col min="5127" max="5376" width="9.140625" style="723"/>
    <col min="5377" max="5377" width="5.85546875" style="723" customWidth="1"/>
    <col min="5378" max="5378" width="47.28515625" style="723" customWidth="1"/>
    <col min="5379" max="5379" width="14" style="723" customWidth="1"/>
    <col min="5380" max="5380" width="47.28515625" style="723" customWidth="1"/>
    <col min="5381" max="5381" width="14" style="723" customWidth="1"/>
    <col min="5382" max="5382" width="4.140625" style="723" customWidth="1"/>
    <col min="5383" max="5632" width="9.140625" style="723"/>
    <col min="5633" max="5633" width="5.85546875" style="723" customWidth="1"/>
    <col min="5634" max="5634" width="47.28515625" style="723" customWidth="1"/>
    <col min="5635" max="5635" width="14" style="723" customWidth="1"/>
    <col min="5636" max="5636" width="47.28515625" style="723" customWidth="1"/>
    <col min="5637" max="5637" width="14" style="723" customWidth="1"/>
    <col min="5638" max="5638" width="4.140625" style="723" customWidth="1"/>
    <col min="5639" max="5888" width="9.140625" style="723"/>
    <col min="5889" max="5889" width="5.85546875" style="723" customWidth="1"/>
    <col min="5890" max="5890" width="47.28515625" style="723" customWidth="1"/>
    <col min="5891" max="5891" width="14" style="723" customWidth="1"/>
    <col min="5892" max="5892" width="47.28515625" style="723" customWidth="1"/>
    <col min="5893" max="5893" width="14" style="723" customWidth="1"/>
    <col min="5894" max="5894" width="4.140625" style="723" customWidth="1"/>
    <col min="5895" max="6144" width="9.140625" style="723"/>
    <col min="6145" max="6145" width="5.85546875" style="723" customWidth="1"/>
    <col min="6146" max="6146" width="47.28515625" style="723" customWidth="1"/>
    <col min="6147" max="6147" width="14" style="723" customWidth="1"/>
    <col min="6148" max="6148" width="47.28515625" style="723" customWidth="1"/>
    <col min="6149" max="6149" width="14" style="723" customWidth="1"/>
    <col min="6150" max="6150" width="4.140625" style="723" customWidth="1"/>
    <col min="6151" max="6400" width="9.140625" style="723"/>
    <col min="6401" max="6401" width="5.85546875" style="723" customWidth="1"/>
    <col min="6402" max="6402" width="47.28515625" style="723" customWidth="1"/>
    <col min="6403" max="6403" width="14" style="723" customWidth="1"/>
    <col min="6404" max="6404" width="47.28515625" style="723" customWidth="1"/>
    <col min="6405" max="6405" width="14" style="723" customWidth="1"/>
    <col min="6406" max="6406" width="4.140625" style="723" customWidth="1"/>
    <col min="6407" max="6656" width="9.140625" style="723"/>
    <col min="6657" max="6657" width="5.85546875" style="723" customWidth="1"/>
    <col min="6658" max="6658" width="47.28515625" style="723" customWidth="1"/>
    <col min="6659" max="6659" width="14" style="723" customWidth="1"/>
    <col min="6660" max="6660" width="47.28515625" style="723" customWidth="1"/>
    <col min="6661" max="6661" width="14" style="723" customWidth="1"/>
    <col min="6662" max="6662" width="4.140625" style="723" customWidth="1"/>
    <col min="6663" max="6912" width="9.140625" style="723"/>
    <col min="6913" max="6913" width="5.85546875" style="723" customWidth="1"/>
    <col min="6914" max="6914" width="47.28515625" style="723" customWidth="1"/>
    <col min="6915" max="6915" width="14" style="723" customWidth="1"/>
    <col min="6916" max="6916" width="47.28515625" style="723" customWidth="1"/>
    <col min="6917" max="6917" width="14" style="723" customWidth="1"/>
    <col min="6918" max="6918" width="4.140625" style="723" customWidth="1"/>
    <col min="6919" max="7168" width="9.140625" style="723"/>
    <col min="7169" max="7169" width="5.85546875" style="723" customWidth="1"/>
    <col min="7170" max="7170" width="47.28515625" style="723" customWidth="1"/>
    <col min="7171" max="7171" width="14" style="723" customWidth="1"/>
    <col min="7172" max="7172" width="47.28515625" style="723" customWidth="1"/>
    <col min="7173" max="7173" width="14" style="723" customWidth="1"/>
    <col min="7174" max="7174" width="4.140625" style="723" customWidth="1"/>
    <col min="7175" max="7424" width="9.140625" style="723"/>
    <col min="7425" max="7425" width="5.85546875" style="723" customWidth="1"/>
    <col min="7426" max="7426" width="47.28515625" style="723" customWidth="1"/>
    <col min="7427" max="7427" width="14" style="723" customWidth="1"/>
    <col min="7428" max="7428" width="47.28515625" style="723" customWidth="1"/>
    <col min="7429" max="7429" width="14" style="723" customWidth="1"/>
    <col min="7430" max="7430" width="4.140625" style="723" customWidth="1"/>
    <col min="7431" max="7680" width="9.140625" style="723"/>
    <col min="7681" max="7681" width="5.85546875" style="723" customWidth="1"/>
    <col min="7682" max="7682" width="47.28515625" style="723" customWidth="1"/>
    <col min="7683" max="7683" width="14" style="723" customWidth="1"/>
    <col min="7684" max="7684" width="47.28515625" style="723" customWidth="1"/>
    <col min="7685" max="7685" width="14" style="723" customWidth="1"/>
    <col min="7686" max="7686" width="4.140625" style="723" customWidth="1"/>
    <col min="7687" max="7936" width="9.140625" style="723"/>
    <col min="7937" max="7937" width="5.85546875" style="723" customWidth="1"/>
    <col min="7938" max="7938" width="47.28515625" style="723" customWidth="1"/>
    <col min="7939" max="7939" width="14" style="723" customWidth="1"/>
    <col min="7940" max="7940" width="47.28515625" style="723" customWidth="1"/>
    <col min="7941" max="7941" width="14" style="723" customWidth="1"/>
    <col min="7942" max="7942" width="4.140625" style="723" customWidth="1"/>
    <col min="7943" max="8192" width="9.140625" style="723"/>
    <col min="8193" max="8193" width="5.85546875" style="723" customWidth="1"/>
    <col min="8194" max="8194" width="47.28515625" style="723" customWidth="1"/>
    <col min="8195" max="8195" width="14" style="723" customWidth="1"/>
    <col min="8196" max="8196" width="47.28515625" style="723" customWidth="1"/>
    <col min="8197" max="8197" width="14" style="723" customWidth="1"/>
    <col min="8198" max="8198" width="4.140625" style="723" customWidth="1"/>
    <col min="8199" max="8448" width="9.140625" style="723"/>
    <col min="8449" max="8449" width="5.85546875" style="723" customWidth="1"/>
    <col min="8450" max="8450" width="47.28515625" style="723" customWidth="1"/>
    <col min="8451" max="8451" width="14" style="723" customWidth="1"/>
    <col min="8452" max="8452" width="47.28515625" style="723" customWidth="1"/>
    <col min="8453" max="8453" width="14" style="723" customWidth="1"/>
    <col min="8454" max="8454" width="4.140625" style="723" customWidth="1"/>
    <col min="8455" max="8704" width="9.140625" style="723"/>
    <col min="8705" max="8705" width="5.85546875" style="723" customWidth="1"/>
    <col min="8706" max="8706" width="47.28515625" style="723" customWidth="1"/>
    <col min="8707" max="8707" width="14" style="723" customWidth="1"/>
    <col min="8708" max="8708" width="47.28515625" style="723" customWidth="1"/>
    <col min="8709" max="8709" width="14" style="723" customWidth="1"/>
    <col min="8710" max="8710" width="4.140625" style="723" customWidth="1"/>
    <col min="8711" max="8960" width="9.140625" style="723"/>
    <col min="8961" max="8961" width="5.85546875" style="723" customWidth="1"/>
    <col min="8962" max="8962" width="47.28515625" style="723" customWidth="1"/>
    <col min="8963" max="8963" width="14" style="723" customWidth="1"/>
    <col min="8964" max="8964" width="47.28515625" style="723" customWidth="1"/>
    <col min="8965" max="8965" width="14" style="723" customWidth="1"/>
    <col min="8966" max="8966" width="4.140625" style="723" customWidth="1"/>
    <col min="8967" max="9216" width="9.140625" style="723"/>
    <col min="9217" max="9217" width="5.85546875" style="723" customWidth="1"/>
    <col min="9218" max="9218" width="47.28515625" style="723" customWidth="1"/>
    <col min="9219" max="9219" width="14" style="723" customWidth="1"/>
    <col min="9220" max="9220" width="47.28515625" style="723" customWidth="1"/>
    <col min="9221" max="9221" width="14" style="723" customWidth="1"/>
    <col min="9222" max="9222" width="4.140625" style="723" customWidth="1"/>
    <col min="9223" max="9472" width="9.140625" style="723"/>
    <col min="9473" max="9473" width="5.85546875" style="723" customWidth="1"/>
    <col min="9474" max="9474" width="47.28515625" style="723" customWidth="1"/>
    <col min="9475" max="9475" width="14" style="723" customWidth="1"/>
    <col min="9476" max="9476" width="47.28515625" style="723" customWidth="1"/>
    <col min="9477" max="9477" width="14" style="723" customWidth="1"/>
    <col min="9478" max="9478" width="4.140625" style="723" customWidth="1"/>
    <col min="9479" max="9728" width="9.140625" style="723"/>
    <col min="9729" max="9729" width="5.85546875" style="723" customWidth="1"/>
    <col min="9730" max="9730" width="47.28515625" style="723" customWidth="1"/>
    <col min="9731" max="9731" width="14" style="723" customWidth="1"/>
    <col min="9732" max="9732" width="47.28515625" style="723" customWidth="1"/>
    <col min="9733" max="9733" width="14" style="723" customWidth="1"/>
    <col min="9734" max="9734" width="4.140625" style="723" customWidth="1"/>
    <col min="9735" max="9984" width="9.140625" style="723"/>
    <col min="9985" max="9985" width="5.85546875" style="723" customWidth="1"/>
    <col min="9986" max="9986" width="47.28515625" style="723" customWidth="1"/>
    <col min="9987" max="9987" width="14" style="723" customWidth="1"/>
    <col min="9988" max="9988" width="47.28515625" style="723" customWidth="1"/>
    <col min="9989" max="9989" width="14" style="723" customWidth="1"/>
    <col min="9990" max="9990" width="4.140625" style="723" customWidth="1"/>
    <col min="9991" max="10240" width="9.140625" style="723"/>
    <col min="10241" max="10241" width="5.85546875" style="723" customWidth="1"/>
    <col min="10242" max="10242" width="47.28515625" style="723" customWidth="1"/>
    <col min="10243" max="10243" width="14" style="723" customWidth="1"/>
    <col min="10244" max="10244" width="47.28515625" style="723" customWidth="1"/>
    <col min="10245" max="10245" width="14" style="723" customWidth="1"/>
    <col min="10246" max="10246" width="4.140625" style="723" customWidth="1"/>
    <col min="10247" max="10496" width="9.140625" style="723"/>
    <col min="10497" max="10497" width="5.85546875" style="723" customWidth="1"/>
    <col min="10498" max="10498" width="47.28515625" style="723" customWidth="1"/>
    <col min="10499" max="10499" width="14" style="723" customWidth="1"/>
    <col min="10500" max="10500" width="47.28515625" style="723" customWidth="1"/>
    <col min="10501" max="10501" width="14" style="723" customWidth="1"/>
    <col min="10502" max="10502" width="4.140625" style="723" customWidth="1"/>
    <col min="10503" max="10752" width="9.140625" style="723"/>
    <col min="10753" max="10753" width="5.85546875" style="723" customWidth="1"/>
    <col min="10754" max="10754" width="47.28515625" style="723" customWidth="1"/>
    <col min="10755" max="10755" width="14" style="723" customWidth="1"/>
    <col min="10756" max="10756" width="47.28515625" style="723" customWidth="1"/>
    <col min="10757" max="10757" width="14" style="723" customWidth="1"/>
    <col min="10758" max="10758" width="4.140625" style="723" customWidth="1"/>
    <col min="10759" max="11008" width="9.140625" style="723"/>
    <col min="11009" max="11009" width="5.85546875" style="723" customWidth="1"/>
    <col min="11010" max="11010" width="47.28515625" style="723" customWidth="1"/>
    <col min="11011" max="11011" width="14" style="723" customWidth="1"/>
    <col min="11012" max="11012" width="47.28515625" style="723" customWidth="1"/>
    <col min="11013" max="11013" width="14" style="723" customWidth="1"/>
    <col min="11014" max="11014" width="4.140625" style="723" customWidth="1"/>
    <col min="11015" max="11264" width="9.140625" style="723"/>
    <col min="11265" max="11265" width="5.85546875" style="723" customWidth="1"/>
    <col min="11266" max="11266" width="47.28515625" style="723" customWidth="1"/>
    <col min="11267" max="11267" width="14" style="723" customWidth="1"/>
    <col min="11268" max="11268" width="47.28515625" style="723" customWidth="1"/>
    <col min="11269" max="11269" width="14" style="723" customWidth="1"/>
    <col min="11270" max="11270" width="4.140625" style="723" customWidth="1"/>
    <col min="11271" max="11520" width="9.140625" style="723"/>
    <col min="11521" max="11521" width="5.85546875" style="723" customWidth="1"/>
    <col min="11522" max="11522" width="47.28515625" style="723" customWidth="1"/>
    <col min="11523" max="11523" width="14" style="723" customWidth="1"/>
    <col min="11524" max="11524" width="47.28515625" style="723" customWidth="1"/>
    <col min="11525" max="11525" width="14" style="723" customWidth="1"/>
    <col min="11526" max="11526" width="4.140625" style="723" customWidth="1"/>
    <col min="11527" max="11776" width="9.140625" style="723"/>
    <col min="11777" max="11777" width="5.85546875" style="723" customWidth="1"/>
    <col min="11778" max="11778" width="47.28515625" style="723" customWidth="1"/>
    <col min="11779" max="11779" width="14" style="723" customWidth="1"/>
    <col min="11780" max="11780" width="47.28515625" style="723" customWidth="1"/>
    <col min="11781" max="11781" width="14" style="723" customWidth="1"/>
    <col min="11782" max="11782" width="4.140625" style="723" customWidth="1"/>
    <col min="11783" max="12032" width="9.140625" style="723"/>
    <col min="12033" max="12033" width="5.85546875" style="723" customWidth="1"/>
    <col min="12034" max="12034" width="47.28515625" style="723" customWidth="1"/>
    <col min="12035" max="12035" width="14" style="723" customWidth="1"/>
    <col min="12036" max="12036" width="47.28515625" style="723" customWidth="1"/>
    <col min="12037" max="12037" width="14" style="723" customWidth="1"/>
    <col min="12038" max="12038" width="4.140625" style="723" customWidth="1"/>
    <col min="12039" max="12288" width="9.140625" style="723"/>
    <col min="12289" max="12289" width="5.85546875" style="723" customWidth="1"/>
    <col min="12290" max="12290" width="47.28515625" style="723" customWidth="1"/>
    <col min="12291" max="12291" width="14" style="723" customWidth="1"/>
    <col min="12292" max="12292" width="47.28515625" style="723" customWidth="1"/>
    <col min="12293" max="12293" width="14" style="723" customWidth="1"/>
    <col min="12294" max="12294" width="4.140625" style="723" customWidth="1"/>
    <col min="12295" max="12544" width="9.140625" style="723"/>
    <col min="12545" max="12545" width="5.85546875" style="723" customWidth="1"/>
    <col min="12546" max="12546" width="47.28515625" style="723" customWidth="1"/>
    <col min="12547" max="12547" width="14" style="723" customWidth="1"/>
    <col min="12548" max="12548" width="47.28515625" style="723" customWidth="1"/>
    <col min="12549" max="12549" width="14" style="723" customWidth="1"/>
    <col min="12550" max="12550" width="4.140625" style="723" customWidth="1"/>
    <col min="12551" max="12800" width="9.140625" style="723"/>
    <col min="12801" max="12801" width="5.85546875" style="723" customWidth="1"/>
    <col min="12802" max="12802" width="47.28515625" style="723" customWidth="1"/>
    <col min="12803" max="12803" width="14" style="723" customWidth="1"/>
    <col min="12804" max="12804" width="47.28515625" style="723" customWidth="1"/>
    <col min="12805" max="12805" width="14" style="723" customWidth="1"/>
    <col min="12806" max="12806" width="4.140625" style="723" customWidth="1"/>
    <col min="12807" max="13056" width="9.140625" style="723"/>
    <col min="13057" max="13057" width="5.85546875" style="723" customWidth="1"/>
    <col min="13058" max="13058" width="47.28515625" style="723" customWidth="1"/>
    <col min="13059" max="13059" width="14" style="723" customWidth="1"/>
    <col min="13060" max="13060" width="47.28515625" style="723" customWidth="1"/>
    <col min="13061" max="13061" width="14" style="723" customWidth="1"/>
    <col min="13062" max="13062" width="4.140625" style="723" customWidth="1"/>
    <col min="13063" max="13312" width="9.140625" style="723"/>
    <col min="13313" max="13313" width="5.85546875" style="723" customWidth="1"/>
    <col min="13314" max="13314" width="47.28515625" style="723" customWidth="1"/>
    <col min="13315" max="13315" width="14" style="723" customWidth="1"/>
    <col min="13316" max="13316" width="47.28515625" style="723" customWidth="1"/>
    <col min="13317" max="13317" width="14" style="723" customWidth="1"/>
    <col min="13318" max="13318" width="4.140625" style="723" customWidth="1"/>
    <col min="13319" max="13568" width="9.140625" style="723"/>
    <col min="13569" max="13569" width="5.85546875" style="723" customWidth="1"/>
    <col min="13570" max="13570" width="47.28515625" style="723" customWidth="1"/>
    <col min="13571" max="13571" width="14" style="723" customWidth="1"/>
    <col min="13572" max="13572" width="47.28515625" style="723" customWidth="1"/>
    <col min="13573" max="13573" width="14" style="723" customWidth="1"/>
    <col min="13574" max="13574" width="4.140625" style="723" customWidth="1"/>
    <col min="13575" max="13824" width="9.140625" style="723"/>
    <col min="13825" max="13825" width="5.85546875" style="723" customWidth="1"/>
    <col min="13826" max="13826" width="47.28515625" style="723" customWidth="1"/>
    <col min="13827" max="13827" width="14" style="723" customWidth="1"/>
    <col min="13828" max="13828" width="47.28515625" style="723" customWidth="1"/>
    <col min="13829" max="13829" width="14" style="723" customWidth="1"/>
    <col min="13830" max="13830" width="4.140625" style="723" customWidth="1"/>
    <col min="13831" max="14080" width="9.140625" style="723"/>
    <col min="14081" max="14081" width="5.85546875" style="723" customWidth="1"/>
    <col min="14082" max="14082" width="47.28515625" style="723" customWidth="1"/>
    <col min="14083" max="14083" width="14" style="723" customWidth="1"/>
    <col min="14084" max="14084" width="47.28515625" style="723" customWidth="1"/>
    <col min="14085" max="14085" width="14" style="723" customWidth="1"/>
    <col min="14086" max="14086" width="4.140625" style="723" customWidth="1"/>
    <col min="14087" max="14336" width="9.140625" style="723"/>
    <col min="14337" max="14337" width="5.85546875" style="723" customWidth="1"/>
    <col min="14338" max="14338" width="47.28515625" style="723" customWidth="1"/>
    <col min="14339" max="14339" width="14" style="723" customWidth="1"/>
    <col min="14340" max="14340" width="47.28515625" style="723" customWidth="1"/>
    <col min="14341" max="14341" width="14" style="723" customWidth="1"/>
    <col min="14342" max="14342" width="4.140625" style="723" customWidth="1"/>
    <col min="14343" max="14592" width="9.140625" style="723"/>
    <col min="14593" max="14593" width="5.85546875" style="723" customWidth="1"/>
    <col min="14594" max="14594" width="47.28515625" style="723" customWidth="1"/>
    <col min="14595" max="14595" width="14" style="723" customWidth="1"/>
    <col min="14596" max="14596" width="47.28515625" style="723" customWidth="1"/>
    <col min="14597" max="14597" width="14" style="723" customWidth="1"/>
    <col min="14598" max="14598" width="4.140625" style="723" customWidth="1"/>
    <col min="14599" max="14848" width="9.140625" style="723"/>
    <col min="14849" max="14849" width="5.85546875" style="723" customWidth="1"/>
    <col min="14850" max="14850" width="47.28515625" style="723" customWidth="1"/>
    <col min="14851" max="14851" width="14" style="723" customWidth="1"/>
    <col min="14852" max="14852" width="47.28515625" style="723" customWidth="1"/>
    <col min="14853" max="14853" width="14" style="723" customWidth="1"/>
    <col min="14854" max="14854" width="4.140625" style="723" customWidth="1"/>
    <col min="14855" max="15104" width="9.140625" style="723"/>
    <col min="15105" max="15105" width="5.85546875" style="723" customWidth="1"/>
    <col min="15106" max="15106" width="47.28515625" style="723" customWidth="1"/>
    <col min="15107" max="15107" width="14" style="723" customWidth="1"/>
    <col min="15108" max="15108" width="47.28515625" style="723" customWidth="1"/>
    <col min="15109" max="15109" width="14" style="723" customWidth="1"/>
    <col min="15110" max="15110" width="4.140625" style="723" customWidth="1"/>
    <col min="15111" max="15360" width="9.140625" style="723"/>
    <col min="15361" max="15361" width="5.85546875" style="723" customWidth="1"/>
    <col min="15362" max="15362" width="47.28515625" style="723" customWidth="1"/>
    <col min="15363" max="15363" width="14" style="723" customWidth="1"/>
    <col min="15364" max="15364" width="47.28515625" style="723" customWidth="1"/>
    <col min="15365" max="15365" width="14" style="723" customWidth="1"/>
    <col min="15366" max="15366" width="4.140625" style="723" customWidth="1"/>
    <col min="15367" max="15616" width="9.140625" style="723"/>
    <col min="15617" max="15617" width="5.85546875" style="723" customWidth="1"/>
    <col min="15618" max="15618" width="47.28515625" style="723" customWidth="1"/>
    <col min="15619" max="15619" width="14" style="723" customWidth="1"/>
    <col min="15620" max="15620" width="47.28515625" style="723" customWidth="1"/>
    <col min="15621" max="15621" width="14" style="723" customWidth="1"/>
    <col min="15622" max="15622" width="4.140625" style="723" customWidth="1"/>
    <col min="15623" max="15872" width="9.140625" style="723"/>
    <col min="15873" max="15873" width="5.85546875" style="723" customWidth="1"/>
    <col min="15874" max="15874" width="47.28515625" style="723" customWidth="1"/>
    <col min="15875" max="15875" width="14" style="723" customWidth="1"/>
    <col min="15876" max="15876" width="47.28515625" style="723" customWidth="1"/>
    <col min="15877" max="15877" width="14" style="723" customWidth="1"/>
    <col min="15878" max="15878" width="4.140625" style="723" customWidth="1"/>
    <col min="15879" max="16128" width="9.140625" style="723"/>
    <col min="16129" max="16129" width="5.85546875" style="723" customWidth="1"/>
    <col min="16130" max="16130" width="47.28515625" style="723" customWidth="1"/>
    <col min="16131" max="16131" width="14" style="723" customWidth="1"/>
    <col min="16132" max="16132" width="47.28515625" style="723" customWidth="1"/>
    <col min="16133" max="16133" width="14" style="723" customWidth="1"/>
    <col min="16134" max="16134" width="4.140625" style="723" customWidth="1"/>
    <col min="16135" max="16384" width="9.140625" style="723"/>
  </cols>
  <sheetData>
    <row r="1" spans="1:6" ht="31.5">
      <c r="B1" s="724" t="s">
        <v>1536</v>
      </c>
      <c r="C1" s="725"/>
      <c r="D1" s="725"/>
      <c r="E1" s="1118" t="s">
        <v>1711</v>
      </c>
      <c r="F1" s="1224"/>
    </row>
    <row r="2" spans="1:6" ht="13.5" thickBot="1">
      <c r="E2" s="774" t="str">
        <f>CONCATENATE([1]KV_1.1.sz.mell.!C7)</f>
        <v>Forintban!</v>
      </c>
      <c r="F2" s="1224"/>
    </row>
    <row r="3" spans="1:6" ht="13.5" thickBot="1">
      <c r="A3" s="1228" t="s">
        <v>286</v>
      </c>
      <c r="B3" s="728" t="s">
        <v>584</v>
      </c>
      <c r="C3" s="729"/>
      <c r="D3" s="728" t="s">
        <v>1501</v>
      </c>
      <c r="E3" s="730"/>
      <c r="F3" s="1224"/>
    </row>
    <row r="4" spans="1:6" s="734" customFormat="1" ht="24.75" thickBot="1">
      <c r="A4" s="1229"/>
      <c r="B4" s="731" t="s">
        <v>1058</v>
      </c>
      <c r="C4" s="732" t="str">
        <f>+[1]KV_2.1.sz.mell.!C4</f>
        <v>2020. évi előirányzat</v>
      </c>
      <c r="D4" s="731" t="s">
        <v>1058</v>
      </c>
      <c r="E4" s="733" t="str">
        <f>+[1]KV_2.1.sz.mell.!C4</f>
        <v>2020. évi előirányzat</v>
      </c>
      <c r="F4" s="1224"/>
    </row>
    <row r="5" spans="1:6" s="734" customFormat="1" ht="13.5" thickBot="1">
      <c r="A5" s="735"/>
      <c r="B5" s="736" t="s">
        <v>287</v>
      </c>
      <c r="C5" s="737" t="s">
        <v>268</v>
      </c>
      <c r="D5" s="736" t="s">
        <v>288</v>
      </c>
      <c r="E5" s="738" t="s">
        <v>1502</v>
      </c>
      <c r="F5" s="1224"/>
    </row>
    <row r="6" spans="1:6" ht="12.95" customHeight="1">
      <c r="A6" s="740" t="s">
        <v>172</v>
      </c>
      <c r="B6" s="741" t="s">
        <v>1537</v>
      </c>
      <c r="C6" s="742">
        <f>'1.'!C24</f>
        <v>708423293</v>
      </c>
      <c r="D6" s="741" t="s">
        <v>296</v>
      </c>
      <c r="E6" s="743">
        <f>'1.'!C120</f>
        <v>1411528234.5</v>
      </c>
      <c r="F6" s="1224"/>
    </row>
    <row r="7" spans="1:6">
      <c r="A7" s="744" t="s">
        <v>173</v>
      </c>
      <c r="B7" s="745" t="s">
        <v>1538</v>
      </c>
      <c r="C7" s="746"/>
      <c r="D7" s="745" t="s">
        <v>1539</v>
      </c>
      <c r="E7" s="743">
        <f>'1.'!C121</f>
        <v>0</v>
      </c>
      <c r="F7" s="1224"/>
    </row>
    <row r="8" spans="1:6" ht="12.95" customHeight="1">
      <c r="A8" s="744" t="s">
        <v>174</v>
      </c>
      <c r="B8" s="745" t="s">
        <v>1540</v>
      </c>
      <c r="C8" s="746">
        <f>'1.'!C51</f>
        <v>11400000</v>
      </c>
      <c r="D8" s="745" t="s">
        <v>297</v>
      </c>
      <c r="E8" s="743">
        <f>'1.'!C122</f>
        <v>66578947</v>
      </c>
      <c r="F8" s="1224"/>
    </row>
    <row r="9" spans="1:6" ht="12.95" customHeight="1">
      <c r="A9" s="744" t="s">
        <v>175</v>
      </c>
      <c r="B9" s="745" t="s">
        <v>1541</v>
      </c>
      <c r="C9" s="746">
        <f>'1.'!C62</f>
        <v>60459000</v>
      </c>
      <c r="D9" s="745" t="s">
        <v>1542</v>
      </c>
      <c r="E9" s="743">
        <f>'1.'!C123</f>
        <v>0</v>
      </c>
      <c r="F9" s="1224"/>
    </row>
    <row r="10" spans="1:6" ht="12.75" customHeight="1">
      <c r="A10" s="744" t="s">
        <v>176</v>
      </c>
      <c r="B10" s="745" t="s">
        <v>1543</v>
      </c>
      <c r="C10" s="746"/>
      <c r="D10" s="745" t="s">
        <v>298</v>
      </c>
      <c r="E10" s="743">
        <f>'1.'!C124</f>
        <v>56500000</v>
      </c>
      <c r="F10" s="1224"/>
    </row>
    <row r="11" spans="1:6" ht="12.95" customHeight="1">
      <c r="A11" s="744" t="s">
        <v>177</v>
      </c>
      <c r="B11" s="745" t="s">
        <v>1544</v>
      </c>
      <c r="C11" s="749"/>
      <c r="D11" s="775"/>
      <c r="E11" s="747"/>
      <c r="F11" s="1224"/>
    </row>
    <row r="12" spans="1:6" ht="12.95" customHeight="1">
      <c r="A12" s="744" t="s">
        <v>178</v>
      </c>
      <c r="B12" s="750"/>
      <c r="C12" s="746"/>
      <c r="D12" s="775"/>
      <c r="E12" s="747"/>
      <c r="F12" s="1224"/>
    </row>
    <row r="13" spans="1:6" ht="12.95" customHeight="1">
      <c r="A13" s="744" t="s">
        <v>179</v>
      </c>
      <c r="B13" s="750"/>
      <c r="C13" s="746"/>
      <c r="D13" s="776"/>
      <c r="E13" s="747"/>
      <c r="F13" s="1224"/>
    </row>
    <row r="14" spans="1:6" ht="12.95" customHeight="1">
      <c r="A14" s="744" t="s">
        <v>180</v>
      </c>
      <c r="B14" s="777"/>
      <c r="C14" s="749"/>
      <c r="D14" s="775"/>
      <c r="E14" s="747"/>
      <c r="F14" s="1224"/>
    </row>
    <row r="15" spans="1:6">
      <c r="A15" s="744" t="s">
        <v>181</v>
      </c>
      <c r="B15" s="750"/>
      <c r="C15" s="749"/>
      <c r="D15" s="775"/>
      <c r="E15" s="747"/>
      <c r="F15" s="1224"/>
    </row>
    <row r="16" spans="1:6" ht="12.95" customHeight="1" thickBot="1">
      <c r="A16" s="770" t="s">
        <v>182</v>
      </c>
      <c r="B16" s="771"/>
      <c r="C16" s="778"/>
      <c r="D16" s="779" t="s">
        <v>292</v>
      </c>
      <c r="E16" s="780">
        <f>'3.c. tartalék'!F11</f>
        <v>54700000</v>
      </c>
      <c r="F16" s="1224"/>
    </row>
    <row r="17" spans="1:6" ht="15.95" customHeight="1" thickBot="1">
      <c r="A17" s="755" t="s">
        <v>183</v>
      </c>
      <c r="B17" s="756" t="s">
        <v>1545</v>
      </c>
      <c r="C17" s="757">
        <f>+C6+C8+C9+C11+C12+C13+C14+C15+C16</f>
        <v>780282293</v>
      </c>
      <c r="D17" s="756" t="s">
        <v>1546</v>
      </c>
      <c r="E17" s="758">
        <f>+E6+E8+E10+E11+E12+E13+E14+E15+E16</f>
        <v>1589307181.5</v>
      </c>
      <c r="F17" s="1224"/>
    </row>
    <row r="18" spans="1:6" ht="12.95" customHeight="1">
      <c r="A18" s="740" t="s">
        <v>184</v>
      </c>
      <c r="B18" s="781" t="s">
        <v>1547</v>
      </c>
      <c r="C18" s="782">
        <f>SUM(C19:C23)</f>
        <v>518540065</v>
      </c>
      <c r="D18" s="762" t="s">
        <v>1515</v>
      </c>
      <c r="E18" s="783"/>
      <c r="F18" s="1224"/>
    </row>
    <row r="19" spans="1:6" ht="12.95" customHeight="1">
      <c r="A19" s="744" t="s">
        <v>185</v>
      </c>
      <c r="B19" s="767" t="s">
        <v>1548</v>
      </c>
      <c r="C19" s="765">
        <f>'1.'!C78-48000000</f>
        <v>518540065</v>
      </c>
      <c r="D19" s="762" t="s">
        <v>1549</v>
      </c>
      <c r="E19" s="766">
        <f>'1.'!C135</f>
        <v>17121455.861111112</v>
      </c>
      <c r="F19" s="1224"/>
    </row>
    <row r="20" spans="1:6" ht="12.95" customHeight="1">
      <c r="A20" s="740" t="s">
        <v>186</v>
      </c>
      <c r="B20" s="767" t="s">
        <v>1550</v>
      </c>
      <c r="C20" s="765"/>
      <c r="D20" s="762" t="s">
        <v>1519</v>
      </c>
      <c r="E20" s="766"/>
      <c r="F20" s="1224"/>
    </row>
    <row r="21" spans="1:6" ht="12.95" customHeight="1">
      <c r="A21" s="744" t="s">
        <v>187</v>
      </c>
      <c r="B21" s="767" t="s">
        <v>1551</v>
      </c>
      <c r="C21" s="765"/>
      <c r="D21" s="762" t="s">
        <v>1521</v>
      </c>
      <c r="E21" s="766"/>
      <c r="F21" s="1224"/>
    </row>
    <row r="22" spans="1:6" ht="12.95" customHeight="1">
      <c r="A22" s="740" t="s">
        <v>188</v>
      </c>
      <c r="B22" s="767" t="s">
        <v>1522</v>
      </c>
      <c r="C22" s="765"/>
      <c r="D22" s="760" t="s">
        <v>1523</v>
      </c>
      <c r="E22" s="766"/>
      <c r="F22" s="1224"/>
    </row>
    <row r="23" spans="1:6" ht="12.95" customHeight="1">
      <c r="A23" s="744" t="s">
        <v>189</v>
      </c>
      <c r="B23" s="784" t="s">
        <v>1552</v>
      </c>
      <c r="C23" s="765"/>
      <c r="D23" s="762" t="s">
        <v>1553</v>
      </c>
      <c r="E23" s="766"/>
      <c r="F23" s="1224"/>
    </row>
    <row r="24" spans="1:6" ht="12.95" customHeight="1">
      <c r="A24" s="740" t="s">
        <v>190</v>
      </c>
      <c r="B24" s="785" t="s">
        <v>1554</v>
      </c>
      <c r="C24" s="768">
        <f>+C25+C26+C27+C28+C29</f>
        <v>283038987</v>
      </c>
      <c r="D24" s="786" t="s">
        <v>1555</v>
      </c>
      <c r="E24" s="766"/>
      <c r="F24" s="1224"/>
    </row>
    <row r="25" spans="1:6" ht="12.95" customHeight="1">
      <c r="A25" s="744" t="s">
        <v>191</v>
      </c>
      <c r="B25" s="784" t="s">
        <v>1556</v>
      </c>
      <c r="C25" s="765">
        <f>'1.'!C69</f>
        <v>283038987</v>
      </c>
      <c r="D25" s="786" t="s">
        <v>299</v>
      </c>
      <c r="E25" s="766"/>
      <c r="F25" s="1224"/>
    </row>
    <row r="26" spans="1:6" ht="12.95" customHeight="1">
      <c r="A26" s="740" t="s">
        <v>192</v>
      </c>
      <c r="B26" s="784" t="s">
        <v>1557</v>
      </c>
      <c r="C26" s="765"/>
      <c r="D26" s="787"/>
      <c r="E26" s="766"/>
      <c r="F26" s="1224"/>
    </row>
    <row r="27" spans="1:6" ht="12.95" customHeight="1">
      <c r="A27" s="744" t="s">
        <v>193</v>
      </c>
      <c r="B27" s="767" t="s">
        <v>1558</v>
      </c>
      <c r="C27" s="765"/>
      <c r="D27" s="788"/>
      <c r="E27" s="766"/>
      <c r="F27" s="1224"/>
    </row>
    <row r="28" spans="1:6" ht="12.95" customHeight="1">
      <c r="A28" s="740" t="s">
        <v>194</v>
      </c>
      <c r="B28" s="789" t="s">
        <v>1559</v>
      </c>
      <c r="C28" s="765"/>
      <c r="D28" s="750"/>
      <c r="E28" s="766"/>
      <c r="F28" s="1224"/>
    </row>
    <row r="29" spans="1:6" ht="12.95" customHeight="1" thickBot="1">
      <c r="A29" s="744" t="s">
        <v>195</v>
      </c>
      <c r="B29" s="790" t="s">
        <v>1560</v>
      </c>
      <c r="C29" s="765"/>
      <c r="D29" s="788"/>
      <c r="E29" s="766"/>
      <c r="F29" s="1224"/>
    </row>
    <row r="30" spans="1:6" ht="21.75" customHeight="1" thickBot="1">
      <c r="A30" s="755" t="s">
        <v>196</v>
      </c>
      <c r="B30" s="756" t="s">
        <v>1561</v>
      </c>
      <c r="C30" s="757">
        <f>+C18+C24</f>
        <v>801579052</v>
      </c>
      <c r="D30" s="756" t="s">
        <v>1562</v>
      </c>
      <c r="E30" s="758">
        <f>SUM(E18:E29)</f>
        <v>17121455.861111112</v>
      </c>
      <c r="F30" s="1224"/>
    </row>
    <row r="31" spans="1:6" ht="13.5" thickBot="1">
      <c r="A31" s="755" t="s">
        <v>197</v>
      </c>
      <c r="B31" s="772" t="s">
        <v>1563</v>
      </c>
      <c r="C31" s="773">
        <f>+C17+C30</f>
        <v>1581861345</v>
      </c>
      <c r="D31" s="772" t="s">
        <v>1564</v>
      </c>
      <c r="E31" s="773">
        <f>+E17+E30</f>
        <v>1606428637.3611112</v>
      </c>
      <c r="F31" s="1224"/>
    </row>
    <row r="32" spans="1:6" ht="13.5" thickBot="1">
      <c r="A32" s="755" t="s">
        <v>198</v>
      </c>
      <c r="B32" s="772" t="s">
        <v>1532</v>
      </c>
      <c r="C32" s="773">
        <f>IF(C17-E17&lt;0,E17-C17,"-")</f>
        <v>809024888.5</v>
      </c>
      <c r="D32" s="772" t="s">
        <v>1533</v>
      </c>
      <c r="E32" s="773" t="str">
        <f>IF(C17-E17&gt;0,C17-E17,"-")</f>
        <v>-</v>
      </c>
      <c r="F32" s="1224"/>
    </row>
    <row r="33" spans="1:6" ht="13.5" thickBot="1">
      <c r="A33" s="755" t="s">
        <v>199</v>
      </c>
      <c r="B33" s="772" t="s">
        <v>1534</v>
      </c>
      <c r="C33" s="773">
        <f>IF(C31-E31&lt;0,E31-C31,"-")</f>
        <v>24567292.361111164</v>
      </c>
      <c r="D33" s="772" t="s">
        <v>1535</v>
      </c>
      <c r="E33" s="773" t="str">
        <f>IF(C31-E31&gt;0,C31-E31,"-")</f>
        <v>-</v>
      </c>
      <c r="F33" s="1224"/>
    </row>
  </sheetData>
  <mergeCells count="2">
    <mergeCell ref="F1:F33"/>
    <mergeCell ref="A3:A4"/>
  </mergeCells>
  <pageMargins left="0.19685039370078741" right="0.11811023622047245" top="0.35433070866141736" bottom="0.55118110236220474" header="0.31496062992125984" footer="0.31496062992125984"/>
  <pageSetup paperSize="9" fitToHeight="0" orientation="landscape" r:id="rId1"/>
  <headerFooter>
    <oddHeader>&amp;RRáckeve Város 2020 évi költségvetés melléklete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71"/>
  <sheetViews>
    <sheetView topLeftCell="A36" zoomScaleNormal="100" workbookViewId="0">
      <selection activeCell="N3" sqref="N3"/>
    </sheetView>
  </sheetViews>
  <sheetFormatPr defaultRowHeight="12.75"/>
  <cols>
    <col min="1" max="1" width="4" style="936" customWidth="1"/>
    <col min="2" max="2" width="3.42578125" style="912" customWidth="1"/>
    <col min="3" max="3" width="36.7109375" style="950" customWidth="1"/>
    <col min="4" max="4" width="23.28515625" style="912" bestFit="1" customWidth="1"/>
    <col min="5" max="6" width="13.140625" style="912" customWidth="1"/>
    <col min="7" max="7" width="13.140625" style="904" customWidth="1"/>
    <col min="8" max="14" width="13.140625" style="912" customWidth="1"/>
    <col min="15" max="15" width="11.140625" style="910" customWidth="1"/>
    <col min="16" max="24" width="9.140625" style="842"/>
    <col min="25" max="16384" width="9.140625" style="910"/>
  </cols>
  <sheetData>
    <row r="1" spans="1:15" s="905" customFormat="1" ht="18" customHeight="1">
      <c r="A1" s="901"/>
      <c r="B1" s="902"/>
      <c r="C1" s="903"/>
      <c r="D1" s="902"/>
      <c r="E1" s="902"/>
      <c r="F1" s="902"/>
      <c r="G1" s="904"/>
      <c r="H1" s="902"/>
      <c r="I1" s="902"/>
      <c r="J1" s="902"/>
      <c r="K1" s="902"/>
      <c r="L1" s="902"/>
      <c r="M1" s="902"/>
      <c r="N1" s="902"/>
    </row>
    <row r="2" spans="1:15" ht="34.5" customHeight="1">
      <c r="A2" s="906"/>
      <c r="B2" s="1233" t="s">
        <v>1713</v>
      </c>
      <c r="C2" s="1233"/>
      <c r="D2" s="1233"/>
      <c r="E2" s="907"/>
      <c r="F2" s="907"/>
      <c r="G2" s="908"/>
      <c r="H2" s="907"/>
      <c r="I2" s="907"/>
      <c r="J2" s="907"/>
      <c r="K2" s="907"/>
      <c r="L2" s="907"/>
      <c r="M2" s="907"/>
      <c r="N2" s="907"/>
      <c r="O2" s="909"/>
    </row>
    <row r="3" spans="1:15" ht="18.75" customHeight="1" thickBot="1">
      <c r="A3" s="911"/>
      <c r="C3" s="913"/>
      <c r="D3" s="914"/>
      <c r="E3" s="914"/>
      <c r="F3" s="914"/>
      <c r="G3" s="915"/>
      <c r="H3" s="914"/>
      <c r="I3" s="914"/>
      <c r="J3" s="914"/>
      <c r="K3" s="914"/>
      <c r="L3" s="914"/>
      <c r="M3" s="914"/>
      <c r="N3" s="1118" t="s">
        <v>1675</v>
      </c>
      <c r="O3" s="916"/>
    </row>
    <row r="4" spans="1:15" ht="38.25" customHeight="1" thickBot="1">
      <c r="A4" s="917"/>
      <c r="B4" s="1230" t="s">
        <v>171</v>
      </c>
      <c r="C4" s="1231" t="s">
        <v>269</v>
      </c>
      <c r="D4" s="918" t="s">
        <v>275</v>
      </c>
      <c r="E4" s="918" t="s">
        <v>273</v>
      </c>
      <c r="F4" s="919" t="s">
        <v>119</v>
      </c>
      <c r="G4" s="920" t="s">
        <v>169</v>
      </c>
      <c r="H4" s="918" t="s">
        <v>120</v>
      </c>
      <c r="I4" s="918" t="s">
        <v>168</v>
      </c>
      <c r="J4" s="918" t="s">
        <v>121</v>
      </c>
      <c r="K4" s="918" t="s">
        <v>274</v>
      </c>
      <c r="L4" s="918" t="s">
        <v>122</v>
      </c>
      <c r="M4" s="918" t="s">
        <v>123</v>
      </c>
      <c r="N4" s="918" t="s">
        <v>124</v>
      </c>
      <c r="O4" s="921"/>
    </row>
    <row r="5" spans="1:15" s="924" customFormat="1" ht="37.5" customHeight="1" thickBot="1">
      <c r="A5" s="922"/>
      <c r="B5" s="1230"/>
      <c r="C5" s="1232"/>
      <c r="D5" s="923" t="s">
        <v>270</v>
      </c>
      <c r="E5" s="923" t="s">
        <v>270</v>
      </c>
      <c r="F5" s="923" t="s">
        <v>270</v>
      </c>
      <c r="G5" s="923" t="s">
        <v>270</v>
      </c>
      <c r="H5" s="923" t="s">
        <v>270</v>
      </c>
      <c r="I5" s="923" t="s">
        <v>270</v>
      </c>
      <c r="J5" s="923" t="s">
        <v>270</v>
      </c>
      <c r="K5" s="923" t="s">
        <v>270</v>
      </c>
      <c r="L5" s="923" t="s">
        <v>270</v>
      </c>
      <c r="M5" s="923" t="s">
        <v>270</v>
      </c>
      <c r="N5" s="923" t="s">
        <v>270</v>
      </c>
      <c r="O5" s="922"/>
    </row>
    <row r="6" spans="1:15" s="924" customFormat="1" ht="13.5" customHeight="1" thickBot="1">
      <c r="A6" s="922"/>
      <c r="B6" s="925" t="s">
        <v>287</v>
      </c>
      <c r="C6" s="925" t="s">
        <v>268</v>
      </c>
      <c r="D6" s="926" t="s">
        <v>288</v>
      </c>
      <c r="E6" s="926" t="s">
        <v>288</v>
      </c>
      <c r="F6" s="926" t="s">
        <v>288</v>
      </c>
      <c r="G6" s="926" t="s">
        <v>288</v>
      </c>
      <c r="H6" s="926" t="s">
        <v>288</v>
      </c>
      <c r="I6" s="926" t="s">
        <v>288</v>
      </c>
      <c r="J6" s="926" t="s">
        <v>288</v>
      </c>
      <c r="K6" s="926" t="s">
        <v>288</v>
      </c>
      <c r="L6" s="926" t="s">
        <v>288</v>
      </c>
      <c r="M6" s="926" t="s">
        <v>288</v>
      </c>
      <c r="N6" s="926" t="s">
        <v>288</v>
      </c>
      <c r="O6" s="922"/>
    </row>
    <row r="7" spans="1:15" ht="24">
      <c r="A7" s="911"/>
      <c r="B7" s="927" t="s">
        <v>172</v>
      </c>
      <c r="C7" s="928" t="s">
        <v>135</v>
      </c>
      <c r="D7" s="929">
        <f t="shared" ref="D7:D38" si="0">E7+F7+G7+H7+I7+J7+K7+L7+M7+N7</f>
        <v>275406451</v>
      </c>
      <c r="E7" s="929">
        <f>'2.a'!G30</f>
        <v>275406451</v>
      </c>
      <c r="F7" s="929"/>
      <c r="G7" s="930"/>
      <c r="H7" s="929"/>
      <c r="I7" s="929"/>
      <c r="J7" s="929"/>
      <c r="K7" s="929"/>
      <c r="L7" s="929"/>
      <c r="M7" s="929"/>
      <c r="N7" s="929"/>
      <c r="O7" s="931"/>
    </row>
    <row r="8" spans="1:15" ht="27" customHeight="1">
      <c r="A8" s="911"/>
      <c r="B8" s="932" t="s">
        <v>173</v>
      </c>
      <c r="C8" s="933" t="s">
        <v>136</v>
      </c>
      <c r="D8" s="934">
        <f t="shared" si="0"/>
        <v>263588830</v>
      </c>
      <c r="E8" s="934">
        <f>'2.a'!G67</f>
        <v>263588830</v>
      </c>
      <c r="F8" s="934"/>
      <c r="G8" s="935"/>
      <c r="H8" s="934"/>
      <c r="I8" s="934"/>
      <c r="J8" s="934"/>
      <c r="K8" s="934"/>
      <c r="L8" s="934"/>
      <c r="M8" s="934"/>
      <c r="N8" s="934"/>
      <c r="O8" s="931"/>
    </row>
    <row r="9" spans="1:15" ht="39.75" customHeight="1">
      <c r="B9" s="932" t="s">
        <v>174</v>
      </c>
      <c r="C9" s="933" t="s">
        <v>137</v>
      </c>
      <c r="D9" s="413">
        <f t="shared" si="0"/>
        <v>413052831</v>
      </c>
      <c r="E9" s="413">
        <f>'2.a'!G133</f>
        <v>413052831</v>
      </c>
      <c r="F9" s="413"/>
      <c r="G9" s="937"/>
      <c r="H9" s="413"/>
      <c r="I9" s="413"/>
      <c r="J9" s="413"/>
      <c r="K9" s="413"/>
      <c r="L9" s="413"/>
      <c r="M9" s="413"/>
      <c r="N9" s="413"/>
      <c r="O9" s="938"/>
    </row>
    <row r="10" spans="1:15" ht="25.5" customHeight="1">
      <c r="B10" s="932" t="s">
        <v>175</v>
      </c>
      <c r="C10" s="933" t="s">
        <v>138</v>
      </c>
      <c r="D10" s="413">
        <f t="shared" si="0"/>
        <v>22989520</v>
      </c>
      <c r="E10" s="413">
        <f>'2.a'!G140</f>
        <v>22989520</v>
      </c>
      <c r="F10" s="413"/>
      <c r="G10" s="937"/>
      <c r="H10" s="413"/>
      <c r="I10" s="413"/>
      <c r="J10" s="413"/>
      <c r="K10" s="413"/>
      <c r="L10" s="413"/>
      <c r="M10" s="413"/>
      <c r="N10" s="413"/>
      <c r="O10" s="938"/>
    </row>
    <row r="11" spans="1:15" ht="27.75" customHeight="1">
      <c r="B11" s="932" t="s">
        <v>176</v>
      </c>
      <c r="C11" s="933" t="s">
        <v>139</v>
      </c>
      <c r="D11" s="413">
        <f t="shared" si="0"/>
        <v>37389000</v>
      </c>
      <c r="E11" s="413">
        <v>37389000</v>
      </c>
      <c r="F11" s="413"/>
      <c r="G11" s="937"/>
      <c r="H11" s="413"/>
      <c r="I11" s="413"/>
      <c r="J11" s="413"/>
      <c r="K11" s="413"/>
      <c r="L11" s="413"/>
      <c r="M11" s="413"/>
      <c r="N11" s="413"/>
      <c r="O11" s="938"/>
    </row>
    <row r="12" spans="1:15" ht="18" customHeight="1">
      <c r="B12" s="932" t="s">
        <v>177</v>
      </c>
      <c r="C12" s="933" t="s">
        <v>140</v>
      </c>
      <c r="D12" s="413">
        <f t="shared" si="0"/>
        <v>0</v>
      </c>
      <c r="E12" s="413"/>
      <c r="F12" s="413"/>
      <c r="G12" s="937"/>
      <c r="H12" s="413"/>
      <c r="I12" s="413"/>
      <c r="J12" s="413"/>
      <c r="K12" s="413"/>
      <c r="L12" s="413"/>
      <c r="M12" s="413"/>
      <c r="N12" s="413"/>
      <c r="O12" s="938"/>
    </row>
    <row r="13" spans="1:15" ht="26.25" customHeight="1">
      <c r="A13" s="939"/>
      <c r="B13" s="932" t="s">
        <v>178</v>
      </c>
      <c r="C13" s="940" t="s">
        <v>141</v>
      </c>
      <c r="D13" s="941">
        <f t="shared" si="0"/>
        <v>1012426632</v>
      </c>
      <c r="E13" s="941">
        <f t="shared" ref="E13:N13" si="1">SUM(E7:E12)</f>
        <v>1012426632</v>
      </c>
      <c r="F13" s="941">
        <f t="shared" si="1"/>
        <v>0</v>
      </c>
      <c r="G13" s="942">
        <f t="shared" si="1"/>
        <v>0</v>
      </c>
      <c r="H13" s="941">
        <f t="shared" si="1"/>
        <v>0</v>
      </c>
      <c r="I13" s="941">
        <f t="shared" si="1"/>
        <v>0</v>
      </c>
      <c r="J13" s="941">
        <f t="shared" si="1"/>
        <v>0</v>
      </c>
      <c r="K13" s="941">
        <f t="shared" si="1"/>
        <v>0</v>
      </c>
      <c r="L13" s="941">
        <f t="shared" si="1"/>
        <v>0</v>
      </c>
      <c r="M13" s="941">
        <f t="shared" si="1"/>
        <v>0</v>
      </c>
      <c r="N13" s="941">
        <f t="shared" si="1"/>
        <v>0</v>
      </c>
      <c r="O13" s="943"/>
    </row>
    <row r="14" spans="1:15" ht="27.75" customHeight="1">
      <c r="B14" s="932" t="s">
        <v>179</v>
      </c>
      <c r="C14" s="933" t="s">
        <v>277</v>
      </c>
      <c r="D14" s="413">
        <f t="shared" si="0"/>
        <v>64000000</v>
      </c>
      <c r="E14" s="413">
        <v>32000000</v>
      </c>
      <c r="F14" s="413"/>
      <c r="G14" s="937"/>
      <c r="H14" s="413"/>
      <c r="I14" s="413"/>
      <c r="J14" s="413"/>
      <c r="K14" s="413"/>
      <c r="L14" s="413"/>
      <c r="M14" s="413"/>
      <c r="N14" s="413">
        <v>32000000</v>
      </c>
      <c r="O14" s="938"/>
    </row>
    <row r="15" spans="1:15" ht="24">
      <c r="B15" s="932" t="s">
        <v>180</v>
      </c>
      <c r="C15" s="933" t="s">
        <v>170</v>
      </c>
      <c r="D15" s="413">
        <f t="shared" si="0"/>
        <v>473913170.96541268</v>
      </c>
      <c r="E15" s="413">
        <f>'2.c'!C7+31443400+15000000+5000000</f>
        <v>75341897.965412691</v>
      </c>
      <c r="F15" s="413"/>
      <c r="G15" s="937"/>
      <c r="H15" s="413"/>
      <c r="I15" s="413"/>
      <c r="J15" s="944">
        <f>Munka1!CR120</f>
        <v>1650000</v>
      </c>
      <c r="K15" s="413"/>
      <c r="L15" s="413">
        <v>4370000</v>
      </c>
      <c r="M15" s="413">
        <v>325112122</v>
      </c>
      <c r="N15" s="413">
        <v>67439151</v>
      </c>
      <c r="O15" s="938"/>
    </row>
    <row r="16" spans="1:15" ht="25.5" customHeight="1">
      <c r="A16" s="939"/>
      <c r="B16" s="932" t="s">
        <v>181</v>
      </c>
      <c r="C16" s="940" t="s">
        <v>233</v>
      </c>
      <c r="D16" s="941">
        <f t="shared" si="0"/>
        <v>537913170.96541262</v>
      </c>
      <c r="E16" s="941">
        <f>+E14+E15</f>
        <v>107341897.96541269</v>
      </c>
      <c r="F16" s="941">
        <f>+F14+F15</f>
        <v>0</v>
      </c>
      <c r="G16" s="942">
        <f>+G14+G15</f>
        <v>0</v>
      </c>
      <c r="H16" s="941">
        <f>+H14+H15</f>
        <v>0</v>
      </c>
      <c r="I16" s="941">
        <f>+I14+I15+I13</f>
        <v>0</v>
      </c>
      <c r="J16" s="941">
        <f>+J14+J15+J13</f>
        <v>1650000</v>
      </c>
      <c r="K16" s="941">
        <f>+K14+K15+K13</f>
        <v>0</v>
      </c>
      <c r="L16" s="941">
        <f>+L14+L15+L13</f>
        <v>4370000</v>
      </c>
      <c r="M16" s="941">
        <f>+M14+M15</f>
        <v>325112122</v>
      </c>
      <c r="N16" s="941">
        <f>+N14+N15+N13</f>
        <v>99439151</v>
      </c>
      <c r="O16" s="943"/>
    </row>
    <row r="17" spans="1:15" ht="26.25" customHeight="1">
      <c r="B17" s="932" t="s">
        <v>182</v>
      </c>
      <c r="C17" s="933" t="s">
        <v>142</v>
      </c>
      <c r="D17" s="413">
        <f t="shared" si="0"/>
        <v>153703520</v>
      </c>
      <c r="E17" s="413">
        <f>SUM('2.c'!C19:C24)</f>
        <v>153703520</v>
      </c>
      <c r="F17" s="413"/>
      <c r="G17" s="937"/>
      <c r="H17" s="413"/>
      <c r="I17" s="413"/>
      <c r="J17" s="413"/>
      <c r="K17" s="413"/>
      <c r="L17" s="413"/>
      <c r="M17" s="413"/>
      <c r="N17" s="413"/>
      <c r="O17" s="938"/>
    </row>
    <row r="18" spans="1:15" ht="35.25" customHeight="1">
      <c r="B18" s="932" t="s">
        <v>183</v>
      </c>
      <c r="C18" s="933" t="s">
        <v>143</v>
      </c>
      <c r="D18" s="413">
        <f t="shared" si="0"/>
        <v>0</v>
      </c>
      <c r="E18" s="413"/>
      <c r="F18" s="413"/>
      <c r="G18" s="937"/>
      <c r="H18" s="413"/>
      <c r="I18" s="413"/>
      <c r="J18" s="413"/>
      <c r="K18" s="413"/>
      <c r="L18" s="413"/>
      <c r="M18" s="413"/>
      <c r="N18" s="413"/>
      <c r="O18" s="938"/>
    </row>
    <row r="19" spans="1:15" ht="36" customHeight="1">
      <c r="B19" s="932" t="s">
        <v>184</v>
      </c>
      <c r="C19" s="933" t="s">
        <v>234</v>
      </c>
      <c r="D19" s="413">
        <f t="shared" si="0"/>
        <v>0</v>
      </c>
      <c r="E19" s="413"/>
      <c r="F19" s="413"/>
      <c r="G19" s="937"/>
      <c r="H19" s="413"/>
      <c r="I19" s="413"/>
      <c r="J19" s="413"/>
      <c r="K19" s="413"/>
      <c r="L19" s="413"/>
      <c r="M19" s="413"/>
      <c r="N19" s="413"/>
      <c r="O19" s="938"/>
    </row>
    <row r="20" spans="1:15" ht="26.25" customHeight="1">
      <c r="B20" s="932" t="s">
        <v>185</v>
      </c>
      <c r="C20" s="933" t="s">
        <v>235</v>
      </c>
      <c r="D20" s="413">
        <f t="shared" si="0"/>
        <v>554719773</v>
      </c>
      <c r="E20" s="413">
        <f>'2.c'!C25+'2.c'!C26</f>
        <v>553042773</v>
      </c>
      <c r="F20" s="413"/>
      <c r="G20" s="937"/>
      <c r="H20" s="413"/>
      <c r="I20" s="413"/>
      <c r="J20" s="413"/>
      <c r="K20" s="413"/>
      <c r="L20" s="413"/>
      <c r="M20" s="945">
        <v>1677000</v>
      </c>
      <c r="N20" s="413"/>
      <c r="O20" s="938"/>
    </row>
    <row r="21" spans="1:15" ht="29.25" customHeight="1">
      <c r="B21" s="932" t="s">
        <v>186</v>
      </c>
      <c r="C21" s="933" t="s">
        <v>144</v>
      </c>
      <c r="D21" s="413">
        <f t="shared" si="0"/>
        <v>553042773</v>
      </c>
      <c r="E21" s="413">
        <f>E20</f>
        <v>553042773</v>
      </c>
      <c r="F21" s="413"/>
      <c r="G21" s="937"/>
      <c r="H21" s="413"/>
      <c r="I21" s="413"/>
      <c r="J21" s="413"/>
      <c r="K21" s="413"/>
      <c r="L21" s="413"/>
      <c r="M21" s="413"/>
      <c r="N21" s="413"/>
      <c r="O21" s="938"/>
    </row>
    <row r="22" spans="1:15" ht="26.25" customHeight="1">
      <c r="A22" s="939"/>
      <c r="B22" s="932" t="s">
        <v>187</v>
      </c>
      <c r="C22" s="940" t="s">
        <v>236</v>
      </c>
      <c r="D22" s="941">
        <f t="shared" si="0"/>
        <v>708423293</v>
      </c>
      <c r="E22" s="941">
        <f t="shared" ref="E22:N22" si="2">E20+E19+E18+E17</f>
        <v>706746293</v>
      </c>
      <c r="F22" s="941">
        <f t="shared" si="2"/>
        <v>0</v>
      </c>
      <c r="G22" s="942">
        <f t="shared" si="2"/>
        <v>0</v>
      </c>
      <c r="H22" s="941">
        <f t="shared" si="2"/>
        <v>0</v>
      </c>
      <c r="I22" s="941">
        <f t="shared" si="2"/>
        <v>0</v>
      </c>
      <c r="J22" s="941">
        <f t="shared" si="2"/>
        <v>0</v>
      </c>
      <c r="K22" s="941">
        <f t="shared" si="2"/>
        <v>0</v>
      </c>
      <c r="L22" s="941">
        <f t="shared" si="2"/>
        <v>0</v>
      </c>
      <c r="M22" s="941">
        <f t="shared" si="2"/>
        <v>1677000</v>
      </c>
      <c r="N22" s="941">
        <f t="shared" si="2"/>
        <v>0</v>
      </c>
      <c r="O22" s="943"/>
    </row>
    <row r="23" spans="1:15" ht="16.5" customHeight="1">
      <c r="B23" s="932" t="s">
        <v>188</v>
      </c>
      <c r="C23" s="933" t="s">
        <v>237</v>
      </c>
      <c r="D23" s="413">
        <f t="shared" si="0"/>
        <v>154000000</v>
      </c>
      <c r="E23" s="413">
        <v>154000000</v>
      </c>
      <c r="F23" s="413"/>
      <c r="G23" s="937"/>
      <c r="H23" s="413"/>
      <c r="I23" s="413"/>
      <c r="J23" s="413"/>
      <c r="K23" s="413"/>
      <c r="L23" s="413"/>
      <c r="M23" s="413"/>
      <c r="N23" s="413"/>
      <c r="O23" s="938"/>
    </row>
    <row r="24" spans="1:15" ht="16.5" customHeight="1">
      <c r="B24" s="932" t="s">
        <v>189</v>
      </c>
      <c r="C24" s="933" t="s">
        <v>145</v>
      </c>
      <c r="D24" s="413">
        <f t="shared" si="0"/>
        <v>154000000</v>
      </c>
      <c r="E24" s="413">
        <v>154000000</v>
      </c>
      <c r="F24" s="413"/>
      <c r="G24" s="937"/>
      <c r="H24" s="413"/>
      <c r="I24" s="413"/>
      <c r="J24" s="413"/>
      <c r="K24" s="413"/>
      <c r="L24" s="413"/>
      <c r="M24" s="413"/>
      <c r="N24" s="413"/>
      <c r="O24" s="938"/>
    </row>
    <row r="25" spans="1:15" ht="17.25" customHeight="1">
      <c r="B25" s="932" t="s">
        <v>190</v>
      </c>
      <c r="C25" s="933" t="s">
        <v>238</v>
      </c>
      <c r="D25" s="413">
        <f t="shared" si="0"/>
        <v>278000000</v>
      </c>
      <c r="E25" s="413">
        <v>278000000</v>
      </c>
      <c r="F25" s="413"/>
      <c r="G25" s="937"/>
      <c r="H25" s="413"/>
      <c r="I25" s="413"/>
      <c r="J25" s="413"/>
      <c r="K25" s="413"/>
      <c r="L25" s="413"/>
      <c r="M25" s="413"/>
      <c r="N25" s="413"/>
      <c r="O25" s="938"/>
    </row>
    <row r="26" spans="1:15" ht="27" customHeight="1">
      <c r="B26" s="932" t="s">
        <v>191</v>
      </c>
      <c r="C26" s="933" t="s">
        <v>276</v>
      </c>
      <c r="D26" s="413">
        <f t="shared" si="0"/>
        <v>278000000</v>
      </c>
      <c r="E26" s="413">
        <v>278000000</v>
      </c>
      <c r="F26" s="413"/>
      <c r="G26" s="937"/>
      <c r="H26" s="413"/>
      <c r="I26" s="413"/>
      <c r="J26" s="413"/>
      <c r="K26" s="413"/>
      <c r="L26" s="413"/>
      <c r="M26" s="413"/>
      <c r="N26" s="413"/>
      <c r="O26" s="938"/>
    </row>
    <row r="27" spans="1:15" ht="17.25" customHeight="1">
      <c r="B27" s="932" t="s">
        <v>192</v>
      </c>
      <c r="C27" s="933" t="s">
        <v>239</v>
      </c>
      <c r="D27" s="413">
        <f t="shared" si="0"/>
        <v>35500000</v>
      </c>
      <c r="E27" s="413">
        <v>35500000</v>
      </c>
      <c r="F27" s="413"/>
      <c r="G27" s="937"/>
      <c r="H27" s="413"/>
      <c r="I27" s="413"/>
      <c r="J27" s="413"/>
      <c r="K27" s="413"/>
      <c r="L27" s="413"/>
      <c r="M27" s="413"/>
      <c r="N27" s="413"/>
      <c r="O27" s="938"/>
    </row>
    <row r="28" spans="1:15" ht="16.5" customHeight="1">
      <c r="B28" s="932" t="s">
        <v>193</v>
      </c>
      <c r="C28" s="933" t="s">
        <v>240</v>
      </c>
      <c r="D28" s="413">
        <f t="shared" si="0"/>
        <v>13000000</v>
      </c>
      <c r="E28" s="413">
        <v>13000000</v>
      </c>
      <c r="F28" s="413"/>
      <c r="G28" s="937"/>
      <c r="H28" s="413"/>
      <c r="I28" s="413"/>
      <c r="J28" s="413"/>
      <c r="K28" s="413"/>
      <c r="L28" s="413"/>
      <c r="M28" s="413"/>
      <c r="N28" s="413"/>
      <c r="O28" s="938"/>
    </row>
    <row r="29" spans="1:15" ht="15.75" customHeight="1">
      <c r="B29" s="932" t="s">
        <v>194</v>
      </c>
      <c r="C29" s="933" t="s">
        <v>242</v>
      </c>
      <c r="D29" s="413">
        <f t="shared" si="0"/>
        <v>4595000</v>
      </c>
      <c r="E29" s="413">
        <v>4500000</v>
      </c>
      <c r="F29" s="413">
        <v>95000</v>
      </c>
      <c r="G29" s="937"/>
      <c r="H29" s="413"/>
      <c r="I29" s="413"/>
      <c r="J29" s="413"/>
      <c r="K29" s="413"/>
      <c r="L29" s="413"/>
      <c r="M29" s="413"/>
      <c r="N29" s="413"/>
      <c r="O29" s="938"/>
    </row>
    <row r="30" spans="1:15" ht="17.25" customHeight="1">
      <c r="B30" s="932" t="s">
        <v>195</v>
      </c>
      <c r="C30" s="933" t="s">
        <v>241</v>
      </c>
      <c r="D30" s="413">
        <f t="shared" si="0"/>
        <v>0</v>
      </c>
      <c r="E30" s="413"/>
      <c r="F30" s="413"/>
      <c r="G30" s="937"/>
      <c r="H30" s="413"/>
      <c r="I30" s="413"/>
      <c r="J30" s="413"/>
      <c r="K30" s="413"/>
      <c r="L30" s="413"/>
      <c r="M30" s="413"/>
      <c r="N30" s="413"/>
      <c r="O30" s="938"/>
    </row>
    <row r="31" spans="1:15" ht="25.5" customHeight="1">
      <c r="A31" s="939"/>
      <c r="B31" s="932" t="s">
        <v>196</v>
      </c>
      <c r="C31" s="940" t="s">
        <v>253</v>
      </c>
      <c r="D31" s="941">
        <f t="shared" si="0"/>
        <v>485095000</v>
      </c>
      <c r="E31" s="941">
        <f>+E23+E25+E27+E28+E29+E30</f>
        <v>485000000</v>
      </c>
      <c r="F31" s="941">
        <f>+F23+F25+F27+F28+F29+F30</f>
        <v>95000</v>
      </c>
      <c r="G31" s="942">
        <f t="shared" ref="G31:N31" si="3">+G23+G25+G27+G28+G29</f>
        <v>0</v>
      </c>
      <c r="H31" s="941">
        <f t="shared" si="3"/>
        <v>0</v>
      </c>
      <c r="I31" s="941">
        <f t="shared" si="3"/>
        <v>0</v>
      </c>
      <c r="J31" s="941">
        <f t="shared" si="3"/>
        <v>0</v>
      </c>
      <c r="K31" s="941">
        <f t="shared" si="3"/>
        <v>0</v>
      </c>
      <c r="L31" s="941">
        <f t="shared" si="3"/>
        <v>0</v>
      </c>
      <c r="M31" s="941">
        <f t="shared" si="3"/>
        <v>0</v>
      </c>
      <c r="N31" s="941">
        <f t="shared" si="3"/>
        <v>0</v>
      </c>
      <c r="O31" s="943"/>
    </row>
    <row r="32" spans="1:15" ht="17.25" customHeight="1">
      <c r="B32" s="932" t="s">
        <v>197</v>
      </c>
      <c r="C32" s="933" t="s">
        <v>146</v>
      </c>
      <c r="D32" s="413">
        <f t="shared" si="0"/>
        <v>156200</v>
      </c>
      <c r="E32" s="413"/>
      <c r="F32" s="413"/>
      <c r="G32" s="937"/>
      <c r="H32" s="413"/>
      <c r="I32" s="413"/>
      <c r="J32" s="413"/>
      <c r="K32" s="413"/>
      <c r="L32" s="413"/>
      <c r="M32" s="413">
        <v>156200</v>
      </c>
      <c r="N32" s="413"/>
      <c r="O32" s="938"/>
    </row>
    <row r="33" spans="1:15" ht="17.25" customHeight="1">
      <c r="B33" s="932" t="s">
        <v>198</v>
      </c>
      <c r="C33" s="933" t="s">
        <v>256</v>
      </c>
      <c r="D33" s="413">
        <f t="shared" si="0"/>
        <v>41802637</v>
      </c>
      <c r="E33" s="413">
        <f>'2.b'!C9</f>
        <v>15483000</v>
      </c>
      <c r="F33" s="413">
        <v>2300000</v>
      </c>
      <c r="G33" s="1090">
        <v>2472000</v>
      </c>
      <c r="H33" s="413">
        <v>3600000</v>
      </c>
      <c r="I33" s="413"/>
      <c r="J33" s="944">
        <f>Munka1!CT153</f>
        <v>5400000</v>
      </c>
      <c r="K33" s="944">
        <v>3035000</v>
      </c>
      <c r="L33" s="413">
        <v>1650000</v>
      </c>
      <c r="M33" s="413">
        <v>7862637</v>
      </c>
      <c r="N33" s="413"/>
      <c r="O33" s="938"/>
    </row>
    <row r="34" spans="1:15" ht="24">
      <c r="B34" s="932" t="s">
        <v>199</v>
      </c>
      <c r="C34" s="933" t="s">
        <v>147</v>
      </c>
      <c r="D34" s="413">
        <f t="shared" si="0"/>
        <v>12780000</v>
      </c>
      <c r="E34" s="413">
        <v>12780000</v>
      </c>
      <c r="F34" s="413"/>
      <c r="G34" s="1090"/>
      <c r="H34" s="413">
        <v>0</v>
      </c>
      <c r="I34" s="413"/>
      <c r="J34" s="413"/>
      <c r="K34" s="944"/>
      <c r="L34" s="413"/>
      <c r="M34" s="413"/>
      <c r="N34" s="413"/>
      <c r="O34" s="938"/>
    </row>
    <row r="35" spans="1:15" ht="17.25" customHeight="1">
      <c r="B35" s="932" t="s">
        <v>200</v>
      </c>
      <c r="C35" s="933" t="s">
        <v>243</v>
      </c>
      <c r="D35" s="413">
        <f t="shared" si="0"/>
        <v>39530622</v>
      </c>
      <c r="E35" s="413">
        <f>'2.b'!C14</f>
        <v>13780000</v>
      </c>
      <c r="F35" s="413">
        <v>6270000</v>
      </c>
      <c r="G35" s="1090">
        <v>18250000</v>
      </c>
      <c r="H35" s="413">
        <v>546250</v>
      </c>
      <c r="I35" s="413"/>
      <c r="J35" s="413"/>
      <c r="K35" s="944">
        <v>50000</v>
      </c>
      <c r="L35" s="413"/>
      <c r="M35" s="413">
        <v>634372</v>
      </c>
      <c r="N35" s="413"/>
      <c r="O35" s="938"/>
    </row>
    <row r="36" spans="1:15" ht="17.25" customHeight="1">
      <c r="B36" s="932" t="s">
        <v>201</v>
      </c>
      <c r="C36" s="933" t="s">
        <v>148</v>
      </c>
      <c r="D36" s="413">
        <f t="shared" si="0"/>
        <v>16530000</v>
      </c>
      <c r="E36" s="413">
        <f>'2.b'!C15</f>
        <v>10780000</v>
      </c>
      <c r="F36" s="413">
        <v>5750000</v>
      </c>
      <c r="G36" s="1090"/>
      <c r="H36" s="413"/>
      <c r="I36" s="413"/>
      <c r="J36" s="413"/>
      <c r="K36" s="413"/>
      <c r="L36" s="413"/>
      <c r="M36" s="413"/>
      <c r="N36" s="413"/>
      <c r="O36" s="938"/>
    </row>
    <row r="37" spans="1:15" ht="17.25" customHeight="1">
      <c r="B37" s="932" t="s">
        <v>202</v>
      </c>
      <c r="C37" s="933" t="s">
        <v>244</v>
      </c>
      <c r="D37" s="413">
        <f t="shared" si="0"/>
        <v>14700000</v>
      </c>
      <c r="E37" s="413">
        <f>'2.b'!C17</f>
        <v>14700000</v>
      </c>
      <c r="F37" s="413"/>
      <c r="G37" s="1090">
        <v>0</v>
      </c>
      <c r="H37" s="413"/>
      <c r="I37" s="413"/>
      <c r="J37" s="413"/>
      <c r="K37" s="413"/>
      <c r="L37" s="413"/>
      <c r="M37" s="413"/>
      <c r="N37" s="413"/>
      <c r="O37" s="938"/>
    </row>
    <row r="38" spans="1:15" ht="24">
      <c r="B38" s="932" t="s">
        <v>203</v>
      </c>
      <c r="C38" s="933" t="s">
        <v>149</v>
      </c>
      <c r="D38" s="413">
        <f t="shared" si="0"/>
        <v>0</v>
      </c>
      <c r="E38" s="413"/>
      <c r="F38" s="413"/>
      <c r="G38" s="1090">
        <v>0</v>
      </c>
      <c r="H38" s="413"/>
      <c r="I38" s="413"/>
      <c r="J38" s="413"/>
      <c r="K38" s="413"/>
      <c r="L38" s="413"/>
      <c r="M38" s="413"/>
      <c r="N38" s="413"/>
      <c r="O38" s="938"/>
    </row>
    <row r="39" spans="1:15" ht="17.25" customHeight="1">
      <c r="B39" s="932" t="s">
        <v>204</v>
      </c>
      <c r="C39" s="933" t="s">
        <v>150</v>
      </c>
      <c r="D39" s="413">
        <f t="shared" ref="D39:D70" si="4">E39+F39+G39+H39+I39+J39+K39+L39+M39+N39</f>
        <v>91013447</v>
      </c>
      <c r="E39" s="413"/>
      <c r="F39" s="413"/>
      <c r="G39" s="1090">
        <v>91013447</v>
      </c>
      <c r="H39" s="413"/>
      <c r="I39" s="413"/>
      <c r="J39" s="413"/>
      <c r="K39" s="413"/>
      <c r="L39" s="413"/>
      <c r="M39" s="413"/>
      <c r="N39" s="413"/>
      <c r="O39" s="938"/>
    </row>
    <row r="40" spans="1:15" ht="17.25" customHeight="1">
      <c r="B40" s="932" t="s">
        <v>205</v>
      </c>
      <c r="C40" s="933" t="s">
        <v>151</v>
      </c>
      <c r="D40" s="413">
        <f t="shared" si="4"/>
        <v>44133031</v>
      </c>
      <c r="E40" s="413">
        <f>'2.b'!C19</f>
        <v>11940000</v>
      </c>
      <c r="F40" s="413">
        <v>2313900</v>
      </c>
      <c r="G40" s="1090">
        <v>29879131</v>
      </c>
      <c r="H40" s="413"/>
      <c r="I40" s="413"/>
      <c r="J40" s="413"/>
      <c r="K40" s="413"/>
      <c r="L40" s="413"/>
      <c r="M40" s="413"/>
      <c r="N40" s="413"/>
      <c r="O40" s="938"/>
    </row>
    <row r="41" spans="1:15" ht="17.25" customHeight="1">
      <c r="B41" s="932" t="s">
        <v>206</v>
      </c>
      <c r="C41" s="933" t="s">
        <v>152</v>
      </c>
      <c r="D41" s="413">
        <f t="shared" si="4"/>
        <v>0</v>
      </c>
      <c r="E41" s="413"/>
      <c r="F41" s="413"/>
      <c r="G41" s="1090">
        <v>0</v>
      </c>
      <c r="H41" s="413"/>
      <c r="I41" s="413"/>
      <c r="J41" s="413"/>
      <c r="K41" s="413"/>
      <c r="L41" s="413"/>
      <c r="M41" s="413"/>
      <c r="N41" s="413"/>
      <c r="O41" s="938"/>
    </row>
    <row r="42" spans="1:15" ht="24">
      <c r="B42" s="932" t="s">
        <v>207</v>
      </c>
      <c r="C42" s="933" t="s">
        <v>245</v>
      </c>
      <c r="D42" s="413">
        <f t="shared" si="4"/>
        <v>10030</v>
      </c>
      <c r="E42" s="413">
        <f>'2.b'!C20</f>
        <v>10000</v>
      </c>
      <c r="F42" s="413"/>
      <c r="G42" s="1090"/>
      <c r="H42" s="413"/>
      <c r="I42" s="413"/>
      <c r="J42" s="413"/>
      <c r="K42" s="413"/>
      <c r="L42" s="413"/>
      <c r="M42" s="413">
        <v>30</v>
      </c>
      <c r="N42" s="413"/>
      <c r="O42" s="938"/>
    </row>
    <row r="43" spans="1:15" ht="17.25" customHeight="1">
      <c r="B43" s="932" t="s">
        <v>208</v>
      </c>
      <c r="C43" s="933" t="s">
        <v>246</v>
      </c>
      <c r="D43" s="413">
        <f t="shared" si="4"/>
        <v>320000</v>
      </c>
      <c r="E43" s="413"/>
      <c r="F43" s="413">
        <v>30000</v>
      </c>
      <c r="G43" s="937">
        <v>200000</v>
      </c>
      <c r="H43" s="413">
        <v>0</v>
      </c>
      <c r="I43" s="413"/>
      <c r="J43" s="413"/>
      <c r="K43" s="413"/>
      <c r="L43" s="413"/>
      <c r="M43" s="413">
        <v>50000</v>
      </c>
      <c r="N43" s="413">
        <v>40000</v>
      </c>
      <c r="O43" s="938"/>
    </row>
    <row r="44" spans="1:15" ht="17.25" customHeight="1">
      <c r="A44" s="939"/>
      <c r="B44" s="932" t="s">
        <v>209</v>
      </c>
      <c r="C44" s="940" t="s">
        <v>247</v>
      </c>
      <c r="D44" s="941">
        <f t="shared" si="4"/>
        <v>231665967</v>
      </c>
      <c r="E44" s="941">
        <f t="shared" ref="E44:N44" si="5">E32+E33+E35+E37+E40+E39+E41+E42+E43</f>
        <v>55913000</v>
      </c>
      <c r="F44" s="941">
        <f t="shared" si="5"/>
        <v>10913900</v>
      </c>
      <c r="G44" s="942">
        <f>G32+G33+G35+G37+G40+G39+G41+G42+G43</f>
        <v>141814578</v>
      </c>
      <c r="H44" s="941">
        <f t="shared" si="5"/>
        <v>4146250</v>
      </c>
      <c r="I44" s="941">
        <f t="shared" si="5"/>
        <v>0</v>
      </c>
      <c r="J44" s="941">
        <f t="shared" si="5"/>
        <v>5400000</v>
      </c>
      <c r="K44" s="941">
        <f t="shared" si="5"/>
        <v>3085000</v>
      </c>
      <c r="L44" s="941">
        <f t="shared" si="5"/>
        <v>1650000</v>
      </c>
      <c r="M44" s="941">
        <f t="shared" si="5"/>
        <v>8703239</v>
      </c>
      <c r="N44" s="941">
        <f t="shared" si="5"/>
        <v>40000</v>
      </c>
      <c r="O44" s="943"/>
    </row>
    <row r="45" spans="1:15" ht="17.25" customHeight="1">
      <c r="B45" s="932" t="s">
        <v>210</v>
      </c>
      <c r="C45" s="933" t="s">
        <v>248</v>
      </c>
      <c r="D45" s="413">
        <f t="shared" si="4"/>
        <v>0</v>
      </c>
      <c r="E45" s="413"/>
      <c r="F45" s="413"/>
      <c r="G45" s="937"/>
      <c r="H45" s="413"/>
      <c r="I45" s="413"/>
      <c r="J45" s="413"/>
      <c r="K45" s="413"/>
      <c r="L45" s="413"/>
      <c r="M45" s="413"/>
      <c r="N45" s="413"/>
      <c r="O45" s="938"/>
    </row>
    <row r="46" spans="1:15" ht="17.25" customHeight="1">
      <c r="B46" s="932" t="s">
        <v>211</v>
      </c>
      <c r="C46" s="933" t="s">
        <v>249</v>
      </c>
      <c r="D46" s="413">
        <f t="shared" si="4"/>
        <v>10000000</v>
      </c>
      <c r="E46" s="413">
        <v>10000000</v>
      </c>
      <c r="F46" s="413"/>
      <c r="G46" s="937"/>
      <c r="H46" s="413"/>
      <c r="I46" s="413"/>
      <c r="J46" s="413"/>
      <c r="K46" s="413"/>
      <c r="L46" s="413"/>
      <c r="M46" s="413"/>
      <c r="N46" s="413"/>
      <c r="O46" s="938"/>
    </row>
    <row r="47" spans="1:15" ht="17.25" customHeight="1" thickBot="1">
      <c r="B47" s="932" t="s">
        <v>212</v>
      </c>
      <c r="C47" s="933" t="s">
        <v>153</v>
      </c>
      <c r="D47" s="413">
        <f t="shared" si="4"/>
        <v>0</v>
      </c>
      <c r="E47" s="413">
        <v>0</v>
      </c>
      <c r="F47" s="413"/>
      <c r="G47" s="937"/>
      <c r="H47" s="413"/>
      <c r="I47" s="413"/>
      <c r="J47" s="413"/>
      <c r="K47" s="413"/>
      <c r="L47" s="413"/>
      <c r="M47" s="413"/>
      <c r="N47" s="413"/>
      <c r="O47" s="938"/>
    </row>
    <row r="48" spans="1:15" ht="17.25" customHeight="1">
      <c r="B48" s="946" t="s">
        <v>213</v>
      </c>
      <c r="C48" s="933" t="s">
        <v>154</v>
      </c>
      <c r="D48" s="413">
        <f t="shared" si="4"/>
        <v>1400000</v>
      </c>
      <c r="E48" s="413"/>
      <c r="F48" s="413"/>
      <c r="G48" s="866">
        <v>1400000</v>
      </c>
      <c r="H48" s="413"/>
      <c r="I48" s="413"/>
      <c r="J48" s="413"/>
      <c r="K48" s="413"/>
      <c r="L48" s="413"/>
      <c r="M48" s="413"/>
      <c r="N48" s="413"/>
      <c r="O48" s="938"/>
    </row>
    <row r="49" spans="1:15" ht="17.25" customHeight="1">
      <c r="B49" s="413" t="s">
        <v>214</v>
      </c>
      <c r="C49" s="933" t="s">
        <v>250</v>
      </c>
      <c r="D49" s="413">
        <f t="shared" si="4"/>
        <v>0</v>
      </c>
      <c r="E49" s="413"/>
      <c r="F49" s="413"/>
      <c r="G49" s="937"/>
      <c r="H49" s="413"/>
      <c r="I49" s="413"/>
      <c r="J49" s="413"/>
      <c r="K49" s="413"/>
      <c r="L49" s="413"/>
      <c r="M49" s="413"/>
      <c r="N49" s="413"/>
      <c r="O49" s="938"/>
    </row>
    <row r="50" spans="1:15" ht="17.25" customHeight="1">
      <c r="B50" s="413" t="s">
        <v>215</v>
      </c>
      <c r="C50" s="933" t="s">
        <v>155</v>
      </c>
      <c r="D50" s="413">
        <f t="shared" si="4"/>
        <v>0</v>
      </c>
      <c r="E50" s="413"/>
      <c r="F50" s="413"/>
      <c r="G50" s="937"/>
      <c r="H50" s="413"/>
      <c r="I50" s="413"/>
      <c r="J50" s="413"/>
      <c r="K50" s="413"/>
      <c r="L50" s="413"/>
      <c r="M50" s="413"/>
      <c r="N50" s="413"/>
      <c r="O50" s="938"/>
    </row>
    <row r="51" spans="1:15" ht="25.5" customHeight="1">
      <c r="B51" s="413" t="s">
        <v>216</v>
      </c>
      <c r="C51" s="933" t="s">
        <v>156</v>
      </c>
      <c r="D51" s="413">
        <f t="shared" si="4"/>
        <v>0</v>
      </c>
      <c r="E51" s="413"/>
      <c r="F51" s="413"/>
      <c r="G51" s="937"/>
      <c r="H51" s="413"/>
      <c r="I51" s="413"/>
      <c r="J51" s="413"/>
      <c r="K51" s="413"/>
      <c r="L51" s="413"/>
      <c r="M51" s="413"/>
      <c r="N51" s="413"/>
      <c r="O51" s="938"/>
    </row>
    <row r="52" spans="1:15" ht="17.25" customHeight="1">
      <c r="B52" s="413" t="s">
        <v>217</v>
      </c>
      <c r="C52" s="940" t="s">
        <v>251</v>
      </c>
      <c r="D52" s="941">
        <f t="shared" si="4"/>
        <v>11400000</v>
      </c>
      <c r="E52" s="941">
        <f>E50+E49+E48+E46+E45</f>
        <v>10000000</v>
      </c>
      <c r="F52" s="413">
        <f t="shared" ref="F52:N52" si="6">F51+F49+F48+F46+F45</f>
        <v>0</v>
      </c>
      <c r="G52" s="937">
        <f t="shared" si="6"/>
        <v>1400000</v>
      </c>
      <c r="H52" s="413">
        <f t="shared" si="6"/>
        <v>0</v>
      </c>
      <c r="I52" s="413">
        <f t="shared" si="6"/>
        <v>0</v>
      </c>
      <c r="J52" s="413">
        <f t="shared" si="6"/>
        <v>0</v>
      </c>
      <c r="K52" s="413">
        <f t="shared" si="6"/>
        <v>0</v>
      </c>
      <c r="L52" s="413">
        <f t="shared" si="6"/>
        <v>0</v>
      </c>
      <c r="M52" s="413">
        <f t="shared" si="6"/>
        <v>0</v>
      </c>
      <c r="N52" s="413">
        <f t="shared" si="6"/>
        <v>0</v>
      </c>
      <c r="O52" s="938"/>
    </row>
    <row r="53" spans="1:15" ht="39.75" hidden="1" customHeight="1">
      <c r="B53" s="413" t="s">
        <v>218</v>
      </c>
      <c r="C53" s="933" t="s">
        <v>283</v>
      </c>
      <c r="D53" s="413">
        <f t="shared" si="4"/>
        <v>0</v>
      </c>
      <c r="E53" s="413"/>
      <c r="F53" s="413"/>
      <c r="G53" s="937"/>
      <c r="H53" s="413"/>
      <c r="I53" s="413"/>
      <c r="J53" s="413"/>
      <c r="K53" s="413"/>
      <c r="L53" s="413"/>
      <c r="M53" s="413"/>
      <c r="N53" s="413"/>
      <c r="O53" s="938"/>
    </row>
    <row r="54" spans="1:15" ht="24" hidden="1" customHeight="1">
      <c r="B54" s="413" t="s">
        <v>219</v>
      </c>
      <c r="C54" s="933" t="s">
        <v>278</v>
      </c>
      <c r="D54" s="413">
        <f t="shared" si="4"/>
        <v>0</v>
      </c>
      <c r="E54" s="413"/>
      <c r="F54" s="413"/>
      <c r="G54" s="937"/>
      <c r="H54" s="413"/>
      <c r="I54" s="413"/>
      <c r="J54" s="413"/>
      <c r="K54" s="413"/>
      <c r="L54" s="413"/>
      <c r="M54" s="413"/>
      <c r="N54" s="413"/>
      <c r="O54" s="938"/>
    </row>
    <row r="55" spans="1:15" ht="36" hidden="1" customHeight="1">
      <c r="B55" s="413" t="s">
        <v>220</v>
      </c>
      <c r="C55" s="933" t="s">
        <v>157</v>
      </c>
      <c r="D55" s="413">
        <f t="shared" si="4"/>
        <v>0</v>
      </c>
      <c r="E55" s="413"/>
      <c r="F55" s="413"/>
      <c r="G55" s="937"/>
      <c r="H55" s="413"/>
      <c r="I55" s="413"/>
      <c r="J55" s="413"/>
      <c r="K55" s="413"/>
      <c r="L55" s="413"/>
      <c r="M55" s="413"/>
      <c r="N55" s="413"/>
      <c r="O55" s="938"/>
    </row>
    <row r="56" spans="1:15" ht="27" customHeight="1">
      <c r="B56" s="413" t="s">
        <v>221</v>
      </c>
      <c r="C56" s="933" t="s">
        <v>279</v>
      </c>
      <c r="D56" s="413">
        <f t="shared" si="4"/>
        <v>0</v>
      </c>
      <c r="E56" s="413"/>
      <c r="F56" s="413"/>
      <c r="G56" s="937"/>
      <c r="H56" s="413"/>
      <c r="I56" s="413"/>
      <c r="J56" s="413"/>
      <c r="K56" s="413"/>
      <c r="L56" s="413"/>
      <c r="M56" s="413"/>
      <c r="N56" s="413"/>
      <c r="O56" s="938"/>
    </row>
    <row r="57" spans="1:15" ht="27" customHeight="1">
      <c r="B57" s="413" t="s">
        <v>222</v>
      </c>
      <c r="C57" s="933" t="s">
        <v>257</v>
      </c>
      <c r="D57" s="413">
        <f t="shared" si="4"/>
        <v>300000</v>
      </c>
      <c r="E57" s="413"/>
      <c r="F57" s="413"/>
      <c r="G57" s="937"/>
      <c r="H57" s="413">
        <v>300000</v>
      </c>
      <c r="I57" s="413"/>
      <c r="J57" s="413"/>
      <c r="K57" s="413"/>
      <c r="L57" s="413"/>
      <c r="M57" s="413"/>
      <c r="N57" s="413"/>
      <c r="O57" s="938"/>
    </row>
    <row r="58" spans="1:15" ht="27" customHeight="1">
      <c r="A58" s="939"/>
      <c r="B58" s="413" t="s">
        <v>223</v>
      </c>
      <c r="C58" s="940" t="s">
        <v>259</v>
      </c>
      <c r="D58" s="941">
        <f t="shared" si="4"/>
        <v>300000</v>
      </c>
      <c r="E58" s="941">
        <f t="shared" ref="E58:N58" si="7">+E57+E56+E55+E54+E53</f>
        <v>0</v>
      </c>
      <c r="F58" s="941">
        <f t="shared" si="7"/>
        <v>0</v>
      </c>
      <c r="G58" s="942">
        <f t="shared" si="7"/>
        <v>0</v>
      </c>
      <c r="H58" s="941">
        <f t="shared" si="7"/>
        <v>300000</v>
      </c>
      <c r="I58" s="941">
        <f t="shared" si="7"/>
        <v>0</v>
      </c>
      <c r="J58" s="941">
        <f t="shared" si="7"/>
        <v>0</v>
      </c>
      <c r="K58" s="941">
        <f t="shared" si="7"/>
        <v>0</v>
      </c>
      <c r="L58" s="941">
        <f t="shared" si="7"/>
        <v>0</v>
      </c>
      <c r="M58" s="941">
        <f t="shared" si="7"/>
        <v>0</v>
      </c>
      <c r="N58" s="941">
        <f t="shared" si="7"/>
        <v>0</v>
      </c>
      <c r="O58" s="943"/>
    </row>
    <row r="59" spans="1:15" ht="39.75" hidden="1" customHeight="1">
      <c r="B59" s="413" t="s">
        <v>224</v>
      </c>
      <c r="C59" s="933" t="s">
        <v>282</v>
      </c>
      <c r="D59" s="413">
        <f t="shared" si="4"/>
        <v>0</v>
      </c>
      <c r="E59" s="413"/>
      <c r="F59" s="413"/>
      <c r="G59" s="937"/>
      <c r="H59" s="413"/>
      <c r="I59" s="413"/>
      <c r="J59" s="413"/>
      <c r="K59" s="413"/>
      <c r="L59" s="413"/>
      <c r="M59" s="413"/>
      <c r="N59" s="413"/>
      <c r="O59" s="938"/>
    </row>
    <row r="60" spans="1:15" ht="36">
      <c r="B60" s="413" t="s">
        <v>225</v>
      </c>
      <c r="C60" s="933" t="s">
        <v>158</v>
      </c>
      <c r="D60" s="413">
        <f t="shared" si="4"/>
        <v>0</v>
      </c>
      <c r="E60" s="413"/>
      <c r="F60" s="413"/>
      <c r="G60" s="937"/>
      <c r="H60" s="413"/>
      <c r="I60" s="413"/>
      <c r="J60" s="413"/>
      <c r="K60" s="413"/>
      <c r="L60" s="413"/>
      <c r="M60" s="413"/>
      <c r="N60" s="413"/>
      <c r="O60" s="938"/>
    </row>
    <row r="61" spans="1:15" ht="51.75" hidden="1" customHeight="1">
      <c r="B61" s="413" t="s">
        <v>226</v>
      </c>
      <c r="C61" s="933" t="s">
        <v>159</v>
      </c>
      <c r="D61" s="413">
        <f t="shared" si="4"/>
        <v>0</v>
      </c>
      <c r="E61" s="413"/>
      <c r="F61" s="413"/>
      <c r="G61" s="937"/>
      <c r="H61" s="413"/>
      <c r="I61" s="413"/>
      <c r="J61" s="413"/>
      <c r="K61" s="413"/>
      <c r="L61" s="413"/>
      <c r="M61" s="413"/>
      <c r="N61" s="413"/>
      <c r="O61" s="938"/>
    </row>
    <row r="62" spans="1:15" ht="33" customHeight="1">
      <c r="B62" s="413" t="s">
        <v>227</v>
      </c>
      <c r="C62" s="933" t="s">
        <v>281</v>
      </c>
      <c r="D62" s="413">
        <f t="shared" si="4"/>
        <v>0</v>
      </c>
      <c r="E62" s="413"/>
      <c r="F62" s="413"/>
      <c r="G62" s="937"/>
      <c r="H62" s="413"/>
      <c r="I62" s="413"/>
      <c r="J62" s="413"/>
      <c r="K62" s="413"/>
      <c r="L62" s="413"/>
      <c r="M62" s="413"/>
      <c r="N62" s="413"/>
      <c r="O62" s="938"/>
    </row>
    <row r="63" spans="1:15" ht="19.5" customHeight="1">
      <c r="B63" s="413" t="s">
        <v>228</v>
      </c>
      <c r="C63" s="933" t="s">
        <v>252</v>
      </c>
      <c r="D63" s="413">
        <f t="shared" si="4"/>
        <v>60459000</v>
      </c>
      <c r="E63" s="413">
        <f>'2.c'!C28</f>
        <v>60459000</v>
      </c>
      <c r="F63" s="413"/>
      <c r="G63" s="937"/>
      <c r="H63" s="413"/>
      <c r="I63" s="413"/>
      <c r="J63" s="413"/>
      <c r="K63" s="413"/>
      <c r="L63" s="413"/>
      <c r="M63" s="413"/>
      <c r="N63" s="413"/>
      <c r="O63" s="938"/>
    </row>
    <row r="64" spans="1:15" ht="27.75" customHeight="1">
      <c r="A64" s="939"/>
      <c r="B64" s="413" t="s">
        <v>229</v>
      </c>
      <c r="C64" s="940" t="s">
        <v>260</v>
      </c>
      <c r="D64" s="941">
        <f t="shared" si="4"/>
        <v>60459000</v>
      </c>
      <c r="E64" s="941">
        <f t="shared" ref="E64:N64" si="8">E63+E62+E61+E60+E59</f>
        <v>60459000</v>
      </c>
      <c r="F64" s="941">
        <f t="shared" si="8"/>
        <v>0</v>
      </c>
      <c r="G64" s="942">
        <f t="shared" si="8"/>
        <v>0</v>
      </c>
      <c r="H64" s="941">
        <f t="shared" si="8"/>
        <v>0</v>
      </c>
      <c r="I64" s="941">
        <f t="shared" si="8"/>
        <v>0</v>
      </c>
      <c r="J64" s="941">
        <f t="shared" si="8"/>
        <v>0</v>
      </c>
      <c r="K64" s="941">
        <f t="shared" si="8"/>
        <v>0</v>
      </c>
      <c r="L64" s="941">
        <f t="shared" si="8"/>
        <v>0</v>
      </c>
      <c r="M64" s="941">
        <f t="shared" si="8"/>
        <v>0</v>
      </c>
      <c r="N64" s="941">
        <f t="shared" si="8"/>
        <v>0</v>
      </c>
      <c r="O64" s="943"/>
    </row>
    <row r="65" spans="1:15" ht="24" customHeight="1">
      <c r="A65" s="939"/>
      <c r="B65" s="413" t="s">
        <v>230</v>
      </c>
      <c r="C65" s="940" t="s">
        <v>261</v>
      </c>
      <c r="D65" s="941">
        <f t="shared" si="4"/>
        <v>3047683062.9654126</v>
      </c>
      <c r="E65" s="941">
        <f>E13+E16+E22+E31+E44+E58+E52+E64</f>
        <v>2437886822.9654126</v>
      </c>
      <c r="F65" s="941">
        <f t="shared" ref="F65:N65" si="9">F16+F22+F31+F44+F58+F52+F64</f>
        <v>11008900</v>
      </c>
      <c r="G65" s="942">
        <f>G16+G22+G31+G44+G58+G52+G64</f>
        <v>143214578</v>
      </c>
      <c r="H65" s="941">
        <f t="shared" si="9"/>
        <v>4446250</v>
      </c>
      <c r="I65" s="941">
        <f t="shared" si="9"/>
        <v>0</v>
      </c>
      <c r="J65" s="941">
        <f t="shared" si="9"/>
        <v>7050000</v>
      </c>
      <c r="K65" s="941">
        <f t="shared" si="9"/>
        <v>3085000</v>
      </c>
      <c r="L65" s="941">
        <f t="shared" si="9"/>
        <v>6020000</v>
      </c>
      <c r="M65" s="941">
        <f t="shared" si="9"/>
        <v>335492361</v>
      </c>
      <c r="N65" s="941">
        <f t="shared" si="9"/>
        <v>99479151</v>
      </c>
      <c r="O65" s="943"/>
    </row>
    <row r="66" spans="1:15" ht="17.25" customHeight="1">
      <c r="B66" s="413" t="s">
        <v>231</v>
      </c>
      <c r="C66" s="947" t="s">
        <v>284</v>
      </c>
      <c r="D66" s="413">
        <f t="shared" si="4"/>
        <v>566540065</v>
      </c>
      <c r="E66" s="413">
        <f>418589454+13647069+80195070</f>
        <v>512431593</v>
      </c>
      <c r="F66" s="413"/>
      <c r="G66" s="937"/>
      <c r="H66" s="413"/>
      <c r="I66" s="413"/>
      <c r="J66" s="413">
        <v>4800000</v>
      </c>
      <c r="K66" s="413"/>
      <c r="L66" s="413">
        <v>150000</v>
      </c>
      <c r="M66" s="413">
        <v>49000000</v>
      </c>
      <c r="N66" s="413">
        <v>158472</v>
      </c>
      <c r="O66" s="938"/>
    </row>
    <row r="67" spans="1:15" ht="17.25" customHeight="1">
      <c r="B67" s="413" t="s">
        <v>232</v>
      </c>
      <c r="C67" s="947" t="s">
        <v>162</v>
      </c>
      <c r="D67" s="413">
        <f t="shared" si="4"/>
        <v>40868059</v>
      </c>
      <c r="E67" s="413">
        <v>40868059</v>
      </c>
      <c r="F67" s="413"/>
      <c r="G67" s="937"/>
      <c r="H67" s="413"/>
      <c r="I67" s="413"/>
      <c r="J67" s="413"/>
      <c r="K67" s="413"/>
      <c r="L67" s="413"/>
      <c r="M67" s="413"/>
      <c r="N67" s="413"/>
      <c r="O67" s="938"/>
    </row>
    <row r="68" spans="1:15" ht="17.25" customHeight="1">
      <c r="B68" s="413" t="s">
        <v>254</v>
      </c>
      <c r="C68" s="947" t="s">
        <v>263</v>
      </c>
      <c r="D68" s="413">
        <f t="shared" si="4"/>
        <v>0</v>
      </c>
      <c r="E68" s="413">
        <v>0</v>
      </c>
      <c r="F68" s="413"/>
      <c r="G68" s="937"/>
      <c r="H68" s="413"/>
      <c r="I68" s="413"/>
      <c r="J68" s="413"/>
      <c r="K68" s="413"/>
      <c r="L68" s="413"/>
      <c r="M68" s="413"/>
      <c r="N68" s="413"/>
      <c r="O68" s="938"/>
    </row>
    <row r="69" spans="1:15" ht="17.25" customHeight="1">
      <c r="B69" s="413" t="s">
        <v>255</v>
      </c>
      <c r="C69" s="947" t="s">
        <v>161</v>
      </c>
      <c r="D69" s="413">
        <f t="shared" si="4"/>
        <v>283038987</v>
      </c>
      <c r="E69" s="413">
        <f>'7.a  finanszírozás'!B89</f>
        <v>283038987</v>
      </c>
      <c r="F69" s="413"/>
      <c r="G69" s="937"/>
      <c r="H69" s="413"/>
      <c r="I69" s="413"/>
      <c r="J69" s="413"/>
      <c r="K69" s="413"/>
      <c r="L69" s="413"/>
      <c r="M69" s="413"/>
      <c r="N69" s="413"/>
      <c r="O69" s="938"/>
    </row>
    <row r="70" spans="1:15" ht="17.25" customHeight="1">
      <c r="A70" s="939"/>
      <c r="B70" s="413" t="s">
        <v>258</v>
      </c>
      <c r="C70" s="948" t="s">
        <v>280</v>
      </c>
      <c r="D70" s="941">
        <f t="shared" si="4"/>
        <v>890447111</v>
      </c>
      <c r="E70" s="941">
        <f t="shared" ref="E70:N70" si="10">SUM(E66:E69)</f>
        <v>836338639</v>
      </c>
      <c r="F70" s="941">
        <f t="shared" si="10"/>
        <v>0</v>
      </c>
      <c r="G70" s="942">
        <f t="shared" si="10"/>
        <v>0</v>
      </c>
      <c r="H70" s="941">
        <f t="shared" si="10"/>
        <v>0</v>
      </c>
      <c r="I70" s="941">
        <f t="shared" si="10"/>
        <v>0</v>
      </c>
      <c r="J70" s="941">
        <f t="shared" si="10"/>
        <v>4800000</v>
      </c>
      <c r="K70" s="941">
        <f t="shared" si="10"/>
        <v>0</v>
      </c>
      <c r="L70" s="941">
        <f t="shared" si="10"/>
        <v>150000</v>
      </c>
      <c r="M70" s="941">
        <f t="shared" si="10"/>
        <v>49000000</v>
      </c>
      <c r="N70" s="941">
        <f t="shared" si="10"/>
        <v>158472</v>
      </c>
      <c r="O70" s="943"/>
    </row>
    <row r="71" spans="1:15" s="949" customFormat="1" ht="18" customHeight="1">
      <c r="A71" s="939"/>
      <c r="B71" s="413" t="s">
        <v>262</v>
      </c>
      <c r="C71" s="948" t="s">
        <v>285</v>
      </c>
      <c r="D71" s="941">
        <f>E71+F71+G71+H71+I71+J71+K71+L71+M71+N71</f>
        <v>3938130173.9654126</v>
      </c>
      <c r="E71" s="941">
        <f t="shared" ref="E71:N71" si="11">E65+E70</f>
        <v>3274225461.9654126</v>
      </c>
      <c r="F71" s="941">
        <f t="shared" si="11"/>
        <v>11008900</v>
      </c>
      <c r="G71" s="942">
        <f t="shared" si="11"/>
        <v>143214578</v>
      </c>
      <c r="H71" s="941">
        <f t="shared" si="11"/>
        <v>4446250</v>
      </c>
      <c r="I71" s="941">
        <f t="shared" si="11"/>
        <v>0</v>
      </c>
      <c r="J71" s="941">
        <f t="shared" si="11"/>
        <v>11850000</v>
      </c>
      <c r="K71" s="941">
        <f t="shared" si="11"/>
        <v>3085000</v>
      </c>
      <c r="L71" s="941">
        <f t="shared" si="11"/>
        <v>6170000</v>
      </c>
      <c r="M71" s="941">
        <f t="shared" si="11"/>
        <v>384492361</v>
      </c>
      <c r="N71" s="941">
        <f t="shared" si="11"/>
        <v>99637623</v>
      </c>
      <c r="O71" s="943"/>
    </row>
  </sheetData>
  <mergeCells count="3">
    <mergeCell ref="B4:B5"/>
    <mergeCell ref="C4:C5"/>
    <mergeCell ref="B2:D2"/>
  </mergeCells>
  <phoneticPr fontId="10" type="noConversion"/>
  <pageMargins left="0.7" right="0.7" top="0.75" bottom="0.75" header="0.3" footer="0.3"/>
  <pageSetup paperSize="9" scale="63" fitToHeight="0" orientation="landscape" r:id="rId1"/>
  <headerFooter alignWithMargins="0">
    <oddHeader>&amp;RRáckeve Város 2020 évi költségvetés melléklete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41"/>
  <sheetViews>
    <sheetView topLeftCell="B1" workbookViewId="0">
      <selection activeCell="C1" sqref="C1:E1"/>
    </sheetView>
  </sheetViews>
  <sheetFormatPr defaultRowHeight="12.75"/>
  <cols>
    <col min="1" max="1" width="6.7109375" hidden="1" customWidth="1"/>
    <col min="2" max="2" width="9.85546875" customWidth="1"/>
    <col min="3" max="3" width="70.42578125" customWidth="1"/>
    <col min="4" max="4" width="22" customWidth="1"/>
    <col min="5" max="5" width="13.85546875" customWidth="1"/>
    <col min="6" max="6" width="10.28515625" customWidth="1"/>
    <col min="7" max="7" width="15.140625" bestFit="1" customWidth="1"/>
    <col min="8" max="8" width="14.140625" customWidth="1"/>
    <col min="9" max="9" width="11.140625" customWidth="1"/>
    <col min="257" max="257" width="24" customWidth="1"/>
    <col min="258" max="258" width="23.7109375" customWidth="1"/>
    <col min="259" max="259" width="70.42578125" customWidth="1"/>
    <col min="260" max="260" width="22" customWidth="1"/>
    <col min="261" max="261" width="13.85546875" customWidth="1"/>
    <col min="262" max="262" width="10.28515625" customWidth="1"/>
    <col min="263" max="263" width="15.140625" bestFit="1" customWidth="1"/>
    <col min="264" max="264" width="14.140625" customWidth="1"/>
    <col min="265" max="265" width="11.140625" customWidth="1"/>
    <col min="513" max="513" width="24" customWidth="1"/>
    <col min="514" max="514" width="23.7109375" customWidth="1"/>
    <col min="515" max="515" width="70.42578125" customWidth="1"/>
    <col min="516" max="516" width="22" customWidth="1"/>
    <col min="517" max="517" width="13.85546875" customWidth="1"/>
    <col min="518" max="518" width="10.28515625" customWidth="1"/>
    <col min="519" max="519" width="15.140625" bestFit="1" customWidth="1"/>
    <col min="520" max="520" width="14.140625" customWidth="1"/>
    <col min="521" max="521" width="11.140625" customWidth="1"/>
    <col min="769" max="769" width="24" customWidth="1"/>
    <col min="770" max="770" width="23.7109375" customWidth="1"/>
    <col min="771" max="771" width="70.42578125" customWidth="1"/>
    <col min="772" max="772" width="22" customWidth="1"/>
    <col min="773" max="773" width="13.85546875" customWidth="1"/>
    <col min="774" max="774" width="10.28515625" customWidth="1"/>
    <col min="775" max="775" width="15.140625" bestFit="1" customWidth="1"/>
    <col min="776" max="776" width="14.140625" customWidth="1"/>
    <col min="777" max="777" width="11.140625" customWidth="1"/>
    <col min="1025" max="1025" width="24" customWidth="1"/>
    <col min="1026" max="1026" width="23.7109375" customWidth="1"/>
    <col min="1027" max="1027" width="70.42578125" customWidth="1"/>
    <col min="1028" max="1028" width="22" customWidth="1"/>
    <col min="1029" max="1029" width="13.85546875" customWidth="1"/>
    <col min="1030" max="1030" width="10.28515625" customWidth="1"/>
    <col min="1031" max="1031" width="15.140625" bestFit="1" customWidth="1"/>
    <col min="1032" max="1032" width="14.140625" customWidth="1"/>
    <col min="1033" max="1033" width="11.140625" customWidth="1"/>
    <col min="1281" max="1281" width="24" customWidth="1"/>
    <col min="1282" max="1282" width="23.7109375" customWidth="1"/>
    <col min="1283" max="1283" width="70.42578125" customWidth="1"/>
    <col min="1284" max="1284" width="22" customWidth="1"/>
    <col min="1285" max="1285" width="13.85546875" customWidth="1"/>
    <col min="1286" max="1286" width="10.28515625" customWidth="1"/>
    <col min="1287" max="1287" width="15.140625" bestFit="1" customWidth="1"/>
    <col min="1288" max="1288" width="14.140625" customWidth="1"/>
    <col min="1289" max="1289" width="11.140625" customWidth="1"/>
    <col min="1537" max="1537" width="24" customWidth="1"/>
    <col min="1538" max="1538" width="23.7109375" customWidth="1"/>
    <col min="1539" max="1539" width="70.42578125" customWidth="1"/>
    <col min="1540" max="1540" width="22" customWidth="1"/>
    <col min="1541" max="1541" width="13.85546875" customWidth="1"/>
    <col min="1542" max="1542" width="10.28515625" customWidth="1"/>
    <col min="1543" max="1543" width="15.140625" bestFit="1" customWidth="1"/>
    <col min="1544" max="1544" width="14.140625" customWidth="1"/>
    <col min="1545" max="1545" width="11.140625" customWidth="1"/>
    <col min="1793" max="1793" width="24" customWidth="1"/>
    <col min="1794" max="1794" width="23.7109375" customWidth="1"/>
    <col min="1795" max="1795" width="70.42578125" customWidth="1"/>
    <col min="1796" max="1796" width="22" customWidth="1"/>
    <col min="1797" max="1797" width="13.85546875" customWidth="1"/>
    <col min="1798" max="1798" width="10.28515625" customWidth="1"/>
    <col min="1799" max="1799" width="15.140625" bestFit="1" customWidth="1"/>
    <col min="1800" max="1800" width="14.140625" customWidth="1"/>
    <col min="1801" max="1801" width="11.140625" customWidth="1"/>
    <col min="2049" max="2049" width="24" customWidth="1"/>
    <col min="2050" max="2050" width="23.7109375" customWidth="1"/>
    <col min="2051" max="2051" width="70.42578125" customWidth="1"/>
    <col min="2052" max="2052" width="22" customWidth="1"/>
    <col min="2053" max="2053" width="13.85546875" customWidth="1"/>
    <col min="2054" max="2054" width="10.28515625" customWidth="1"/>
    <col min="2055" max="2055" width="15.140625" bestFit="1" customWidth="1"/>
    <col min="2056" max="2056" width="14.140625" customWidth="1"/>
    <col min="2057" max="2057" width="11.140625" customWidth="1"/>
    <col min="2305" max="2305" width="24" customWidth="1"/>
    <col min="2306" max="2306" width="23.7109375" customWidth="1"/>
    <col min="2307" max="2307" width="70.42578125" customWidth="1"/>
    <col min="2308" max="2308" width="22" customWidth="1"/>
    <col min="2309" max="2309" width="13.85546875" customWidth="1"/>
    <col min="2310" max="2310" width="10.28515625" customWidth="1"/>
    <col min="2311" max="2311" width="15.140625" bestFit="1" customWidth="1"/>
    <col min="2312" max="2312" width="14.140625" customWidth="1"/>
    <col min="2313" max="2313" width="11.140625" customWidth="1"/>
    <col min="2561" max="2561" width="24" customWidth="1"/>
    <col min="2562" max="2562" width="23.7109375" customWidth="1"/>
    <col min="2563" max="2563" width="70.42578125" customWidth="1"/>
    <col min="2564" max="2564" width="22" customWidth="1"/>
    <col min="2565" max="2565" width="13.85546875" customWidth="1"/>
    <col min="2566" max="2566" width="10.28515625" customWidth="1"/>
    <col min="2567" max="2567" width="15.140625" bestFit="1" customWidth="1"/>
    <col min="2568" max="2568" width="14.140625" customWidth="1"/>
    <col min="2569" max="2569" width="11.140625" customWidth="1"/>
    <col min="2817" max="2817" width="24" customWidth="1"/>
    <col min="2818" max="2818" width="23.7109375" customWidth="1"/>
    <col min="2819" max="2819" width="70.42578125" customWidth="1"/>
    <col min="2820" max="2820" width="22" customWidth="1"/>
    <col min="2821" max="2821" width="13.85546875" customWidth="1"/>
    <col min="2822" max="2822" width="10.28515625" customWidth="1"/>
    <col min="2823" max="2823" width="15.140625" bestFit="1" customWidth="1"/>
    <col min="2824" max="2824" width="14.140625" customWidth="1"/>
    <col min="2825" max="2825" width="11.140625" customWidth="1"/>
    <col min="3073" max="3073" width="24" customWidth="1"/>
    <col min="3074" max="3074" width="23.7109375" customWidth="1"/>
    <col min="3075" max="3075" width="70.42578125" customWidth="1"/>
    <col min="3076" max="3076" width="22" customWidth="1"/>
    <col min="3077" max="3077" width="13.85546875" customWidth="1"/>
    <col min="3078" max="3078" width="10.28515625" customWidth="1"/>
    <col min="3079" max="3079" width="15.140625" bestFit="1" customWidth="1"/>
    <col min="3080" max="3080" width="14.140625" customWidth="1"/>
    <col min="3081" max="3081" width="11.140625" customWidth="1"/>
    <col min="3329" max="3329" width="24" customWidth="1"/>
    <col min="3330" max="3330" width="23.7109375" customWidth="1"/>
    <col min="3331" max="3331" width="70.42578125" customWidth="1"/>
    <col min="3332" max="3332" width="22" customWidth="1"/>
    <col min="3333" max="3333" width="13.85546875" customWidth="1"/>
    <col min="3334" max="3334" width="10.28515625" customWidth="1"/>
    <col min="3335" max="3335" width="15.140625" bestFit="1" customWidth="1"/>
    <col min="3336" max="3336" width="14.140625" customWidth="1"/>
    <col min="3337" max="3337" width="11.140625" customWidth="1"/>
    <col min="3585" max="3585" width="24" customWidth="1"/>
    <col min="3586" max="3586" width="23.7109375" customWidth="1"/>
    <col min="3587" max="3587" width="70.42578125" customWidth="1"/>
    <col min="3588" max="3588" width="22" customWidth="1"/>
    <col min="3589" max="3589" width="13.85546875" customWidth="1"/>
    <col min="3590" max="3590" width="10.28515625" customWidth="1"/>
    <col min="3591" max="3591" width="15.140625" bestFit="1" customWidth="1"/>
    <col min="3592" max="3592" width="14.140625" customWidth="1"/>
    <col min="3593" max="3593" width="11.140625" customWidth="1"/>
    <col min="3841" max="3841" width="24" customWidth="1"/>
    <col min="3842" max="3842" width="23.7109375" customWidth="1"/>
    <col min="3843" max="3843" width="70.42578125" customWidth="1"/>
    <col min="3844" max="3844" width="22" customWidth="1"/>
    <col min="3845" max="3845" width="13.85546875" customWidth="1"/>
    <col min="3846" max="3846" width="10.28515625" customWidth="1"/>
    <col min="3847" max="3847" width="15.140625" bestFit="1" customWidth="1"/>
    <col min="3848" max="3848" width="14.140625" customWidth="1"/>
    <col min="3849" max="3849" width="11.140625" customWidth="1"/>
    <col min="4097" max="4097" width="24" customWidth="1"/>
    <col min="4098" max="4098" width="23.7109375" customWidth="1"/>
    <col min="4099" max="4099" width="70.42578125" customWidth="1"/>
    <col min="4100" max="4100" width="22" customWidth="1"/>
    <col min="4101" max="4101" width="13.85546875" customWidth="1"/>
    <col min="4102" max="4102" width="10.28515625" customWidth="1"/>
    <col min="4103" max="4103" width="15.140625" bestFit="1" customWidth="1"/>
    <col min="4104" max="4104" width="14.140625" customWidth="1"/>
    <col min="4105" max="4105" width="11.140625" customWidth="1"/>
    <col min="4353" max="4353" width="24" customWidth="1"/>
    <col min="4354" max="4354" width="23.7109375" customWidth="1"/>
    <col min="4355" max="4355" width="70.42578125" customWidth="1"/>
    <col min="4356" max="4356" width="22" customWidth="1"/>
    <col min="4357" max="4357" width="13.85546875" customWidth="1"/>
    <col min="4358" max="4358" width="10.28515625" customWidth="1"/>
    <col min="4359" max="4359" width="15.140625" bestFit="1" customWidth="1"/>
    <col min="4360" max="4360" width="14.140625" customWidth="1"/>
    <col min="4361" max="4361" width="11.140625" customWidth="1"/>
    <col min="4609" max="4609" width="24" customWidth="1"/>
    <col min="4610" max="4610" width="23.7109375" customWidth="1"/>
    <col min="4611" max="4611" width="70.42578125" customWidth="1"/>
    <col min="4612" max="4612" width="22" customWidth="1"/>
    <col min="4613" max="4613" width="13.85546875" customWidth="1"/>
    <col min="4614" max="4614" width="10.28515625" customWidth="1"/>
    <col min="4615" max="4615" width="15.140625" bestFit="1" customWidth="1"/>
    <col min="4616" max="4616" width="14.140625" customWidth="1"/>
    <col min="4617" max="4617" width="11.140625" customWidth="1"/>
    <col min="4865" max="4865" width="24" customWidth="1"/>
    <col min="4866" max="4866" width="23.7109375" customWidth="1"/>
    <col min="4867" max="4867" width="70.42578125" customWidth="1"/>
    <col min="4868" max="4868" width="22" customWidth="1"/>
    <col min="4869" max="4869" width="13.85546875" customWidth="1"/>
    <col min="4870" max="4870" width="10.28515625" customWidth="1"/>
    <col min="4871" max="4871" width="15.140625" bestFit="1" customWidth="1"/>
    <col min="4872" max="4872" width="14.140625" customWidth="1"/>
    <col min="4873" max="4873" width="11.140625" customWidth="1"/>
    <col min="5121" max="5121" width="24" customWidth="1"/>
    <col min="5122" max="5122" width="23.7109375" customWidth="1"/>
    <col min="5123" max="5123" width="70.42578125" customWidth="1"/>
    <col min="5124" max="5124" width="22" customWidth="1"/>
    <col min="5125" max="5125" width="13.85546875" customWidth="1"/>
    <col min="5126" max="5126" width="10.28515625" customWidth="1"/>
    <col min="5127" max="5127" width="15.140625" bestFit="1" customWidth="1"/>
    <col min="5128" max="5128" width="14.140625" customWidth="1"/>
    <col min="5129" max="5129" width="11.140625" customWidth="1"/>
    <col min="5377" max="5377" width="24" customWidth="1"/>
    <col min="5378" max="5378" width="23.7109375" customWidth="1"/>
    <col min="5379" max="5379" width="70.42578125" customWidth="1"/>
    <col min="5380" max="5380" width="22" customWidth="1"/>
    <col min="5381" max="5381" width="13.85546875" customWidth="1"/>
    <col min="5382" max="5382" width="10.28515625" customWidth="1"/>
    <col min="5383" max="5383" width="15.140625" bestFit="1" customWidth="1"/>
    <col min="5384" max="5384" width="14.140625" customWidth="1"/>
    <col min="5385" max="5385" width="11.140625" customWidth="1"/>
    <col min="5633" max="5633" width="24" customWidth="1"/>
    <col min="5634" max="5634" width="23.7109375" customWidth="1"/>
    <col min="5635" max="5635" width="70.42578125" customWidth="1"/>
    <col min="5636" max="5636" width="22" customWidth="1"/>
    <col min="5637" max="5637" width="13.85546875" customWidth="1"/>
    <col min="5638" max="5638" width="10.28515625" customWidth="1"/>
    <col min="5639" max="5639" width="15.140625" bestFit="1" customWidth="1"/>
    <col min="5640" max="5640" width="14.140625" customWidth="1"/>
    <col min="5641" max="5641" width="11.140625" customWidth="1"/>
    <col min="5889" max="5889" width="24" customWidth="1"/>
    <col min="5890" max="5890" width="23.7109375" customWidth="1"/>
    <col min="5891" max="5891" width="70.42578125" customWidth="1"/>
    <col min="5892" max="5892" width="22" customWidth="1"/>
    <col min="5893" max="5893" width="13.85546875" customWidth="1"/>
    <col min="5894" max="5894" width="10.28515625" customWidth="1"/>
    <col min="5895" max="5895" width="15.140625" bestFit="1" customWidth="1"/>
    <col min="5896" max="5896" width="14.140625" customWidth="1"/>
    <col min="5897" max="5897" width="11.140625" customWidth="1"/>
    <col min="6145" max="6145" width="24" customWidth="1"/>
    <col min="6146" max="6146" width="23.7109375" customWidth="1"/>
    <col min="6147" max="6147" width="70.42578125" customWidth="1"/>
    <col min="6148" max="6148" width="22" customWidth="1"/>
    <col min="6149" max="6149" width="13.85546875" customWidth="1"/>
    <col min="6150" max="6150" width="10.28515625" customWidth="1"/>
    <col min="6151" max="6151" width="15.140625" bestFit="1" customWidth="1"/>
    <col min="6152" max="6152" width="14.140625" customWidth="1"/>
    <col min="6153" max="6153" width="11.140625" customWidth="1"/>
    <col min="6401" max="6401" width="24" customWidth="1"/>
    <col min="6402" max="6402" width="23.7109375" customWidth="1"/>
    <col min="6403" max="6403" width="70.42578125" customWidth="1"/>
    <col min="6404" max="6404" width="22" customWidth="1"/>
    <col min="6405" max="6405" width="13.85546875" customWidth="1"/>
    <col min="6406" max="6406" width="10.28515625" customWidth="1"/>
    <col min="6407" max="6407" width="15.140625" bestFit="1" customWidth="1"/>
    <col min="6408" max="6408" width="14.140625" customWidth="1"/>
    <col min="6409" max="6409" width="11.140625" customWidth="1"/>
    <col min="6657" max="6657" width="24" customWidth="1"/>
    <col min="6658" max="6658" width="23.7109375" customWidth="1"/>
    <col min="6659" max="6659" width="70.42578125" customWidth="1"/>
    <col min="6660" max="6660" width="22" customWidth="1"/>
    <col min="6661" max="6661" width="13.85546875" customWidth="1"/>
    <col min="6662" max="6662" width="10.28515625" customWidth="1"/>
    <col min="6663" max="6663" width="15.140625" bestFit="1" customWidth="1"/>
    <col min="6664" max="6664" width="14.140625" customWidth="1"/>
    <col min="6665" max="6665" width="11.140625" customWidth="1"/>
    <col min="6913" max="6913" width="24" customWidth="1"/>
    <col min="6914" max="6914" width="23.7109375" customWidth="1"/>
    <col min="6915" max="6915" width="70.42578125" customWidth="1"/>
    <col min="6916" max="6916" width="22" customWidth="1"/>
    <col min="6917" max="6917" width="13.85546875" customWidth="1"/>
    <col min="6918" max="6918" width="10.28515625" customWidth="1"/>
    <col min="6919" max="6919" width="15.140625" bestFit="1" customWidth="1"/>
    <col min="6920" max="6920" width="14.140625" customWidth="1"/>
    <col min="6921" max="6921" width="11.140625" customWidth="1"/>
    <col min="7169" max="7169" width="24" customWidth="1"/>
    <col min="7170" max="7170" width="23.7109375" customWidth="1"/>
    <col min="7171" max="7171" width="70.42578125" customWidth="1"/>
    <col min="7172" max="7172" width="22" customWidth="1"/>
    <col min="7173" max="7173" width="13.85546875" customWidth="1"/>
    <col min="7174" max="7174" width="10.28515625" customWidth="1"/>
    <col min="7175" max="7175" width="15.140625" bestFit="1" customWidth="1"/>
    <col min="7176" max="7176" width="14.140625" customWidth="1"/>
    <col min="7177" max="7177" width="11.140625" customWidth="1"/>
    <col min="7425" max="7425" width="24" customWidth="1"/>
    <col min="7426" max="7426" width="23.7109375" customWidth="1"/>
    <col min="7427" max="7427" width="70.42578125" customWidth="1"/>
    <col min="7428" max="7428" width="22" customWidth="1"/>
    <col min="7429" max="7429" width="13.85546875" customWidth="1"/>
    <col min="7430" max="7430" width="10.28515625" customWidth="1"/>
    <col min="7431" max="7431" width="15.140625" bestFit="1" customWidth="1"/>
    <col min="7432" max="7432" width="14.140625" customWidth="1"/>
    <col min="7433" max="7433" width="11.140625" customWidth="1"/>
    <col min="7681" max="7681" width="24" customWidth="1"/>
    <col min="7682" max="7682" width="23.7109375" customWidth="1"/>
    <col min="7683" max="7683" width="70.42578125" customWidth="1"/>
    <col min="7684" max="7684" width="22" customWidth="1"/>
    <col min="7685" max="7685" width="13.85546875" customWidth="1"/>
    <col min="7686" max="7686" width="10.28515625" customWidth="1"/>
    <col min="7687" max="7687" width="15.140625" bestFit="1" customWidth="1"/>
    <col min="7688" max="7688" width="14.140625" customWidth="1"/>
    <col min="7689" max="7689" width="11.140625" customWidth="1"/>
    <col min="7937" max="7937" width="24" customWidth="1"/>
    <col min="7938" max="7938" width="23.7109375" customWidth="1"/>
    <col min="7939" max="7939" width="70.42578125" customWidth="1"/>
    <col min="7940" max="7940" width="22" customWidth="1"/>
    <col min="7941" max="7941" width="13.85546875" customWidth="1"/>
    <col min="7942" max="7942" width="10.28515625" customWidth="1"/>
    <col min="7943" max="7943" width="15.140625" bestFit="1" customWidth="1"/>
    <col min="7944" max="7944" width="14.140625" customWidth="1"/>
    <col min="7945" max="7945" width="11.140625" customWidth="1"/>
    <col min="8193" max="8193" width="24" customWidth="1"/>
    <col min="8194" max="8194" width="23.7109375" customWidth="1"/>
    <col min="8195" max="8195" width="70.42578125" customWidth="1"/>
    <col min="8196" max="8196" width="22" customWidth="1"/>
    <col min="8197" max="8197" width="13.85546875" customWidth="1"/>
    <col min="8198" max="8198" width="10.28515625" customWidth="1"/>
    <col min="8199" max="8199" width="15.140625" bestFit="1" customWidth="1"/>
    <col min="8200" max="8200" width="14.140625" customWidth="1"/>
    <col min="8201" max="8201" width="11.140625" customWidth="1"/>
    <col min="8449" max="8449" width="24" customWidth="1"/>
    <col min="8450" max="8450" width="23.7109375" customWidth="1"/>
    <col min="8451" max="8451" width="70.42578125" customWidth="1"/>
    <col min="8452" max="8452" width="22" customWidth="1"/>
    <col min="8453" max="8453" width="13.85546875" customWidth="1"/>
    <col min="8454" max="8454" width="10.28515625" customWidth="1"/>
    <col min="8455" max="8455" width="15.140625" bestFit="1" customWidth="1"/>
    <col min="8456" max="8456" width="14.140625" customWidth="1"/>
    <col min="8457" max="8457" width="11.140625" customWidth="1"/>
    <col min="8705" max="8705" width="24" customWidth="1"/>
    <col min="8706" max="8706" width="23.7109375" customWidth="1"/>
    <col min="8707" max="8707" width="70.42578125" customWidth="1"/>
    <col min="8708" max="8708" width="22" customWidth="1"/>
    <col min="8709" max="8709" width="13.85546875" customWidth="1"/>
    <col min="8710" max="8710" width="10.28515625" customWidth="1"/>
    <col min="8711" max="8711" width="15.140625" bestFit="1" customWidth="1"/>
    <col min="8712" max="8712" width="14.140625" customWidth="1"/>
    <col min="8713" max="8713" width="11.140625" customWidth="1"/>
    <col min="8961" max="8961" width="24" customWidth="1"/>
    <col min="8962" max="8962" width="23.7109375" customWidth="1"/>
    <col min="8963" max="8963" width="70.42578125" customWidth="1"/>
    <col min="8964" max="8964" width="22" customWidth="1"/>
    <col min="8965" max="8965" width="13.85546875" customWidth="1"/>
    <col min="8966" max="8966" width="10.28515625" customWidth="1"/>
    <col min="8967" max="8967" width="15.140625" bestFit="1" customWidth="1"/>
    <col min="8968" max="8968" width="14.140625" customWidth="1"/>
    <col min="8969" max="8969" width="11.140625" customWidth="1"/>
    <col min="9217" max="9217" width="24" customWidth="1"/>
    <col min="9218" max="9218" width="23.7109375" customWidth="1"/>
    <col min="9219" max="9219" width="70.42578125" customWidth="1"/>
    <col min="9220" max="9220" width="22" customWidth="1"/>
    <col min="9221" max="9221" width="13.85546875" customWidth="1"/>
    <col min="9222" max="9222" width="10.28515625" customWidth="1"/>
    <col min="9223" max="9223" width="15.140625" bestFit="1" customWidth="1"/>
    <col min="9224" max="9224" width="14.140625" customWidth="1"/>
    <col min="9225" max="9225" width="11.140625" customWidth="1"/>
    <col min="9473" max="9473" width="24" customWidth="1"/>
    <col min="9474" max="9474" width="23.7109375" customWidth="1"/>
    <col min="9475" max="9475" width="70.42578125" customWidth="1"/>
    <col min="9476" max="9476" width="22" customWidth="1"/>
    <col min="9477" max="9477" width="13.85546875" customWidth="1"/>
    <col min="9478" max="9478" width="10.28515625" customWidth="1"/>
    <col min="9479" max="9479" width="15.140625" bestFit="1" customWidth="1"/>
    <col min="9480" max="9480" width="14.140625" customWidth="1"/>
    <col min="9481" max="9481" width="11.140625" customWidth="1"/>
    <col min="9729" max="9729" width="24" customWidth="1"/>
    <col min="9730" max="9730" width="23.7109375" customWidth="1"/>
    <col min="9731" max="9731" width="70.42578125" customWidth="1"/>
    <col min="9732" max="9732" width="22" customWidth="1"/>
    <col min="9733" max="9733" width="13.85546875" customWidth="1"/>
    <col min="9734" max="9734" width="10.28515625" customWidth="1"/>
    <col min="9735" max="9735" width="15.140625" bestFit="1" customWidth="1"/>
    <col min="9736" max="9736" width="14.140625" customWidth="1"/>
    <col min="9737" max="9737" width="11.140625" customWidth="1"/>
    <col min="9985" max="9985" width="24" customWidth="1"/>
    <col min="9986" max="9986" width="23.7109375" customWidth="1"/>
    <col min="9987" max="9987" width="70.42578125" customWidth="1"/>
    <col min="9988" max="9988" width="22" customWidth="1"/>
    <col min="9989" max="9989" width="13.85546875" customWidth="1"/>
    <col min="9990" max="9990" width="10.28515625" customWidth="1"/>
    <col min="9991" max="9991" width="15.140625" bestFit="1" customWidth="1"/>
    <col min="9992" max="9992" width="14.140625" customWidth="1"/>
    <col min="9993" max="9993" width="11.140625" customWidth="1"/>
    <col min="10241" max="10241" width="24" customWidth="1"/>
    <col min="10242" max="10242" width="23.7109375" customWidth="1"/>
    <col min="10243" max="10243" width="70.42578125" customWidth="1"/>
    <col min="10244" max="10244" width="22" customWidth="1"/>
    <col min="10245" max="10245" width="13.85546875" customWidth="1"/>
    <col min="10246" max="10246" width="10.28515625" customWidth="1"/>
    <col min="10247" max="10247" width="15.140625" bestFit="1" customWidth="1"/>
    <col min="10248" max="10248" width="14.140625" customWidth="1"/>
    <col min="10249" max="10249" width="11.140625" customWidth="1"/>
    <col min="10497" max="10497" width="24" customWidth="1"/>
    <col min="10498" max="10498" width="23.7109375" customWidth="1"/>
    <col min="10499" max="10499" width="70.42578125" customWidth="1"/>
    <col min="10500" max="10500" width="22" customWidth="1"/>
    <col min="10501" max="10501" width="13.85546875" customWidth="1"/>
    <col min="10502" max="10502" width="10.28515625" customWidth="1"/>
    <col min="10503" max="10503" width="15.140625" bestFit="1" customWidth="1"/>
    <col min="10504" max="10504" width="14.140625" customWidth="1"/>
    <col min="10505" max="10505" width="11.140625" customWidth="1"/>
    <col min="10753" max="10753" width="24" customWidth="1"/>
    <col min="10754" max="10754" width="23.7109375" customWidth="1"/>
    <col min="10755" max="10755" width="70.42578125" customWidth="1"/>
    <col min="10756" max="10756" width="22" customWidth="1"/>
    <col min="10757" max="10757" width="13.85546875" customWidth="1"/>
    <col min="10758" max="10758" width="10.28515625" customWidth="1"/>
    <col min="10759" max="10759" width="15.140625" bestFit="1" customWidth="1"/>
    <col min="10760" max="10760" width="14.140625" customWidth="1"/>
    <col min="10761" max="10761" width="11.140625" customWidth="1"/>
    <col min="11009" max="11009" width="24" customWidth="1"/>
    <col min="11010" max="11010" width="23.7109375" customWidth="1"/>
    <col min="11011" max="11011" width="70.42578125" customWidth="1"/>
    <col min="11012" max="11012" width="22" customWidth="1"/>
    <col min="11013" max="11013" width="13.85546875" customWidth="1"/>
    <col min="11014" max="11014" width="10.28515625" customWidth="1"/>
    <col min="11015" max="11015" width="15.140625" bestFit="1" customWidth="1"/>
    <col min="11016" max="11016" width="14.140625" customWidth="1"/>
    <col min="11017" max="11017" width="11.140625" customWidth="1"/>
    <col min="11265" max="11265" width="24" customWidth="1"/>
    <col min="11266" max="11266" width="23.7109375" customWidth="1"/>
    <col min="11267" max="11267" width="70.42578125" customWidth="1"/>
    <col min="11268" max="11268" width="22" customWidth="1"/>
    <col min="11269" max="11269" width="13.85546875" customWidth="1"/>
    <col min="11270" max="11270" width="10.28515625" customWidth="1"/>
    <col min="11271" max="11271" width="15.140625" bestFit="1" customWidth="1"/>
    <col min="11272" max="11272" width="14.140625" customWidth="1"/>
    <col min="11273" max="11273" width="11.140625" customWidth="1"/>
    <col min="11521" max="11521" width="24" customWidth="1"/>
    <col min="11522" max="11522" width="23.7109375" customWidth="1"/>
    <col min="11523" max="11523" width="70.42578125" customWidth="1"/>
    <col min="11524" max="11524" width="22" customWidth="1"/>
    <col min="11525" max="11525" width="13.85546875" customWidth="1"/>
    <col min="11526" max="11526" width="10.28515625" customWidth="1"/>
    <col min="11527" max="11527" width="15.140625" bestFit="1" customWidth="1"/>
    <col min="11528" max="11528" width="14.140625" customWidth="1"/>
    <col min="11529" max="11529" width="11.140625" customWidth="1"/>
    <col min="11777" max="11777" width="24" customWidth="1"/>
    <col min="11778" max="11778" width="23.7109375" customWidth="1"/>
    <col min="11779" max="11779" width="70.42578125" customWidth="1"/>
    <col min="11780" max="11780" width="22" customWidth="1"/>
    <col min="11781" max="11781" width="13.85546875" customWidth="1"/>
    <col min="11782" max="11782" width="10.28515625" customWidth="1"/>
    <col min="11783" max="11783" width="15.140625" bestFit="1" customWidth="1"/>
    <col min="11784" max="11784" width="14.140625" customWidth="1"/>
    <col min="11785" max="11785" width="11.140625" customWidth="1"/>
    <col min="12033" max="12033" width="24" customWidth="1"/>
    <col min="12034" max="12034" width="23.7109375" customWidth="1"/>
    <col min="12035" max="12035" width="70.42578125" customWidth="1"/>
    <col min="12036" max="12036" width="22" customWidth="1"/>
    <col min="12037" max="12037" width="13.85546875" customWidth="1"/>
    <col min="12038" max="12038" width="10.28515625" customWidth="1"/>
    <col min="12039" max="12039" width="15.140625" bestFit="1" customWidth="1"/>
    <col min="12040" max="12040" width="14.140625" customWidth="1"/>
    <col min="12041" max="12041" width="11.140625" customWidth="1"/>
    <col min="12289" max="12289" width="24" customWidth="1"/>
    <col min="12290" max="12290" width="23.7109375" customWidth="1"/>
    <col min="12291" max="12291" width="70.42578125" customWidth="1"/>
    <col min="12292" max="12292" width="22" customWidth="1"/>
    <col min="12293" max="12293" width="13.85546875" customWidth="1"/>
    <col min="12294" max="12294" width="10.28515625" customWidth="1"/>
    <col min="12295" max="12295" width="15.140625" bestFit="1" customWidth="1"/>
    <col min="12296" max="12296" width="14.140625" customWidth="1"/>
    <col min="12297" max="12297" width="11.140625" customWidth="1"/>
    <col min="12545" max="12545" width="24" customWidth="1"/>
    <col min="12546" max="12546" width="23.7109375" customWidth="1"/>
    <col min="12547" max="12547" width="70.42578125" customWidth="1"/>
    <col min="12548" max="12548" width="22" customWidth="1"/>
    <col min="12549" max="12549" width="13.85546875" customWidth="1"/>
    <col min="12550" max="12550" width="10.28515625" customWidth="1"/>
    <col min="12551" max="12551" width="15.140625" bestFit="1" customWidth="1"/>
    <col min="12552" max="12552" width="14.140625" customWidth="1"/>
    <col min="12553" max="12553" width="11.140625" customWidth="1"/>
    <col min="12801" max="12801" width="24" customWidth="1"/>
    <col min="12802" max="12802" width="23.7109375" customWidth="1"/>
    <col min="12803" max="12803" width="70.42578125" customWidth="1"/>
    <col min="12804" max="12804" width="22" customWidth="1"/>
    <col min="12805" max="12805" width="13.85546875" customWidth="1"/>
    <col min="12806" max="12806" width="10.28515625" customWidth="1"/>
    <col min="12807" max="12807" width="15.140625" bestFit="1" customWidth="1"/>
    <col min="12808" max="12808" width="14.140625" customWidth="1"/>
    <col min="12809" max="12809" width="11.140625" customWidth="1"/>
    <col min="13057" max="13057" width="24" customWidth="1"/>
    <col min="13058" max="13058" width="23.7109375" customWidth="1"/>
    <col min="13059" max="13059" width="70.42578125" customWidth="1"/>
    <col min="13060" max="13060" width="22" customWidth="1"/>
    <col min="13061" max="13061" width="13.85546875" customWidth="1"/>
    <col min="13062" max="13062" width="10.28515625" customWidth="1"/>
    <col min="13063" max="13063" width="15.140625" bestFit="1" customWidth="1"/>
    <col min="13064" max="13064" width="14.140625" customWidth="1"/>
    <col min="13065" max="13065" width="11.140625" customWidth="1"/>
    <col min="13313" max="13313" width="24" customWidth="1"/>
    <col min="13314" max="13314" width="23.7109375" customWidth="1"/>
    <col min="13315" max="13315" width="70.42578125" customWidth="1"/>
    <col min="13316" max="13316" width="22" customWidth="1"/>
    <col min="13317" max="13317" width="13.85546875" customWidth="1"/>
    <col min="13318" max="13318" width="10.28515625" customWidth="1"/>
    <col min="13319" max="13319" width="15.140625" bestFit="1" customWidth="1"/>
    <col min="13320" max="13320" width="14.140625" customWidth="1"/>
    <col min="13321" max="13321" width="11.140625" customWidth="1"/>
    <col min="13569" max="13569" width="24" customWidth="1"/>
    <col min="13570" max="13570" width="23.7109375" customWidth="1"/>
    <col min="13571" max="13571" width="70.42578125" customWidth="1"/>
    <col min="13572" max="13572" width="22" customWidth="1"/>
    <col min="13573" max="13573" width="13.85546875" customWidth="1"/>
    <col min="13574" max="13574" width="10.28515625" customWidth="1"/>
    <col min="13575" max="13575" width="15.140625" bestFit="1" customWidth="1"/>
    <col min="13576" max="13576" width="14.140625" customWidth="1"/>
    <col min="13577" max="13577" width="11.140625" customWidth="1"/>
    <col min="13825" max="13825" width="24" customWidth="1"/>
    <col min="13826" max="13826" width="23.7109375" customWidth="1"/>
    <col min="13827" max="13827" width="70.42578125" customWidth="1"/>
    <col min="13828" max="13828" width="22" customWidth="1"/>
    <col min="13829" max="13829" width="13.85546875" customWidth="1"/>
    <col min="13830" max="13830" width="10.28515625" customWidth="1"/>
    <col min="13831" max="13831" width="15.140625" bestFit="1" customWidth="1"/>
    <col min="13832" max="13832" width="14.140625" customWidth="1"/>
    <col min="13833" max="13833" width="11.140625" customWidth="1"/>
    <col min="14081" max="14081" width="24" customWidth="1"/>
    <col min="14082" max="14082" width="23.7109375" customWidth="1"/>
    <col min="14083" max="14083" width="70.42578125" customWidth="1"/>
    <col min="14084" max="14084" width="22" customWidth="1"/>
    <col min="14085" max="14085" width="13.85546875" customWidth="1"/>
    <col min="14086" max="14086" width="10.28515625" customWidth="1"/>
    <col min="14087" max="14087" width="15.140625" bestFit="1" customWidth="1"/>
    <col min="14088" max="14088" width="14.140625" customWidth="1"/>
    <col min="14089" max="14089" width="11.140625" customWidth="1"/>
    <col min="14337" max="14337" width="24" customWidth="1"/>
    <col min="14338" max="14338" width="23.7109375" customWidth="1"/>
    <col min="14339" max="14339" width="70.42578125" customWidth="1"/>
    <col min="14340" max="14340" width="22" customWidth="1"/>
    <col min="14341" max="14341" width="13.85546875" customWidth="1"/>
    <col min="14342" max="14342" width="10.28515625" customWidth="1"/>
    <col min="14343" max="14343" width="15.140625" bestFit="1" customWidth="1"/>
    <col min="14344" max="14344" width="14.140625" customWidth="1"/>
    <col min="14345" max="14345" width="11.140625" customWidth="1"/>
    <col min="14593" max="14593" width="24" customWidth="1"/>
    <col min="14594" max="14594" width="23.7109375" customWidth="1"/>
    <col min="14595" max="14595" width="70.42578125" customWidth="1"/>
    <col min="14596" max="14596" width="22" customWidth="1"/>
    <col min="14597" max="14597" width="13.85546875" customWidth="1"/>
    <col min="14598" max="14598" width="10.28515625" customWidth="1"/>
    <col min="14599" max="14599" width="15.140625" bestFit="1" customWidth="1"/>
    <col min="14600" max="14600" width="14.140625" customWidth="1"/>
    <col min="14601" max="14601" width="11.140625" customWidth="1"/>
    <col min="14849" max="14849" width="24" customWidth="1"/>
    <col min="14850" max="14850" width="23.7109375" customWidth="1"/>
    <col min="14851" max="14851" width="70.42578125" customWidth="1"/>
    <col min="14852" max="14852" width="22" customWidth="1"/>
    <col min="14853" max="14853" width="13.85546875" customWidth="1"/>
    <col min="14854" max="14854" width="10.28515625" customWidth="1"/>
    <col min="14855" max="14855" width="15.140625" bestFit="1" customWidth="1"/>
    <col min="14856" max="14856" width="14.140625" customWidth="1"/>
    <col min="14857" max="14857" width="11.140625" customWidth="1"/>
    <col min="15105" max="15105" width="24" customWidth="1"/>
    <col min="15106" max="15106" width="23.7109375" customWidth="1"/>
    <col min="15107" max="15107" width="70.42578125" customWidth="1"/>
    <col min="15108" max="15108" width="22" customWidth="1"/>
    <col min="15109" max="15109" width="13.85546875" customWidth="1"/>
    <col min="15110" max="15110" width="10.28515625" customWidth="1"/>
    <col min="15111" max="15111" width="15.140625" bestFit="1" customWidth="1"/>
    <col min="15112" max="15112" width="14.140625" customWidth="1"/>
    <col min="15113" max="15113" width="11.140625" customWidth="1"/>
    <col min="15361" max="15361" width="24" customWidth="1"/>
    <col min="15362" max="15362" width="23.7109375" customWidth="1"/>
    <col min="15363" max="15363" width="70.42578125" customWidth="1"/>
    <col min="15364" max="15364" width="22" customWidth="1"/>
    <col min="15365" max="15365" width="13.85546875" customWidth="1"/>
    <col min="15366" max="15366" width="10.28515625" customWidth="1"/>
    <col min="15367" max="15367" width="15.140625" bestFit="1" customWidth="1"/>
    <col min="15368" max="15368" width="14.140625" customWidth="1"/>
    <col min="15369" max="15369" width="11.140625" customWidth="1"/>
    <col min="15617" max="15617" width="24" customWidth="1"/>
    <col min="15618" max="15618" width="23.7109375" customWidth="1"/>
    <col min="15619" max="15619" width="70.42578125" customWidth="1"/>
    <col min="15620" max="15620" width="22" customWidth="1"/>
    <col min="15621" max="15621" width="13.85546875" customWidth="1"/>
    <col min="15622" max="15622" width="10.28515625" customWidth="1"/>
    <col min="15623" max="15623" width="15.140625" bestFit="1" customWidth="1"/>
    <col min="15624" max="15624" width="14.140625" customWidth="1"/>
    <col min="15625" max="15625" width="11.140625" customWidth="1"/>
    <col min="15873" max="15873" width="24" customWidth="1"/>
    <col min="15874" max="15874" width="23.7109375" customWidth="1"/>
    <col min="15875" max="15875" width="70.42578125" customWidth="1"/>
    <col min="15876" max="15876" width="22" customWidth="1"/>
    <col min="15877" max="15877" width="13.85546875" customWidth="1"/>
    <col min="15878" max="15878" width="10.28515625" customWidth="1"/>
    <col min="15879" max="15879" width="15.140625" bestFit="1" customWidth="1"/>
    <col min="15880" max="15880" width="14.140625" customWidth="1"/>
    <col min="15881" max="15881" width="11.140625" customWidth="1"/>
    <col min="16129" max="16129" width="24" customWidth="1"/>
    <col min="16130" max="16130" width="23.7109375" customWidth="1"/>
    <col min="16131" max="16131" width="70.42578125" customWidth="1"/>
    <col min="16132" max="16132" width="22" customWidth="1"/>
    <col min="16133" max="16133" width="13.85546875" customWidth="1"/>
    <col min="16134" max="16134" width="10.28515625" customWidth="1"/>
    <col min="16135" max="16135" width="15.140625" bestFit="1" customWidth="1"/>
    <col min="16136" max="16136" width="14.140625" customWidth="1"/>
    <col min="16137" max="16137" width="11.140625" customWidth="1"/>
  </cols>
  <sheetData>
    <row r="1" spans="1:9">
      <c r="C1" s="1234" t="s">
        <v>1676</v>
      </c>
      <c r="D1" s="1234"/>
      <c r="E1" s="1234"/>
      <c r="H1" s="1118"/>
    </row>
    <row r="2" spans="1:9">
      <c r="C2" s="418"/>
      <c r="G2" s="1118" t="s">
        <v>1714</v>
      </c>
    </row>
    <row r="3" spans="1:9">
      <c r="A3" t="s">
        <v>6</v>
      </c>
      <c r="B3" s="307" t="s">
        <v>7</v>
      </c>
      <c r="C3" s="307" t="s">
        <v>695</v>
      </c>
      <c r="D3" s="307" t="s">
        <v>8</v>
      </c>
      <c r="E3" s="307" t="s">
        <v>9</v>
      </c>
      <c r="F3" s="307" t="s">
        <v>10</v>
      </c>
      <c r="G3" s="308" t="s">
        <v>696</v>
      </c>
      <c r="H3" s="308" t="s">
        <v>697</v>
      </c>
      <c r="I3" s="309" t="s">
        <v>698</v>
      </c>
    </row>
    <row r="4" spans="1:9">
      <c r="A4" t="s">
        <v>11</v>
      </c>
      <c r="B4" s="307" t="s">
        <v>12</v>
      </c>
      <c r="C4" s="307" t="s">
        <v>13</v>
      </c>
      <c r="D4" s="307" t="s">
        <v>14</v>
      </c>
      <c r="E4" s="310">
        <v>5450000</v>
      </c>
      <c r="F4" s="310">
        <v>0</v>
      </c>
      <c r="G4" s="310">
        <v>130759000</v>
      </c>
      <c r="H4" s="307">
        <v>130759000</v>
      </c>
      <c r="I4" s="310">
        <f>G4-H4</f>
        <v>0</v>
      </c>
    </row>
    <row r="5" spans="1:9">
      <c r="A5" t="s">
        <v>5</v>
      </c>
      <c r="B5" s="307" t="s">
        <v>699</v>
      </c>
      <c r="C5" s="307" t="s">
        <v>15</v>
      </c>
      <c r="D5" s="307" t="s">
        <v>16</v>
      </c>
      <c r="E5" s="310">
        <v>5450000</v>
      </c>
      <c r="F5" s="310">
        <v>0</v>
      </c>
      <c r="G5" s="310">
        <v>130759000</v>
      </c>
      <c r="H5" s="307">
        <v>130759000</v>
      </c>
      <c r="I5" s="310">
        <f t="shared" ref="I5:I68" si="0">G5-H5</f>
        <v>0</v>
      </c>
    </row>
    <row r="6" spans="1:9">
      <c r="A6" t="s">
        <v>18</v>
      </c>
      <c r="B6" s="307" t="s">
        <v>19</v>
      </c>
      <c r="C6" s="307" t="s">
        <v>20</v>
      </c>
      <c r="D6" s="307" t="s">
        <v>16</v>
      </c>
      <c r="E6" s="310">
        <v>0</v>
      </c>
      <c r="F6" s="310">
        <v>0</v>
      </c>
      <c r="G6" s="310">
        <v>122219910</v>
      </c>
      <c r="H6" s="307">
        <v>118618990</v>
      </c>
      <c r="I6" s="310">
        <f t="shared" si="0"/>
        <v>3600920</v>
      </c>
    </row>
    <row r="7" spans="1:9">
      <c r="A7" t="s">
        <v>21</v>
      </c>
      <c r="B7" s="307" t="s">
        <v>22</v>
      </c>
      <c r="C7" s="307" t="s">
        <v>23</v>
      </c>
      <c r="D7" s="307" t="s">
        <v>24</v>
      </c>
      <c r="E7" s="310">
        <v>25200</v>
      </c>
      <c r="F7" s="310">
        <v>0</v>
      </c>
      <c r="G7" s="310">
        <v>24854760</v>
      </c>
      <c r="H7" s="307">
        <v>21994490</v>
      </c>
      <c r="I7" s="310">
        <f t="shared" si="0"/>
        <v>2860270</v>
      </c>
    </row>
    <row r="8" spans="1:9">
      <c r="A8" t="s">
        <v>25</v>
      </c>
      <c r="B8" s="307" t="s">
        <v>26</v>
      </c>
      <c r="C8" s="307" t="s">
        <v>27</v>
      </c>
      <c r="D8" s="307" t="s">
        <v>28</v>
      </c>
      <c r="E8" s="310">
        <v>0</v>
      </c>
      <c r="F8" s="310">
        <v>0</v>
      </c>
      <c r="G8" s="310">
        <v>55720000</v>
      </c>
      <c r="H8" s="307">
        <v>55000000</v>
      </c>
      <c r="I8" s="310">
        <f t="shared" si="0"/>
        <v>720000</v>
      </c>
    </row>
    <row r="9" spans="1:9">
      <c r="A9" t="s">
        <v>29</v>
      </c>
      <c r="B9" s="307" t="s">
        <v>30</v>
      </c>
      <c r="C9" s="307" t="s">
        <v>31</v>
      </c>
      <c r="D9" s="307" t="s">
        <v>32</v>
      </c>
      <c r="E9" s="310">
        <v>0</v>
      </c>
      <c r="F9" s="310">
        <v>0</v>
      </c>
      <c r="G9" s="310">
        <v>0</v>
      </c>
      <c r="H9" s="307">
        <v>0</v>
      </c>
      <c r="I9" s="310">
        <f t="shared" si="0"/>
        <v>0</v>
      </c>
    </row>
    <row r="10" spans="1:9">
      <c r="A10" t="s">
        <v>33</v>
      </c>
      <c r="B10" s="307" t="s">
        <v>34</v>
      </c>
      <c r="C10" s="307" t="s">
        <v>35</v>
      </c>
      <c r="D10" s="307" t="s">
        <v>28</v>
      </c>
      <c r="E10" s="310">
        <v>0</v>
      </c>
      <c r="F10" s="310">
        <v>0</v>
      </c>
      <c r="G10" s="310">
        <v>41645150</v>
      </c>
      <c r="H10" s="307">
        <v>41624500</v>
      </c>
      <c r="I10" s="310">
        <f t="shared" si="0"/>
        <v>20650</v>
      </c>
    </row>
    <row r="11" spans="1:9">
      <c r="A11" t="s">
        <v>36</v>
      </c>
      <c r="B11" s="307" t="s">
        <v>700</v>
      </c>
      <c r="C11" s="307" t="s">
        <v>37</v>
      </c>
      <c r="D11" s="307" t="s">
        <v>16</v>
      </c>
      <c r="E11" s="310">
        <v>0</v>
      </c>
      <c r="F11" s="310">
        <v>0</v>
      </c>
      <c r="G11" s="310">
        <v>122219910</v>
      </c>
      <c r="H11" s="307">
        <v>118618990</v>
      </c>
      <c r="I11" s="310">
        <f t="shared" si="0"/>
        <v>3600920</v>
      </c>
    </row>
    <row r="12" spans="1:9">
      <c r="A12" t="s">
        <v>38</v>
      </c>
      <c r="B12" s="307" t="s">
        <v>701</v>
      </c>
      <c r="C12" s="307" t="s">
        <v>39</v>
      </c>
      <c r="D12" s="307" t="s">
        <v>16</v>
      </c>
      <c r="E12" s="310">
        <v>25200</v>
      </c>
      <c r="F12" s="310">
        <v>0</v>
      </c>
      <c r="G12" s="310">
        <v>24854760</v>
      </c>
      <c r="H12" s="307">
        <v>21994490</v>
      </c>
      <c r="I12" s="310">
        <f t="shared" si="0"/>
        <v>2860270</v>
      </c>
    </row>
    <row r="13" spans="1:9">
      <c r="A13" t="s">
        <v>40</v>
      </c>
      <c r="B13" s="307" t="s">
        <v>702</v>
      </c>
      <c r="C13" s="307" t="s">
        <v>41</v>
      </c>
      <c r="D13" s="307" t="s">
        <v>16</v>
      </c>
      <c r="E13" s="310">
        <v>0</v>
      </c>
      <c r="F13" s="310">
        <v>0</v>
      </c>
      <c r="G13" s="310">
        <v>55720000</v>
      </c>
      <c r="H13" s="307">
        <v>55000000</v>
      </c>
      <c r="I13" s="310">
        <f t="shared" si="0"/>
        <v>720000</v>
      </c>
    </row>
    <row r="14" spans="1:9">
      <c r="A14" t="s">
        <v>42</v>
      </c>
      <c r="B14" s="307" t="s">
        <v>703</v>
      </c>
      <c r="C14" s="307" t="s">
        <v>43</v>
      </c>
      <c r="D14" s="307" t="s">
        <v>16</v>
      </c>
      <c r="E14" s="310">
        <v>0</v>
      </c>
      <c r="F14" s="310">
        <v>0</v>
      </c>
      <c r="G14" s="310">
        <v>0</v>
      </c>
      <c r="H14" s="307">
        <v>0</v>
      </c>
      <c r="I14" s="310">
        <f t="shared" si="0"/>
        <v>0</v>
      </c>
    </row>
    <row r="15" spans="1:9">
      <c r="A15" t="s">
        <v>44</v>
      </c>
      <c r="B15" s="307" t="s">
        <v>704</v>
      </c>
      <c r="C15" s="307" t="s">
        <v>45</v>
      </c>
      <c r="D15" s="307" t="s">
        <v>16</v>
      </c>
      <c r="E15" s="310">
        <v>0</v>
      </c>
      <c r="F15" s="310">
        <v>0</v>
      </c>
      <c r="G15" s="310">
        <v>41645150</v>
      </c>
      <c r="H15" s="307">
        <v>41624500</v>
      </c>
      <c r="I15" s="310">
        <f t="shared" si="0"/>
        <v>20650</v>
      </c>
    </row>
    <row r="16" spans="1:9">
      <c r="A16" t="s">
        <v>46</v>
      </c>
      <c r="B16" s="307" t="s">
        <v>47</v>
      </c>
      <c r="C16" s="307" t="s">
        <v>48</v>
      </c>
      <c r="D16" s="307" t="s">
        <v>49</v>
      </c>
      <c r="E16" s="310">
        <v>2700</v>
      </c>
      <c r="F16" s="310">
        <v>0</v>
      </c>
      <c r="G16" s="310">
        <v>28404000</v>
      </c>
      <c r="H16" s="307">
        <v>28058400</v>
      </c>
      <c r="I16" s="310">
        <f t="shared" si="0"/>
        <v>345600</v>
      </c>
    </row>
    <row r="17" spans="1:9">
      <c r="A17" t="s">
        <v>50</v>
      </c>
      <c r="B17" s="307" t="s">
        <v>705</v>
      </c>
      <c r="C17" s="307" t="s">
        <v>51</v>
      </c>
      <c r="D17" s="307" t="s">
        <v>16</v>
      </c>
      <c r="E17" s="310">
        <v>2700</v>
      </c>
      <c r="F17" s="310">
        <v>0</v>
      </c>
      <c r="G17" s="310">
        <v>8245191</v>
      </c>
      <c r="H17" s="307">
        <v>0</v>
      </c>
      <c r="I17" s="310">
        <f t="shared" si="0"/>
        <v>8245191</v>
      </c>
    </row>
    <row r="18" spans="1:9">
      <c r="A18" t="s">
        <v>52</v>
      </c>
      <c r="B18" s="307" t="s">
        <v>53</v>
      </c>
      <c r="C18" s="307" t="s">
        <v>54</v>
      </c>
      <c r="D18" s="307" t="s">
        <v>55</v>
      </c>
      <c r="E18" s="310">
        <v>2550</v>
      </c>
      <c r="F18" s="310">
        <v>0</v>
      </c>
      <c r="G18" s="310">
        <v>665550</v>
      </c>
      <c r="H18" s="307">
        <v>668100</v>
      </c>
      <c r="I18" s="310">
        <f t="shared" si="0"/>
        <v>-2550</v>
      </c>
    </row>
    <row r="19" spans="1:9">
      <c r="A19" t="s">
        <v>56</v>
      </c>
      <c r="B19" s="307" t="s">
        <v>706</v>
      </c>
      <c r="C19" s="307" t="s">
        <v>57</v>
      </c>
      <c r="D19" s="307" t="s">
        <v>16</v>
      </c>
      <c r="E19" s="310">
        <v>2550</v>
      </c>
      <c r="F19" s="310">
        <v>0</v>
      </c>
      <c r="G19" s="310">
        <v>665550</v>
      </c>
      <c r="H19" s="307">
        <v>365627</v>
      </c>
      <c r="I19" s="310">
        <f t="shared" si="0"/>
        <v>299923</v>
      </c>
    </row>
    <row r="20" spans="1:9">
      <c r="A20" t="s">
        <v>58</v>
      </c>
      <c r="B20" s="307" t="s">
        <v>59</v>
      </c>
      <c r="C20" s="307" t="s">
        <v>60</v>
      </c>
      <c r="D20" s="307" t="s">
        <v>61</v>
      </c>
      <c r="E20" s="310">
        <v>1</v>
      </c>
      <c r="F20" s="310">
        <v>0</v>
      </c>
      <c r="G20" s="310">
        <v>11722900</v>
      </c>
      <c r="H20" s="307">
        <v>9524200</v>
      </c>
      <c r="I20" s="310">
        <f t="shared" si="0"/>
        <v>2198700</v>
      </c>
    </row>
    <row r="21" spans="1:9">
      <c r="A21" t="s">
        <v>62</v>
      </c>
      <c r="B21" s="307" t="s">
        <v>707</v>
      </c>
      <c r="C21" s="307" t="s">
        <v>63</v>
      </c>
      <c r="D21" s="307" t="s">
        <v>16</v>
      </c>
      <c r="E21" s="310">
        <v>1</v>
      </c>
      <c r="F21" s="310">
        <v>0</v>
      </c>
      <c r="G21" s="310">
        <v>11722900</v>
      </c>
      <c r="H21" s="307">
        <v>9524200</v>
      </c>
      <c r="I21" s="310">
        <f t="shared" si="0"/>
        <v>2198700</v>
      </c>
    </row>
    <row r="22" spans="1:9">
      <c r="A22" t="s">
        <v>64</v>
      </c>
      <c r="B22" s="307" t="s">
        <v>708</v>
      </c>
      <c r="C22" s="307" t="s">
        <v>65</v>
      </c>
      <c r="D22" s="307" t="s">
        <v>16</v>
      </c>
      <c r="E22" s="310">
        <v>0</v>
      </c>
      <c r="F22" s="310">
        <v>0</v>
      </c>
      <c r="G22" s="310">
        <v>20158809</v>
      </c>
      <c r="H22" s="307">
        <v>28360873</v>
      </c>
      <c r="I22" s="310">
        <f t="shared" si="0"/>
        <v>-8202064</v>
      </c>
    </row>
    <row r="23" spans="1:9">
      <c r="A23" t="s">
        <v>66</v>
      </c>
      <c r="B23" s="307" t="s">
        <v>709</v>
      </c>
      <c r="C23" s="307" t="s">
        <v>67</v>
      </c>
      <c r="D23" s="307" t="s">
        <v>16</v>
      </c>
      <c r="E23" s="310">
        <v>0</v>
      </c>
      <c r="F23" s="310">
        <v>0</v>
      </c>
      <c r="G23" s="310">
        <v>0</v>
      </c>
      <c r="H23" s="307">
        <v>0</v>
      </c>
      <c r="I23" s="310">
        <f t="shared" si="0"/>
        <v>0</v>
      </c>
    </row>
    <row r="24" spans="1:9">
      <c r="A24" t="s">
        <v>68</v>
      </c>
      <c r="B24" s="307" t="s">
        <v>710</v>
      </c>
      <c r="C24" s="307" t="s">
        <v>69</v>
      </c>
      <c r="D24" s="307" t="s">
        <v>16</v>
      </c>
      <c r="E24" s="310">
        <v>0</v>
      </c>
      <c r="F24" s="310">
        <v>0</v>
      </c>
      <c r="G24" s="310">
        <v>273612551</v>
      </c>
      <c r="H24" s="307">
        <v>259267817</v>
      </c>
      <c r="I24" s="310">
        <f t="shared" si="0"/>
        <v>14344734</v>
      </c>
    </row>
    <row r="25" spans="1:9">
      <c r="A25" t="s">
        <v>711</v>
      </c>
      <c r="B25" s="307" t="s">
        <v>712</v>
      </c>
      <c r="C25" s="307" t="s">
        <v>713</v>
      </c>
      <c r="D25" s="307" t="s">
        <v>16</v>
      </c>
      <c r="E25" s="310">
        <v>0</v>
      </c>
      <c r="F25" s="310">
        <v>0</v>
      </c>
      <c r="G25" s="310">
        <v>0</v>
      </c>
      <c r="H25" s="307">
        <v>0</v>
      </c>
      <c r="I25" s="310">
        <f t="shared" si="0"/>
        <v>0</v>
      </c>
    </row>
    <row r="26" spans="1:9">
      <c r="A26" t="s">
        <v>714</v>
      </c>
      <c r="B26" s="307" t="s">
        <v>715</v>
      </c>
      <c r="C26" s="307" t="s">
        <v>716</v>
      </c>
      <c r="D26" s="307" t="s">
        <v>16</v>
      </c>
      <c r="E26" s="310">
        <v>0</v>
      </c>
      <c r="F26" s="310">
        <v>0</v>
      </c>
      <c r="G26" s="310">
        <v>0</v>
      </c>
      <c r="H26" s="307">
        <v>0</v>
      </c>
      <c r="I26" s="310">
        <f t="shared" si="0"/>
        <v>0</v>
      </c>
    </row>
    <row r="27" spans="1:9">
      <c r="A27" t="s">
        <v>717</v>
      </c>
      <c r="B27" s="307" t="s">
        <v>718</v>
      </c>
      <c r="C27" s="307" t="s">
        <v>719</v>
      </c>
      <c r="D27" s="307" t="s">
        <v>720</v>
      </c>
      <c r="E27" s="310">
        <v>100</v>
      </c>
      <c r="F27" s="310">
        <v>0</v>
      </c>
      <c r="G27" s="310">
        <v>0</v>
      </c>
      <c r="H27" s="307">
        <v>0</v>
      </c>
      <c r="I27" s="310">
        <f t="shared" si="0"/>
        <v>0</v>
      </c>
    </row>
    <row r="28" spans="1:9">
      <c r="A28" t="s">
        <v>721</v>
      </c>
      <c r="B28" s="307" t="s">
        <v>722</v>
      </c>
      <c r="C28" s="307" t="s">
        <v>723</v>
      </c>
      <c r="D28" s="307" t="s">
        <v>724</v>
      </c>
      <c r="E28" s="310">
        <v>2</v>
      </c>
      <c r="F28" s="310">
        <v>0</v>
      </c>
      <c r="G28" s="310">
        <v>0</v>
      </c>
      <c r="H28" s="307">
        <v>0</v>
      </c>
      <c r="I28" s="310">
        <f t="shared" si="0"/>
        <v>0</v>
      </c>
    </row>
    <row r="29" spans="1:9">
      <c r="A29" t="s">
        <v>725</v>
      </c>
      <c r="B29" s="307" t="s">
        <v>167</v>
      </c>
      <c r="C29" s="307" t="s">
        <v>126</v>
      </c>
      <c r="D29" s="307" t="s">
        <v>16</v>
      </c>
      <c r="E29" s="310">
        <v>0</v>
      </c>
      <c r="F29" s="310">
        <v>0</v>
      </c>
      <c r="G29" s="310">
        <v>1793900</v>
      </c>
      <c r="H29" s="307">
        <v>1961400</v>
      </c>
      <c r="I29" s="310">
        <f t="shared" si="0"/>
        <v>-167500</v>
      </c>
    </row>
    <row r="30" spans="1:9" s="311" customFormat="1">
      <c r="A30" s="311" t="s">
        <v>70</v>
      </c>
      <c r="B30" s="312" t="s">
        <v>71</v>
      </c>
      <c r="C30" s="312" t="s">
        <v>72</v>
      </c>
      <c r="D30" s="312" t="s">
        <v>16</v>
      </c>
      <c r="E30" s="313">
        <v>0</v>
      </c>
      <c r="F30" s="313">
        <v>0</v>
      </c>
      <c r="G30" s="313">
        <v>275406451</v>
      </c>
      <c r="H30" s="312">
        <v>261229217</v>
      </c>
      <c r="I30" s="313">
        <f t="shared" si="0"/>
        <v>14177234</v>
      </c>
    </row>
    <row r="31" spans="1:9">
      <c r="A31" t="s">
        <v>726</v>
      </c>
      <c r="B31" s="307"/>
      <c r="C31" s="307"/>
      <c r="D31" s="307"/>
      <c r="E31" s="307"/>
      <c r="F31" s="307"/>
      <c r="G31" s="307"/>
      <c r="H31" s="307"/>
      <c r="I31" s="310">
        <f t="shared" si="0"/>
        <v>0</v>
      </c>
    </row>
    <row r="32" spans="1:9">
      <c r="A32" t="s">
        <v>81</v>
      </c>
      <c r="B32" s="307"/>
      <c r="C32" s="307"/>
      <c r="D32" s="307"/>
      <c r="E32" s="307"/>
      <c r="F32" s="307"/>
      <c r="G32" s="307"/>
      <c r="H32" s="307"/>
      <c r="I32" s="310">
        <f t="shared" si="0"/>
        <v>0</v>
      </c>
    </row>
    <row r="33" spans="1:9">
      <c r="A33" t="s">
        <v>73</v>
      </c>
      <c r="B33" s="307" t="s">
        <v>727</v>
      </c>
      <c r="C33" s="307" t="s">
        <v>728</v>
      </c>
      <c r="D33" s="307" t="s">
        <v>49</v>
      </c>
      <c r="E33" s="310">
        <v>4371500</v>
      </c>
      <c r="F33" s="314">
        <v>36.1</v>
      </c>
      <c r="G33" s="310">
        <v>157811150</v>
      </c>
      <c r="H33" s="307">
        <v>92384367</v>
      </c>
      <c r="I33" s="310">
        <f t="shared" si="0"/>
        <v>65426783</v>
      </c>
    </row>
    <row r="34" spans="1:9">
      <c r="A34" t="s">
        <v>74</v>
      </c>
      <c r="B34" s="307" t="s">
        <v>729</v>
      </c>
      <c r="C34" s="307" t="s">
        <v>730</v>
      </c>
      <c r="D34" s="307" t="s">
        <v>49</v>
      </c>
      <c r="E34" s="310">
        <v>2400000</v>
      </c>
      <c r="F34" s="314">
        <v>26</v>
      </c>
      <c r="G34" s="310">
        <v>62400000</v>
      </c>
      <c r="H34" s="307">
        <v>33810000</v>
      </c>
      <c r="I34" s="310">
        <f t="shared" si="0"/>
        <v>28590000</v>
      </c>
    </row>
    <row r="35" spans="1:9">
      <c r="A35" t="s">
        <v>75</v>
      </c>
      <c r="B35" s="307" t="s">
        <v>731</v>
      </c>
      <c r="C35" s="307" t="s">
        <v>732</v>
      </c>
      <c r="D35" s="307" t="s">
        <v>49</v>
      </c>
      <c r="E35" s="310">
        <v>4371500</v>
      </c>
      <c r="F35" s="314">
        <v>0</v>
      </c>
      <c r="G35" s="310">
        <v>0</v>
      </c>
      <c r="H35" s="307">
        <v>0</v>
      </c>
      <c r="I35" s="310">
        <f t="shared" si="0"/>
        <v>0</v>
      </c>
    </row>
    <row r="36" spans="1:9">
      <c r="A36" t="s">
        <v>733</v>
      </c>
      <c r="B36" s="307"/>
      <c r="C36" s="307"/>
      <c r="D36" s="307"/>
      <c r="E36" s="307"/>
      <c r="F36" s="307"/>
      <c r="G36" s="307"/>
      <c r="H36" s="307"/>
      <c r="I36" s="310">
        <f t="shared" si="0"/>
        <v>0</v>
      </c>
    </row>
    <row r="37" spans="1:9">
      <c r="A37" t="s">
        <v>734</v>
      </c>
      <c r="B37" s="307" t="s">
        <v>735</v>
      </c>
      <c r="C37" s="307" t="s">
        <v>728</v>
      </c>
      <c r="D37" s="307" t="s">
        <v>49</v>
      </c>
      <c r="E37" s="310">
        <v>2185750</v>
      </c>
      <c r="F37" s="314">
        <v>0</v>
      </c>
      <c r="G37" s="310">
        <v>0</v>
      </c>
      <c r="H37" s="307">
        <v>0</v>
      </c>
      <c r="I37" s="310">
        <f t="shared" si="0"/>
        <v>0</v>
      </c>
    </row>
    <row r="38" spans="1:9">
      <c r="A38" t="s">
        <v>736</v>
      </c>
      <c r="B38" s="307" t="s">
        <v>737</v>
      </c>
      <c r="C38" s="307" t="s">
        <v>730</v>
      </c>
      <c r="D38" s="307" t="s">
        <v>49</v>
      </c>
      <c r="E38" s="310">
        <v>1200000</v>
      </c>
      <c r="F38" s="314">
        <v>0</v>
      </c>
      <c r="G38" s="310">
        <v>0</v>
      </c>
      <c r="H38" s="307">
        <v>0</v>
      </c>
      <c r="I38" s="310">
        <f t="shared" si="0"/>
        <v>0</v>
      </c>
    </row>
    <row r="39" spans="1:9">
      <c r="A39" t="s">
        <v>738</v>
      </c>
      <c r="B39" s="307" t="s">
        <v>739</v>
      </c>
      <c r="C39" s="307" t="s">
        <v>732</v>
      </c>
      <c r="D39" s="307" t="s">
        <v>49</v>
      </c>
      <c r="E39" s="310">
        <v>2185750</v>
      </c>
      <c r="F39" s="314">
        <v>0</v>
      </c>
      <c r="G39" s="310">
        <v>0</v>
      </c>
      <c r="H39" s="307">
        <v>0</v>
      </c>
      <c r="I39" s="310">
        <f t="shared" si="0"/>
        <v>0</v>
      </c>
    </row>
    <row r="40" spans="1:9">
      <c r="A40" t="s">
        <v>80</v>
      </c>
      <c r="B40" s="307"/>
      <c r="C40" s="307"/>
      <c r="D40" s="307"/>
      <c r="E40" s="307"/>
      <c r="F40" s="307"/>
      <c r="G40" s="307"/>
      <c r="H40" s="307"/>
      <c r="I40" s="310">
        <f t="shared" si="0"/>
        <v>0</v>
      </c>
    </row>
    <row r="41" spans="1:9">
      <c r="A41" t="s">
        <v>740</v>
      </c>
      <c r="B41" s="307" t="s">
        <v>741</v>
      </c>
      <c r="C41" s="307" t="s">
        <v>81</v>
      </c>
      <c r="D41" s="307" t="s">
        <v>49</v>
      </c>
      <c r="E41" s="310">
        <v>97400</v>
      </c>
      <c r="F41" s="314">
        <v>408.7</v>
      </c>
      <c r="G41" s="310">
        <v>39807380</v>
      </c>
      <c r="H41" s="307">
        <v>23181200</v>
      </c>
      <c r="I41" s="310">
        <f t="shared" si="0"/>
        <v>16626180</v>
      </c>
    </row>
    <row r="42" spans="1:9">
      <c r="A42" t="s">
        <v>76</v>
      </c>
      <c r="B42" s="307" t="s">
        <v>742</v>
      </c>
      <c r="C42" s="307" t="s">
        <v>733</v>
      </c>
      <c r="D42" s="307" t="s">
        <v>49</v>
      </c>
      <c r="E42" s="310">
        <v>48700</v>
      </c>
      <c r="F42" s="314">
        <v>0</v>
      </c>
      <c r="G42" s="310">
        <v>0</v>
      </c>
      <c r="H42" s="307">
        <v>0</v>
      </c>
      <c r="I42" s="310">
        <f t="shared" si="0"/>
        <v>0</v>
      </c>
    </row>
    <row r="43" spans="1:9">
      <c r="A43" t="s">
        <v>743</v>
      </c>
      <c r="B43" s="307"/>
      <c r="C43" s="307"/>
      <c r="D43" s="307"/>
      <c r="E43" s="307"/>
      <c r="F43" s="307"/>
      <c r="G43" s="307"/>
      <c r="H43" s="307"/>
      <c r="I43" s="310">
        <f t="shared" si="0"/>
        <v>0</v>
      </c>
    </row>
    <row r="44" spans="1:9">
      <c r="A44" t="s">
        <v>77</v>
      </c>
      <c r="B44" s="307" t="s">
        <v>744</v>
      </c>
      <c r="C44" s="307" t="s">
        <v>745</v>
      </c>
      <c r="D44" s="307" t="s">
        <v>49</v>
      </c>
      <c r="E44" s="310">
        <v>189000</v>
      </c>
      <c r="F44" s="310">
        <v>0</v>
      </c>
      <c r="G44" s="310">
        <v>0</v>
      </c>
      <c r="H44" s="307">
        <v>0</v>
      </c>
      <c r="I44" s="310">
        <f t="shared" si="0"/>
        <v>0</v>
      </c>
    </row>
    <row r="45" spans="1:9">
      <c r="A45" t="s">
        <v>746</v>
      </c>
      <c r="B45" s="307"/>
      <c r="C45" s="307"/>
      <c r="D45" s="307"/>
      <c r="E45" s="307"/>
      <c r="F45" s="307"/>
      <c r="G45" s="307"/>
      <c r="H45" s="307"/>
      <c r="I45" s="310">
        <f t="shared" si="0"/>
        <v>0</v>
      </c>
    </row>
    <row r="46" spans="1:9">
      <c r="A46" t="s">
        <v>81</v>
      </c>
      <c r="B46" s="307"/>
      <c r="C46" s="307"/>
      <c r="D46" s="307"/>
      <c r="E46" s="307"/>
      <c r="F46" s="307"/>
      <c r="G46" s="307"/>
      <c r="H46" s="307"/>
      <c r="I46" s="310">
        <f t="shared" si="0"/>
        <v>0</v>
      </c>
    </row>
    <row r="47" spans="1:9">
      <c r="A47" t="s">
        <v>747</v>
      </c>
      <c r="B47" s="307" t="s">
        <v>83</v>
      </c>
      <c r="C47" s="307" t="s">
        <v>748</v>
      </c>
      <c r="D47" s="307" t="s">
        <v>49</v>
      </c>
      <c r="E47" s="310">
        <v>396700</v>
      </c>
      <c r="F47" s="314">
        <v>9</v>
      </c>
      <c r="G47" s="310">
        <v>3570300</v>
      </c>
      <c r="H47" s="307"/>
      <c r="I47" s="310">
        <f t="shared" si="0"/>
        <v>3570300</v>
      </c>
    </row>
    <row r="48" spans="1:9">
      <c r="A48" t="s">
        <v>749</v>
      </c>
      <c r="B48" s="307" t="s">
        <v>750</v>
      </c>
      <c r="C48" s="307" t="s">
        <v>751</v>
      </c>
      <c r="D48" s="307" t="s">
        <v>49</v>
      </c>
      <c r="E48" s="310">
        <v>363642</v>
      </c>
      <c r="F48" s="314">
        <v>0</v>
      </c>
      <c r="G48" s="310">
        <v>0</v>
      </c>
      <c r="H48" s="307"/>
      <c r="I48" s="310">
        <f t="shared" si="0"/>
        <v>0</v>
      </c>
    </row>
    <row r="49" spans="1:9">
      <c r="A49" t="s">
        <v>752</v>
      </c>
      <c r="B49" s="307" t="s">
        <v>753</v>
      </c>
      <c r="C49" s="307" t="s">
        <v>754</v>
      </c>
      <c r="D49" s="307" t="s">
        <v>49</v>
      </c>
      <c r="E49" s="310">
        <v>1447300</v>
      </c>
      <c r="F49" s="314">
        <v>0</v>
      </c>
      <c r="G49" s="310">
        <v>0</v>
      </c>
      <c r="H49" s="307"/>
      <c r="I49" s="310">
        <f t="shared" si="0"/>
        <v>0</v>
      </c>
    </row>
    <row r="50" spans="1:9">
      <c r="A50" t="s">
        <v>755</v>
      </c>
      <c r="B50" s="307" t="s">
        <v>756</v>
      </c>
      <c r="C50" s="307" t="s">
        <v>757</v>
      </c>
      <c r="D50" s="307" t="s">
        <v>49</v>
      </c>
      <c r="E50" s="310">
        <v>1326692</v>
      </c>
      <c r="F50" s="314">
        <v>0</v>
      </c>
      <c r="G50" s="310">
        <v>0</v>
      </c>
      <c r="H50" s="307"/>
      <c r="I50" s="310">
        <f t="shared" si="0"/>
        <v>0</v>
      </c>
    </row>
    <row r="51" spans="1:9">
      <c r="A51" t="s">
        <v>78</v>
      </c>
      <c r="B51" s="307" t="s">
        <v>758</v>
      </c>
      <c r="C51" s="307" t="s">
        <v>759</v>
      </c>
      <c r="D51" s="307" t="s">
        <v>49</v>
      </c>
      <c r="E51" s="310">
        <v>434300</v>
      </c>
      <c r="F51" s="314">
        <v>0</v>
      </c>
      <c r="G51" s="310">
        <v>0</v>
      </c>
      <c r="H51" s="307"/>
      <c r="I51" s="310">
        <f t="shared" si="0"/>
        <v>0</v>
      </c>
    </row>
    <row r="52" spans="1:9">
      <c r="A52" t="s">
        <v>760</v>
      </c>
      <c r="B52" s="307" t="s">
        <v>761</v>
      </c>
      <c r="C52" s="307" t="s">
        <v>762</v>
      </c>
      <c r="D52" s="307" t="s">
        <v>49</v>
      </c>
      <c r="E52" s="310">
        <v>398108</v>
      </c>
      <c r="F52" s="314">
        <v>0</v>
      </c>
      <c r="G52" s="310">
        <v>0</v>
      </c>
      <c r="H52" s="307"/>
      <c r="I52" s="310">
        <f t="shared" si="0"/>
        <v>0</v>
      </c>
    </row>
    <row r="53" spans="1:9">
      <c r="A53" t="s">
        <v>79</v>
      </c>
      <c r="B53" s="307" t="s">
        <v>763</v>
      </c>
      <c r="C53" s="307" t="s">
        <v>764</v>
      </c>
      <c r="D53" s="307" t="s">
        <v>49</v>
      </c>
      <c r="E53" s="310">
        <v>1593700</v>
      </c>
      <c r="F53" s="314">
        <v>0</v>
      </c>
      <c r="G53" s="310">
        <v>0</v>
      </c>
      <c r="H53" s="307"/>
      <c r="I53" s="310">
        <f t="shared" si="0"/>
        <v>0</v>
      </c>
    </row>
    <row r="54" spans="1:9">
      <c r="A54" t="s">
        <v>765</v>
      </c>
      <c r="B54" s="307" t="s">
        <v>766</v>
      </c>
      <c r="C54" s="307" t="s">
        <v>767</v>
      </c>
      <c r="D54" s="307" t="s">
        <v>49</v>
      </c>
      <c r="E54" s="310">
        <v>1460892</v>
      </c>
      <c r="F54" s="314">
        <v>0</v>
      </c>
      <c r="G54" s="310">
        <v>0</v>
      </c>
      <c r="H54" s="307"/>
      <c r="I54" s="310">
        <f t="shared" si="0"/>
        <v>0</v>
      </c>
    </row>
    <row r="55" spans="1:9">
      <c r="A55" t="s">
        <v>733</v>
      </c>
      <c r="B55" s="307"/>
      <c r="C55" s="307"/>
      <c r="D55" s="307"/>
      <c r="E55" s="307"/>
      <c r="F55" s="307"/>
      <c r="G55" s="307"/>
      <c r="H55" s="307"/>
      <c r="I55" s="310">
        <f t="shared" si="0"/>
        <v>0</v>
      </c>
    </row>
    <row r="56" spans="1:9">
      <c r="A56" t="s">
        <v>768</v>
      </c>
      <c r="B56" s="307" t="s">
        <v>769</v>
      </c>
      <c r="C56" s="307" t="s">
        <v>748</v>
      </c>
      <c r="D56" s="307" t="s">
        <v>49</v>
      </c>
      <c r="E56" s="310">
        <v>198350</v>
      </c>
      <c r="F56" s="314">
        <v>0</v>
      </c>
      <c r="G56" s="310">
        <v>0</v>
      </c>
      <c r="H56" s="307"/>
      <c r="I56" s="310">
        <f t="shared" si="0"/>
        <v>0</v>
      </c>
    </row>
    <row r="57" spans="1:9">
      <c r="A57" t="s">
        <v>770</v>
      </c>
      <c r="B57" s="307" t="s">
        <v>771</v>
      </c>
      <c r="C57" s="307" t="s">
        <v>751</v>
      </c>
      <c r="D57" s="307" t="s">
        <v>49</v>
      </c>
      <c r="E57" s="310">
        <v>181821</v>
      </c>
      <c r="F57" s="314">
        <v>0</v>
      </c>
      <c r="G57" s="310">
        <v>0</v>
      </c>
      <c r="H57" s="307"/>
      <c r="I57" s="310">
        <f t="shared" si="0"/>
        <v>0</v>
      </c>
    </row>
    <row r="58" spans="1:9">
      <c r="A58" t="s">
        <v>82</v>
      </c>
      <c r="B58" s="307" t="s">
        <v>772</v>
      </c>
      <c r="C58" s="307" t="s">
        <v>754</v>
      </c>
      <c r="D58" s="307" t="s">
        <v>49</v>
      </c>
      <c r="E58" s="310">
        <v>723650</v>
      </c>
      <c r="F58" s="314">
        <v>0</v>
      </c>
      <c r="G58" s="310">
        <v>0</v>
      </c>
      <c r="H58" s="307"/>
      <c r="I58" s="310">
        <f t="shared" si="0"/>
        <v>0</v>
      </c>
    </row>
    <row r="59" spans="1:9">
      <c r="A59" t="s">
        <v>773</v>
      </c>
      <c r="B59" s="307" t="s">
        <v>774</v>
      </c>
      <c r="C59" s="307" t="s">
        <v>757</v>
      </c>
      <c r="D59" s="307" t="s">
        <v>49</v>
      </c>
      <c r="E59" s="310">
        <v>663346</v>
      </c>
      <c r="F59" s="314">
        <v>0</v>
      </c>
      <c r="G59" s="310">
        <v>0</v>
      </c>
      <c r="H59" s="307"/>
      <c r="I59" s="310">
        <f t="shared" si="0"/>
        <v>0</v>
      </c>
    </row>
    <row r="60" spans="1:9">
      <c r="A60" t="s">
        <v>775</v>
      </c>
      <c r="B60" s="307" t="s">
        <v>776</v>
      </c>
      <c r="C60" s="307" t="s">
        <v>759</v>
      </c>
      <c r="D60" s="307" t="s">
        <v>49</v>
      </c>
      <c r="E60" s="310">
        <v>217150</v>
      </c>
      <c r="F60" s="314">
        <v>0</v>
      </c>
      <c r="G60" s="310">
        <v>0</v>
      </c>
      <c r="H60" s="307"/>
      <c r="I60" s="310">
        <f t="shared" si="0"/>
        <v>0</v>
      </c>
    </row>
    <row r="61" spans="1:9">
      <c r="A61" t="s">
        <v>777</v>
      </c>
      <c r="B61" s="307" t="s">
        <v>778</v>
      </c>
      <c r="C61" s="307" t="s">
        <v>762</v>
      </c>
      <c r="D61" s="307" t="s">
        <v>49</v>
      </c>
      <c r="E61" s="310">
        <v>199054</v>
      </c>
      <c r="F61" s="314">
        <v>0</v>
      </c>
      <c r="G61" s="310">
        <v>0</v>
      </c>
      <c r="H61" s="307"/>
      <c r="I61" s="310">
        <f t="shared" si="0"/>
        <v>0</v>
      </c>
    </row>
    <row r="62" spans="1:9">
      <c r="A62" t="s">
        <v>779</v>
      </c>
      <c r="B62" s="307" t="s">
        <v>780</v>
      </c>
      <c r="C62" s="307" t="s">
        <v>764</v>
      </c>
      <c r="D62" s="307" t="s">
        <v>49</v>
      </c>
      <c r="E62" s="310">
        <v>796850</v>
      </c>
      <c r="F62" s="314">
        <v>0</v>
      </c>
      <c r="G62" s="310">
        <v>0</v>
      </c>
      <c r="H62" s="307"/>
      <c r="I62" s="310">
        <f t="shared" si="0"/>
        <v>0</v>
      </c>
    </row>
    <row r="63" spans="1:9">
      <c r="A63" t="s">
        <v>781</v>
      </c>
      <c r="B63" s="307" t="s">
        <v>782</v>
      </c>
      <c r="C63" s="307" t="s">
        <v>767</v>
      </c>
      <c r="D63" s="307" t="s">
        <v>49</v>
      </c>
      <c r="E63" s="310">
        <v>730446</v>
      </c>
      <c r="F63" s="314">
        <v>0</v>
      </c>
      <c r="G63" s="310">
        <v>0</v>
      </c>
      <c r="H63" s="307"/>
      <c r="I63" s="310">
        <f t="shared" si="0"/>
        <v>0</v>
      </c>
    </row>
    <row r="64" spans="1:9">
      <c r="A64" t="s">
        <v>783</v>
      </c>
      <c r="B64" s="307"/>
      <c r="C64" s="307"/>
      <c r="D64" s="307"/>
      <c r="E64" s="307"/>
      <c r="F64" s="307"/>
      <c r="G64" s="307"/>
      <c r="H64" s="307"/>
      <c r="I64" s="310">
        <f t="shared" si="0"/>
        <v>0</v>
      </c>
    </row>
    <row r="65" spans="1:9">
      <c r="A65" t="s">
        <v>784</v>
      </c>
      <c r="B65" s="307" t="s">
        <v>785</v>
      </c>
      <c r="C65" s="307" t="s">
        <v>81</v>
      </c>
      <c r="D65" s="307" t="s">
        <v>49</v>
      </c>
      <c r="E65" s="310">
        <v>811600</v>
      </c>
      <c r="F65" s="314">
        <v>0</v>
      </c>
      <c r="G65" s="310">
        <v>0</v>
      </c>
      <c r="H65" s="307">
        <v>0</v>
      </c>
      <c r="I65" s="310">
        <f t="shared" si="0"/>
        <v>0</v>
      </c>
    </row>
    <row r="66" spans="1:9">
      <c r="A66" t="s">
        <v>786</v>
      </c>
      <c r="B66" s="307" t="s">
        <v>787</v>
      </c>
      <c r="C66" s="307" t="s">
        <v>733</v>
      </c>
      <c r="D66" s="307" t="s">
        <v>49</v>
      </c>
      <c r="E66" s="310">
        <v>405800</v>
      </c>
      <c r="F66" s="314">
        <v>0</v>
      </c>
      <c r="G66" s="310">
        <v>0</v>
      </c>
      <c r="H66" s="307">
        <v>0</v>
      </c>
      <c r="I66" s="310">
        <f t="shared" si="0"/>
        <v>0</v>
      </c>
    </row>
    <row r="67" spans="1:9" s="311" customFormat="1">
      <c r="A67" s="311" t="s">
        <v>788</v>
      </c>
      <c r="B67" s="312" t="s">
        <v>88</v>
      </c>
      <c r="C67" s="312" t="s">
        <v>789</v>
      </c>
      <c r="D67" s="312" t="s">
        <v>16</v>
      </c>
      <c r="E67" s="313">
        <v>0</v>
      </c>
      <c r="F67" s="313">
        <v>0</v>
      </c>
      <c r="G67" s="313">
        <v>263588830</v>
      </c>
      <c r="H67" s="312">
        <v>226840250</v>
      </c>
      <c r="I67" s="313">
        <f t="shared" si="0"/>
        <v>36748580</v>
      </c>
    </row>
    <row r="68" spans="1:9">
      <c r="A68" t="s">
        <v>790</v>
      </c>
      <c r="B68" s="307" t="s">
        <v>791</v>
      </c>
      <c r="C68" s="307" t="s">
        <v>90</v>
      </c>
      <c r="D68" s="307" t="s">
        <v>16</v>
      </c>
      <c r="E68" s="310">
        <v>0</v>
      </c>
      <c r="F68" s="307" t="s">
        <v>17</v>
      </c>
      <c r="G68" s="4">
        <v>45462847</v>
      </c>
      <c r="H68" s="307">
        <v>43398426</v>
      </c>
      <c r="I68" s="310">
        <f t="shared" si="0"/>
        <v>2064421</v>
      </c>
    </row>
    <row r="69" spans="1:9">
      <c r="A69" t="s">
        <v>91</v>
      </c>
      <c r="B69" s="307"/>
      <c r="C69" s="307"/>
      <c r="D69" s="307"/>
      <c r="E69" s="307"/>
      <c r="F69" s="307"/>
      <c r="G69" s="307"/>
      <c r="H69" s="307"/>
      <c r="I69" s="310">
        <f t="shared" ref="I69:I132" si="1">G69-H69</f>
        <v>0</v>
      </c>
    </row>
    <row r="70" spans="1:9">
      <c r="A70" t="s">
        <v>792</v>
      </c>
      <c r="B70" s="307" t="s">
        <v>793</v>
      </c>
      <c r="C70" s="307" t="s">
        <v>93</v>
      </c>
      <c r="D70" s="307" t="s">
        <v>94</v>
      </c>
      <c r="E70" s="310">
        <v>3780000</v>
      </c>
      <c r="F70" s="310">
        <v>18020000</v>
      </c>
      <c r="G70" s="4">
        <v>18020000</v>
      </c>
      <c r="H70" s="307">
        <v>18020000</v>
      </c>
      <c r="I70" s="310">
        <f t="shared" si="1"/>
        <v>0</v>
      </c>
    </row>
    <row r="71" spans="1:9">
      <c r="A71" t="s">
        <v>794</v>
      </c>
      <c r="B71" s="307" t="s">
        <v>795</v>
      </c>
      <c r="C71" s="307" t="s">
        <v>96</v>
      </c>
      <c r="D71" s="307" t="s">
        <v>94</v>
      </c>
      <c r="E71" s="310">
        <v>3300000</v>
      </c>
      <c r="F71" s="310">
        <v>18810000</v>
      </c>
      <c r="G71" s="4">
        <v>18810000</v>
      </c>
      <c r="H71" s="307">
        <v>18810000</v>
      </c>
      <c r="I71" s="310">
        <f t="shared" si="1"/>
        <v>0</v>
      </c>
    </row>
    <row r="72" spans="1:9">
      <c r="A72" t="s">
        <v>796</v>
      </c>
      <c r="B72" s="307" t="s">
        <v>797</v>
      </c>
      <c r="C72" s="307" t="s">
        <v>98</v>
      </c>
      <c r="D72" s="307" t="s">
        <v>49</v>
      </c>
      <c r="E72" s="310">
        <v>65360</v>
      </c>
      <c r="F72" s="310">
        <v>0</v>
      </c>
      <c r="G72" s="310">
        <v>0</v>
      </c>
      <c r="H72" s="307">
        <v>0</v>
      </c>
      <c r="I72" s="310">
        <f t="shared" si="1"/>
        <v>0</v>
      </c>
    </row>
    <row r="73" spans="1:9">
      <c r="A73" t="s">
        <v>798</v>
      </c>
      <c r="B73" s="307" t="s">
        <v>799</v>
      </c>
      <c r="C73" s="307" t="s">
        <v>100</v>
      </c>
      <c r="D73" s="307" t="s">
        <v>49</v>
      </c>
      <c r="E73" s="310">
        <v>71896</v>
      </c>
      <c r="F73" s="310">
        <v>76</v>
      </c>
      <c r="G73" s="310">
        <v>5464096</v>
      </c>
      <c r="H73" s="307">
        <v>4567200</v>
      </c>
      <c r="I73" s="310">
        <f t="shared" si="1"/>
        <v>896896</v>
      </c>
    </row>
    <row r="74" spans="1:9">
      <c r="A74" t="s">
        <v>800</v>
      </c>
      <c r="B74" s="307" t="s">
        <v>801</v>
      </c>
      <c r="C74" s="307" t="s">
        <v>102</v>
      </c>
      <c r="D74" s="307" t="s">
        <v>49</v>
      </c>
      <c r="E74" s="310">
        <v>25000</v>
      </c>
      <c r="F74" s="310">
        <v>17</v>
      </c>
      <c r="G74" s="310">
        <v>425000</v>
      </c>
      <c r="H74" s="307">
        <v>550000</v>
      </c>
      <c r="I74" s="310">
        <f t="shared" si="1"/>
        <v>-125000</v>
      </c>
    </row>
    <row r="75" spans="1:9">
      <c r="A75" t="s">
        <v>802</v>
      </c>
      <c r="B75" s="307" t="s">
        <v>803</v>
      </c>
      <c r="C75" s="307" t="s">
        <v>104</v>
      </c>
      <c r="D75" s="307" t="s">
        <v>49</v>
      </c>
      <c r="E75" s="310">
        <v>330000</v>
      </c>
      <c r="F75" s="310">
        <v>0</v>
      </c>
      <c r="G75" s="310">
        <v>0</v>
      </c>
      <c r="H75" s="307">
        <v>0</v>
      </c>
      <c r="I75" s="310">
        <f t="shared" si="1"/>
        <v>0</v>
      </c>
    </row>
    <row r="76" spans="1:9">
      <c r="A76" t="s">
        <v>84</v>
      </c>
      <c r="B76" s="307" t="s">
        <v>804</v>
      </c>
      <c r="C76" s="307" t="s">
        <v>106</v>
      </c>
      <c r="D76" s="307" t="s">
        <v>49</v>
      </c>
      <c r="E76" s="310">
        <v>429000</v>
      </c>
      <c r="F76" s="310">
        <v>36</v>
      </c>
      <c r="G76" s="310">
        <v>15444000</v>
      </c>
      <c r="H76" s="307">
        <v>14586000</v>
      </c>
      <c r="I76" s="310">
        <f t="shared" si="1"/>
        <v>858000</v>
      </c>
    </row>
    <row r="77" spans="1:9">
      <c r="A77" t="s">
        <v>85</v>
      </c>
      <c r="B77" s="307" t="s">
        <v>805</v>
      </c>
      <c r="C77" s="307" t="s">
        <v>107</v>
      </c>
      <c r="D77" s="307" t="s">
        <v>108</v>
      </c>
      <c r="E77" s="310">
        <v>4250000</v>
      </c>
      <c r="F77" s="310">
        <v>12</v>
      </c>
      <c r="G77" s="310">
        <v>4250000</v>
      </c>
      <c r="H77" s="307">
        <v>3100000</v>
      </c>
      <c r="I77" s="310">
        <f t="shared" si="1"/>
        <v>1150000</v>
      </c>
    </row>
    <row r="78" spans="1:9">
      <c r="A78" t="s">
        <v>806</v>
      </c>
      <c r="B78" s="307"/>
      <c r="C78" s="307"/>
      <c r="D78" s="307"/>
      <c r="E78" s="307"/>
      <c r="F78" s="307"/>
      <c r="G78" s="307"/>
      <c r="H78" s="307"/>
      <c r="I78" s="310">
        <f t="shared" si="1"/>
        <v>0</v>
      </c>
    </row>
    <row r="79" spans="1:9">
      <c r="A79" t="s">
        <v>86</v>
      </c>
      <c r="B79" s="307" t="s">
        <v>807</v>
      </c>
      <c r="C79" s="307" t="s">
        <v>109</v>
      </c>
      <c r="D79" s="307" t="s">
        <v>49</v>
      </c>
      <c r="E79" s="310">
        <v>190000</v>
      </c>
      <c r="F79" s="310">
        <v>0</v>
      </c>
      <c r="G79" s="310">
        <v>0</v>
      </c>
      <c r="H79" s="307">
        <v>0</v>
      </c>
      <c r="I79" s="310">
        <f t="shared" si="1"/>
        <v>0</v>
      </c>
    </row>
    <row r="80" spans="1:9">
      <c r="A80" t="s">
        <v>87</v>
      </c>
      <c r="B80" s="307" t="s">
        <v>808</v>
      </c>
      <c r="C80" s="307" t="s">
        <v>110</v>
      </c>
      <c r="D80" s="307" t="s">
        <v>49</v>
      </c>
      <c r="E80" s="310">
        <v>285000</v>
      </c>
      <c r="F80" s="310">
        <v>30</v>
      </c>
      <c r="G80" s="310">
        <v>8550000</v>
      </c>
      <c r="H80" s="307">
        <v>4905000</v>
      </c>
      <c r="I80" s="310">
        <f t="shared" si="1"/>
        <v>3645000</v>
      </c>
    </row>
    <row r="81" spans="1:9">
      <c r="A81" t="s">
        <v>89</v>
      </c>
      <c r="B81" s="307" t="s">
        <v>809</v>
      </c>
      <c r="C81" s="307" t="s">
        <v>810</v>
      </c>
      <c r="D81" s="307" t="s">
        <v>49</v>
      </c>
      <c r="E81" s="310">
        <v>114000</v>
      </c>
      <c r="F81" s="310">
        <v>0</v>
      </c>
      <c r="G81" s="310">
        <v>0</v>
      </c>
      <c r="H81" s="307">
        <v>0</v>
      </c>
      <c r="I81" s="310">
        <f t="shared" si="1"/>
        <v>0</v>
      </c>
    </row>
    <row r="82" spans="1:9">
      <c r="A82" t="s">
        <v>92</v>
      </c>
      <c r="B82" s="307" t="s">
        <v>811</v>
      </c>
      <c r="C82" s="307" t="s">
        <v>812</v>
      </c>
      <c r="D82" s="307" t="s">
        <v>49</v>
      </c>
      <c r="E82" s="310">
        <v>171000</v>
      </c>
      <c r="F82" s="310">
        <v>0</v>
      </c>
      <c r="G82" s="310">
        <v>0</v>
      </c>
      <c r="H82" s="307">
        <v>0</v>
      </c>
      <c r="I82" s="310">
        <f t="shared" si="1"/>
        <v>0</v>
      </c>
    </row>
    <row r="83" spans="1:9">
      <c r="A83" t="s">
        <v>813</v>
      </c>
      <c r="B83" s="307"/>
      <c r="C83" s="307"/>
      <c r="D83" s="307"/>
      <c r="E83" s="307"/>
      <c r="F83" s="307"/>
      <c r="G83" s="307"/>
      <c r="H83" s="307"/>
      <c r="I83" s="310">
        <f t="shared" si="1"/>
        <v>0</v>
      </c>
    </row>
    <row r="84" spans="1:9">
      <c r="A84" t="s">
        <v>95</v>
      </c>
      <c r="B84" s="307" t="s">
        <v>814</v>
      </c>
      <c r="C84" s="307" t="s">
        <v>815</v>
      </c>
      <c r="D84" s="307" t="s">
        <v>49</v>
      </c>
      <c r="E84" s="310">
        <v>689000</v>
      </c>
      <c r="F84" s="310">
        <v>0</v>
      </c>
      <c r="G84" s="310">
        <v>0</v>
      </c>
      <c r="H84" s="307">
        <v>0</v>
      </c>
      <c r="I84" s="310">
        <f t="shared" si="1"/>
        <v>0</v>
      </c>
    </row>
    <row r="85" spans="1:9">
      <c r="A85" t="s">
        <v>97</v>
      </c>
      <c r="B85" s="307" t="s">
        <v>816</v>
      </c>
      <c r="C85" s="307" t="s">
        <v>817</v>
      </c>
      <c r="D85" s="307" t="s">
        <v>49</v>
      </c>
      <c r="E85" s="310">
        <v>757900</v>
      </c>
      <c r="F85" s="310">
        <v>0</v>
      </c>
      <c r="G85" s="310">
        <v>0</v>
      </c>
      <c r="H85" s="307">
        <v>0</v>
      </c>
      <c r="I85" s="310">
        <f t="shared" si="1"/>
        <v>0</v>
      </c>
    </row>
    <row r="86" spans="1:9">
      <c r="A86" t="s">
        <v>99</v>
      </c>
      <c r="B86" s="307" t="s">
        <v>818</v>
      </c>
      <c r="C86" s="307" t="s">
        <v>819</v>
      </c>
      <c r="D86" s="307" t="s">
        <v>49</v>
      </c>
      <c r="E86" s="310">
        <v>413400</v>
      </c>
      <c r="F86" s="310">
        <v>0</v>
      </c>
      <c r="G86" s="310">
        <v>0</v>
      </c>
      <c r="H86" s="307">
        <v>0</v>
      </c>
      <c r="I86" s="310">
        <f t="shared" si="1"/>
        <v>0</v>
      </c>
    </row>
    <row r="87" spans="1:9">
      <c r="A87" t="s">
        <v>101</v>
      </c>
      <c r="B87" s="307" t="s">
        <v>820</v>
      </c>
      <c r="C87" s="307" t="s">
        <v>821</v>
      </c>
      <c r="D87" s="307" t="s">
        <v>49</v>
      </c>
      <c r="E87" s="310">
        <v>454740</v>
      </c>
      <c r="F87" s="310">
        <v>0</v>
      </c>
      <c r="G87" s="310">
        <v>0</v>
      </c>
      <c r="H87" s="307">
        <v>0</v>
      </c>
      <c r="I87" s="310">
        <f t="shared" si="1"/>
        <v>0</v>
      </c>
    </row>
    <row r="88" spans="1:9">
      <c r="A88" t="s">
        <v>103</v>
      </c>
      <c r="B88" s="307" t="s">
        <v>822</v>
      </c>
      <c r="C88" s="307" t="s">
        <v>823</v>
      </c>
      <c r="D88" s="307" t="s">
        <v>49</v>
      </c>
      <c r="E88" s="310">
        <v>689000</v>
      </c>
      <c r="F88" s="310">
        <v>0</v>
      </c>
      <c r="G88" s="310">
        <v>0</v>
      </c>
      <c r="H88" s="307">
        <v>0</v>
      </c>
      <c r="I88" s="310">
        <f t="shared" si="1"/>
        <v>0</v>
      </c>
    </row>
    <row r="89" spans="1:9">
      <c r="A89" t="s">
        <v>105</v>
      </c>
      <c r="B89" s="307" t="s">
        <v>824</v>
      </c>
      <c r="C89" s="307" t="s">
        <v>825</v>
      </c>
      <c r="D89" s="307" t="s">
        <v>49</v>
      </c>
      <c r="E89" s="310">
        <v>757900</v>
      </c>
      <c r="F89" s="310">
        <v>0</v>
      </c>
      <c r="G89" s="310">
        <v>0</v>
      </c>
      <c r="H89" s="307">
        <v>0</v>
      </c>
      <c r="I89" s="310">
        <f t="shared" si="1"/>
        <v>0</v>
      </c>
    </row>
    <row r="90" spans="1:9">
      <c r="A90" t="s">
        <v>826</v>
      </c>
      <c r="B90" s="307" t="s">
        <v>827</v>
      </c>
      <c r="C90" s="307" t="s">
        <v>828</v>
      </c>
      <c r="D90" s="307" t="s">
        <v>49</v>
      </c>
      <c r="E90" s="310">
        <v>413400</v>
      </c>
      <c r="F90" s="310">
        <v>0</v>
      </c>
      <c r="G90" s="310">
        <v>0</v>
      </c>
      <c r="H90" s="307">
        <v>0</v>
      </c>
      <c r="I90" s="310">
        <f t="shared" si="1"/>
        <v>0</v>
      </c>
    </row>
    <row r="91" spans="1:9">
      <c r="A91" t="s">
        <v>829</v>
      </c>
      <c r="B91" s="307" t="s">
        <v>830</v>
      </c>
      <c r="C91" s="307" t="s">
        <v>831</v>
      </c>
      <c r="D91" s="307" t="s">
        <v>49</v>
      </c>
      <c r="E91" s="310">
        <v>454740</v>
      </c>
      <c r="F91" s="310">
        <v>0</v>
      </c>
      <c r="G91" s="310">
        <v>0</v>
      </c>
      <c r="H91" s="307">
        <v>0</v>
      </c>
      <c r="I91" s="310">
        <f t="shared" si="1"/>
        <v>0</v>
      </c>
    </row>
    <row r="92" spans="1:9">
      <c r="A92" t="s">
        <v>832</v>
      </c>
      <c r="B92" s="307"/>
      <c r="C92" s="307"/>
      <c r="D92" s="307"/>
      <c r="E92" s="307"/>
      <c r="F92" s="307"/>
      <c r="G92" s="307"/>
      <c r="H92" s="307"/>
      <c r="I92" s="310">
        <f t="shared" si="1"/>
        <v>0</v>
      </c>
    </row>
    <row r="93" spans="1:9">
      <c r="A93" t="s">
        <v>833</v>
      </c>
      <c r="B93" s="307" t="s">
        <v>834</v>
      </c>
      <c r="C93" s="307" t="s">
        <v>835</v>
      </c>
      <c r="D93" s="307" t="s">
        <v>49</v>
      </c>
      <c r="E93" s="310">
        <v>359000</v>
      </c>
      <c r="F93" s="310">
        <v>0</v>
      </c>
      <c r="G93" s="310">
        <v>0</v>
      </c>
      <c r="H93" s="307">
        <v>0</v>
      </c>
      <c r="I93" s="310">
        <f t="shared" si="1"/>
        <v>0</v>
      </c>
    </row>
    <row r="94" spans="1:9">
      <c r="A94" t="s">
        <v>836</v>
      </c>
      <c r="B94" s="307" t="s">
        <v>837</v>
      </c>
      <c r="C94" s="307" t="s">
        <v>838</v>
      </c>
      <c r="D94" s="307" t="s">
        <v>49</v>
      </c>
      <c r="E94" s="310">
        <v>430800</v>
      </c>
      <c r="F94" s="310">
        <v>0</v>
      </c>
      <c r="G94" s="310">
        <v>0</v>
      </c>
      <c r="H94" s="307">
        <v>0</v>
      </c>
      <c r="I94" s="310">
        <f t="shared" si="1"/>
        <v>0</v>
      </c>
    </row>
    <row r="95" spans="1:9">
      <c r="A95" t="s">
        <v>839</v>
      </c>
      <c r="B95" s="307" t="s">
        <v>840</v>
      </c>
      <c r="C95" s="307" t="s">
        <v>841</v>
      </c>
      <c r="D95" s="307" t="s">
        <v>49</v>
      </c>
      <c r="E95" s="310">
        <v>215400</v>
      </c>
      <c r="F95" s="310">
        <v>0</v>
      </c>
      <c r="G95" s="310">
        <v>0</v>
      </c>
      <c r="H95" s="307">
        <v>0</v>
      </c>
      <c r="I95" s="310">
        <f t="shared" si="1"/>
        <v>0</v>
      </c>
    </row>
    <row r="96" spans="1:9">
      <c r="A96" t="s">
        <v>842</v>
      </c>
      <c r="B96" s="307" t="s">
        <v>843</v>
      </c>
      <c r="C96" s="307" t="s">
        <v>844</v>
      </c>
      <c r="D96" s="307" t="s">
        <v>49</v>
      </c>
      <c r="E96" s="310">
        <v>258480</v>
      </c>
      <c r="F96" s="310">
        <v>0</v>
      </c>
      <c r="G96" s="310">
        <v>0</v>
      </c>
      <c r="H96" s="307">
        <v>0</v>
      </c>
      <c r="I96" s="310">
        <f t="shared" si="1"/>
        <v>0</v>
      </c>
    </row>
    <row r="97" spans="1:9">
      <c r="A97" t="s">
        <v>845</v>
      </c>
      <c r="B97" s="307" t="s">
        <v>846</v>
      </c>
      <c r="C97" s="307" t="s">
        <v>847</v>
      </c>
      <c r="D97" s="307" t="s">
        <v>49</v>
      </c>
      <c r="E97" s="310">
        <v>359000</v>
      </c>
      <c r="F97" s="310">
        <v>0</v>
      </c>
      <c r="G97" s="310">
        <v>0</v>
      </c>
      <c r="H97" s="307">
        <v>0</v>
      </c>
      <c r="I97" s="310">
        <f t="shared" si="1"/>
        <v>0</v>
      </c>
    </row>
    <row r="98" spans="1:9">
      <c r="A98" t="s">
        <v>848</v>
      </c>
      <c r="B98" s="307" t="s">
        <v>849</v>
      </c>
      <c r="C98" s="307" t="s">
        <v>850</v>
      </c>
      <c r="D98" s="307" t="s">
        <v>49</v>
      </c>
      <c r="E98" s="310">
        <v>430800</v>
      </c>
      <c r="F98" s="310">
        <v>0</v>
      </c>
      <c r="G98" s="310">
        <v>0</v>
      </c>
      <c r="H98" s="307">
        <v>0</v>
      </c>
      <c r="I98" s="310">
        <f t="shared" si="1"/>
        <v>0</v>
      </c>
    </row>
    <row r="99" spans="1:9">
      <c r="A99" t="s">
        <v>851</v>
      </c>
      <c r="B99" s="307" t="s">
        <v>852</v>
      </c>
      <c r="C99" s="307" t="s">
        <v>853</v>
      </c>
      <c r="D99" s="307" t="s">
        <v>49</v>
      </c>
      <c r="E99" s="310">
        <v>215400</v>
      </c>
      <c r="F99" s="310">
        <v>0</v>
      </c>
      <c r="G99" s="310">
        <v>0</v>
      </c>
      <c r="H99" s="307">
        <v>0</v>
      </c>
      <c r="I99" s="310">
        <f t="shared" si="1"/>
        <v>0</v>
      </c>
    </row>
    <row r="100" spans="1:9">
      <c r="A100" t="s">
        <v>854</v>
      </c>
      <c r="B100" s="307" t="s">
        <v>855</v>
      </c>
      <c r="C100" s="307" t="s">
        <v>856</v>
      </c>
      <c r="D100" s="307" t="s">
        <v>49</v>
      </c>
      <c r="E100" s="310">
        <v>258480</v>
      </c>
      <c r="F100" s="310">
        <v>0</v>
      </c>
      <c r="G100" s="310">
        <v>0</v>
      </c>
      <c r="H100" s="307">
        <v>0</v>
      </c>
      <c r="I100" s="310">
        <f t="shared" si="1"/>
        <v>0</v>
      </c>
    </row>
    <row r="101" spans="1:9">
      <c r="A101" t="s">
        <v>857</v>
      </c>
      <c r="B101" s="307"/>
      <c r="C101" s="307"/>
      <c r="D101" s="307"/>
      <c r="E101" s="307"/>
      <c r="F101" s="307"/>
      <c r="G101" s="307"/>
      <c r="H101" s="307"/>
      <c r="I101" s="310">
        <f t="shared" si="1"/>
        <v>0</v>
      </c>
    </row>
    <row r="102" spans="1:9">
      <c r="A102" t="s">
        <v>858</v>
      </c>
      <c r="B102" s="307" t="s">
        <v>859</v>
      </c>
      <c r="C102" s="307" t="s">
        <v>860</v>
      </c>
      <c r="D102" s="307" t="s">
        <v>49</v>
      </c>
      <c r="E102" s="310">
        <v>239100</v>
      </c>
      <c r="F102" s="310">
        <v>0</v>
      </c>
      <c r="G102" s="310">
        <v>0</v>
      </c>
      <c r="H102" s="307">
        <v>0</v>
      </c>
      <c r="I102" s="310">
        <f t="shared" si="1"/>
        <v>0</v>
      </c>
    </row>
    <row r="103" spans="1:9">
      <c r="A103" t="s">
        <v>861</v>
      </c>
      <c r="B103" s="307" t="s">
        <v>862</v>
      </c>
      <c r="C103" s="307" t="s">
        <v>863</v>
      </c>
      <c r="D103" s="307" t="s">
        <v>49</v>
      </c>
      <c r="E103" s="310">
        <v>286920</v>
      </c>
      <c r="F103" s="310">
        <v>0</v>
      </c>
      <c r="G103" s="310">
        <v>0</v>
      </c>
      <c r="H103" s="307">
        <v>0</v>
      </c>
      <c r="I103" s="310">
        <f t="shared" si="1"/>
        <v>0</v>
      </c>
    </row>
    <row r="104" spans="1:9">
      <c r="A104" t="s">
        <v>864</v>
      </c>
      <c r="B104" s="307"/>
      <c r="C104" s="307"/>
      <c r="D104" s="307"/>
      <c r="E104" s="307"/>
      <c r="F104" s="307"/>
      <c r="G104" s="307"/>
      <c r="H104" s="307"/>
      <c r="I104" s="310">
        <f t="shared" si="1"/>
        <v>0</v>
      </c>
    </row>
    <row r="105" spans="1:9">
      <c r="A105" t="s">
        <v>865</v>
      </c>
      <c r="B105" s="307" t="s">
        <v>866</v>
      </c>
      <c r="C105" s="307" t="s">
        <v>867</v>
      </c>
      <c r="D105" s="307" t="s">
        <v>49</v>
      </c>
      <c r="E105" s="310">
        <v>700000</v>
      </c>
      <c r="F105" s="310">
        <v>0</v>
      </c>
      <c r="G105" s="310">
        <v>0</v>
      </c>
      <c r="H105" s="307">
        <v>0</v>
      </c>
      <c r="I105" s="310">
        <f t="shared" si="1"/>
        <v>0</v>
      </c>
    </row>
    <row r="106" spans="1:9">
      <c r="A106" t="s">
        <v>868</v>
      </c>
      <c r="B106" s="307" t="s">
        <v>869</v>
      </c>
      <c r="C106" s="307" t="s">
        <v>870</v>
      </c>
      <c r="D106" s="307" t="s">
        <v>49</v>
      </c>
      <c r="E106" s="310">
        <v>910000</v>
      </c>
      <c r="F106" s="310">
        <v>0</v>
      </c>
      <c r="G106" s="310">
        <v>0</v>
      </c>
      <c r="H106" s="307">
        <v>0</v>
      </c>
      <c r="I106" s="310">
        <f t="shared" si="1"/>
        <v>0</v>
      </c>
    </row>
    <row r="107" spans="1:9">
      <c r="A107" t="s">
        <v>871</v>
      </c>
      <c r="B107" s="307" t="s">
        <v>872</v>
      </c>
      <c r="C107" s="307" t="s">
        <v>873</v>
      </c>
      <c r="D107" s="307" t="s">
        <v>49</v>
      </c>
      <c r="E107" s="310">
        <v>350000</v>
      </c>
      <c r="F107" s="310">
        <v>0</v>
      </c>
      <c r="G107" s="310">
        <v>0</v>
      </c>
      <c r="H107" s="307"/>
      <c r="I107" s="310">
        <f t="shared" si="1"/>
        <v>0</v>
      </c>
    </row>
    <row r="108" spans="1:9">
      <c r="A108" t="s">
        <v>874</v>
      </c>
      <c r="B108" s="307"/>
      <c r="C108" s="307"/>
      <c r="D108" s="307"/>
      <c r="E108" s="307"/>
      <c r="F108" s="307"/>
      <c r="G108" s="307"/>
      <c r="H108" s="307"/>
      <c r="I108" s="310">
        <f t="shared" si="1"/>
        <v>0</v>
      </c>
    </row>
    <row r="109" spans="1:9">
      <c r="A109" t="s">
        <v>875</v>
      </c>
      <c r="B109" s="307" t="s">
        <v>876</v>
      </c>
      <c r="C109" s="307" t="s">
        <v>877</v>
      </c>
      <c r="D109" s="307" t="s">
        <v>878</v>
      </c>
      <c r="E109" s="310">
        <v>569350</v>
      </c>
      <c r="F109" s="310">
        <v>0</v>
      </c>
      <c r="G109" s="310">
        <v>0</v>
      </c>
      <c r="H109" s="307">
        <v>0</v>
      </c>
      <c r="I109" s="310">
        <f t="shared" si="1"/>
        <v>0</v>
      </c>
    </row>
    <row r="110" spans="1:9">
      <c r="A110" t="s">
        <v>879</v>
      </c>
      <c r="B110" s="307" t="s">
        <v>880</v>
      </c>
      <c r="C110" s="307" t="s">
        <v>881</v>
      </c>
      <c r="D110" s="307" t="s">
        <v>878</v>
      </c>
      <c r="E110" s="310">
        <v>626285</v>
      </c>
      <c r="F110" s="310">
        <v>0</v>
      </c>
      <c r="G110" s="310">
        <v>0</v>
      </c>
      <c r="H110" s="307">
        <v>0</v>
      </c>
      <c r="I110" s="310">
        <f t="shared" si="1"/>
        <v>0</v>
      </c>
    </row>
    <row r="111" spans="1:9">
      <c r="A111" t="s">
        <v>882</v>
      </c>
      <c r="B111" s="307" t="s">
        <v>883</v>
      </c>
      <c r="C111" s="307" t="s">
        <v>884</v>
      </c>
      <c r="D111" s="307" t="s">
        <v>878</v>
      </c>
      <c r="E111" s="310">
        <v>284675</v>
      </c>
      <c r="F111" s="310">
        <v>0</v>
      </c>
      <c r="G111" s="310">
        <v>0</v>
      </c>
      <c r="H111" s="307">
        <v>0</v>
      </c>
      <c r="I111" s="310">
        <f t="shared" si="1"/>
        <v>0</v>
      </c>
    </row>
    <row r="112" spans="1:9">
      <c r="A112" t="s">
        <v>885</v>
      </c>
      <c r="B112" s="307"/>
      <c r="C112" s="307"/>
      <c r="D112" s="307"/>
      <c r="E112" s="307"/>
      <c r="F112" s="307"/>
      <c r="G112" s="307"/>
      <c r="H112" s="307"/>
      <c r="I112" s="310">
        <f t="shared" si="1"/>
        <v>0</v>
      </c>
    </row>
    <row r="113" spans="1:9">
      <c r="A113" t="s">
        <v>886</v>
      </c>
      <c r="B113" s="307" t="s">
        <v>887</v>
      </c>
      <c r="C113" s="307" t="s">
        <v>888</v>
      </c>
      <c r="D113" s="307" t="s">
        <v>108</v>
      </c>
      <c r="E113" s="310">
        <v>3000000</v>
      </c>
      <c r="F113" s="310">
        <v>0</v>
      </c>
      <c r="G113" s="310">
        <v>0</v>
      </c>
      <c r="H113" s="307">
        <v>0</v>
      </c>
      <c r="I113" s="310">
        <f t="shared" si="1"/>
        <v>0</v>
      </c>
    </row>
    <row r="114" spans="1:9">
      <c r="A114" t="s">
        <v>889</v>
      </c>
      <c r="B114" s="307" t="s">
        <v>890</v>
      </c>
      <c r="C114" s="307" t="s">
        <v>891</v>
      </c>
      <c r="D114" s="307" t="s">
        <v>892</v>
      </c>
      <c r="E114" s="310">
        <v>2500</v>
      </c>
      <c r="F114" s="310">
        <v>0</v>
      </c>
      <c r="G114" s="310">
        <v>0</v>
      </c>
      <c r="H114" s="307">
        <v>0</v>
      </c>
      <c r="I114" s="310">
        <f t="shared" si="1"/>
        <v>0</v>
      </c>
    </row>
    <row r="115" spans="1:9">
      <c r="A115" t="s">
        <v>893</v>
      </c>
      <c r="B115" s="307"/>
      <c r="C115" s="307"/>
      <c r="D115" s="307"/>
      <c r="E115" s="307"/>
      <c r="F115" s="307"/>
      <c r="G115" s="307"/>
      <c r="H115" s="307"/>
      <c r="I115" s="310">
        <f t="shared" si="1"/>
        <v>0</v>
      </c>
    </row>
    <row r="116" spans="1:9">
      <c r="A116" t="s">
        <v>894</v>
      </c>
      <c r="B116" s="307" t="s">
        <v>895</v>
      </c>
      <c r="C116" s="307" t="s">
        <v>896</v>
      </c>
      <c r="D116" s="307" t="s">
        <v>108</v>
      </c>
      <c r="E116" s="310">
        <v>2000000</v>
      </c>
      <c r="F116" s="310">
        <v>0</v>
      </c>
      <c r="G116" s="310">
        <v>0</v>
      </c>
      <c r="H116" s="307">
        <v>0</v>
      </c>
      <c r="I116" s="310">
        <f t="shared" si="1"/>
        <v>0</v>
      </c>
    </row>
    <row r="117" spans="1:9">
      <c r="A117" t="s">
        <v>897</v>
      </c>
      <c r="B117" s="307" t="s">
        <v>898</v>
      </c>
      <c r="C117" s="307" t="s">
        <v>899</v>
      </c>
      <c r="D117" s="307" t="s">
        <v>892</v>
      </c>
      <c r="E117" s="310">
        <v>196000</v>
      </c>
      <c r="F117" s="310">
        <v>0</v>
      </c>
      <c r="G117" s="310">
        <v>0</v>
      </c>
      <c r="H117" s="307">
        <v>0</v>
      </c>
      <c r="I117" s="310">
        <f t="shared" si="1"/>
        <v>0</v>
      </c>
    </row>
    <row r="118" spans="1:9">
      <c r="A118" t="s">
        <v>900</v>
      </c>
      <c r="B118" s="307" t="s">
        <v>901</v>
      </c>
      <c r="C118" s="307" t="s">
        <v>902</v>
      </c>
      <c r="D118" s="307" t="s">
        <v>108</v>
      </c>
      <c r="E118" s="310">
        <v>2000000</v>
      </c>
      <c r="F118" s="310">
        <v>0</v>
      </c>
      <c r="G118" s="310">
        <v>0</v>
      </c>
      <c r="H118" s="307">
        <v>0</v>
      </c>
      <c r="I118" s="310">
        <f t="shared" si="1"/>
        <v>0</v>
      </c>
    </row>
    <row r="119" spans="1:9">
      <c r="A119" t="s">
        <v>903</v>
      </c>
      <c r="B119" s="307" t="s">
        <v>904</v>
      </c>
      <c r="C119" s="307" t="s">
        <v>905</v>
      </c>
      <c r="D119" s="307" t="s">
        <v>892</v>
      </c>
      <c r="E119" s="310">
        <v>196000</v>
      </c>
      <c r="F119" s="310">
        <v>0</v>
      </c>
      <c r="G119" s="310">
        <v>0</v>
      </c>
      <c r="H119" s="307">
        <v>0</v>
      </c>
      <c r="I119" s="310">
        <f t="shared" si="1"/>
        <v>0</v>
      </c>
    </row>
    <row r="120" spans="1:9">
      <c r="A120" t="s">
        <v>906</v>
      </c>
      <c r="B120" s="307"/>
      <c r="C120" s="307"/>
      <c r="D120" s="307"/>
      <c r="E120" s="307"/>
      <c r="F120" s="307"/>
      <c r="G120" s="307"/>
      <c r="H120" s="307"/>
      <c r="I120" s="310">
        <f t="shared" si="1"/>
        <v>0</v>
      </c>
    </row>
    <row r="121" spans="1:9">
      <c r="A121" t="s">
        <v>907</v>
      </c>
      <c r="B121" s="307" t="s">
        <v>908</v>
      </c>
      <c r="C121" s="307" t="s">
        <v>909</v>
      </c>
      <c r="D121" s="307" t="s">
        <v>17</v>
      </c>
      <c r="E121" s="310">
        <v>0</v>
      </c>
      <c r="F121" s="310">
        <v>0</v>
      </c>
      <c r="G121" s="4">
        <v>18430667</v>
      </c>
      <c r="H121" s="307">
        <v>17951820</v>
      </c>
      <c r="I121" s="310">
        <f t="shared" si="1"/>
        <v>478847</v>
      </c>
    </row>
    <row r="122" spans="1:9">
      <c r="A122" t="s">
        <v>910</v>
      </c>
      <c r="B122" s="307"/>
      <c r="C122" s="307"/>
      <c r="D122" s="307"/>
      <c r="E122" s="307"/>
      <c r="F122" s="307"/>
      <c r="G122" s="307"/>
      <c r="H122" s="307"/>
      <c r="I122" s="310">
        <f t="shared" si="1"/>
        <v>0</v>
      </c>
    </row>
    <row r="123" spans="1:9">
      <c r="A123" t="s">
        <v>911</v>
      </c>
      <c r="B123" s="307" t="s">
        <v>912</v>
      </c>
      <c r="C123" s="307" t="s">
        <v>131</v>
      </c>
      <c r="D123" s="307" t="s">
        <v>49</v>
      </c>
      <c r="E123" s="310">
        <v>4419000</v>
      </c>
      <c r="F123" s="314">
        <v>4</v>
      </c>
      <c r="G123" s="4">
        <v>17676000</v>
      </c>
      <c r="H123" s="307">
        <v>13257000</v>
      </c>
      <c r="I123" s="310">
        <f t="shared" si="1"/>
        <v>4419000</v>
      </c>
    </row>
    <row r="124" spans="1:9">
      <c r="A124" t="s">
        <v>913</v>
      </c>
      <c r="B124" s="307" t="s">
        <v>914</v>
      </c>
      <c r="C124" s="307" t="s">
        <v>133</v>
      </c>
      <c r="D124" s="307" t="s">
        <v>49</v>
      </c>
      <c r="E124" s="310">
        <v>2993000</v>
      </c>
      <c r="F124" s="314">
        <v>15.5</v>
      </c>
      <c r="G124" s="4">
        <v>46391500</v>
      </c>
      <c r="H124" s="307">
        <v>46990100</v>
      </c>
      <c r="I124" s="310">
        <f t="shared" si="1"/>
        <v>-598600</v>
      </c>
    </row>
    <row r="125" spans="1:9">
      <c r="A125" t="s">
        <v>915</v>
      </c>
      <c r="B125" s="307" t="s">
        <v>916</v>
      </c>
      <c r="C125" s="307" t="s">
        <v>134</v>
      </c>
      <c r="D125" s="307" t="s">
        <v>16</v>
      </c>
      <c r="E125" s="310">
        <v>0</v>
      </c>
      <c r="F125" s="310">
        <v>0</v>
      </c>
      <c r="G125" s="4">
        <v>46233000</v>
      </c>
      <c r="H125" s="307">
        <v>50103000</v>
      </c>
      <c r="I125" s="310">
        <f t="shared" si="1"/>
        <v>-3870000</v>
      </c>
    </row>
    <row r="126" spans="1:9">
      <c r="A126" t="s">
        <v>917</v>
      </c>
      <c r="B126" s="307"/>
      <c r="C126" s="307"/>
      <c r="D126" s="307"/>
      <c r="E126" s="307"/>
      <c r="F126" s="307"/>
      <c r="G126" s="308"/>
      <c r="H126" s="307"/>
      <c r="I126" s="310">
        <f t="shared" si="1"/>
        <v>0</v>
      </c>
    </row>
    <row r="127" spans="1:9">
      <c r="A127" t="s">
        <v>918</v>
      </c>
      <c r="B127" s="307" t="s">
        <v>919</v>
      </c>
      <c r="C127" s="307" t="s">
        <v>920</v>
      </c>
      <c r="D127" s="307" t="s">
        <v>49</v>
      </c>
      <c r="E127" s="310">
        <v>3858040</v>
      </c>
      <c r="F127" s="315">
        <v>0</v>
      </c>
      <c r="G127" s="4">
        <v>0</v>
      </c>
      <c r="H127" s="307">
        <v>0</v>
      </c>
      <c r="I127" s="310">
        <f t="shared" si="1"/>
        <v>0</v>
      </c>
    </row>
    <row r="128" spans="1:9">
      <c r="A128" t="s">
        <v>921</v>
      </c>
      <c r="B128" s="307" t="s">
        <v>922</v>
      </c>
      <c r="C128" s="307" t="s">
        <v>923</v>
      </c>
      <c r="D128" s="307" t="s">
        <v>16</v>
      </c>
      <c r="E128" s="310">
        <v>0</v>
      </c>
      <c r="F128" s="310">
        <v>0</v>
      </c>
      <c r="G128" s="4">
        <v>0</v>
      </c>
      <c r="H128" s="307">
        <v>0</v>
      </c>
      <c r="I128" s="310">
        <f t="shared" si="1"/>
        <v>0</v>
      </c>
    </row>
    <row r="129" spans="1:9">
      <c r="A129" t="s">
        <v>111</v>
      </c>
      <c r="B129" s="307"/>
      <c r="C129" s="307"/>
      <c r="D129" s="307"/>
      <c r="E129" s="307"/>
      <c r="F129" s="307"/>
      <c r="G129" s="308"/>
      <c r="H129" s="307"/>
      <c r="I129" s="310">
        <f t="shared" si="1"/>
        <v>0</v>
      </c>
    </row>
    <row r="130" spans="1:9">
      <c r="A130" t="s">
        <v>924</v>
      </c>
      <c r="B130" s="307" t="s">
        <v>925</v>
      </c>
      <c r="C130" s="307" t="s">
        <v>112</v>
      </c>
      <c r="D130" s="307" t="s">
        <v>49</v>
      </c>
      <c r="E130" s="310">
        <v>2200000</v>
      </c>
      <c r="F130" s="315">
        <v>23.24</v>
      </c>
      <c r="G130" s="4">
        <v>51128000</v>
      </c>
      <c r="H130" s="307">
        <v>43567000</v>
      </c>
      <c r="I130" s="310">
        <f t="shared" si="1"/>
        <v>7561000</v>
      </c>
    </row>
    <row r="131" spans="1:9">
      <c r="A131" t="s">
        <v>926</v>
      </c>
      <c r="B131" s="307" t="s">
        <v>927</v>
      </c>
      <c r="C131" s="307" t="s">
        <v>113</v>
      </c>
      <c r="D131" s="307" t="s">
        <v>16</v>
      </c>
      <c r="E131" s="310">
        <v>0</v>
      </c>
      <c r="F131" s="310">
        <v>0</v>
      </c>
      <c r="G131" s="4">
        <v>114912371</v>
      </c>
      <c r="H131" s="307">
        <v>81580729</v>
      </c>
      <c r="I131" s="310">
        <f t="shared" si="1"/>
        <v>33331642</v>
      </c>
    </row>
    <row r="132" spans="1:9">
      <c r="A132" t="s">
        <v>928</v>
      </c>
      <c r="B132" s="307" t="s">
        <v>929</v>
      </c>
      <c r="C132" s="307" t="s">
        <v>114</v>
      </c>
      <c r="D132" s="307" t="s">
        <v>16</v>
      </c>
      <c r="E132" s="310">
        <v>570</v>
      </c>
      <c r="F132" s="310">
        <v>3255</v>
      </c>
      <c r="G132" s="4">
        <v>1855350</v>
      </c>
      <c r="H132" s="307">
        <v>1093260</v>
      </c>
      <c r="I132" s="310">
        <f t="shared" si="1"/>
        <v>762090</v>
      </c>
    </row>
    <row r="133" spans="1:9" s="311" customFormat="1">
      <c r="A133" s="311" t="s">
        <v>930</v>
      </c>
      <c r="B133" s="312" t="s">
        <v>115</v>
      </c>
      <c r="C133" s="312" t="s">
        <v>931</v>
      </c>
      <c r="D133" s="312" t="s">
        <v>16</v>
      </c>
      <c r="E133" s="313">
        <v>0</v>
      </c>
      <c r="F133" s="313">
        <v>0</v>
      </c>
      <c r="G133" s="313">
        <v>413052831</v>
      </c>
      <c r="H133" s="312">
        <v>362479535</v>
      </c>
      <c r="I133" s="313">
        <f t="shared" ref="I133:I140" si="2">G133-H133</f>
        <v>50573296</v>
      </c>
    </row>
    <row r="134" spans="1:9">
      <c r="A134" t="s">
        <v>932</v>
      </c>
      <c r="B134" s="307"/>
      <c r="C134" s="307"/>
      <c r="D134" s="307"/>
      <c r="E134" s="307"/>
      <c r="F134" s="307"/>
      <c r="G134" s="307"/>
      <c r="H134" s="307"/>
      <c r="I134" s="310">
        <f t="shared" si="2"/>
        <v>0</v>
      </c>
    </row>
    <row r="135" spans="1:9">
      <c r="A135" t="s">
        <v>933</v>
      </c>
      <c r="B135" s="307" t="s">
        <v>934</v>
      </c>
      <c r="C135" s="307" t="s">
        <v>935</v>
      </c>
      <c r="D135" s="307" t="s">
        <v>16</v>
      </c>
      <c r="E135" s="310">
        <v>459</v>
      </c>
      <c r="F135" s="307" t="s">
        <v>17</v>
      </c>
      <c r="G135" s="310">
        <v>0</v>
      </c>
      <c r="H135" s="307">
        <v>0</v>
      </c>
      <c r="I135" s="310">
        <f t="shared" si="2"/>
        <v>0</v>
      </c>
    </row>
    <row r="136" spans="1:9">
      <c r="A136" t="s">
        <v>127</v>
      </c>
      <c r="B136" s="307" t="s">
        <v>936</v>
      </c>
      <c r="C136" s="307" t="s">
        <v>116</v>
      </c>
      <c r="D136" s="307" t="s">
        <v>16</v>
      </c>
      <c r="E136" s="310">
        <v>1210</v>
      </c>
      <c r="F136" s="307" t="s">
        <v>17</v>
      </c>
      <c r="G136" s="310">
        <f>13160520+9829000</f>
        <v>22989520</v>
      </c>
      <c r="H136" s="307">
        <v>12574320</v>
      </c>
      <c r="I136" s="310">
        <f t="shared" si="2"/>
        <v>10415200</v>
      </c>
    </row>
    <row r="137" spans="1:9">
      <c r="A137" t="s">
        <v>128</v>
      </c>
      <c r="B137" s="307" t="s">
        <v>937</v>
      </c>
      <c r="C137" s="307" t="s">
        <v>938</v>
      </c>
      <c r="D137" s="307" t="s">
        <v>16</v>
      </c>
      <c r="E137" s="310">
        <v>692200000</v>
      </c>
      <c r="F137" s="307" t="s">
        <v>17</v>
      </c>
      <c r="G137" s="310">
        <v>0</v>
      </c>
      <c r="H137" s="307">
        <v>0</v>
      </c>
      <c r="I137" s="310">
        <f t="shared" si="2"/>
        <v>0</v>
      </c>
    </row>
    <row r="138" spans="1:9">
      <c r="A138" t="s">
        <v>129</v>
      </c>
      <c r="B138" s="307" t="s">
        <v>939</v>
      </c>
      <c r="C138" s="307" t="s">
        <v>940</v>
      </c>
      <c r="D138" s="307" t="s">
        <v>16</v>
      </c>
      <c r="E138" s="310">
        <v>407</v>
      </c>
      <c r="F138" s="307" t="s">
        <v>17</v>
      </c>
      <c r="G138" s="310">
        <v>0</v>
      </c>
      <c r="H138" s="307">
        <v>0</v>
      </c>
      <c r="I138" s="310">
        <f t="shared" si="2"/>
        <v>0</v>
      </c>
    </row>
    <row r="139" spans="1:9">
      <c r="A139" t="s">
        <v>130</v>
      </c>
      <c r="B139" s="307" t="s">
        <v>941</v>
      </c>
      <c r="C139" s="307" t="s">
        <v>942</v>
      </c>
      <c r="D139" s="307" t="s">
        <v>16</v>
      </c>
      <c r="E139" s="310">
        <v>0</v>
      </c>
      <c r="F139" s="307" t="s">
        <v>17</v>
      </c>
      <c r="G139" s="310">
        <v>0</v>
      </c>
      <c r="H139" s="307">
        <v>0</v>
      </c>
      <c r="I139" s="310">
        <f t="shared" si="2"/>
        <v>0</v>
      </c>
    </row>
    <row r="140" spans="1:9" s="311" customFormat="1">
      <c r="A140" s="311" t="s">
        <v>132</v>
      </c>
      <c r="B140" s="312" t="s">
        <v>117</v>
      </c>
      <c r="C140" s="316" t="s">
        <v>118</v>
      </c>
      <c r="D140" s="312" t="s">
        <v>16</v>
      </c>
      <c r="E140" s="312" t="s">
        <v>17</v>
      </c>
      <c r="F140" s="312" t="s">
        <v>17</v>
      </c>
      <c r="G140" s="313">
        <f>G136</f>
        <v>22989520</v>
      </c>
      <c r="H140" s="312">
        <v>22366320</v>
      </c>
      <c r="I140" s="313">
        <f t="shared" si="2"/>
        <v>623200</v>
      </c>
    </row>
    <row r="141" spans="1:9">
      <c r="A141" s="317" t="s">
        <v>943</v>
      </c>
      <c r="B141" s="309" t="s">
        <v>943</v>
      </c>
      <c r="C141" s="307"/>
      <c r="D141" s="307"/>
      <c r="E141" s="307"/>
      <c r="F141" s="307"/>
      <c r="G141" s="4">
        <f>G30+G67++G140+G133</f>
        <v>975037632</v>
      </c>
      <c r="H141" s="4">
        <v>872915322</v>
      </c>
      <c r="I141" s="307"/>
    </row>
  </sheetData>
  <mergeCells count="1">
    <mergeCell ref="C1:E1"/>
  </mergeCells>
  <pageMargins left="0.19685039370078741" right="0.11811023622047245" top="0.35433070866141736" bottom="0.55118110236220474" header="0.31496062992125984" footer="0.31496062992125984"/>
  <pageSetup paperSize="9" scale="88" fitToHeight="0" orientation="landscape" r:id="rId1"/>
  <headerFooter>
    <oddHeader>&amp;RRáckeve Város 2020 évi költségvetés melléklete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C61"/>
  <sheetViews>
    <sheetView topLeftCell="A8" workbookViewId="0">
      <selection activeCell="H163" sqref="H163"/>
    </sheetView>
  </sheetViews>
  <sheetFormatPr defaultRowHeight="12.75"/>
  <cols>
    <col min="1" max="1" width="4.85546875" style="12" customWidth="1"/>
    <col min="2" max="2" width="36.5703125" style="12" customWidth="1"/>
    <col min="3" max="3" width="13" style="12" customWidth="1"/>
    <col min="4" max="16384" width="9.140625" style="12"/>
  </cols>
  <sheetData>
    <row r="2" spans="2:3">
      <c r="B2" s="10"/>
    </row>
    <row r="3" spans="2:3" ht="22.5" customHeight="1">
      <c r="B3" s="497" t="s">
        <v>1077</v>
      </c>
      <c r="C3" s="497"/>
    </row>
    <row r="4" spans="2:3">
      <c r="B4" s="13"/>
      <c r="C4" s="13"/>
    </row>
    <row r="5" spans="2:3" ht="13.5" thickBot="1">
      <c r="C5" s="11"/>
    </row>
    <row r="6" spans="2:3" ht="18.75" customHeight="1" thickBot="1">
      <c r="B6" s="1235" t="s">
        <v>269</v>
      </c>
      <c r="C6" s="299" t="s">
        <v>273</v>
      </c>
    </row>
    <row r="7" spans="2:3" ht="13.5" thickBot="1">
      <c r="B7" s="1236"/>
      <c r="C7" s="14">
        <v>2020</v>
      </c>
    </row>
    <row r="8" spans="2:3" ht="13.5" thickBot="1">
      <c r="B8" s="15" t="s">
        <v>268</v>
      </c>
      <c r="C8" s="16" t="s">
        <v>288</v>
      </c>
    </row>
    <row r="9" spans="2:3" ht="21.75" customHeight="1">
      <c r="B9" s="17" t="s">
        <v>535</v>
      </c>
      <c r="C9" s="22">
        <f>C10+C11+C12+C13</f>
        <v>15483000</v>
      </c>
    </row>
    <row r="10" spans="2:3" ht="18" customHeight="1">
      <c r="B10" s="18" t="s">
        <v>0</v>
      </c>
      <c r="C10" s="19">
        <v>1200000</v>
      </c>
    </row>
    <row r="11" spans="2:3" ht="18" customHeight="1">
      <c r="B11" s="18" t="s">
        <v>1</v>
      </c>
      <c r="C11" s="19">
        <v>800000</v>
      </c>
    </row>
    <row r="12" spans="2:3" s="321" customFormat="1" ht="17.25" customHeight="1">
      <c r="B12" s="320" t="s">
        <v>536</v>
      </c>
      <c r="C12" s="23">
        <v>12780000</v>
      </c>
    </row>
    <row r="13" spans="2:3" ht="15.75" customHeight="1">
      <c r="B13" s="18" t="s">
        <v>166</v>
      </c>
      <c r="C13" s="23">
        <v>703000</v>
      </c>
    </row>
    <row r="14" spans="2:3" ht="21.75" customHeight="1">
      <c r="B14" s="17" t="s">
        <v>534</v>
      </c>
      <c r="C14" s="24">
        <f>C15+C16</f>
        <v>13780000</v>
      </c>
    </row>
    <row r="15" spans="2:3" ht="19.5" customHeight="1">
      <c r="B15" s="18" t="s">
        <v>2</v>
      </c>
      <c r="C15" s="19">
        <v>10780000</v>
      </c>
    </row>
    <row r="16" spans="2:3" ht="19.5" customHeight="1">
      <c r="B16" s="18" t="s">
        <v>3</v>
      </c>
      <c r="C16" s="19">
        <v>3000000</v>
      </c>
    </row>
    <row r="17" spans="2:3" ht="21.75" customHeight="1">
      <c r="B17" s="17" t="s">
        <v>537</v>
      </c>
      <c r="C17" s="24">
        <f>C18</f>
        <v>14700000</v>
      </c>
    </row>
    <row r="18" spans="2:3" ht="19.5" customHeight="1">
      <c r="B18" s="35" t="s">
        <v>945</v>
      </c>
      <c r="C18" s="25">
        <v>14700000</v>
      </c>
    </row>
    <row r="19" spans="2:3" ht="21.75" customHeight="1">
      <c r="B19" s="17" t="s">
        <v>538</v>
      </c>
      <c r="C19" s="24">
        <v>11940000</v>
      </c>
    </row>
    <row r="20" spans="2:3" ht="21.75" customHeight="1">
      <c r="B20" s="17" t="s">
        <v>539</v>
      </c>
      <c r="C20" s="24">
        <v>10000</v>
      </c>
    </row>
    <row r="21" spans="2:3" ht="21.75" customHeight="1">
      <c r="B21" s="17" t="s">
        <v>540</v>
      </c>
      <c r="C21" s="24">
        <f>C22+C23</f>
        <v>0</v>
      </c>
    </row>
    <row r="22" spans="2:3" ht="19.5" customHeight="1">
      <c r="B22" s="18" t="s">
        <v>541</v>
      </c>
      <c r="C22" s="19">
        <v>0</v>
      </c>
    </row>
    <row r="23" spans="2:3" ht="20.25" customHeight="1">
      <c r="B23" s="18" t="s">
        <v>542</v>
      </c>
      <c r="C23" s="19">
        <v>0</v>
      </c>
    </row>
    <row r="24" spans="2:3" ht="20.25" customHeight="1">
      <c r="B24" s="20" t="s">
        <v>550</v>
      </c>
      <c r="C24" s="26">
        <f>C9+C14+C17+C19+C20+C21</f>
        <v>55913000</v>
      </c>
    </row>
    <row r="25" spans="2:3">
      <c r="B25" s="21"/>
    </row>
    <row r="26" spans="2:3">
      <c r="B26" s="21"/>
    </row>
    <row r="27" spans="2:3">
      <c r="B27" s="21"/>
    </row>
    <row r="28" spans="2:3">
      <c r="B28" s="21"/>
    </row>
    <row r="29" spans="2:3">
      <c r="B29" s="21"/>
    </row>
    <row r="30" spans="2:3">
      <c r="B30" s="21"/>
    </row>
    <row r="31" spans="2:3">
      <c r="B31" s="21"/>
    </row>
    <row r="32" spans="2:3">
      <c r="B32" s="21"/>
    </row>
    <row r="33" spans="2:2">
      <c r="B33" s="21"/>
    </row>
    <row r="34" spans="2:2">
      <c r="B34" s="21"/>
    </row>
    <row r="35" spans="2:2">
      <c r="B35" s="21"/>
    </row>
    <row r="36" spans="2:2">
      <c r="B36" s="21"/>
    </row>
    <row r="37" spans="2:2">
      <c r="B37" s="21"/>
    </row>
    <row r="38" spans="2:2">
      <c r="B38" s="21"/>
    </row>
    <row r="39" spans="2:2">
      <c r="B39" s="21"/>
    </row>
    <row r="40" spans="2:2">
      <c r="B40" s="21"/>
    </row>
    <row r="41" spans="2:2">
      <c r="B41" s="21"/>
    </row>
    <row r="42" spans="2:2">
      <c r="B42" s="21"/>
    </row>
    <row r="43" spans="2:2">
      <c r="B43" s="21"/>
    </row>
    <row r="44" spans="2:2">
      <c r="B44" s="21"/>
    </row>
    <row r="45" spans="2:2">
      <c r="B45" s="21"/>
    </row>
    <row r="46" spans="2:2">
      <c r="B46" s="21"/>
    </row>
    <row r="47" spans="2:2">
      <c r="B47" s="21"/>
    </row>
    <row r="48" spans="2:2">
      <c r="B48" s="21"/>
    </row>
    <row r="49" spans="2:2">
      <c r="B49" s="21"/>
    </row>
    <row r="50" spans="2:2">
      <c r="B50" s="21"/>
    </row>
    <row r="51" spans="2:2">
      <c r="B51" s="21"/>
    </row>
    <row r="52" spans="2:2">
      <c r="B52" s="21"/>
    </row>
    <row r="53" spans="2:2">
      <c r="B53" s="21"/>
    </row>
    <row r="54" spans="2:2">
      <c r="B54" s="21"/>
    </row>
    <row r="55" spans="2:2">
      <c r="B55" s="21"/>
    </row>
    <row r="56" spans="2:2">
      <c r="B56" s="21"/>
    </row>
    <row r="57" spans="2:2">
      <c r="B57" s="21"/>
    </row>
    <row r="58" spans="2:2">
      <c r="B58" s="21"/>
    </row>
    <row r="59" spans="2:2">
      <c r="B59" s="21"/>
    </row>
    <row r="60" spans="2:2">
      <c r="B60" s="21"/>
    </row>
    <row r="61" spans="2:2">
      <c r="B61" s="21"/>
    </row>
  </sheetData>
  <mergeCells count="1">
    <mergeCell ref="B6:B7"/>
  </mergeCells>
  <phoneticPr fontId="10" type="noConversion"/>
  <pageMargins left="0.19685039370078741" right="0.11811023622047245" top="0.35433070866141736" bottom="0.55118110236220474" header="0.31496062992125984" footer="0.31496062992125984"/>
  <pageSetup paperSize="9" fitToHeight="0" orientation="landscape" r:id="rId1"/>
  <headerFooter>
    <oddHeader>&amp;RRáckeve Város 2020 évi költségvetés melléklete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29</vt:i4>
      </vt:variant>
      <vt:variant>
        <vt:lpstr>Névvel ellátott tartományok</vt:lpstr>
      </vt:variant>
      <vt:variant>
        <vt:i4>17</vt:i4>
      </vt:variant>
    </vt:vector>
  </HeadingPairs>
  <TitlesOfParts>
    <vt:vector size="46" baseType="lpstr">
      <vt:lpstr>1.</vt:lpstr>
      <vt:lpstr>1.a</vt:lpstr>
      <vt:lpstr>1.b</vt:lpstr>
      <vt:lpstr>1.e</vt:lpstr>
      <vt:lpstr>1.c</vt:lpstr>
      <vt:lpstr>1.d</vt:lpstr>
      <vt:lpstr>2</vt:lpstr>
      <vt:lpstr>2.a</vt:lpstr>
      <vt:lpstr>2.b</vt:lpstr>
      <vt:lpstr>2.c</vt:lpstr>
      <vt:lpstr>3. melléklet</vt:lpstr>
      <vt:lpstr>Munka1</vt:lpstr>
      <vt:lpstr>3a önkormányzat részletezése</vt:lpstr>
      <vt:lpstr>3.a int.fin</vt:lpstr>
      <vt:lpstr>3.b önk tám</vt:lpstr>
      <vt:lpstr>3.c. tartalék</vt:lpstr>
      <vt:lpstr>4.beruházás</vt:lpstr>
      <vt:lpstr>4.a melléklet</vt:lpstr>
      <vt:lpstr>5.felújítás</vt:lpstr>
      <vt:lpstr>6. pénz.átad műk2020</vt:lpstr>
      <vt:lpstr>7.a  finanszírozás</vt:lpstr>
      <vt:lpstr>7. adósságot kelet</vt:lpstr>
      <vt:lpstr>2.c álláshelyek</vt:lpstr>
      <vt:lpstr>9. gördülő tervez</vt:lpstr>
      <vt:lpstr>12. többéves</vt:lpstr>
      <vt:lpstr>12.a megfelelés</vt:lpstr>
      <vt:lpstr>8. közvetett</vt:lpstr>
      <vt:lpstr>10. előirányzat</vt:lpstr>
      <vt:lpstr>11. likviditás</vt:lpstr>
      <vt:lpstr>'1.'!Nyomtatási_cím</vt:lpstr>
      <vt:lpstr>'1.a'!Nyomtatási_cím</vt:lpstr>
      <vt:lpstr>'1.b'!Nyomtatási_cím</vt:lpstr>
      <vt:lpstr>'12. többéves'!Nyomtatási_cím</vt:lpstr>
      <vt:lpstr>'2'!Nyomtatási_cím</vt:lpstr>
      <vt:lpstr>'2.a'!Nyomtatási_cím</vt:lpstr>
      <vt:lpstr>'2.b'!Nyomtatási_cím</vt:lpstr>
      <vt:lpstr>'3. melléklet'!Nyomtatási_cím</vt:lpstr>
      <vt:lpstr>'3.c. tartalék'!Nyomtatási_cím</vt:lpstr>
      <vt:lpstr>'4.beruházás'!Nyomtatási_cím</vt:lpstr>
      <vt:lpstr>'5.felújítás'!Nyomtatási_cím</vt:lpstr>
      <vt:lpstr>'6. pénz.átad műk2020'!Nyomtatási_cím</vt:lpstr>
      <vt:lpstr>'7. adósságot kelet'!Nyomtatási_cím</vt:lpstr>
      <vt:lpstr>'7.a  finanszírozás'!Nyomtatási_cím</vt:lpstr>
      <vt:lpstr>'2'!Nyomtatási_terület</vt:lpstr>
      <vt:lpstr>'3.b önk tám'!Nyomtatási_terület</vt:lpstr>
      <vt:lpstr>'6. pénz.átad műk2020'!Nyomtatási_terület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Feketéné Kiss Zsuzsanna</dc:creator>
  <cp:lastModifiedBy>Kovács Péterné</cp:lastModifiedBy>
  <cp:lastPrinted>2020-02-27T07:28:21Z</cp:lastPrinted>
  <dcterms:created xsi:type="dcterms:W3CDTF">2004-01-18T18:23:49Z</dcterms:created>
  <dcterms:modified xsi:type="dcterms:W3CDTF">2020-02-27T09:43:49Z</dcterms:modified>
</cp:coreProperties>
</file>