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 firstSheet="7" activeTab="13"/>
  </bookViews>
  <sheets>
    <sheet name="1.sz.mell." sheetId="1" r:id="rId1"/>
    <sheet name="2.sz.mell." sheetId="2" r:id="rId2"/>
    <sheet name="3.sz.mell." sheetId="3" r:id="rId3"/>
    <sheet name="4.a sz.mell." sheetId="4" r:id="rId4"/>
    <sheet name="4 b.sz.mell." sheetId="5" r:id="rId5"/>
    <sheet name="5.sz.mell." sheetId="6" r:id="rId6"/>
    <sheet name="6.sz.mell." sheetId="7" r:id="rId7"/>
    <sheet name="7.sz.mell." sheetId="8" r:id="rId8"/>
    <sheet name="8.sz.mell." sheetId="9" r:id="rId9"/>
    <sheet name="9.sz.mell." sheetId="10" r:id="rId10"/>
    <sheet name="10.sz.mell." sheetId="11" r:id="rId11"/>
    <sheet name="11. sz.mell." sheetId="12" r:id="rId12"/>
    <sheet name="12.sz.mell." sheetId="13" r:id="rId13"/>
    <sheet name="13.sz.m." sheetId="14" r:id="rId14"/>
    <sheet name="Munka1" sheetId="15" r:id="rId15"/>
  </sheets>
  <definedNames>
    <definedName name="_xlnm.Print_Titles" localSheetId="0">'1.sz.mell.'!$1:$1</definedName>
    <definedName name="_xlnm.Print_Titles" localSheetId="1">'2.sz.mell.'!$1:$1</definedName>
    <definedName name="_xlnm.Print_Area" localSheetId="0">'1.sz.mell.'!$A$1:$D$128</definedName>
    <definedName name="_xlnm.Print_Area" localSheetId="10">'10.sz.mell.'!$A$1:$D$14</definedName>
    <definedName name="_xlnm.Print_Area" localSheetId="11">'11. sz.mell.'!$A$1:$AA$25</definedName>
    <definedName name="_xlnm.Print_Area" localSheetId="12">'12.sz.mell.'!$A$1:$E$30</definedName>
    <definedName name="_xlnm.Print_Area" localSheetId="13">'13.sz.m.'!$A$1:$F$30</definedName>
    <definedName name="_xlnm.Print_Area" localSheetId="1">'2.sz.mell.'!$A$1:$F$47</definedName>
    <definedName name="_xlnm.Print_Area" localSheetId="2">'3.sz.mell.'!$A$1:$V$25</definedName>
    <definedName name="_xlnm.Print_Area" localSheetId="4">'4 b.sz.mell.'!$A$1:$S$62</definedName>
    <definedName name="_xlnm.Print_Area" localSheetId="3">'4.a sz.mell.'!$A$1:$AA$66</definedName>
    <definedName name="_xlnm.Print_Area" localSheetId="5">'5.sz.mell.'!$A$1:$E$51</definedName>
    <definedName name="_xlnm.Print_Area" localSheetId="6">'6.sz.mell.'!$A$1:$D$22</definedName>
    <definedName name="_xlnm.Print_Area" localSheetId="7">'7.sz.mell.'!$A$1:$E$36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/>
  <c r="E29"/>
  <c r="C23" i="14"/>
  <c r="C21"/>
  <c r="B21"/>
  <c r="F20"/>
  <c r="F29" s="1"/>
  <c r="E20"/>
  <c r="E29" s="1"/>
  <c r="D20"/>
  <c r="D29" s="1"/>
  <c r="F16"/>
  <c r="E16"/>
  <c r="D16"/>
  <c r="E25" i="13"/>
  <c r="E30" s="1"/>
  <c r="D25"/>
  <c r="D30" s="1"/>
  <c r="T23" i="12"/>
  <c r="R23"/>
  <c r="R24" s="1"/>
  <c r="P23"/>
  <c r="N23"/>
  <c r="L23"/>
  <c r="H23"/>
  <c r="F23"/>
  <c r="D23"/>
  <c r="Z22"/>
  <c r="O22"/>
  <c r="K22"/>
  <c r="AA22" s="1"/>
  <c r="J22"/>
  <c r="J23" s="1"/>
  <c r="AA21"/>
  <c r="Z21"/>
  <c r="S21"/>
  <c r="Z20"/>
  <c r="C20"/>
  <c r="AA20" s="1"/>
  <c r="B20"/>
  <c r="B23" s="1"/>
  <c r="B24" s="1"/>
  <c r="AA19"/>
  <c r="Z19"/>
  <c r="Y18"/>
  <c r="X18"/>
  <c r="Z18" s="1"/>
  <c r="U18"/>
  <c r="Q18"/>
  <c r="AA17"/>
  <c r="Y17"/>
  <c r="X17"/>
  <c r="Z17" s="1"/>
  <c r="Y16"/>
  <c r="W16"/>
  <c r="V16"/>
  <c r="V23" s="1"/>
  <c r="U16"/>
  <c r="S16"/>
  <c r="Q16"/>
  <c r="O16"/>
  <c r="M16"/>
  <c r="K16"/>
  <c r="I16"/>
  <c r="G16"/>
  <c r="E16"/>
  <c r="C16"/>
  <c r="Y15"/>
  <c r="X15"/>
  <c r="Z15" s="1"/>
  <c r="W15"/>
  <c r="U15"/>
  <c r="S15"/>
  <c r="Q15"/>
  <c r="O15"/>
  <c r="M15"/>
  <c r="K15"/>
  <c r="I15"/>
  <c r="G15"/>
  <c r="E15"/>
  <c r="C15"/>
  <c r="Y14"/>
  <c r="X14"/>
  <c r="W14"/>
  <c r="W23" s="1"/>
  <c r="U14"/>
  <c r="S14"/>
  <c r="S23" s="1"/>
  <c r="Q14"/>
  <c r="Q23" s="1"/>
  <c r="O14"/>
  <c r="O23" s="1"/>
  <c r="M14"/>
  <c r="K14"/>
  <c r="I14"/>
  <c r="I23" s="1"/>
  <c r="G14"/>
  <c r="G23" s="1"/>
  <c r="E14"/>
  <c r="C14"/>
  <c r="C23" s="1"/>
  <c r="Y11"/>
  <c r="X11"/>
  <c r="Z11" s="1"/>
  <c r="S11"/>
  <c r="AA10"/>
  <c r="Z10"/>
  <c r="M9"/>
  <c r="Y8"/>
  <c r="X8"/>
  <c r="W8"/>
  <c r="W12" s="1"/>
  <c r="V8"/>
  <c r="V12" s="1"/>
  <c r="V24" s="1"/>
  <c r="U8"/>
  <c r="T8"/>
  <c r="T12" s="1"/>
  <c r="T24" s="1"/>
  <c r="S8"/>
  <c r="R8"/>
  <c r="R12" s="1"/>
  <c r="Q8"/>
  <c r="P8"/>
  <c r="P12" s="1"/>
  <c r="P24" s="1"/>
  <c r="O8"/>
  <c r="O12" s="1"/>
  <c r="N8"/>
  <c r="N12" s="1"/>
  <c r="N24" s="1"/>
  <c r="M8"/>
  <c r="L8"/>
  <c r="K8"/>
  <c r="J8"/>
  <c r="J12" s="1"/>
  <c r="I8"/>
  <c r="H8"/>
  <c r="G8"/>
  <c r="G12" s="1"/>
  <c r="F8"/>
  <c r="F12" s="1"/>
  <c r="F24" s="1"/>
  <c r="E8"/>
  <c r="E12" s="1"/>
  <c r="D8"/>
  <c r="D12" s="1"/>
  <c r="D24" s="1"/>
  <c r="C8"/>
  <c r="C12" s="1"/>
  <c r="B8"/>
  <c r="B12" s="1"/>
  <c r="AA7"/>
  <c r="Z7"/>
  <c r="Y6"/>
  <c r="X6"/>
  <c r="W6"/>
  <c r="U6"/>
  <c r="U12" s="1"/>
  <c r="S6"/>
  <c r="Q6"/>
  <c r="O6"/>
  <c r="M6"/>
  <c r="K6"/>
  <c r="D13" i="11"/>
  <c r="C13"/>
  <c r="D12"/>
  <c r="C12"/>
  <c r="D11"/>
  <c r="C11"/>
  <c r="D10"/>
  <c r="O9" i="10"/>
  <c r="M9"/>
  <c r="K9"/>
  <c r="I9"/>
  <c r="G9"/>
  <c r="F9"/>
  <c r="E9"/>
  <c r="O8"/>
  <c r="M8"/>
  <c r="K8"/>
  <c r="I8"/>
  <c r="F8"/>
  <c r="G8" s="1"/>
  <c r="E8"/>
  <c r="I7" i="9"/>
  <c r="G7"/>
  <c r="E23" i="8"/>
  <c r="E11" s="1"/>
  <c r="D23"/>
  <c r="E16"/>
  <c r="D16"/>
  <c r="D11"/>
  <c r="D35" s="1"/>
  <c r="E7"/>
  <c r="D7"/>
  <c r="D20" i="7"/>
  <c r="C20"/>
  <c r="D19"/>
  <c r="C19"/>
  <c r="D16"/>
  <c r="D14"/>
  <c r="C14"/>
  <c r="B14"/>
  <c r="D13"/>
  <c r="C13"/>
  <c r="B13"/>
  <c r="B10"/>
  <c r="D9"/>
  <c r="C9"/>
  <c r="B9"/>
  <c r="E49" i="6"/>
  <c r="E48"/>
  <c r="D48"/>
  <c r="D46"/>
  <c r="E45"/>
  <c r="E46" s="1"/>
  <c r="E41"/>
  <c r="E38"/>
  <c r="E37"/>
  <c r="E35"/>
  <c r="D33"/>
  <c r="D44" s="1"/>
  <c r="D32"/>
  <c r="E24"/>
  <c r="E32" s="1"/>
  <c r="E22"/>
  <c r="D22"/>
  <c r="E21"/>
  <c r="D21"/>
  <c r="E20"/>
  <c r="D20"/>
  <c r="E19"/>
  <c r="D19"/>
  <c r="E18"/>
  <c r="D18"/>
  <c r="E17"/>
  <c r="D17"/>
  <c r="E16"/>
  <c r="D16"/>
  <c r="E15"/>
  <c r="D15"/>
  <c r="D13"/>
  <c r="Q61" i="5"/>
  <c r="P61"/>
  <c r="O61"/>
  <c r="N61"/>
  <c r="M61"/>
  <c r="N11" i="3" s="1"/>
  <c r="L61" i="5"/>
  <c r="K61"/>
  <c r="J61"/>
  <c r="I61"/>
  <c r="H61"/>
  <c r="G61"/>
  <c r="F61"/>
  <c r="E61"/>
  <c r="D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Q51"/>
  <c r="P51"/>
  <c r="O51"/>
  <c r="L10" i="3" s="1"/>
  <c r="N51" i="5"/>
  <c r="M51"/>
  <c r="N10" i="3" s="1"/>
  <c r="L51" i="5"/>
  <c r="K51"/>
  <c r="J51"/>
  <c r="I51"/>
  <c r="H51"/>
  <c r="G51"/>
  <c r="F51"/>
  <c r="E51"/>
  <c r="D51"/>
  <c r="S50"/>
  <c r="R50"/>
  <c r="S49"/>
  <c r="R49"/>
  <c r="S48"/>
  <c r="R48"/>
  <c r="Q47"/>
  <c r="P47"/>
  <c r="O47"/>
  <c r="N47"/>
  <c r="M47"/>
  <c r="N9" i="3" s="1"/>
  <c r="L47" i="5"/>
  <c r="K47"/>
  <c r="J47"/>
  <c r="I47"/>
  <c r="H47"/>
  <c r="G47"/>
  <c r="F47"/>
  <c r="E47"/>
  <c r="D47"/>
  <c r="S46"/>
  <c r="R46"/>
  <c r="S45"/>
  <c r="R45"/>
  <c r="Q44"/>
  <c r="P44"/>
  <c r="O44"/>
  <c r="N44"/>
  <c r="M44"/>
  <c r="L44"/>
  <c r="K44"/>
  <c r="J44"/>
  <c r="I44"/>
  <c r="H44"/>
  <c r="G44"/>
  <c r="H8" i="3" s="1"/>
  <c r="F44" i="5"/>
  <c r="E44"/>
  <c r="D44"/>
  <c r="S43"/>
  <c r="R43"/>
  <c r="S42"/>
  <c r="R42"/>
  <c r="S41"/>
  <c r="R41"/>
  <c r="S40"/>
  <c r="R40"/>
  <c r="S39"/>
  <c r="R39"/>
  <c r="Q38"/>
  <c r="P38"/>
  <c r="O38"/>
  <c r="N38"/>
  <c r="K38"/>
  <c r="J38"/>
  <c r="H38"/>
  <c r="G38"/>
  <c r="H7" i="3" s="1"/>
  <c r="E38" i="5"/>
  <c r="D38"/>
  <c r="C7" i="3" s="1"/>
  <c r="S37" i="5"/>
  <c r="R37"/>
  <c r="S36"/>
  <c r="R36"/>
  <c r="H36"/>
  <c r="L9" i="12" s="1"/>
  <c r="S35" i="5"/>
  <c r="R35"/>
  <c r="S34"/>
  <c r="R34"/>
  <c r="S33"/>
  <c r="R33"/>
  <c r="S32"/>
  <c r="R32"/>
  <c r="S31"/>
  <c r="R31"/>
  <c r="S30"/>
  <c r="R30"/>
  <c r="S29"/>
  <c r="R29"/>
  <c r="S28"/>
  <c r="R28"/>
  <c r="L27"/>
  <c r="I27"/>
  <c r="S27" s="1"/>
  <c r="H27"/>
  <c r="H9" i="12" s="1"/>
  <c r="S26" i="5"/>
  <c r="R26"/>
  <c r="S25"/>
  <c r="R25"/>
  <c r="S24"/>
  <c r="R24"/>
  <c r="S23"/>
  <c r="R23"/>
  <c r="S22"/>
  <c r="R22"/>
  <c r="S21"/>
  <c r="R21"/>
  <c r="M21"/>
  <c r="L21"/>
  <c r="S20"/>
  <c r="R20"/>
  <c r="S19"/>
  <c r="R19"/>
  <c r="S18"/>
  <c r="R18"/>
  <c r="S17"/>
  <c r="R17"/>
  <c r="S16"/>
  <c r="R16"/>
  <c r="S15"/>
  <c r="R15"/>
  <c r="S14"/>
  <c r="R14"/>
  <c r="M14"/>
  <c r="L14"/>
  <c r="S13"/>
  <c r="R13"/>
  <c r="S12"/>
  <c r="R12"/>
  <c r="S11"/>
  <c r="R11"/>
  <c r="M11"/>
  <c r="L11"/>
  <c r="S10"/>
  <c r="R10"/>
  <c r="S9"/>
  <c r="R9"/>
  <c r="S8"/>
  <c r="R8"/>
  <c r="M8"/>
  <c r="L8"/>
  <c r="S7"/>
  <c r="R7"/>
  <c r="M6"/>
  <c r="L6"/>
  <c r="F6"/>
  <c r="F38" s="1"/>
  <c r="G7" i="3" s="1"/>
  <c r="AA65" i="4"/>
  <c r="Z65"/>
  <c r="W65"/>
  <c r="V65"/>
  <c r="U65"/>
  <c r="T65"/>
  <c r="S65"/>
  <c r="R65"/>
  <c r="O24" i="3" s="1"/>
  <c r="Q65" i="4"/>
  <c r="P65"/>
  <c r="O65"/>
  <c r="N65"/>
  <c r="M65"/>
  <c r="L65"/>
  <c r="K65"/>
  <c r="J65"/>
  <c r="I65"/>
  <c r="H65"/>
  <c r="G24" i="3" s="1"/>
  <c r="G65" i="4"/>
  <c r="E65"/>
  <c r="D24" i="3" s="1"/>
  <c r="Y64" i="4"/>
  <c r="D64"/>
  <c r="X64" s="1"/>
  <c r="Y63"/>
  <c r="X63"/>
  <c r="Y62"/>
  <c r="X62"/>
  <c r="Y61"/>
  <c r="X61"/>
  <c r="Y60"/>
  <c r="X60"/>
  <c r="Y59"/>
  <c r="X59"/>
  <c r="Y58"/>
  <c r="F58"/>
  <c r="F65" s="1"/>
  <c r="E24" i="3" s="1"/>
  <c r="D58" i="4"/>
  <c r="X58" s="1"/>
  <c r="Y57"/>
  <c r="X57"/>
  <c r="W56"/>
  <c r="V56"/>
  <c r="U56"/>
  <c r="T56"/>
  <c r="S56"/>
  <c r="R56"/>
  <c r="Q56"/>
  <c r="P56"/>
  <c r="O56"/>
  <c r="N56"/>
  <c r="M56"/>
  <c r="L56"/>
  <c r="K56"/>
  <c r="J56"/>
  <c r="G56"/>
  <c r="F23" i="3" s="1"/>
  <c r="F56" i="4"/>
  <c r="E23" i="3" s="1"/>
  <c r="E56" i="4"/>
  <c r="D56"/>
  <c r="Y55"/>
  <c r="I55"/>
  <c r="I56" s="1"/>
  <c r="H55"/>
  <c r="X55" s="1"/>
  <c r="Y54"/>
  <c r="X54"/>
  <c r="W53"/>
  <c r="V53"/>
  <c r="U53"/>
  <c r="T53"/>
  <c r="S53"/>
  <c r="R53"/>
  <c r="O22" i="3" s="1"/>
  <c r="Q53" i="4"/>
  <c r="P53"/>
  <c r="O53"/>
  <c r="N53"/>
  <c r="M53"/>
  <c r="L53"/>
  <c r="K53"/>
  <c r="J53"/>
  <c r="I53"/>
  <c r="G53"/>
  <c r="F53"/>
  <c r="E53"/>
  <c r="D53"/>
  <c r="Y52"/>
  <c r="X52"/>
  <c r="Y51"/>
  <c r="H51"/>
  <c r="X51" s="1"/>
  <c r="Y50"/>
  <c r="X50"/>
  <c r="Y49"/>
  <c r="W48"/>
  <c r="V48"/>
  <c r="U48"/>
  <c r="T48"/>
  <c r="S48"/>
  <c r="R48"/>
  <c r="O21" i="3" s="1"/>
  <c r="Q48" i="4"/>
  <c r="P48"/>
  <c r="O48"/>
  <c r="N48"/>
  <c r="M48"/>
  <c r="L48"/>
  <c r="K48"/>
  <c r="J48"/>
  <c r="I21" i="3" s="1"/>
  <c r="I48" i="4"/>
  <c r="H21" i="3" s="1"/>
  <c r="H48" i="4"/>
  <c r="G48"/>
  <c r="F48"/>
  <c r="E21" i="3" s="1"/>
  <c r="E48" i="4"/>
  <c r="Y47"/>
  <c r="X47"/>
  <c r="Y46"/>
  <c r="X46"/>
  <c r="Y45"/>
  <c r="X45"/>
  <c r="Y44"/>
  <c r="F44"/>
  <c r="D44"/>
  <c r="W42"/>
  <c r="V42"/>
  <c r="U42"/>
  <c r="T42"/>
  <c r="S42"/>
  <c r="R42"/>
  <c r="Q42"/>
  <c r="P42"/>
  <c r="O42"/>
  <c r="N42"/>
  <c r="M42"/>
  <c r="L42"/>
  <c r="K42"/>
  <c r="J42"/>
  <c r="I42"/>
  <c r="G42"/>
  <c r="F42"/>
  <c r="E42"/>
  <c r="D42"/>
  <c r="Y41"/>
  <c r="H41"/>
  <c r="X41" s="1"/>
  <c r="Y40"/>
  <c r="H40"/>
  <c r="H42" s="1"/>
  <c r="Y39"/>
  <c r="X39"/>
  <c r="Y38"/>
  <c r="X38"/>
  <c r="Y37"/>
  <c r="X37"/>
  <c r="Y36"/>
  <c r="X36"/>
  <c r="Y35"/>
  <c r="X35"/>
  <c r="W34"/>
  <c r="Q34"/>
  <c r="Q43" s="1"/>
  <c r="P34"/>
  <c r="P43" s="1"/>
  <c r="O34"/>
  <c r="O43" s="1"/>
  <c r="O66" s="1"/>
  <c r="I34"/>
  <c r="G34"/>
  <c r="F34"/>
  <c r="F43" s="1"/>
  <c r="E20" i="3" s="1"/>
  <c r="E34" i="4"/>
  <c r="D34"/>
  <c r="S33"/>
  <c r="S34" s="1"/>
  <c r="R33"/>
  <c r="Y32"/>
  <c r="X32"/>
  <c r="Y31"/>
  <c r="X31"/>
  <c r="T31"/>
  <c r="M30"/>
  <c r="L30"/>
  <c r="L34" s="1"/>
  <c r="L43" s="1"/>
  <c r="Y29"/>
  <c r="X29"/>
  <c r="Y28"/>
  <c r="X28"/>
  <c r="U27"/>
  <c r="Y27" s="1"/>
  <c r="T27"/>
  <c r="H27"/>
  <c r="Y26"/>
  <c r="X26"/>
  <c r="K25"/>
  <c r="Y25" s="1"/>
  <c r="J25"/>
  <c r="X25" s="1"/>
  <c r="X24"/>
  <c r="K24"/>
  <c r="Y24" s="1"/>
  <c r="Y23"/>
  <c r="X23"/>
  <c r="Y22"/>
  <c r="X22"/>
  <c r="Y21"/>
  <c r="T21"/>
  <c r="X21" s="1"/>
  <c r="Y20"/>
  <c r="K20"/>
  <c r="J20"/>
  <c r="H20"/>
  <c r="Y19"/>
  <c r="X19"/>
  <c r="Y18"/>
  <c r="X18"/>
  <c r="Y17"/>
  <c r="X17"/>
  <c r="N17"/>
  <c r="C10" i="11" s="1"/>
  <c r="Y16" i="4"/>
  <c r="X16"/>
  <c r="O15"/>
  <c r="D9" i="11" s="1"/>
  <c r="N15" i="4"/>
  <c r="Y14"/>
  <c r="X14"/>
  <c r="Y13"/>
  <c r="W13"/>
  <c r="V13"/>
  <c r="X13" s="1"/>
  <c r="Z12"/>
  <c r="Y12"/>
  <c r="X12"/>
  <c r="AA11"/>
  <c r="I10" i="9" s="1"/>
  <c r="I14" s="1"/>
  <c r="Y11" i="4"/>
  <c r="X11"/>
  <c r="Y10"/>
  <c r="X10"/>
  <c r="Y9"/>
  <c r="X9"/>
  <c r="V8"/>
  <c r="U8"/>
  <c r="Y8" s="1"/>
  <c r="T8"/>
  <c r="T34" s="1"/>
  <c r="T43" s="1"/>
  <c r="H8"/>
  <c r="Y7"/>
  <c r="X7"/>
  <c r="Y6"/>
  <c r="X6"/>
  <c r="P24" i="3"/>
  <c r="H24"/>
  <c r="T24" s="1"/>
  <c r="V24" s="1"/>
  <c r="F24"/>
  <c r="P23"/>
  <c r="O23"/>
  <c r="H23"/>
  <c r="D23"/>
  <c r="C23"/>
  <c r="P22"/>
  <c r="J22"/>
  <c r="I22"/>
  <c r="H22"/>
  <c r="F22"/>
  <c r="E22"/>
  <c r="D22"/>
  <c r="C22"/>
  <c r="P21"/>
  <c r="J21"/>
  <c r="G21"/>
  <c r="F21"/>
  <c r="D21"/>
  <c r="I12"/>
  <c r="M11"/>
  <c r="L11"/>
  <c r="K11"/>
  <c r="H11"/>
  <c r="G11"/>
  <c r="D11"/>
  <c r="C11"/>
  <c r="M10"/>
  <c r="K10"/>
  <c r="H10"/>
  <c r="G10"/>
  <c r="D10"/>
  <c r="C10"/>
  <c r="M9"/>
  <c r="L9"/>
  <c r="K9"/>
  <c r="H9"/>
  <c r="G9"/>
  <c r="D9"/>
  <c r="C9"/>
  <c r="N8"/>
  <c r="M8"/>
  <c r="L8"/>
  <c r="K8"/>
  <c r="G8"/>
  <c r="F8"/>
  <c r="E8"/>
  <c r="D8"/>
  <c r="C8"/>
  <c r="L7"/>
  <c r="K7"/>
  <c r="F7"/>
  <c r="F12" s="1"/>
  <c r="E7"/>
  <c r="E12" s="1"/>
  <c r="D7"/>
  <c r="D45" i="2"/>
  <c r="C45"/>
  <c r="C41"/>
  <c r="C46" s="1"/>
  <c r="F39"/>
  <c r="E39"/>
  <c r="F36"/>
  <c r="E36"/>
  <c r="D34"/>
  <c r="D41" s="1"/>
  <c r="D46" s="1"/>
  <c r="C24"/>
  <c r="C25" s="1"/>
  <c r="D20"/>
  <c r="D24" s="1"/>
  <c r="D25" s="1"/>
  <c r="C16"/>
  <c r="D11"/>
  <c r="D10"/>
  <c r="D16" s="1"/>
  <c r="D87" i="1"/>
  <c r="F34" i="2" s="1"/>
  <c r="C86" i="1"/>
  <c r="D67"/>
  <c r="D15" i="7" s="1"/>
  <c r="D63" i="1"/>
  <c r="D10" i="7" s="1"/>
  <c r="C63" i="1"/>
  <c r="C10" i="7" s="1"/>
  <c r="D61" i="1"/>
  <c r="D17" i="7" s="1"/>
  <c r="D60" i="1"/>
  <c r="C12" i="14" s="1"/>
  <c r="C60" i="1"/>
  <c r="B12" i="14" s="1"/>
  <c r="C56" i="1"/>
  <c r="C53"/>
  <c r="D51"/>
  <c r="D49"/>
  <c r="C49"/>
  <c r="D47"/>
  <c r="C10" i="14" s="1"/>
  <c r="C47" i="1"/>
  <c r="B10" i="14" s="1"/>
  <c r="D39" i="1"/>
  <c r="D38"/>
  <c r="D37"/>
  <c r="D36"/>
  <c r="C36"/>
  <c r="D35"/>
  <c r="C35"/>
  <c r="D34"/>
  <c r="C34"/>
  <c r="D33"/>
  <c r="C33"/>
  <c r="D32"/>
  <c r="C32"/>
  <c r="D31"/>
  <c r="C31"/>
  <c r="D30"/>
  <c r="F12" i="2" s="1"/>
  <c r="C30" i="1"/>
  <c r="E12" i="2" s="1"/>
  <c r="D28" i="1"/>
  <c r="C27"/>
  <c r="D21"/>
  <c r="D16"/>
  <c r="D15"/>
  <c r="C15"/>
  <c r="D14"/>
  <c r="E33" i="6" s="1"/>
  <c r="E44" s="1"/>
  <c r="D13" i="1"/>
  <c r="D5"/>
  <c r="E13" i="6" s="1"/>
  <c r="P10" i="3" l="1"/>
  <c r="R10" s="1"/>
  <c r="G24" i="12"/>
  <c r="K12"/>
  <c r="W24"/>
  <c r="E23"/>
  <c r="E24" s="1"/>
  <c r="M23"/>
  <c r="U23"/>
  <c r="Y23"/>
  <c r="J24"/>
  <c r="AA6"/>
  <c r="AA11"/>
  <c r="C24"/>
  <c r="O24"/>
  <c r="S12"/>
  <c r="S24" s="1"/>
  <c r="Q12"/>
  <c r="Q24" s="1"/>
  <c r="M12"/>
  <c r="M24" s="1"/>
  <c r="Z16"/>
  <c r="AA18"/>
  <c r="E62" i="5"/>
  <c r="O9" i="3"/>
  <c r="Q9" s="1"/>
  <c r="O10"/>
  <c r="Q10" s="1"/>
  <c r="Q62" i="5"/>
  <c r="C28" i="1"/>
  <c r="D12" i="3"/>
  <c r="R44" i="5"/>
  <c r="R51"/>
  <c r="H62"/>
  <c r="E68" i="1" s="1"/>
  <c r="X30" i="4"/>
  <c r="X42"/>
  <c r="X27"/>
  <c r="Y33"/>
  <c r="G43"/>
  <c r="AA34"/>
  <c r="AA43" s="1"/>
  <c r="AA66" s="1"/>
  <c r="X40"/>
  <c r="J34"/>
  <c r="J43" s="1"/>
  <c r="J66" s="1"/>
  <c r="E85" i="1" s="1"/>
  <c r="Q66" i="4"/>
  <c r="Y42"/>
  <c r="T23" i="3"/>
  <c r="V23" s="1"/>
  <c r="T66" i="4"/>
  <c r="E43" i="2" s="1"/>
  <c r="K34" i="4"/>
  <c r="K43" s="1"/>
  <c r="U34"/>
  <c r="U43" s="1"/>
  <c r="U66" s="1"/>
  <c r="G12" i="3"/>
  <c r="O11"/>
  <c r="Q11" s="1"/>
  <c r="T22"/>
  <c r="V22" s="1"/>
  <c r="K12"/>
  <c r="O8"/>
  <c r="Q8" s="1"/>
  <c r="C12"/>
  <c r="L12"/>
  <c r="T21"/>
  <c r="V21" s="1"/>
  <c r="E14" i="6"/>
  <c r="D14"/>
  <c r="D23" s="1"/>
  <c r="C58" i="1"/>
  <c r="E60" s="1"/>
  <c r="C68"/>
  <c r="B14" i="14" s="1"/>
  <c r="E23" i="6"/>
  <c r="D50"/>
  <c r="D40" i="1"/>
  <c r="C40"/>
  <c r="B9" i="14" s="1"/>
  <c r="D68" i="1"/>
  <c r="F20" i="2" s="1"/>
  <c r="F24" s="1"/>
  <c r="C29" i="1"/>
  <c r="D58"/>
  <c r="F60" s="1"/>
  <c r="G66" i="4"/>
  <c r="F20" i="3"/>
  <c r="F25" s="1"/>
  <c r="R20"/>
  <c r="D83" i="1"/>
  <c r="C24" i="14" s="1"/>
  <c r="F37" i="2"/>
  <c r="C92" i="1"/>
  <c r="K66" i="4"/>
  <c r="J20" i="3"/>
  <c r="J25" s="1"/>
  <c r="F43" i="2"/>
  <c r="D92" i="1"/>
  <c r="D90"/>
  <c r="I43" i="4"/>
  <c r="P66"/>
  <c r="E25" i="3"/>
  <c r="W43" i="4"/>
  <c r="H56"/>
  <c r="G23" i="3" s="1"/>
  <c r="S23" s="1"/>
  <c r="U23" s="1"/>
  <c r="L38" i="5"/>
  <c r="R38" s="1"/>
  <c r="R6"/>
  <c r="G10" i="9"/>
  <c r="G14" s="1"/>
  <c r="Z34" i="4"/>
  <c r="Z43" s="1"/>
  <c r="Z66" s="1"/>
  <c r="D18" i="7"/>
  <c r="D21" s="1"/>
  <c r="E9" i="2"/>
  <c r="P9" i="3"/>
  <c r="R9" s="1"/>
  <c r="Y15" i="4"/>
  <c r="R34"/>
  <c r="X33"/>
  <c r="E43"/>
  <c r="F62" i="5"/>
  <c r="N62"/>
  <c r="C9" i="11"/>
  <c r="N34" i="4"/>
  <c r="N43" s="1"/>
  <c r="N66" s="1"/>
  <c r="X15"/>
  <c r="H34"/>
  <c r="H43" s="1"/>
  <c r="X20"/>
  <c r="F66"/>
  <c r="E50" i="6"/>
  <c r="E47"/>
  <c r="D47"/>
  <c r="D29" i="1"/>
  <c r="F29" s="1"/>
  <c r="F9" i="2"/>
  <c r="E20"/>
  <c r="E24" s="1"/>
  <c r="H12" i="3"/>
  <c r="P8"/>
  <c r="R8" s="1"/>
  <c r="P11"/>
  <c r="R11" s="1"/>
  <c r="N14"/>
  <c r="V34" i="4"/>
  <c r="X8"/>
  <c r="Y30"/>
  <c r="M34"/>
  <c r="M43" s="1"/>
  <c r="M66" s="1"/>
  <c r="S43"/>
  <c r="L66"/>
  <c r="D48"/>
  <c r="C21" i="3" s="1"/>
  <c r="S21" s="1"/>
  <c r="U21" s="1"/>
  <c r="X44" i="4"/>
  <c r="H49"/>
  <c r="Y56"/>
  <c r="D65"/>
  <c r="C24" i="3" s="1"/>
  <c r="S24" s="1"/>
  <c r="U24" s="1"/>
  <c r="Y65" i="4"/>
  <c r="S51" i="5"/>
  <c r="P62"/>
  <c r="E47" i="1" s="1"/>
  <c r="U24" i="12"/>
  <c r="R47" i="5"/>
  <c r="J62"/>
  <c r="X12" i="12"/>
  <c r="Z6"/>
  <c r="AA15"/>
  <c r="D43" i="4"/>
  <c r="Y53"/>
  <c r="Z9" i="12"/>
  <c r="S47" i="5"/>
  <c r="H12" i="12"/>
  <c r="H24" s="1"/>
  <c r="L12"/>
  <c r="L24" s="1"/>
  <c r="AA14"/>
  <c r="I38" i="5"/>
  <c r="I62" s="1"/>
  <c r="F68" i="1" s="1"/>
  <c r="I9" i="12"/>
  <c r="AA9" s="1"/>
  <c r="D62" i="5"/>
  <c r="E58" i="1" s="1"/>
  <c r="R61" i="5"/>
  <c r="E35" i="8"/>
  <c r="AA8" i="12"/>
  <c r="X23"/>
  <c r="Z23" s="1"/>
  <c r="Z14"/>
  <c r="Y12"/>
  <c r="Y48" i="4"/>
  <c r="M38" i="5"/>
  <c r="N7" i="3" s="1"/>
  <c r="S6" i="5"/>
  <c r="R27"/>
  <c r="S44"/>
  <c r="G62"/>
  <c r="E40" i="1" s="1"/>
  <c r="K62" i="5"/>
  <c r="O62"/>
  <c r="C18" i="7"/>
  <c r="C21" s="1"/>
  <c r="AA16" i="12"/>
  <c r="K23"/>
  <c r="S61" i="5"/>
  <c r="Z8" i="12"/>
  <c r="AA23" l="1"/>
  <c r="K24"/>
  <c r="F15" i="3"/>
  <c r="D15"/>
  <c r="F58" i="1"/>
  <c r="F62" s="1"/>
  <c r="I20" i="3"/>
  <c r="I25" s="1"/>
  <c r="B8" i="14"/>
  <c r="E8" i="2"/>
  <c r="E10"/>
  <c r="F11"/>
  <c r="F40" i="1"/>
  <c r="C9" i="14"/>
  <c r="B11"/>
  <c r="E51" i="6"/>
  <c r="F8" i="2"/>
  <c r="C11" i="14"/>
  <c r="E11" i="2"/>
  <c r="C14" i="14"/>
  <c r="D51" i="6"/>
  <c r="D81" i="1"/>
  <c r="C22" i="14" s="1"/>
  <c r="F35" i="2"/>
  <c r="N20" i="3"/>
  <c r="N25" s="1"/>
  <c r="C26" i="14"/>
  <c r="D8" i="11"/>
  <c r="D14" s="1"/>
  <c r="D91" i="1"/>
  <c r="F40" i="2"/>
  <c r="F32"/>
  <c r="D79" i="1"/>
  <c r="C19" i="14" s="1"/>
  <c r="L20" i="3"/>
  <c r="L25" s="1"/>
  <c r="L15"/>
  <c r="Y24" i="12"/>
  <c r="C90" i="1"/>
  <c r="E66" i="4"/>
  <c r="D20" i="3"/>
  <c r="D25" s="1"/>
  <c r="X65" i="4"/>
  <c r="H20" i="3"/>
  <c r="H25" s="1"/>
  <c r="I66" i="4"/>
  <c r="S62" i="5"/>
  <c r="M20" i="3"/>
  <c r="M25" s="1"/>
  <c r="E35" i="2"/>
  <c r="C81" i="1"/>
  <c r="B22" i="14" s="1"/>
  <c r="Y43" i="4"/>
  <c r="W66"/>
  <c r="L62" i="5"/>
  <c r="E69" i="1" s="1"/>
  <c r="D66" i="4"/>
  <c r="C20" i="3"/>
  <c r="C25" s="1"/>
  <c r="Z12" i="12"/>
  <c r="X24"/>
  <c r="Z24" s="1"/>
  <c r="E15" i="3"/>
  <c r="H53" i="4"/>
  <c r="H66" s="1"/>
  <c r="X49"/>
  <c r="C8" i="14"/>
  <c r="F10" i="2"/>
  <c r="G20" i="3"/>
  <c r="S14"/>
  <c r="K20"/>
  <c r="K25" s="1"/>
  <c r="K15"/>
  <c r="R43" i="4"/>
  <c r="X56"/>
  <c r="E32" i="2"/>
  <c r="C79" i="1"/>
  <c r="B19" i="14" s="1"/>
  <c r="M7" i="3"/>
  <c r="C69" i="1"/>
  <c r="R62" i="5"/>
  <c r="E71" i="1" s="1"/>
  <c r="H15" i="3"/>
  <c r="N12"/>
  <c r="P7"/>
  <c r="I12" i="12"/>
  <c r="I24" s="1"/>
  <c r="C15" i="3"/>
  <c r="M62" i="5"/>
  <c r="S66" i="4"/>
  <c r="P20" i="3"/>
  <c r="P25" s="1"/>
  <c r="X34" i="4"/>
  <c r="V43"/>
  <c r="S38" i="5"/>
  <c r="G15" i="3"/>
  <c r="M14"/>
  <c r="X48" i="4"/>
  <c r="Q20" i="3"/>
  <c r="E37" i="2"/>
  <c r="C83" i="1"/>
  <c r="B24" i="14" s="1"/>
  <c r="Y34" i="4"/>
  <c r="R25" i="3"/>
  <c r="C85" i="1"/>
  <c r="E72" l="1"/>
  <c r="F71"/>
  <c r="T20" i="3"/>
  <c r="V20" s="1"/>
  <c r="E33" i="2"/>
  <c r="C80" i="1"/>
  <c r="B20" i="14" s="1"/>
  <c r="Q15" i="3"/>
  <c r="O15"/>
  <c r="Y14"/>
  <c r="W14"/>
  <c r="M15"/>
  <c r="U14"/>
  <c r="D84" i="1"/>
  <c r="D93"/>
  <c r="D95" s="1"/>
  <c r="C27" i="14" s="1"/>
  <c r="F42" i="2"/>
  <c r="F45" s="1"/>
  <c r="D80" i="1"/>
  <c r="C20" i="14" s="1"/>
  <c r="F33" i="2"/>
  <c r="F31"/>
  <c r="D78" i="1"/>
  <c r="B23" i="14"/>
  <c r="E34" i="2"/>
  <c r="G22" i="3"/>
  <c r="S22" s="1"/>
  <c r="U22" s="1"/>
  <c r="X53" i="4"/>
  <c r="P15" i="3"/>
  <c r="R15"/>
  <c r="Q25"/>
  <c r="X43" i="4"/>
  <c r="V66"/>
  <c r="N15" i="3"/>
  <c r="D69" i="1"/>
  <c r="C70"/>
  <c r="E13" i="2"/>
  <c r="E16" s="1"/>
  <c r="E25" s="1"/>
  <c r="O20" i="3"/>
  <c r="O25" s="1"/>
  <c r="R66" i="4"/>
  <c r="AC43"/>
  <c r="Y66"/>
  <c r="B26" i="14"/>
  <c r="C8" i="11"/>
  <c r="C14" s="1"/>
  <c r="E40" i="2"/>
  <c r="C91" i="1"/>
  <c r="AA12" i="12"/>
  <c r="T25" i="3"/>
  <c r="R7"/>
  <c r="R12" s="1"/>
  <c r="P12"/>
  <c r="M12"/>
  <c r="O7"/>
  <c r="E31" i="2"/>
  <c r="C78" i="1"/>
  <c r="AA24" i="12"/>
  <c r="B18" i="14" l="1"/>
  <c r="C84" i="1"/>
  <c r="C88" s="1"/>
  <c r="D70"/>
  <c r="F13" i="2"/>
  <c r="F16" s="1"/>
  <c r="F25" s="1"/>
  <c r="X66" i="4"/>
  <c r="G25" i="3"/>
  <c r="S25" s="1"/>
  <c r="U25" s="1"/>
  <c r="S20"/>
  <c r="U20" s="1"/>
  <c r="C18" i="14"/>
  <c r="D88" i="1"/>
  <c r="D96" s="1"/>
  <c r="O12" i="3"/>
  <c r="Q7"/>
  <c r="Q12" s="1"/>
  <c r="V25"/>
  <c r="B15" i="14"/>
  <c r="B16" s="1"/>
  <c r="C71" i="1"/>
  <c r="C93"/>
  <c r="C95" s="1"/>
  <c r="B27" i="14" s="1"/>
  <c r="E42" i="2"/>
  <c r="E45" s="1"/>
  <c r="C25" i="14"/>
  <c r="F38" i="2"/>
  <c r="F41" s="1"/>
  <c r="F46" s="1"/>
  <c r="C29" i="14" l="1"/>
  <c r="C15"/>
  <c r="C16" s="1"/>
  <c r="D71" i="1"/>
  <c r="F72" s="1"/>
  <c r="C96"/>
  <c r="C98" s="1"/>
  <c r="B25" i="14"/>
  <c r="B29" s="1"/>
  <c r="E38" i="2"/>
  <c r="E41" s="1"/>
  <c r="E46" s="1"/>
  <c r="C30" i="14" l="1"/>
  <c r="D98" i="1"/>
</calcChain>
</file>

<file path=xl/comments1.xml><?xml version="1.0" encoding="utf-8"?>
<comments xmlns="http://schemas.openxmlformats.org/spreadsheetml/2006/main">
  <authors>
    <author>Pénzügy01</author>
    <author>Kadarkút PM. Hivatal</author>
  </authors>
  <commentList>
    <comment ref="H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W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T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U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V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W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N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K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N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O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T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U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T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U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sportkör
</t>
        </r>
      </text>
    </comment>
    <comment ref="J2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óvoda társulás támogatása</t>
        </r>
      </text>
    </comment>
    <comment ref="T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U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V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W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N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V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W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A44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Pénzügy01</author>
    <author>Kadarkút PM. Hivatal</author>
  </authors>
  <commentList>
    <comment ref="L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M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M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M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L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M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L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M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L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M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L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M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M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L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M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L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M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L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M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H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I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L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M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L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A39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M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L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M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</commentList>
</comments>
</file>

<file path=xl/sharedStrings.xml><?xml version="1.0" encoding="utf-8"?>
<sst xmlns="http://schemas.openxmlformats.org/spreadsheetml/2006/main" count="841" uniqueCount="560">
  <si>
    <t>Kadarkút Város Önkormányzat 2019. évi bevételei és kiadásai alakulásáról</t>
  </si>
  <si>
    <t xml:space="preserve"> Ft-ban</t>
  </si>
  <si>
    <t>BEVÉTELEK</t>
  </si>
  <si>
    <t>2019. évi eredeti ei</t>
  </si>
  <si>
    <t>2019. évi eredeti Módosított</t>
  </si>
  <si>
    <t>általános támogatás</t>
  </si>
  <si>
    <t>Önkormányzati hivatal működési támogatása (B111)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</si>
  <si>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</si>
  <si>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</si>
  <si>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</si>
  <si>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</si>
  <si>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</si>
  <si>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</si>
  <si>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</si>
  <si>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A települési önkormányzatok egyes köznevelési feladatainak támogatása (B112)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</si>
  <si>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</si>
  <si>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</si>
  <si>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</si>
  <si>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</si>
  <si>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</si>
  <si>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Bölcsődei dajkák, középfokú végzettségű kisgyermek nevelők (B113)</t>
  </si>
  <si>
    <t>Bölcsődei üzemeltetés támogatása (B113)</t>
  </si>
  <si>
    <t>Közművelődési feladatok támogatása (B114)</t>
  </si>
  <si>
    <t>Lakott külterület támogatás (B111)</t>
  </si>
  <si>
    <t>Elszámolásból származó bevételek (B116)</t>
  </si>
  <si>
    <t>Közös Hivatal részére bértámogatás pályázat (B115)</t>
  </si>
  <si>
    <t>Szociális tüzifa támogatás 2019 (B115)</t>
  </si>
  <si>
    <t>Tűzoltóságok támogatása (REKI) B115</t>
  </si>
  <si>
    <t>Tankerületi Központ költségének térítésa (REKI) (B115)</t>
  </si>
  <si>
    <t>Működési célú önkormányzati támogatás (REKI) (B115)</t>
  </si>
  <si>
    <t>Önkormányzatok működési támogatása:</t>
  </si>
  <si>
    <t>Működési bevétel TB alapoktól (B16)</t>
  </si>
  <si>
    <t>Működési bevétel Munkaügyi Központtól (B16)</t>
  </si>
  <si>
    <t>Biztos Kezdet Gyerekház támogatása (B16)</t>
  </si>
  <si>
    <t>Működési bevétel helyi önkormányzatoktól   (B16)</t>
  </si>
  <si>
    <t>Központi kezelésű működési támogatás bevétele (B16)</t>
  </si>
  <si>
    <t>Működési bevétel Megyei Könyvtártól  (B16)</t>
  </si>
  <si>
    <t>TOP pályázat keretében foglalkoztatott bértámogatása- Város (B16)</t>
  </si>
  <si>
    <t>Magyar Falu program támogatása (B16)</t>
  </si>
  <si>
    <t>EP választás (B16)</t>
  </si>
  <si>
    <t>TOP pályázat keretében foglalkoztatott bértámogatása- SZASZK (B16)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</si>
  <si>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</si>
  <si>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</si>
  <si>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</si>
  <si>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Pótlékok és bírságok (B36)</t>
  </si>
  <si>
    <t>Talajterhelési díj (B36)</t>
  </si>
  <si>
    <t>Gépjárműadó 40% (B354)</t>
  </si>
  <si>
    <t>Egyéb közhatalmi bevételek (ig.szolg.-i díj) (B36)</t>
  </si>
  <si>
    <t>Közhatalmi bevételek összesen:</t>
  </si>
  <si>
    <t>Készletértékesítés (B401)</t>
  </si>
  <si>
    <t>Szolgáltatások bevétele, tárgyi eszkö bérbeadása (B402)</t>
  </si>
  <si>
    <t>Intézményi ellátási díjak (B405)</t>
  </si>
  <si>
    <t>Egyéb működési bevétel (B411)</t>
  </si>
  <si>
    <t>Tulajdonosi bevételek (B404)</t>
  </si>
  <si>
    <t>Kiszámlázott áfa bevétel (B406)</t>
  </si>
  <si>
    <t>Áfa visszatérítése (B407)</t>
  </si>
  <si>
    <t>Kamatbevételek (B4082)</t>
  </si>
  <si>
    <t>Közvetített szolgáltatások bevétele (B403)</t>
  </si>
  <si>
    <t>Biztosítók által fizetett kártérítés (B410)</t>
  </si>
  <si>
    <t>Működési bevételek összesen:</t>
  </si>
  <si>
    <t>Műk. célú kölcsön törlesztése háztartástól (B411)</t>
  </si>
  <si>
    <t>Műk. célú átvett pénzeszközök összesen:</t>
  </si>
  <si>
    <t>Felhamozási célú önkormányzati támogatások (B21)</t>
  </si>
  <si>
    <t>Traktor beszerzés támogatás (ÁHT-n belül) (B21)</t>
  </si>
  <si>
    <t>EFOP program támogatása (B25)</t>
  </si>
  <si>
    <t>Szociális Alaszolg. Kp. konyha tető felújítás, eszköz beszerzés támogatása (B21)</t>
  </si>
  <si>
    <t>Kamerarendszer kiépítésének támogatása (B21)</t>
  </si>
  <si>
    <t>Felhalmozási célú kölcsön visszatérülése (B74)</t>
  </si>
  <si>
    <t>Orvosi eszköz beszerzés (B21)</t>
  </si>
  <si>
    <t>Felhalmozási célú bevételek összesen: (B21,B23, B25, B74)</t>
  </si>
  <si>
    <t>Költségvetési maradvány (B8131)</t>
  </si>
  <si>
    <t>Költségvetési maradvány összesen:</t>
  </si>
  <si>
    <t>BEVÉTELEK ÖSSZESEN:</t>
  </si>
  <si>
    <t>2/1 oldal</t>
  </si>
  <si>
    <t>Kadarkút Város Önkormányzat 2019 . évi bevételei és kiadásai alakulásáról</t>
  </si>
  <si>
    <t>KIADÁSOK</t>
  </si>
  <si>
    <t>2019. évi  módosított ei</t>
  </si>
  <si>
    <t>Személyi juttatások (K1101, K1103, K1109, K1110, K1113, K121, K122, K123)</t>
  </si>
  <si>
    <t>Munkáltatót terhelő járulékok</t>
  </si>
  <si>
    <t xml:space="preserve">Dologi kiadások (K311,K312,K312,K321,K322, K331, K332, K333, K334, K335, K336, K337,  K341, K351,K352, K353, K354, K355, </t>
  </si>
  <si>
    <t>Ellátottak pénzbeni juttatásai (K42,K47, K48)</t>
  </si>
  <si>
    <t>Helyi önkormányzatok előző évi elszámolásból származó kiadások (K5021)</t>
  </si>
  <si>
    <t>ÁHT-n belüli megelőlegezés visszafizetése (K914)</t>
  </si>
  <si>
    <t>Pénzügyi lízing kiadásai (K917)</t>
  </si>
  <si>
    <t>Műk.célú pénzeszk átadás Áht kivűlre (K512)</t>
  </si>
  <si>
    <t>Műk.célú pénzeszk átadás Áht belülre  (K506)</t>
  </si>
  <si>
    <t>Orvosi rendelő támogatás visszafizetés (K)</t>
  </si>
  <si>
    <t>Működési kiadások összesen:</t>
  </si>
  <si>
    <t>Általános tartalék (K513)</t>
  </si>
  <si>
    <t>Céltartalék (K513)</t>
  </si>
  <si>
    <t>Tartalékok összesen:</t>
  </si>
  <si>
    <t>Beruházás (K61,K62, K63, K64, K67)</t>
  </si>
  <si>
    <t>Felújítás (K71, K73, K74)</t>
  </si>
  <si>
    <t>Egyéb felhalmozási célú kiadások</t>
  </si>
  <si>
    <t>Felhalmozási kiadások:</t>
  </si>
  <si>
    <t>KIADÁSOK ÖSSZESEN:</t>
  </si>
  <si>
    <t>2/2 oldal</t>
  </si>
  <si>
    <t>Kadarkút Város Önkormányzatának 
összevont mérlege  2017., 2018., 2019 években</t>
  </si>
  <si>
    <t xml:space="preserve">Bevételi előirányzatok </t>
  </si>
  <si>
    <t>Kiemelt előirányzatok</t>
  </si>
  <si>
    <t>2017. évi
 eredeti előirányzat</t>
  </si>
  <si>
    <t>2018. évi
 eredeti előirányzat</t>
  </si>
  <si>
    <t xml:space="preserve">2019. évi
 eredeti </t>
  </si>
  <si>
    <t xml:space="preserve">2019. évi
módosított </t>
  </si>
  <si>
    <t>Működési célú saját bevétel</t>
  </si>
  <si>
    <t>Közhatalmi bevétel</t>
  </si>
  <si>
    <t>Működési célú költségvetési támogatás</t>
  </si>
  <si>
    <t>Működési célú átvett pénzeszköz, kölcsöntörl.</t>
  </si>
  <si>
    <t xml:space="preserve">               -ebből OEP-től átvett</t>
  </si>
  <si>
    <t>Működési célú pénzmaradvány</t>
  </si>
  <si>
    <t xml:space="preserve">Államháztartáson belüli megelőlegezés 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</si>
  <si>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</si>
  <si>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</si>
  <si>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</si>
  <si>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</si>
  <si>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</si>
  <si>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</si>
  <si>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</si>
  <si>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</si>
  <si>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</si>
  <si>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</si>
  <si>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</si>
  <si>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</si>
  <si>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2019. évi
eredeti előirányzat</t>
  </si>
  <si>
    <t>Személyi juttatások</t>
  </si>
  <si>
    <t>Munkaadókat terhelő járulékok</t>
  </si>
  <si>
    <t>Dologi kiadások</t>
  </si>
  <si>
    <t>Működési célú pénzeszközátadás, támogatás</t>
  </si>
  <si>
    <t>Ellátottak pénzbeli juttatásai</t>
  </si>
  <si>
    <t>Helyi önkormányzatok előző évi elsz. Kiad</t>
  </si>
  <si>
    <t>Államháztartáson belüli megelőlegezés visszafizetése</t>
  </si>
  <si>
    <t>Pénzügyi lízing kiadásai</t>
  </si>
  <si>
    <t>Általános tartalék</t>
  </si>
  <si>
    <t>Céltartalék</t>
  </si>
  <si>
    <t>Működési célú kiadások összesen:</t>
  </si>
  <si>
    <t>Felújítás - áfával</t>
  </si>
  <si>
    <t>Beruházás - áfával</t>
  </si>
  <si>
    <t>Felhalmozási célúpénzeszközátadás</t>
  </si>
  <si>
    <t>Felhalmozási célú kiadások összesen:</t>
  </si>
  <si>
    <t>KIADÁSI ELŐIRÁNYZAT MINDÖSSZESEN:</t>
  </si>
  <si>
    <t>Kadarkút Város Önkormányzatának működési bevételei és kiadásai 2019. évben</t>
  </si>
  <si>
    <t>BEVÉTEL</t>
  </si>
  <si>
    <t>Intézmény</t>
  </si>
  <si>
    <t>MŰKÖDÉSI BEVÉTEL</t>
  </si>
  <si>
    <t>KÖZHATALMI BEVÉTEL</t>
  </si>
  <si>
    <t>MŰKÖDÉSI  TÁMOGATÁSOK</t>
  </si>
  <si>
    <t>HITELFELVÉTEL /  PÉNZÜGYI LÍZING</t>
  </si>
  <si>
    <t>IRÁNYÍTÓ SZERVI TÁMOGATÁS</t>
  </si>
  <si>
    <t>KÖLTSÉGVETÉSI MARADVÁNY IGÉNYBEVÉTELE</t>
  </si>
  <si>
    <t>ÖSSZES BEVÉTEL</t>
  </si>
  <si>
    <t>ÖSSZES BEVÉTEL (IRÁNYÍTÓSZERVI TÁMOGATÁS NÉLKÜL)</t>
  </si>
  <si>
    <t>Cím</t>
  </si>
  <si>
    <t xml:space="preserve">Eredeti ei. </t>
  </si>
  <si>
    <t>Módosított ei.</t>
  </si>
  <si>
    <t>I.</t>
  </si>
  <si>
    <t>Kadarkút Város Önkormányzata</t>
  </si>
  <si>
    <t>II.</t>
  </si>
  <si>
    <t>Kadarkúti Közös Önkormányzati  Hivatal</t>
  </si>
  <si>
    <t>III.</t>
  </si>
  <si>
    <t>Id.Kapoli Antal Művelődési Ház</t>
  </si>
  <si>
    <t>IV.</t>
  </si>
  <si>
    <t>Bokor József Városi Könyvtár</t>
  </si>
  <si>
    <t>V.</t>
  </si>
  <si>
    <t>Kadarkúti Szociális Alapszolgáltatási Központ</t>
  </si>
  <si>
    <t>ÖSSZESEN</t>
  </si>
  <si>
    <t>KIADÁS</t>
  </si>
  <si>
    <t>SZEMÉLYI JUTTATÁS</t>
  </si>
  <si>
    <t>MUNKAADÓKAT TERHELŐ JÁRULÉK</t>
  </si>
  <si>
    <t>DOLOGI KIADÁSOK</t>
  </si>
  <si>
    <t>EGYÉB MŰKÖDÉSI KIADÁSOK</t>
  </si>
  <si>
    <t>IRÁNYÍTÓ SZERVI TÁMOGATÁS FOLYÓSÍTÁSA</t>
  </si>
  <si>
    <t>ELLÁTOTTAK PÉNZBENI JUTTATÁSAI</t>
  </si>
  <si>
    <t>HITEL / LÍZING</t>
  </si>
  <si>
    <t>ÖSSZES KIADÁS</t>
  </si>
  <si>
    <t>ÖSSZES KIADÁS (IRÁNYÍTÓ SZERVI TÁMOGATÁS NÉLKÜL)</t>
  </si>
  <si>
    <t>Eredeti ei.</t>
  </si>
  <si>
    <t>id.Kapoli Antal Művelődési Ház</t>
  </si>
  <si>
    <t>3.sz. melléklet</t>
  </si>
  <si>
    <t>Kadarkút Város Önkormányzat 2019. évi kiadásai kormányzati funkciók szerinti bontásban</t>
  </si>
  <si>
    <t>CÍM</t>
  </si>
  <si>
    <t>Kormányzati funkció</t>
  </si>
  <si>
    <t>MEGNEVEZÉS</t>
  </si>
  <si>
    <t>ÖSSZESEN
EREDETI  EI</t>
  </si>
  <si>
    <t>ÖSSZESEN MÓDOSÍTOTT EI</t>
  </si>
  <si>
    <t>LÉTSZÁM (FŐ)
EREDETI</t>
  </si>
  <si>
    <t>LÉTSZÁM (FŐ)
MÓDOSÍTOTT</t>
  </si>
  <si>
    <t>051.
SZEMÉLYI JUTTATÁS
EREDETI EI</t>
  </si>
  <si>
    <t>051.
SZEMÉLYI JUTTATÁS
MÓDOSÍTOTT EI</t>
  </si>
  <si>
    <t>052. 
MUNK. TERH. JÁRULÉK
EREDETI EI</t>
  </si>
  <si>
    <t>052. 
MUNK. TERH. JÁRULÉK
MÓDOSÍTOTT EI</t>
  </si>
  <si>
    <t>053.  
DOLOGI KIADÁS
EREDETI EI</t>
  </si>
  <si>
    <t>053.  
DOLOGI KIADÁS
MÓDOSÍTOTT EI</t>
  </si>
  <si>
    <t>055.
MŰKÖDÉSI C. ÁTADOTT PÉNZESZK.
EREDETI EI</t>
  </si>
  <si>
    <t>055.
MŰKÖDÉSI C. ÁTADOTT PÉNZESZK.
MÓDOSÍTOTT EI</t>
  </si>
  <si>
    <t>055121.
ELLÁTOTTAK PÉNZBENI PÉNZBENI  JUTTATÁSAI
EREDETI EI</t>
  </si>
  <si>
    <t>055121.
ELLÁTOTTAK PÉNZBENI PÉNZBENI  JUTTATÁSAI
MÓDOSÍTOTT EI</t>
  </si>
  <si>
    <t xml:space="preserve">
055.
TARTALÉK
EREDETI EI</t>
  </si>
  <si>
    <t xml:space="preserve">
055.
TARTALÉK
MÓDOSÍTOTT EI</t>
  </si>
  <si>
    <t>059.
ÁLLAMHÁZTAR- TÁSON BELÜLI MEGELŐLEGEZÉS VISSZAFIZETÉSE
EREDETI EI</t>
  </si>
  <si>
    <t>059.
ÁLLAMHÁZTAR- TÁSON BELÜLI MEGELŐLEGEZÉS VISSZAFIZETÉSE
MÓDOSÍTOTT EI</t>
  </si>
  <si>
    <t>059.
PÉNZÜGYI LÍZING KIADÁS
EREDETI EI</t>
  </si>
  <si>
    <t>059.
PÉNZÜGYI LÍZING KIADÁS
MÓDOSÍTOTT EI</t>
  </si>
  <si>
    <t xml:space="preserve">
056.
BERUHÁZÁS
EREDETI EI
</t>
  </si>
  <si>
    <t xml:space="preserve">
056.
BERUHÁZÁS
MÓDOSÍTOTT EI
</t>
  </si>
  <si>
    <t xml:space="preserve">
057.
FELÚJÍTÁS
EREDETI EI</t>
  </si>
  <si>
    <t xml:space="preserve">
057.
FELÚJÍTÁS
MÓDOSÍTOTT EI</t>
  </si>
  <si>
    <t>011130</t>
  </si>
  <si>
    <t>Önk.jogalkotó és ált.igazgat.tev.</t>
  </si>
  <si>
    <t>013320</t>
  </si>
  <si>
    <t>Köztemető fenntartás</t>
  </si>
  <si>
    <t>013350</t>
  </si>
  <si>
    <t>Vagyongazdálkodás</t>
  </si>
  <si>
    <t>041232</t>
  </si>
  <si>
    <t>Start munkaprogram</t>
  </si>
  <si>
    <t>041233</t>
  </si>
  <si>
    <t>Hosszabb időtartamú közfoglalkoztatás</t>
  </si>
  <si>
    <t>041236</t>
  </si>
  <si>
    <t>Országos közfoglakoztatási program</t>
  </si>
  <si>
    <t>041237</t>
  </si>
  <si>
    <t>Közfoglalkoztatási mintaprogram</t>
  </si>
  <si>
    <t>045160</t>
  </si>
  <si>
    <t>Közutak üzemeltetése</t>
  </si>
  <si>
    <t>051030</t>
  </si>
  <si>
    <t>Települési hulladékkezelés</t>
  </si>
  <si>
    <t>052080</t>
  </si>
  <si>
    <t>Szennyvízcsatorna fenntartása, üzemeltetése</t>
  </si>
  <si>
    <t>062020</t>
  </si>
  <si>
    <t>Településfejlesztési projektek- Magyar Falu</t>
  </si>
  <si>
    <t>Kaposi Máté</t>
  </si>
  <si>
    <t>063020</t>
  </si>
  <si>
    <t>Víztermelés,- kezelés,- ellátás</t>
  </si>
  <si>
    <t>064010</t>
  </si>
  <si>
    <t>Közvilágítás</t>
  </si>
  <si>
    <t>066010</t>
  </si>
  <si>
    <t>Zöldterület-kezelés</t>
  </si>
  <si>
    <t>066020</t>
  </si>
  <si>
    <t>Városgazd. egyéb szolg.</t>
  </si>
  <si>
    <t>ganczné</t>
  </si>
  <si>
    <t>072111</t>
  </si>
  <si>
    <t>Háziorvosi alapellátás</t>
  </si>
  <si>
    <t>074031</t>
  </si>
  <si>
    <t>Védőnői szolgálat</t>
  </si>
  <si>
    <t>081045</t>
  </si>
  <si>
    <t>Szabadidő- sporttevékenység támogatás</t>
  </si>
  <si>
    <t>018030</t>
  </si>
  <si>
    <t>Óvodatársulás támogatása</t>
  </si>
  <si>
    <t>Támogatási célú fin. Műv (Katasztrófavédelem, fogászat, vakok és gyengénlátók)</t>
  </si>
  <si>
    <t>Orvosi rendelő támogatás visszafizetés</t>
  </si>
  <si>
    <t>104044</t>
  </si>
  <si>
    <t>Biztos Kezdet Gyerekház</t>
  </si>
  <si>
    <t>106010</t>
  </si>
  <si>
    <t>Lakóing. szoc. célú bérbead., üzemelt.</t>
  </si>
  <si>
    <t>106020</t>
  </si>
  <si>
    <t>Lakásfenntartással, lakhatással összefüggő ellátások (szoc tüzifa)</t>
  </si>
  <si>
    <t>107060</t>
  </si>
  <si>
    <t>Egyéb szoc. pénzbeli és term. ellátások</t>
  </si>
  <si>
    <t>082091</t>
  </si>
  <si>
    <t>Közművelődés-közösségi és társ.tev.részv.fejl.</t>
  </si>
  <si>
    <t>018010</t>
  </si>
  <si>
    <t>Áht-n belüli megelőlegezés visszafiz.</t>
  </si>
  <si>
    <t>900060</t>
  </si>
  <si>
    <t>Pénzügyi műveletek kiadásai (Szaszk autó)</t>
  </si>
  <si>
    <t>KÖTELEZŐ FELADATOK ÖSSZESEN</t>
  </si>
  <si>
    <t>072450</t>
  </si>
  <si>
    <t>Fizikoterápiás szolg. (labor)</t>
  </si>
  <si>
    <t>Ápolási díj</t>
  </si>
  <si>
    <t>Egyéb szoc. pénzbeli és term. ellátások (BURSA)</t>
  </si>
  <si>
    <t>104051</t>
  </si>
  <si>
    <t>Gyemekvédelmi, pénzbeli és természetbeli ellátások</t>
  </si>
  <si>
    <t>016080</t>
  </si>
  <si>
    <t>Kiemelt önkormányzati rendezvények</t>
  </si>
  <si>
    <t>084010</t>
  </si>
  <si>
    <t>Társadalmi esélyegy-el összefüggő feladatok</t>
  </si>
  <si>
    <t>084070</t>
  </si>
  <si>
    <t>Fiatalok társad. Integr. Segítő struktúra fejlesztés</t>
  </si>
  <si>
    <t>NEM KÖTELEZŐ FELADATOK ÖSSZESEN</t>
  </si>
  <si>
    <t>ÖNKORMÁNYZAT</t>
  </si>
  <si>
    <t>016010</t>
  </si>
  <si>
    <t>EP választás</t>
  </si>
  <si>
    <t>084070 / 084020</t>
  </si>
  <si>
    <t>KÖZÖS ÖNKORMÁNYZATI HIVATAL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</si>
  <si>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</si>
  <si>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</si>
  <si>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</si>
  <si>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</si>
  <si>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</si>
  <si>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</si>
  <si>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Id. KAPOLI ANTAL MŰVELŐDÉSI HÁZ</t>
  </si>
  <si>
    <t>082042</t>
  </si>
  <si>
    <t>Könyvtári állomány gyarapítása</t>
  </si>
  <si>
    <t>082044</t>
  </si>
  <si>
    <t>Könyvtári szolgáltatások</t>
  </si>
  <si>
    <t>BOKOR JÓZSEF VÁROSI KÖNYVTÁR</t>
  </si>
  <si>
    <t>107052</t>
  </si>
  <si>
    <t>Házi segítségnyújtás</t>
  </si>
  <si>
    <t>104042</t>
  </si>
  <si>
    <t>Család és gyermekjóléti szolgáltatások</t>
  </si>
  <si>
    <t>102031</t>
  </si>
  <si>
    <t>Idősek nappali ellátása</t>
  </si>
  <si>
    <t>Barna. Ferenciné, Horváth Gy., Szalai N</t>
  </si>
  <si>
    <t>104031</t>
  </si>
  <si>
    <t>gyermekek bölcsődében és minibölcsödében történő ellátása</t>
  </si>
  <si>
    <t>107051</t>
  </si>
  <si>
    <t>Szociális étkeztetés</t>
  </si>
  <si>
    <t>104037</t>
  </si>
  <si>
    <t>Köznevelési intézményen kívüli gyermekétk.</t>
  </si>
  <si>
    <t>096025</t>
  </si>
  <si>
    <t>Munkahelyi vendéglátás</t>
  </si>
  <si>
    <t>096015</t>
  </si>
  <si>
    <t>Gyermekétkeztetés köznevelési intézményben</t>
  </si>
  <si>
    <t>"- ihárosi"</t>
  </si>
  <si>
    <t>KADARKÚTI SZOCIÁLIS ALAPSZOLGÁLTATÁSI KÖZPONT</t>
  </si>
  <si>
    <t>MINDÖSSZESEN</t>
  </si>
  <si>
    <t>Kadarkút Város Önkormányzat 2019. évi bevételei kormányzati funkciók szerinti bontásban</t>
  </si>
  <si>
    <t>KIEMELT ELŐIRÁNYZATOK</t>
  </si>
  <si>
    <t>Működési bevételek
(094)
EREDETI EI</t>
  </si>
  <si>
    <t>Működési bevételek
(094) MÓDOSÍTOTT EI</t>
  </si>
  <si>
    <t xml:space="preserve"> Működési támogatások 
(091)
EREDETI EI</t>
  </si>
  <si>
    <t xml:space="preserve"> Működési támogatások 
(091)
MÓDOSÍTOTT EI</t>
  </si>
  <si>
    <t>Felhalmozási célú támogatások 
(092)
EREDETI EI</t>
  </si>
  <si>
    <t>Felhalmozási célú támogatások 
(092)
MÓDOSÍTOTT EI</t>
  </si>
  <si>
    <t>Felhalmozási célú támogatások visszafizezése háztartásoktól 
(097)
EREDETI EI</t>
  </si>
  <si>
    <t>Felhalmozási célú támogatások visszafizezése háztartásoktól 
(097)
MÓDOSÍTOTT EI</t>
  </si>
  <si>
    <t>Költségvetési maradvány
 (098)
EREDETI EI</t>
  </si>
  <si>
    <t>Költségvetési maradvány
 (098)
MÓDOSÍTOTT EI</t>
  </si>
  <si>
    <t>Központi irányítószervi támogatás
 (098)
EREDETI EI</t>
  </si>
  <si>
    <t>Központi irányítószervi támogatás
 (098)
MÓDOSÍTOTT EI</t>
  </si>
  <si>
    <t>Közhatalmi bevételek
 (093)
EREDETI EI</t>
  </si>
  <si>
    <t>Közhatalmi bevételek
 (093)
MÓDOSÍTOTT EI</t>
  </si>
  <si>
    <t>ÖSSZESEN
EREDETI EI</t>
  </si>
  <si>
    <t>ÖSSZESEN
MÓDOSÍTOTT EI</t>
  </si>
  <si>
    <t>013370</t>
  </si>
  <si>
    <t>Informatikai fejlesztések, szolgáltatások</t>
  </si>
  <si>
    <t>Teleülésfejlesztési projektek- Magyar Falu</t>
  </si>
  <si>
    <t>072311</t>
  </si>
  <si>
    <t>Fogorvosi alapellátás</t>
  </si>
  <si>
    <t>Támogatási célú finansz. Műveletek</t>
  </si>
  <si>
    <t>Lakásfenntartással, lakhatással összefüggő ellátások (szoc.tüzifa)</t>
  </si>
  <si>
    <t>Önkormányzatok elszámolásai a központi költségvetéssel</t>
  </si>
  <si>
    <t>900020</t>
  </si>
  <si>
    <t>Önkormányzati funkcióra nem sorolt bevét</t>
  </si>
  <si>
    <t>Bevételek</t>
  </si>
  <si>
    <t>KADARKÚT VÁROS ÖNKORMÁNYZATA</t>
  </si>
  <si>
    <t>061010</t>
  </si>
  <si>
    <t>Gyermekvédelmi és pénzbeli term.beli ellátások</t>
  </si>
  <si>
    <t>A helyi önkormányzatok központilag szabályzott bevételei 2019. évben</t>
  </si>
  <si>
    <t>"ÖSSZESÍTŐ"</t>
  </si>
  <si>
    <t>KSH kód:</t>
  </si>
  <si>
    <t>Helyi önkormányzat: Kadarkút</t>
  </si>
  <si>
    <t>Többcélú kistérségi társulás:</t>
  </si>
  <si>
    <t>Lakos 2018. jan.1.</t>
  </si>
  <si>
    <t>A hozzájárulások és támogatások összesítése:</t>
  </si>
  <si>
    <t>Jogcím</t>
  </si>
  <si>
    <t>EREDETI EI
Összeg</t>
  </si>
  <si>
    <t>MÓDOSÍTOTT EI
Összeg</t>
  </si>
  <si>
    <t>száma</t>
  </si>
  <si>
    <t>Megnevezés</t>
  </si>
  <si>
    <t>Támogatás (Ft)</t>
  </si>
  <si>
    <t>I.1.a)</t>
  </si>
  <si>
    <t>I.1.a) Önkormányzati hivatal működésének támogatása 15,44 fő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</si>
  <si>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</si>
  <si>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</si>
  <si>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</si>
  <si>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</si>
  <si>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</si>
  <si>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</si>
  <si>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</si>
  <si>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</si>
  <si>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</si>
  <si>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</si>
  <si>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</si>
  <si>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</si>
  <si>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</si>
  <si>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</si>
  <si>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</si>
  <si>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Polgármesteri illetmény támogatása</t>
  </si>
  <si>
    <t>I. ÁLTALÁNOS FELADATOK TÁMOGATÁSA ÖSSZESEN</t>
  </si>
  <si>
    <t>Óvodapedagógusok 8 havi támogatása 10,3 fő</t>
  </si>
  <si>
    <t>Óvodapedagógusok 4 havi támogatása 10,5 fő</t>
  </si>
  <si>
    <t xml:space="preserve">Alapfokozatú végzettségű pedagógus II. kategóriába sorolt óvodapedagógus kiegészítő támogatása 2 fő </t>
  </si>
  <si>
    <t xml:space="preserve">Alapfokozatú végzettségű pedagógus II. kategóriába sorolt óvodapedagógus, akik a minősítést  2018.01.01-i átsorolással szerezték meg  5 fő </t>
  </si>
  <si>
    <t>Segítők 8 havi támogatása5 fő</t>
  </si>
  <si>
    <t>Segítők 4 havi támogatása 5 fő</t>
  </si>
  <si>
    <t>Óvodaműködtetési támogatás - 8 hónap 105 fő</t>
  </si>
  <si>
    <t>Óvodaműködtetési támogatás - 4 hónap 105 fő</t>
  </si>
  <si>
    <t>II. TELEPÜLÉSI ÖNKORMÁNYZATOK EGYES KÖZNEVELÉSI FELADATAINAK TÁMOGATÁSA ÖSSZESEN</t>
  </si>
  <si>
    <t>A települési önkormányzatok szociális feladatainak egyéb támogatása</t>
  </si>
  <si>
    <t>A finanszirozás szemp.elismert dolgozók bértámogatása 9,74 fő</t>
  </si>
  <si>
    <t>Gyerekétkeztetés üzemeltetési támogatása</t>
  </si>
  <si>
    <t>A rászoruló gyermekek  szünidei étkeztetésének támogatása</t>
  </si>
  <si>
    <t>Család- és gyermekjóléti szolgálat</t>
  </si>
  <si>
    <t>Szociális étkeztetés 90 fő</t>
  </si>
  <si>
    <t>Házi segytségnyújtás-szociális segítés 6 fő</t>
  </si>
  <si>
    <t>Házi segítségnyújtás-személyi gondozás 16 fő</t>
  </si>
  <si>
    <t>Időskorúak nappali intézményi ellátása 17 fő</t>
  </si>
  <si>
    <t>Bölcsődei elismert szakmai létszáma 2,5 fő</t>
  </si>
  <si>
    <t>Bölcsőde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</si>
  <si>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</si>
  <si>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</si>
  <si>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</si>
  <si>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</si>
  <si>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Rendkívüli önkormányzati támogatás</t>
  </si>
  <si>
    <t>Előző évi elszámolásból adódó bevétel</t>
  </si>
  <si>
    <t>szociális tüzifa támogatás és KÖH bértámogatás bevétel</t>
  </si>
  <si>
    <t>Működési célú költségvetési támogatások és kiegészítő támogatások</t>
  </si>
  <si>
    <t>Helyi önkormányzatok és többcélú kistérségi társulások egyes költségvetési kapcsolatokból számított bevételei összesen</t>
  </si>
  <si>
    <t xml:space="preserve">          Kadarkút Város Önkormányzatának 2019. évi felhalmozási bevételei</t>
  </si>
  <si>
    <t>EREDETI Ei.</t>
  </si>
  <si>
    <t>Módosított Ei.</t>
  </si>
  <si>
    <t>-melyből EFOP 3-9-2 program támogatása</t>
  </si>
  <si>
    <t>-melyből EFOP 1-5-3 program támogatása</t>
  </si>
  <si>
    <t>Orvosi eszköz beszerzés támogatása- Magyar Falu</t>
  </si>
  <si>
    <t>Felhalmozási kölcsön visszatérülése</t>
  </si>
  <si>
    <t>Felhalmozási célú önkormányzati támogatás- Magyar Falu</t>
  </si>
  <si>
    <t>Összesen:</t>
  </si>
  <si>
    <t>Felhalmozási költségvetési maradvány igénybevétele</t>
  </si>
  <si>
    <t>MINDÖSSZESEN:</t>
  </si>
  <si>
    <t>Kadarkút Város Önkormányzatának 
2019. évi felhalmozási kiadásai</t>
  </si>
  <si>
    <t>Fejlesztési cél megnevezése</t>
  </si>
  <si>
    <t>Kiemelt előir. megnevezése</t>
  </si>
  <si>
    <t>ÖSSZEG
EREDETI Ei.</t>
  </si>
  <si>
    <t>ÖSSZEG
MÓDOSÍTOTT Ei.</t>
  </si>
  <si>
    <t>Európai Uniós forrásból</t>
  </si>
  <si>
    <t>orvosi rendelő építése</t>
  </si>
  <si>
    <t>beruházás</t>
  </si>
  <si>
    <t>Orvosi rendelő építés új építési terv készítés</t>
  </si>
  <si>
    <t>EFOP-3-9-2 óvoda vizesblok és rekortánpálya világítása</t>
  </si>
  <si>
    <t>Nem Európai Uniós forrásból</t>
  </si>
  <si>
    <t>Sportpálya felújítása</t>
  </si>
  <si>
    <t>felújítás</t>
  </si>
  <si>
    <t>Kamerarendszer kiépítése</t>
  </si>
  <si>
    <t>Traktor beszerzés</t>
  </si>
  <si>
    <t>Iskolakonyha eszköz beszerzés, tető felújítása (útófinanszírozás)</t>
  </si>
  <si>
    <t>Közmvelődési érdekeltségnövelő támogatás+önerő (2018 évi)</t>
  </si>
  <si>
    <t>Pipacs utca vízrendezés</t>
  </si>
  <si>
    <t>Szociális bérlakások felújítása</t>
  </si>
  <si>
    <t>Biztos Kezdet Gyerekház - laptop beszerzés</t>
  </si>
  <si>
    <t>Biztos Kezdet Gyerekház - bejárati ajtó csere</t>
  </si>
  <si>
    <t>Védőnői szolgálat részére nyomtató beszerzés</t>
  </si>
  <si>
    <t>Körmendi utcai ingatlan visszavásárlása</t>
  </si>
  <si>
    <t>Önkormányzati bérlakások felújítása</t>
  </si>
  <si>
    <t xml:space="preserve">Közös Hivatal légkondizíonáló berendezés </t>
  </si>
  <si>
    <t>Közös Hivatal eszköz beszerzés (szünetmentes, monitor)</t>
  </si>
  <si>
    <t>Könyvtár részére bútor beszerzés (fotel, asztal)</t>
  </si>
  <si>
    <t xml:space="preserve">Művelődési Ház eszköz beszerzés </t>
  </si>
  <si>
    <t>Szaszk eszköz beszerzés (bútor, TV, rádió, étkészlet, vérnyomásmérő, vércukormárő, kerékpár)</t>
  </si>
  <si>
    <t>SZASZK konyha bojler beszerzés</t>
  </si>
  <si>
    <t>Pipacs u. 4db 12 fm-nél hosszabb vízmérő bekötések cseréje</t>
  </si>
  <si>
    <t>Magyar Falu program művelődési ház felújítás</t>
  </si>
  <si>
    <t>Magyar Falu program művelődési ház eszköz beszerzés</t>
  </si>
  <si>
    <t>Fűnyíró kistraktor motor csere - közfogi program</t>
  </si>
  <si>
    <t>Fő u. 24. kamera rendszer- közfogl. Gépek védelme, géptároló építés, fólia búvárszivattyú beszerzés</t>
  </si>
  <si>
    <t>Kadarkút Város Önkormányzat 2019. évi közfoglalkoztatási létszámkerete</t>
  </si>
  <si>
    <t>EREDETI</t>
  </si>
  <si>
    <t>MÓDOSÍTOTT</t>
  </si>
  <si>
    <t>fő</t>
  </si>
  <si>
    <t xml:space="preserve">Járási startmunka mintaprogram </t>
  </si>
  <si>
    <t>KIMUTATÁS</t>
  </si>
  <si>
    <t>Kadarkút Város Önkormányzat Európai Uniós támogatással megvalósuló programok, projektek bevételeiről és kiadásairól</t>
  </si>
  <si>
    <t>Kiemelt előir. Megnev.</t>
  </si>
  <si>
    <t>Beruházás teljes  költsége
 (2018-2020)</t>
  </si>
  <si>
    <t>2018. évi támogatási előleg</t>
  </si>
  <si>
    <t>2018. évi tény kiadás összege
Eredeti Ei</t>
  </si>
  <si>
    <t>2019. évi támogatási előleg</t>
  </si>
  <si>
    <t>2019. évi tervezett kiadás összege</t>
  </si>
  <si>
    <t xml:space="preserve"> összege
Eredeti Ei.</t>
  </si>
  <si>
    <t>mértéke
Eredeti Ei.</t>
  </si>
  <si>
    <t xml:space="preserve"> összege
MÓDOSÍTOTT  Ei.</t>
  </si>
  <si>
    <t>mértéke
MÓDOSÍTOTT Ei.</t>
  </si>
  <si>
    <t xml:space="preserve">"Együtt a Zselicben a humán szolgáltatások fejlesztéséért"
EFOP-1.5.3 </t>
  </si>
  <si>
    <t>"Térségi összefogás a Zselicben a humán kapacitások fejlesztéséért" EFOP-3.9.2.</t>
  </si>
  <si>
    <t>Kadarkút Város Önkormányzat 2019. évi tartaléka</t>
  </si>
  <si>
    <t xml:space="preserve"> Forintban</t>
  </si>
  <si>
    <t>EREDETI EI</t>
  </si>
  <si>
    <t>MÓDOSÍTOTT EI</t>
  </si>
  <si>
    <t>Céltartalék összesen</t>
  </si>
  <si>
    <t>Koncessziós díj bevétel számla</t>
  </si>
  <si>
    <t>Megszűnt viziközmű társulattól átvett pénzeszköz számla (2018.12.31. napi egyenleg csökkentve a 2019. évi beruházások összegével)</t>
  </si>
  <si>
    <t>Környezetvédelmi alap számla 2018.12.31. napi egyelege</t>
  </si>
  <si>
    <t>Szociális bérlakás számla (2018.12.31. napi egyenleg csökkentve a 2019. évi beruházások összegével)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</si>
  <si>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</si>
  <si>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TARTALÉK ÖSSZESEN</t>
  </si>
  <si>
    <t>Kadarkút Város Önkormányzatának előirányzat felhasználási és likviditási ütemterve 2019. évben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</si>
  <si>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</si>
  <si>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</si>
  <si>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</si>
  <si>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</si>
  <si>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</si>
  <si>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</si>
  <si>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</si>
  <si>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</si>
  <si>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</si>
  <si>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</si>
  <si>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</si>
  <si>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</si>
  <si>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</si>
  <si>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Működési c.támogatások Áht.belülről</t>
  </si>
  <si>
    <t>Közhatalmi bevételek</t>
  </si>
  <si>
    <t>Működési bevételek</t>
  </si>
  <si>
    <t>Felh.c.átvett pénzeszközök</t>
  </si>
  <si>
    <t>Felh. és tőkejellegű bevétel</t>
  </si>
  <si>
    <t>Költségvetési maradvány</t>
  </si>
  <si>
    <t>BEVÉTELEK ÖSSZESEN</t>
  </si>
  <si>
    <t>Munkaadói járulék</t>
  </si>
  <si>
    <t>Dologi kiadás</t>
  </si>
  <si>
    <t>Ellátottak pénzbeni juttatása</t>
  </si>
  <si>
    <t>Egyéb működési kiadások</t>
  </si>
  <si>
    <t>Áht-n belüli megelőleg.visszafiz.</t>
  </si>
  <si>
    <t>Penzügyi lízing Kiadásai</t>
  </si>
  <si>
    <t>Tartalékok</t>
  </si>
  <si>
    <t>Felhalmozási kiadások</t>
  </si>
  <si>
    <t>KIADÁSOK ÖSSZESEN</t>
  </si>
  <si>
    <t>BEV-KIAD. EGYENLEGE</t>
  </si>
  <si>
    <t>Kadarkút Város Önkormányzat által biztosított közvetlen támogatások 2019. évben</t>
  </si>
  <si>
    <t>MŰKÖDÉSI ÁTADÁS</t>
  </si>
  <si>
    <t>Kötelező feladatokhoz támogatás</t>
  </si>
  <si>
    <t>Fogászati  és hétvégi ügyelet</t>
  </si>
  <si>
    <t>SM Katasztrófavédelmi Igazgatóság Támogatása</t>
  </si>
  <si>
    <t>Vakok és gyengénlátómk támogatása</t>
  </si>
  <si>
    <t>Hulladékkezelési rekultivációs program</t>
  </si>
  <si>
    <t>Vizitársulatoknak átadás</t>
  </si>
  <si>
    <t>Tűzoltóegyesület támogatása</t>
  </si>
  <si>
    <t>Sportegyesület támogatása (labdarúgó)</t>
  </si>
  <si>
    <t xml:space="preserve">Szkanderszövetség éves támogatása </t>
  </si>
  <si>
    <t>Óvoda társulás támogatása</t>
  </si>
  <si>
    <t>Zselici Lámpások támogatása</t>
  </si>
  <si>
    <t>TÖOSZ támogatása</t>
  </si>
  <si>
    <t>Kisvárosok Szövetségének támogatása</t>
  </si>
  <si>
    <t>Polgárőrség támogatása</t>
  </si>
  <si>
    <t>Tűzoltóság támogatása REKI</t>
  </si>
  <si>
    <t>EFOP projektből tanulók részére ösztöndíj támogatás</t>
  </si>
  <si>
    <t>EP választás SZSZB tagok szavazást követő nap átlagbér megtérítése</t>
  </si>
  <si>
    <t>Óvoda társulás - Bölcsőde takarító bértámogatás</t>
  </si>
  <si>
    <t>Nem kötelező feladatokhoz támogatás</t>
  </si>
  <si>
    <t>MINDÖSSZESEN :</t>
  </si>
  <si>
    <t xml:space="preserve">Kadarkút Város Önkormányzatának költségvetési évet követő 3 évre vonatkozó előirányzatai 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</si>
  <si>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</si>
  <si>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</si>
  <si>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</si>
  <si>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</si>
  <si>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</si>
  <si>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</si>
  <si>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önk. Előző évi elszám. Szárm kiad</t>
  </si>
  <si>
    <t>Ellátottak pénzbeni juttatásai</t>
  </si>
  <si>
    <t>Pénzügyi Lízing kiadásai</t>
  </si>
  <si>
    <t>Műk. Célú pe. Átadás- orvosi rendelő támogatás visszafizetés</t>
  </si>
  <si>
    <t>1. melléklet a 15/2019.(IX.27.) önkormányzati rendelethez</t>
  </si>
  <si>
    <t>2. melléklet a 15/2019.(IX.27.) önkormányzati rendelethez</t>
  </si>
  <si>
    <t xml:space="preserve">3. melléklet a 15/2019.(IX.27.) önkormányzati rendelethez </t>
  </si>
  <si>
    <t xml:space="preserve">4.a  melléklet a 15/2019.(IX.27.) önkormányzati rendelethez </t>
  </si>
  <si>
    <t xml:space="preserve">4.b  melléklet a 15/2019.(IX.27.) önkormányzati rendelethez </t>
  </si>
  <si>
    <t xml:space="preserve">5. melléklet a 15/2019.(IX.27.) önkormányzati rendelethez </t>
  </si>
  <si>
    <t xml:space="preserve">6.  melléklet a 15/2019.(IX.27.) önkormányzati rendelethez </t>
  </si>
  <si>
    <t xml:space="preserve">7. melléklet a 15/2019.(IX.27.) önkormányzati rendelethez </t>
  </si>
  <si>
    <t>8.  melléklet a 15/2019.(IX.27.) önkormányzati rendelethez</t>
  </si>
  <si>
    <t>9. melléklet a 15/2019.(IX.27.) önkormányzati rendelethez</t>
  </si>
  <si>
    <t xml:space="preserve">10. melléklet a 15/2019.(IX.27.) önkormányzati rendelethez </t>
  </si>
  <si>
    <t xml:space="preserve">11. melléklet a 15/2019.(IX.27.) önkormányzati rendelethez </t>
  </si>
  <si>
    <t xml:space="preserve">12. melléklet a 15/2019.(IX.27.) önkormányzati rendelethez </t>
  </si>
  <si>
    <t xml:space="preserve">13. melléklet a 15/2019.(IX.27.) önkormányzati rendelethez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</si>
</sst>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[$Ft-40E]_-;\-* #,##0\ [$Ft-40E]_-;_-* &quot;-&quot;??\ [$Ft-40E]_-;_-@_-"/>
  </numFmts>
  <fonts count="70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"/>
      <family val="1"/>
      <charset val="238"/>
    </font>
    <font>
      <i/>
      <sz val="12"/>
      <name val="Times New Roman CE"/>
      <charset val="238"/>
    </font>
    <font>
      <b/>
      <u/>
      <sz val="14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Cambria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FF0000"/>
      <name val="Arial CE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10"/>
      <name val="Times New Roman CE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6"/>
      <name val="Arial CE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i/>
      <sz val="12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4" fillId="0" borderId="0"/>
  </cellStyleXfs>
  <cellXfs count="504">
    <xf numFmtId="0" fontId="0" fillId="0" borderId="0" xfId="0"/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4" fillId="0" borderId="0" xfId="3" applyFont="1"/>
    <xf numFmtId="0" fontId="2" fillId="0" borderId="0" xfId="3"/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3" applyFont="1"/>
    <xf numFmtId="3" fontId="7" fillId="0" borderId="1" xfId="3" applyNumberFormat="1" applyFont="1" applyBorder="1" applyAlignment="1">
      <alignment horizontal="right"/>
    </xf>
    <xf numFmtId="0" fontId="8" fillId="0" borderId="0" xfId="3" applyFont="1"/>
    <xf numFmtId="0" fontId="2" fillId="0" borderId="0" xfId="3" applyAlignment="1">
      <alignment horizontal="right"/>
    </xf>
    <xf numFmtId="3" fontId="9" fillId="0" borderId="0" xfId="3" applyNumberFormat="1" applyFont="1" applyAlignment="1">
      <alignment horizontal="right"/>
    </xf>
    <xf numFmtId="0" fontId="10" fillId="0" borderId="2" xfId="3" applyFont="1" applyBorder="1" applyAlignment="1">
      <alignment horizontal="center" vertical="center"/>
    </xf>
    <xf numFmtId="3" fontId="11" fillId="0" borderId="3" xfId="3" applyNumberFormat="1" applyFont="1" applyBorder="1" applyAlignment="1">
      <alignment horizontal="center" vertical="center" wrapText="1"/>
    </xf>
    <xf numFmtId="0" fontId="9" fillId="0" borderId="4" xfId="3" applyFont="1" applyBorder="1" applyAlignment="1">
      <alignment horizontal="left" vertical="center"/>
    </xf>
    <xf numFmtId="3" fontId="12" fillId="2" borderId="5" xfId="3" applyNumberFormat="1" applyFont="1" applyFill="1" applyBorder="1" applyAlignment="1">
      <alignment horizontal="right" vertical="center" wrapText="1" indent="5"/>
    </xf>
    <xf numFmtId="0" fontId="9" fillId="0" borderId="7" xfId="3" applyFont="1" applyBorder="1" applyAlignment="1">
      <alignment horizontal="left" vertical="center"/>
    </xf>
    <xf numFmtId="3" fontId="12" fillId="2" borderId="5" xfId="3" applyNumberFormat="1" applyFont="1" applyFill="1" applyBorder="1" applyAlignment="1">
      <alignment horizontal="right" vertical="center" indent="5"/>
    </xf>
    <xf numFmtId="3" fontId="14" fillId="2" borderId="5" xfId="3" applyNumberFormat="1" applyFont="1" applyFill="1" applyBorder="1" applyAlignment="1">
      <alignment horizontal="right" vertical="center" indent="5"/>
    </xf>
    <xf numFmtId="0" fontId="2" fillId="3" borderId="0" xfId="3" applyFill="1"/>
    <xf numFmtId="0" fontId="9" fillId="0" borderId="8" xfId="3" applyFont="1" applyBorder="1" applyAlignment="1">
      <alignment horizontal="left" vertical="center"/>
    </xf>
    <xf numFmtId="3" fontId="12" fillId="2" borderId="9" xfId="3" applyNumberFormat="1" applyFont="1" applyFill="1" applyBorder="1" applyAlignment="1">
      <alignment horizontal="right" vertical="center" indent="5"/>
    </xf>
    <xf numFmtId="3" fontId="12" fillId="0" borderId="9" xfId="3" applyNumberFormat="1" applyFont="1" applyBorder="1" applyAlignment="1">
      <alignment horizontal="right" vertical="center" indent="5"/>
    </xf>
    <xf numFmtId="0" fontId="11" fillId="4" borderId="10" xfId="3" applyFont="1" applyFill="1" applyBorder="1" applyAlignment="1">
      <alignment horizontal="left" vertical="center"/>
    </xf>
    <xf numFmtId="3" fontId="15" fillId="4" borderId="11" xfId="3" applyNumberFormat="1" applyFont="1" applyFill="1" applyBorder="1" applyAlignment="1">
      <alignment horizontal="right" vertical="center" indent="5"/>
    </xf>
    <xf numFmtId="3" fontId="2" fillId="0" borderId="0" xfId="3" applyNumberFormat="1"/>
    <xf numFmtId="0" fontId="9" fillId="0" borderId="12" xfId="3" applyFont="1" applyBorder="1" applyAlignment="1">
      <alignment horizontal="left" vertical="center"/>
    </xf>
    <xf numFmtId="3" fontId="12" fillId="0" borderId="13" xfId="3" applyNumberFormat="1" applyFont="1" applyBorder="1" applyAlignment="1">
      <alignment horizontal="right" vertical="center" indent="5"/>
    </xf>
    <xf numFmtId="3" fontId="12" fillId="0" borderId="5" xfId="3" applyNumberFormat="1" applyFont="1" applyBorder="1" applyAlignment="1">
      <alignment horizontal="right" vertical="center" indent="5"/>
    </xf>
    <xf numFmtId="3" fontId="11" fillId="0" borderId="0" xfId="3" applyNumberFormat="1" applyFont="1"/>
    <xf numFmtId="0" fontId="9" fillId="0" borderId="0" xfId="3" applyFont="1"/>
    <xf numFmtId="3" fontId="9" fillId="0" borderId="0" xfId="3" applyNumberFormat="1" applyFont="1"/>
    <xf numFmtId="0" fontId="9" fillId="0" borderId="14" xfId="3" applyFont="1" applyBorder="1" applyAlignment="1">
      <alignment horizontal="left" vertical="center"/>
    </xf>
    <xf numFmtId="3" fontId="12" fillId="0" borderId="15" xfId="3" applyNumberFormat="1" applyFont="1" applyBorder="1" applyAlignment="1">
      <alignment horizontal="right" vertical="center" indent="5"/>
    </xf>
    <xf numFmtId="3" fontId="16" fillId="4" borderId="11" xfId="3" applyNumberFormat="1" applyFont="1" applyFill="1" applyBorder="1" applyAlignment="1">
      <alignment horizontal="right" vertical="center" indent="5"/>
    </xf>
    <xf numFmtId="0" fontId="9" fillId="5" borderId="16" xfId="3" applyFont="1" applyFill="1" applyBorder="1" applyAlignment="1">
      <alignment horizontal="left" vertical="center"/>
    </xf>
    <xf numFmtId="3" fontId="12" fillId="5" borderId="17" xfId="3" applyNumberFormat="1" applyFont="1" applyFill="1" applyBorder="1" applyAlignment="1">
      <alignment horizontal="right" vertical="center" indent="5"/>
    </xf>
    <xf numFmtId="3" fontId="14" fillId="5" borderId="17" xfId="3" applyNumberFormat="1" applyFont="1" applyFill="1" applyBorder="1" applyAlignment="1">
      <alignment horizontal="right" vertical="center" indent="5"/>
    </xf>
    <xf numFmtId="0" fontId="11" fillId="0" borderId="0" xfId="3" applyFont="1"/>
    <xf numFmtId="0" fontId="11" fillId="4" borderId="18" xfId="3" applyFont="1" applyFill="1" applyBorder="1" applyAlignment="1">
      <alignment horizontal="left" vertical="center"/>
    </xf>
    <xf numFmtId="0" fontId="9" fillId="2" borderId="19" xfId="3" applyFont="1" applyFill="1" applyBorder="1" applyAlignment="1">
      <alignment horizontal="left" vertical="center"/>
    </xf>
    <xf numFmtId="3" fontId="12" fillId="2" borderId="3" xfId="3" applyNumberFormat="1" applyFont="1" applyFill="1" applyBorder="1" applyAlignment="1">
      <alignment horizontal="right" vertical="center" indent="5"/>
    </xf>
    <xf numFmtId="3" fontId="14" fillId="2" borderId="3" xfId="3" applyNumberFormat="1" applyFont="1" applyFill="1" applyBorder="1" applyAlignment="1">
      <alignment horizontal="right" vertical="center" indent="5"/>
    </xf>
    <xf numFmtId="0" fontId="9" fillId="2" borderId="12" xfId="3" applyFont="1" applyFill="1" applyBorder="1" applyAlignment="1">
      <alignment horizontal="left" vertical="center"/>
    </xf>
    <xf numFmtId="3" fontId="12" fillId="2" borderId="13" xfId="3" applyNumberFormat="1" applyFont="1" applyFill="1" applyBorder="1" applyAlignment="1">
      <alignment horizontal="right" vertical="center" indent="5"/>
    </xf>
    <xf numFmtId="0" fontId="9" fillId="2" borderId="7" xfId="3" applyFont="1" applyFill="1" applyBorder="1" applyAlignment="1">
      <alignment horizontal="left" vertical="center"/>
    </xf>
    <xf numFmtId="0" fontId="11" fillId="4" borderId="16" xfId="3" applyFont="1" applyFill="1" applyBorder="1" applyAlignment="1">
      <alignment horizontal="left" vertical="center"/>
    </xf>
    <xf numFmtId="3" fontId="15" fillId="4" borderId="17" xfId="3" applyNumberFormat="1" applyFont="1" applyFill="1" applyBorder="1" applyAlignment="1">
      <alignment horizontal="right" vertical="center" indent="5"/>
    </xf>
    <xf numFmtId="0" fontId="11" fillId="4" borderId="20" xfId="3" applyFont="1" applyFill="1" applyBorder="1" applyAlignment="1">
      <alignment horizontal="left" vertical="center"/>
    </xf>
    <xf numFmtId="3" fontId="15" fillId="4" borderId="21" xfId="3" applyNumberFormat="1" applyFont="1" applyFill="1" applyBorder="1" applyAlignment="1">
      <alignment horizontal="right" vertical="center" indent="5"/>
    </xf>
    <xf numFmtId="3" fontId="16" fillId="4" borderId="21" xfId="3" applyNumberFormat="1" applyFont="1" applyFill="1" applyBorder="1" applyAlignment="1">
      <alignment horizontal="right" vertical="center" indent="5"/>
    </xf>
    <xf numFmtId="3" fontId="10" fillId="4" borderId="21" xfId="3" applyNumberFormat="1" applyFont="1" applyFill="1" applyBorder="1" applyAlignment="1">
      <alignment horizontal="right" vertical="center" indent="5"/>
    </xf>
    <xf numFmtId="0" fontId="11" fillId="0" borderId="0" xfId="3" applyFont="1" applyAlignment="1">
      <alignment horizontal="left"/>
    </xf>
    <xf numFmtId="3" fontId="8" fillId="0" borderId="0" xfId="3" applyNumberFormat="1" applyFont="1"/>
    <xf numFmtId="0" fontId="9" fillId="0" borderId="0" xfId="3" applyFont="1" applyAlignment="1">
      <alignment horizontal="left"/>
    </xf>
    <xf numFmtId="0" fontId="9" fillId="2" borderId="0" xfId="3" applyFont="1" applyFill="1" applyAlignment="1">
      <alignment horizontal="right" vertical="center"/>
    </xf>
    <xf numFmtId="0" fontId="17" fillId="0" borderId="0" xfId="3" applyFont="1" applyAlignment="1">
      <alignment horizontal="right"/>
    </xf>
    <xf numFmtId="0" fontId="18" fillId="0" borderId="0" xfId="3" applyFont="1" applyAlignment="1">
      <alignment horizontal="center" vertical="center" wrapText="1"/>
    </xf>
    <xf numFmtId="0" fontId="2" fillId="0" borderId="0" xfId="3" applyAlignment="1">
      <alignment horizontal="center"/>
    </xf>
    <xf numFmtId="3" fontId="9" fillId="0" borderId="1" xfId="3" applyNumberFormat="1" applyFont="1" applyBorder="1" applyAlignment="1">
      <alignment horizontal="right"/>
    </xf>
    <xf numFmtId="0" fontId="11" fillId="0" borderId="0" xfId="3" applyFont="1" applyAlignment="1">
      <alignment horizontal="center" vertical="center" wrapText="1"/>
    </xf>
    <xf numFmtId="3" fontId="12" fillId="0" borderId="5" xfId="3" applyNumberFormat="1" applyFont="1" applyBorder="1" applyAlignment="1">
      <alignment horizontal="right" vertical="center" indent="4"/>
    </xf>
    <xf numFmtId="0" fontId="9" fillId="0" borderId="0" xfId="3" applyFont="1" applyAlignment="1">
      <alignment horizontal="right"/>
    </xf>
    <xf numFmtId="0" fontId="9" fillId="0" borderId="4" xfId="3" applyFont="1" applyBorder="1" applyAlignment="1">
      <alignment horizontal="left" vertical="center" wrapText="1"/>
    </xf>
    <xf numFmtId="9" fontId="9" fillId="0" borderId="0" xfId="4" applyFont="1"/>
    <xf numFmtId="0" fontId="9" fillId="0" borderId="22" xfId="3" applyFont="1" applyBorder="1" applyAlignment="1">
      <alignment horizontal="left" vertical="center"/>
    </xf>
    <xf numFmtId="3" fontId="12" fillId="0" borderId="13" xfId="3" applyNumberFormat="1" applyFont="1" applyBorder="1" applyAlignment="1">
      <alignment horizontal="right" vertical="center" indent="4"/>
    </xf>
    <xf numFmtId="0" fontId="9" fillId="0" borderId="0" xfId="3" applyFont="1" applyAlignment="1">
      <alignment horizontal="center" vertical="center"/>
    </xf>
    <xf numFmtId="0" fontId="11" fillId="4" borderId="23" xfId="3" applyFont="1" applyFill="1" applyBorder="1" applyAlignment="1">
      <alignment horizontal="left" vertical="center"/>
    </xf>
    <xf numFmtId="3" fontId="15" fillId="4" borderId="21" xfId="3" applyNumberFormat="1" applyFont="1" applyFill="1" applyBorder="1" applyAlignment="1">
      <alignment horizontal="right" vertical="center" indent="4"/>
    </xf>
    <xf numFmtId="0" fontId="9" fillId="0" borderId="24" xfId="3" applyFont="1" applyBorder="1" applyAlignment="1">
      <alignment horizontal="left" vertical="center"/>
    </xf>
    <xf numFmtId="3" fontId="12" fillId="0" borderId="9" xfId="3" applyNumberFormat="1" applyFont="1" applyBorder="1" applyAlignment="1">
      <alignment horizontal="right" vertical="center" indent="4"/>
    </xf>
    <xf numFmtId="0" fontId="11" fillId="4" borderId="25" xfId="3" applyFont="1" applyFill="1" applyBorder="1" applyAlignment="1">
      <alignment horizontal="left" vertical="center"/>
    </xf>
    <xf numFmtId="3" fontId="15" fillId="4" borderId="11" xfId="3" applyNumberFormat="1" applyFont="1" applyFill="1" applyBorder="1" applyAlignment="1">
      <alignment horizontal="right" vertical="center" indent="4"/>
    </xf>
    <xf numFmtId="3" fontId="10" fillId="4" borderId="21" xfId="3" applyNumberFormat="1" applyFont="1" applyFill="1" applyBorder="1" applyAlignment="1">
      <alignment horizontal="right" vertical="center" indent="4"/>
    </xf>
    <xf numFmtId="3" fontId="11" fillId="0" borderId="0" xfId="3" applyNumberFormat="1" applyFont="1" applyAlignment="1">
      <alignment horizontal="right"/>
    </xf>
    <xf numFmtId="0" fontId="8" fillId="0" borderId="0" xfId="3" applyFont="1" applyAlignment="1">
      <alignment horizontal="right"/>
    </xf>
    <xf numFmtId="0" fontId="4" fillId="0" borderId="0" xfId="3" applyFont="1" applyAlignment="1">
      <alignment horizontal="right"/>
    </xf>
    <xf numFmtId="0" fontId="19" fillId="0" borderId="0" xfId="3" applyFont="1"/>
    <xf numFmtId="0" fontId="20" fillId="0" borderId="0" xfId="3" applyFont="1"/>
    <xf numFmtId="0" fontId="4" fillId="0" borderId="0" xfId="3" applyFont="1" applyAlignment="1">
      <alignment horizontal="right" vertical="center"/>
    </xf>
    <xf numFmtId="0" fontId="21" fillId="0" borderId="0" xfId="3" applyFont="1" applyAlignment="1">
      <alignment vertical="center" wrapText="1"/>
    </xf>
    <xf numFmtId="0" fontId="21" fillId="0" borderId="0" xfId="3" applyFont="1" applyAlignment="1">
      <alignment horizontal="center" vertical="center" wrapText="1"/>
    </xf>
    <xf numFmtId="0" fontId="22" fillId="0" borderId="0" xfId="3" applyFont="1"/>
    <xf numFmtId="0" fontId="23" fillId="0" borderId="27" xfId="3" applyFont="1" applyBorder="1" applyAlignment="1">
      <alignment horizontal="center" vertical="center"/>
    </xf>
    <xf numFmtId="0" fontId="23" fillId="0" borderId="27" xfId="3" applyFont="1" applyBorder="1" applyAlignment="1">
      <alignment horizontal="center" vertical="center" wrapText="1"/>
    </xf>
    <xf numFmtId="0" fontId="22" fillId="0" borderId="12" xfId="3" applyFont="1" applyBorder="1"/>
    <xf numFmtId="3" fontId="22" fillId="0" borderId="28" xfId="3" applyNumberFormat="1" applyFont="1" applyBorder="1" applyAlignment="1">
      <alignment horizontal="right" indent="1"/>
    </xf>
    <xf numFmtId="0" fontId="22" fillId="0" borderId="7" xfId="3" applyFont="1" applyBorder="1"/>
    <xf numFmtId="3" fontId="22" fillId="0" borderId="29" xfId="3" applyNumberFormat="1" applyFont="1" applyBorder="1" applyAlignment="1">
      <alignment horizontal="right" indent="1"/>
    </xf>
    <xf numFmtId="3" fontId="22" fillId="2" borderId="29" xfId="3" applyNumberFormat="1" applyFont="1" applyFill="1" applyBorder="1" applyAlignment="1">
      <alignment horizontal="right" indent="1"/>
    </xf>
    <xf numFmtId="0" fontId="22" fillId="0" borderId="8" xfId="3" applyFont="1" applyBorder="1"/>
    <xf numFmtId="3" fontId="22" fillId="0" borderId="30" xfId="3" applyNumberFormat="1" applyFont="1" applyBorder="1" applyAlignment="1">
      <alignment horizontal="right" indent="1"/>
    </xf>
    <xf numFmtId="0" fontId="23" fillId="0" borderId="0" xfId="3" applyFont="1"/>
    <xf numFmtId="0" fontId="23" fillId="0" borderId="10" xfId="3" applyFont="1" applyBorder="1"/>
    <xf numFmtId="3" fontId="23" fillId="0" borderId="31" xfId="3" applyNumberFormat="1" applyFont="1" applyBorder="1" applyAlignment="1">
      <alignment horizontal="right" indent="1"/>
    </xf>
    <xf numFmtId="3" fontId="23" fillId="0" borderId="0" xfId="3" applyNumberFormat="1" applyFont="1"/>
    <xf numFmtId="0" fontId="22" fillId="0" borderId="16" xfId="3" applyFont="1" applyBorder="1"/>
    <xf numFmtId="3" fontId="22" fillId="0" borderId="32" xfId="3" applyNumberFormat="1" applyFont="1" applyBorder="1" applyAlignment="1">
      <alignment horizontal="right" indent="1"/>
    </xf>
    <xf numFmtId="3" fontId="22" fillId="0" borderId="0" xfId="3" applyNumberFormat="1" applyFont="1"/>
    <xf numFmtId="0" fontId="23" fillId="0" borderId="20" xfId="3" applyFont="1" applyBorder="1"/>
    <xf numFmtId="3" fontId="23" fillId="0" borderId="21" xfId="3" applyNumberFormat="1" applyFont="1" applyBorder="1" applyAlignment="1">
      <alignment horizontal="right" indent="1"/>
    </xf>
    <xf numFmtId="3" fontId="23" fillId="0" borderId="0" xfId="3" applyNumberFormat="1" applyFont="1" applyAlignment="1">
      <alignment horizontal="right" indent="2"/>
    </xf>
    <xf numFmtId="3" fontId="22" fillId="0" borderId="13" xfId="3" applyNumberFormat="1" applyFont="1" applyBorder="1" applyAlignment="1">
      <alignment horizontal="right" indent="1"/>
    </xf>
    <xf numFmtId="3" fontId="22" fillId="0" borderId="5" xfId="3" applyNumberFormat="1" applyFont="1" applyBorder="1" applyAlignment="1">
      <alignment horizontal="right" indent="1"/>
    </xf>
    <xf numFmtId="3" fontId="22" fillId="0" borderId="9" xfId="3" applyNumberFormat="1" applyFont="1" applyBorder="1" applyAlignment="1">
      <alignment horizontal="right" indent="1"/>
    </xf>
    <xf numFmtId="3" fontId="22" fillId="0" borderId="33" xfId="3" applyNumberFormat="1" applyFont="1" applyBorder="1" applyAlignment="1">
      <alignment horizontal="right" indent="1"/>
    </xf>
    <xf numFmtId="3" fontId="23" fillId="0" borderId="11" xfId="3" applyNumberFormat="1" applyFont="1" applyBorder="1" applyAlignment="1">
      <alignment horizontal="right" indent="1"/>
    </xf>
    <xf numFmtId="0" fontId="22" fillId="0" borderId="19" xfId="3" applyFont="1" applyBorder="1"/>
    <xf numFmtId="3" fontId="22" fillId="0" borderId="3" xfId="3" applyNumberFormat="1" applyFont="1" applyBorder="1" applyAlignment="1">
      <alignment horizontal="right" indent="1"/>
    </xf>
    <xf numFmtId="3" fontId="19" fillId="0" borderId="0" xfId="3" applyNumberFormat="1" applyFont="1"/>
    <xf numFmtId="0" fontId="24" fillId="0" borderId="0" xfId="3" applyFont="1" applyAlignment="1">
      <alignment wrapText="1"/>
    </xf>
    <xf numFmtId="0" fontId="25" fillId="0" borderId="0" xfId="3" applyFont="1"/>
    <xf numFmtId="0" fontId="10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left"/>
    </xf>
    <xf numFmtId="0" fontId="15" fillId="0" borderId="0" xfId="3" applyFont="1"/>
    <xf numFmtId="3" fontId="15" fillId="0" borderId="0" xfId="3" applyNumberFormat="1" applyFont="1"/>
    <xf numFmtId="3" fontId="12" fillId="0" borderId="0" xfId="3" applyNumberFormat="1" applyFont="1"/>
    <xf numFmtId="3" fontId="15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center" vertical="center" wrapText="1"/>
    </xf>
    <xf numFmtId="3" fontId="12" fillId="0" borderId="0" xfId="3" applyNumberFormat="1" applyFont="1" applyAlignment="1">
      <alignment vertical="center"/>
    </xf>
    <xf numFmtId="3" fontId="15" fillId="0" borderId="0" xfId="3" applyNumberFormat="1" applyFont="1" applyAlignment="1">
      <alignment horizontal="center" vertical="center" textRotation="90" wrapText="1"/>
    </xf>
    <xf numFmtId="0" fontId="15" fillId="0" borderId="31" xfId="3" applyFont="1" applyBorder="1" applyAlignment="1">
      <alignment horizontal="center" vertical="center" textRotation="90"/>
    </xf>
    <xf numFmtId="0" fontId="15" fillId="0" borderId="31" xfId="3" applyFont="1" applyBorder="1" applyAlignment="1">
      <alignment horizontal="left" vertical="center"/>
    </xf>
    <xf numFmtId="3" fontId="12" fillId="0" borderId="31" xfId="3" applyNumberFormat="1" applyFont="1" applyBorder="1" applyAlignment="1">
      <alignment horizontal="center" vertical="center" wrapText="1"/>
    </xf>
    <xf numFmtId="3" fontId="15" fillId="0" borderId="31" xfId="3" applyNumberFormat="1" applyFont="1" applyBorder="1" applyAlignment="1">
      <alignment vertical="center"/>
    </xf>
    <xf numFmtId="3" fontId="12" fillId="0" borderId="31" xfId="3" applyNumberFormat="1" applyFont="1" applyBorder="1" applyAlignment="1">
      <alignment horizontal="left" vertical="center"/>
    </xf>
    <xf numFmtId="3" fontId="12" fillId="0" borderId="31" xfId="3" applyNumberFormat="1" applyFont="1" applyBorder="1" applyAlignment="1">
      <alignment vertical="center"/>
    </xf>
    <xf numFmtId="3" fontId="11" fillId="0" borderId="31" xfId="3" applyNumberFormat="1" applyFont="1" applyBorder="1" applyAlignment="1">
      <alignment vertical="center"/>
    </xf>
    <xf numFmtId="3" fontId="11" fillId="0" borderId="31" xfId="3" applyNumberFormat="1" applyFont="1" applyBorder="1" applyAlignment="1">
      <alignment horizontal="right" vertical="center"/>
    </xf>
    <xf numFmtId="3" fontId="15" fillId="0" borderId="0" xfId="3" applyNumberFormat="1" applyFont="1" applyAlignment="1">
      <alignment vertical="center"/>
    </xf>
    <xf numFmtId="3" fontId="25" fillId="0" borderId="0" xfId="3" applyNumberFormat="1" applyFont="1"/>
    <xf numFmtId="3" fontId="15" fillId="0" borderId="31" xfId="3" applyNumberFormat="1" applyFont="1" applyBorder="1" applyAlignment="1">
      <alignment vertical="center" wrapText="1"/>
    </xf>
    <xf numFmtId="3" fontId="15" fillId="0" borderId="0" xfId="3" applyNumberFormat="1" applyFont="1" applyAlignment="1">
      <alignment vertical="center" wrapText="1"/>
    </xf>
    <xf numFmtId="0" fontId="12" fillId="0" borderId="0" xfId="3" applyFont="1"/>
    <xf numFmtId="3" fontId="11" fillId="0" borderId="31" xfId="3" applyNumberFormat="1" applyFont="1" applyBorder="1" applyAlignment="1">
      <alignment vertical="center" wrapText="1"/>
    </xf>
    <xf numFmtId="3" fontId="9" fillId="0" borderId="31" xfId="3" applyNumberFormat="1" applyFont="1" applyBorder="1" applyAlignment="1">
      <alignment horizontal="center" vertical="center"/>
    </xf>
    <xf numFmtId="0" fontId="15" fillId="0" borderId="31" xfId="3" applyFont="1" applyBorder="1" applyAlignment="1">
      <alignment vertical="center"/>
    </xf>
    <xf numFmtId="0" fontId="12" fillId="0" borderId="31" xfId="3" applyFont="1" applyBorder="1" applyAlignment="1">
      <alignment horizontal="left" vertical="center"/>
    </xf>
    <xf numFmtId="3" fontId="12" fillId="0" borderId="31" xfId="3" applyNumberFormat="1" applyFont="1" applyBorder="1"/>
    <xf numFmtId="3" fontId="27" fillId="0" borderId="31" xfId="3" applyNumberFormat="1" applyFont="1" applyBorder="1"/>
    <xf numFmtId="3" fontId="15" fillId="0" borderId="31" xfId="3" applyNumberFormat="1" applyFont="1" applyBorder="1" applyAlignment="1">
      <alignment wrapText="1"/>
    </xf>
    <xf numFmtId="3" fontId="11" fillId="0" borderId="31" xfId="3" applyNumberFormat="1" applyFont="1" applyBorder="1"/>
    <xf numFmtId="0" fontId="12" fillId="0" borderId="31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29" fillId="0" borderId="0" xfId="3" applyFont="1" applyAlignment="1">
      <alignment horizontal="center" vertical="center"/>
    </xf>
    <xf numFmtId="0" fontId="29" fillId="0" borderId="0" xfId="3" applyFont="1" applyAlignment="1">
      <alignment vertical="center"/>
    </xf>
    <xf numFmtId="0" fontId="2" fillId="0" borderId="0" xfId="3" applyAlignment="1">
      <alignment vertical="center"/>
    </xf>
    <xf numFmtId="0" fontId="7" fillId="0" borderId="0" xfId="3" applyFont="1" applyAlignment="1">
      <alignment vertical="center"/>
    </xf>
    <xf numFmtId="3" fontId="7" fillId="0" borderId="0" xfId="3" applyNumberFormat="1" applyFont="1" applyAlignment="1">
      <alignment horizontal="right" vertical="center"/>
    </xf>
    <xf numFmtId="3" fontId="10" fillId="0" borderId="0" xfId="3" applyNumberFormat="1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3" fontId="10" fillId="0" borderId="37" xfId="3" applyNumberFormat="1" applyFont="1" applyBorder="1" applyAlignment="1">
      <alignment horizontal="center" vertical="center"/>
    </xf>
    <xf numFmtId="3" fontId="11" fillId="0" borderId="25" xfId="3" applyNumberFormat="1" applyFont="1" applyBorder="1" applyAlignment="1">
      <alignment horizontal="center" vertical="center" wrapText="1"/>
    </xf>
    <xf numFmtId="49" fontId="7" fillId="0" borderId="31" xfId="3" applyNumberFormat="1" applyFont="1" applyBorder="1" applyAlignment="1">
      <alignment vertical="center"/>
    </xf>
    <xf numFmtId="0" fontId="7" fillId="0" borderId="31" xfId="3" applyFont="1" applyBorder="1" applyAlignment="1">
      <alignment vertical="center"/>
    </xf>
    <xf numFmtId="3" fontId="7" fillId="0" borderId="31" xfId="3" applyNumberFormat="1" applyFont="1" applyBorder="1" applyAlignment="1">
      <alignment horizontal="right" vertical="center" indent="1"/>
    </xf>
    <xf numFmtId="3" fontId="7" fillId="0" borderId="31" xfId="3" applyNumberFormat="1" applyFont="1" applyBorder="1" applyAlignment="1">
      <alignment horizontal="right" vertical="center" indent="2"/>
    </xf>
    <xf numFmtId="3" fontId="7" fillId="2" borderId="31" xfId="3" applyNumberFormat="1" applyFont="1" applyFill="1" applyBorder="1" applyAlignment="1">
      <alignment horizontal="right" vertical="center" indent="1"/>
    </xf>
    <xf numFmtId="3" fontId="10" fillId="4" borderId="31" xfId="3" applyNumberFormat="1" applyFont="1" applyFill="1" applyBorder="1" applyAlignment="1">
      <alignment horizontal="right" vertical="center" indent="1"/>
    </xf>
    <xf numFmtId="3" fontId="7" fillId="0" borderId="31" xfId="3" applyNumberFormat="1" applyFont="1" applyBorder="1" applyAlignment="1">
      <alignment horizontal="center"/>
    </xf>
    <xf numFmtId="0" fontId="7" fillId="0" borderId="31" xfId="3" applyFont="1" applyBorder="1" applyAlignment="1">
      <alignment horizontal="left" vertical="center"/>
    </xf>
    <xf numFmtId="49" fontId="7" fillId="0" borderId="31" xfId="3" applyNumberFormat="1" applyFont="1" applyBorder="1" applyAlignment="1">
      <alignment horizontal="left" vertical="center"/>
    </xf>
    <xf numFmtId="49" fontId="7" fillId="0" borderId="39" xfId="3" applyNumberFormat="1" applyFont="1" applyBorder="1" applyAlignment="1">
      <alignment vertical="center"/>
    </xf>
    <xf numFmtId="0" fontId="7" fillId="0" borderId="31" xfId="3" applyFont="1" applyBorder="1" applyAlignment="1">
      <alignment vertical="center" wrapText="1"/>
    </xf>
    <xf numFmtId="3" fontId="7" fillId="0" borderId="31" xfId="3" applyNumberFormat="1" applyFont="1" applyBorder="1" applyAlignment="1">
      <alignment horizontal="left" vertical="center" indent="2"/>
    </xf>
    <xf numFmtId="0" fontId="10" fillId="4" borderId="31" xfId="3" applyFont="1" applyFill="1" applyBorder="1" applyAlignment="1">
      <alignment vertical="center"/>
    </xf>
    <xf numFmtId="3" fontId="10" fillId="4" borderId="31" xfId="3" applyNumberFormat="1" applyFont="1" applyFill="1" applyBorder="1" applyAlignment="1">
      <alignment horizontal="center"/>
    </xf>
    <xf numFmtId="49" fontId="7" fillId="0" borderId="41" xfId="3" applyNumberFormat="1" applyFont="1" applyBorder="1" applyAlignment="1">
      <alignment vertical="center"/>
    </xf>
    <xf numFmtId="49" fontId="7" fillId="0" borderId="38" xfId="3" applyNumberFormat="1" applyFont="1" applyBorder="1" applyAlignment="1">
      <alignment vertical="center"/>
    </xf>
    <xf numFmtId="3" fontId="10" fillId="4" borderId="31" xfId="3" applyNumberFormat="1" applyFont="1" applyFill="1" applyBorder="1" applyAlignment="1">
      <alignment horizontal="center" vertical="center"/>
    </xf>
    <xf numFmtId="3" fontId="10" fillId="4" borderId="31" xfId="3" applyNumberFormat="1" applyFont="1" applyFill="1" applyBorder="1" applyAlignment="1">
      <alignment horizontal="right" vertical="center" indent="2"/>
    </xf>
    <xf numFmtId="164" fontId="2" fillId="0" borderId="0" xfId="3" applyNumberFormat="1"/>
    <xf numFmtId="3" fontId="7" fillId="0" borderId="31" xfId="3" applyNumberFormat="1" applyFont="1" applyBorder="1" applyAlignment="1">
      <alignment horizontal="center" vertical="center"/>
    </xf>
    <xf numFmtId="49" fontId="7" fillId="0" borderId="25" xfId="3" applyNumberFormat="1" applyFont="1" applyBorder="1" applyAlignment="1">
      <alignment horizontal="left" vertical="center"/>
    </xf>
    <xf numFmtId="49" fontId="7" fillId="0" borderId="25" xfId="3" applyNumberFormat="1" applyFont="1" applyBorder="1" applyAlignment="1">
      <alignment horizontal="left" vertical="center" wrapText="1"/>
    </xf>
    <xf numFmtId="49" fontId="7" fillId="0" borderId="25" xfId="3" applyNumberFormat="1" applyFont="1" applyBorder="1" applyAlignment="1">
      <alignment vertical="center"/>
    </xf>
    <xf numFmtId="0" fontId="7" fillId="0" borderId="34" xfId="3" applyFont="1" applyBorder="1" applyAlignment="1">
      <alignment vertical="center" wrapText="1"/>
    </xf>
    <xf numFmtId="0" fontId="7" fillId="0" borderId="34" xfId="3" applyFont="1" applyBorder="1" applyAlignment="1">
      <alignment vertical="center"/>
    </xf>
    <xf numFmtId="0" fontId="28" fillId="0" borderId="31" xfId="3" applyFont="1" applyBorder="1" applyAlignment="1">
      <alignment horizontal="center" vertical="center"/>
    </xf>
    <xf numFmtId="49" fontId="7" fillId="5" borderId="31" xfId="3" applyNumberFormat="1" applyFont="1" applyFill="1" applyBorder="1" applyAlignment="1">
      <alignment horizontal="left" vertical="center"/>
    </xf>
    <xf numFmtId="0" fontId="7" fillId="5" borderId="34" xfId="3" applyFont="1" applyFill="1" applyBorder="1" applyAlignment="1">
      <alignment horizontal="left" vertical="center"/>
    </xf>
    <xf numFmtId="3" fontId="7" fillId="5" borderId="31" xfId="3" applyNumberFormat="1" applyFont="1" applyFill="1" applyBorder="1" applyAlignment="1">
      <alignment horizontal="right" vertical="center" indent="1"/>
    </xf>
    <xf numFmtId="3" fontId="7" fillId="5" borderId="31" xfId="3" applyNumberFormat="1" applyFont="1" applyFill="1" applyBorder="1" applyAlignment="1">
      <alignment horizontal="right" vertical="center" indent="2"/>
    </xf>
    <xf numFmtId="3" fontId="10" fillId="5" borderId="31" xfId="3" applyNumberFormat="1" applyFont="1" applyFill="1" applyBorder="1" applyAlignment="1">
      <alignment horizontal="center" vertical="center"/>
    </xf>
    <xf numFmtId="0" fontId="7" fillId="5" borderId="34" xfId="3" applyFont="1" applyFill="1" applyBorder="1" applyAlignment="1">
      <alignment horizontal="left" vertical="center" wrapText="1"/>
    </xf>
    <xf numFmtId="3" fontId="2" fillId="0" borderId="0" xfId="3" applyNumberFormat="1" applyAlignment="1">
      <alignment vertical="center"/>
    </xf>
    <xf numFmtId="0" fontId="2" fillId="0" borderId="0" xfId="3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6" fillId="0" borderId="0" xfId="3" applyFont="1" applyAlignment="1">
      <alignment vertical="center"/>
    </xf>
    <xf numFmtId="3" fontId="37" fillId="0" borderId="0" xfId="3" applyNumberFormat="1" applyFont="1" applyAlignment="1">
      <alignment horizontal="right" vertical="center"/>
    </xf>
    <xf numFmtId="3" fontId="38" fillId="0" borderId="0" xfId="3" applyNumberFormat="1" applyFont="1" applyAlignment="1">
      <alignment horizontal="right" vertical="center"/>
    </xf>
    <xf numFmtId="3" fontId="38" fillId="0" borderId="0" xfId="3" applyNumberFormat="1" applyFont="1" applyAlignment="1">
      <alignment horizontal="center" vertical="center"/>
    </xf>
    <xf numFmtId="3" fontId="11" fillId="4" borderId="31" xfId="3" applyNumberFormat="1" applyFont="1" applyFill="1" applyBorder="1" applyAlignment="1">
      <alignment horizontal="center" vertical="center" wrapText="1"/>
    </xf>
    <xf numFmtId="3" fontId="10" fillId="6" borderId="31" xfId="3" applyNumberFormat="1" applyFont="1" applyFill="1" applyBorder="1" applyAlignment="1">
      <alignment horizontal="right" vertical="center" indent="1"/>
    </xf>
    <xf numFmtId="49" fontId="37" fillId="0" borderId="31" xfId="3" applyNumberFormat="1" applyFont="1" applyBorder="1" applyAlignment="1">
      <alignment horizontal="left" vertical="center"/>
    </xf>
    <xf numFmtId="0" fontId="37" fillId="0" borderId="31" xfId="3" applyFont="1" applyBorder="1" applyAlignment="1">
      <alignment vertical="center"/>
    </xf>
    <xf numFmtId="3" fontId="39" fillId="0" borderId="31" xfId="3" applyNumberFormat="1" applyFont="1" applyBorder="1" applyAlignment="1">
      <alignment horizontal="right" vertical="center" indent="1"/>
    </xf>
    <xf numFmtId="49" fontId="37" fillId="0" borderId="25" xfId="3" applyNumberFormat="1" applyFont="1" applyBorder="1" applyAlignment="1">
      <alignment horizontal="left" vertical="center"/>
    </xf>
    <xf numFmtId="0" fontId="37" fillId="0" borderId="34" xfId="3" applyFont="1" applyBorder="1" applyAlignment="1">
      <alignment vertical="center"/>
    </xf>
    <xf numFmtId="3" fontId="39" fillId="0" borderId="31" xfId="3" applyNumberFormat="1" applyFont="1" applyBorder="1" applyAlignment="1">
      <alignment horizontal="right" vertical="center" indent="2"/>
    </xf>
    <xf numFmtId="3" fontId="39" fillId="2" borderId="31" xfId="3" applyNumberFormat="1" applyFont="1" applyFill="1" applyBorder="1" applyAlignment="1">
      <alignment horizontal="right" vertical="center" indent="1"/>
    </xf>
    <xf numFmtId="49" fontId="37" fillId="0" borderId="25" xfId="3" applyNumberFormat="1" applyFont="1" applyBorder="1" applyAlignment="1">
      <alignment horizontal="left" vertical="center" wrapText="1"/>
    </xf>
    <xf numFmtId="0" fontId="7" fillId="0" borderId="31" xfId="3" applyFont="1" applyBorder="1" applyAlignment="1">
      <alignment horizontal="left" vertical="center" wrapText="1"/>
    </xf>
    <xf numFmtId="3" fontId="39" fillId="5" borderId="31" xfId="3" applyNumberFormat="1" applyFont="1" applyFill="1" applyBorder="1" applyAlignment="1">
      <alignment horizontal="right" vertical="center" indent="1"/>
    </xf>
    <xf numFmtId="3" fontId="40" fillId="5" borderId="31" xfId="3" applyNumberFormat="1" applyFont="1" applyFill="1" applyBorder="1" applyAlignment="1">
      <alignment horizontal="right" vertical="center" indent="1"/>
    </xf>
    <xf numFmtId="3" fontId="39" fillId="5" borderId="31" xfId="3" applyNumberFormat="1" applyFont="1" applyFill="1" applyBorder="1" applyAlignment="1">
      <alignment horizontal="right" vertical="center" indent="2"/>
    </xf>
    <xf numFmtId="0" fontId="41" fillId="0" borderId="0" xfId="3" applyFont="1" applyAlignment="1">
      <alignment vertical="center"/>
    </xf>
    <xf numFmtId="3" fontId="41" fillId="0" borderId="0" xfId="3" applyNumberFormat="1" applyFont="1" applyAlignment="1">
      <alignment vertical="center"/>
    </xf>
    <xf numFmtId="0" fontId="42" fillId="0" borderId="0" xfId="3" applyFont="1" applyAlignment="1">
      <alignment vertical="center"/>
    </xf>
    <xf numFmtId="0" fontId="44" fillId="0" borderId="0" xfId="3" applyFont="1" applyAlignment="1">
      <alignment horizontal="left" vertical="center"/>
    </xf>
    <xf numFmtId="0" fontId="45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2" fillId="0" borderId="27" xfId="3" applyFont="1" applyBorder="1" applyAlignment="1">
      <alignment horizontal="center" vertical="center"/>
    </xf>
    <xf numFmtId="0" fontId="21" fillId="0" borderId="0" xfId="3" applyFont="1" applyAlignment="1">
      <alignment horizontal="left" vertical="center"/>
    </xf>
    <xf numFmtId="0" fontId="22" fillId="0" borderId="0" xfId="3" applyFont="1" applyAlignment="1">
      <alignment horizontal="center" vertical="center"/>
    </xf>
    <xf numFmtId="0" fontId="22" fillId="0" borderId="27" xfId="3" applyFont="1" applyBorder="1" applyAlignment="1">
      <alignment vertical="center"/>
    </xf>
    <xf numFmtId="0" fontId="46" fillId="0" borderId="0" xfId="3" applyFont="1" applyAlignment="1">
      <alignment horizontal="center" vertical="center"/>
    </xf>
    <xf numFmtId="0" fontId="47" fillId="0" borderId="43" xfId="3" applyFont="1" applyBorder="1" applyAlignment="1">
      <alignment horizontal="left" vertical="center"/>
    </xf>
    <xf numFmtId="0" fontId="22" fillId="0" borderId="0" xfId="3" applyFont="1" applyAlignment="1">
      <alignment vertical="center"/>
    </xf>
    <xf numFmtId="0" fontId="23" fillId="0" borderId="27" xfId="3" applyFont="1" applyBorder="1" applyAlignment="1">
      <alignment horizontal="left" vertical="center"/>
    </xf>
    <xf numFmtId="0" fontId="22" fillId="0" borderId="44" xfId="3" applyFont="1" applyBorder="1" applyAlignment="1">
      <alignment horizontal="center" vertical="center"/>
    </xf>
    <xf numFmtId="0" fontId="48" fillId="0" borderId="27" xfId="3" applyFont="1" applyBorder="1" applyAlignment="1">
      <alignment horizontal="center" vertical="center" wrapText="1"/>
    </xf>
    <xf numFmtId="0" fontId="23" fillId="0" borderId="44" xfId="3" applyFont="1" applyBorder="1" applyAlignment="1">
      <alignment horizontal="center" vertical="center"/>
    </xf>
    <xf numFmtId="0" fontId="48" fillId="0" borderId="27" xfId="3" applyFont="1" applyBorder="1" applyAlignment="1">
      <alignment horizontal="center" vertical="center"/>
    </xf>
    <xf numFmtId="0" fontId="22" fillId="0" borderId="44" xfId="3" applyFont="1" applyBorder="1" applyAlignment="1">
      <alignment vertical="center"/>
    </xf>
    <xf numFmtId="3" fontId="22" fillId="0" borderId="27" xfId="3" applyNumberFormat="1" applyFont="1" applyBorder="1" applyAlignment="1">
      <alignment horizontal="right" vertical="center" indent="2"/>
    </xf>
    <xf numFmtId="3" fontId="49" fillId="0" borderId="27" xfId="3" applyNumberFormat="1" applyFont="1" applyBorder="1" applyAlignment="1">
      <alignment horizontal="right" vertical="center" indent="2"/>
    </xf>
    <xf numFmtId="0" fontId="49" fillId="0" borderId="44" xfId="3" applyFont="1" applyBorder="1" applyAlignment="1">
      <alignment vertical="center"/>
    </xf>
    <xf numFmtId="0" fontId="23" fillId="0" borderId="44" xfId="3" applyFont="1" applyBorder="1" applyAlignment="1">
      <alignment vertical="center"/>
    </xf>
    <xf numFmtId="3" fontId="23" fillId="0" borderId="27" xfId="3" applyNumberFormat="1" applyFont="1" applyBorder="1" applyAlignment="1">
      <alignment horizontal="right" vertical="center" indent="2"/>
    </xf>
    <xf numFmtId="3" fontId="48" fillId="0" borderId="27" xfId="3" applyNumberFormat="1" applyFont="1" applyBorder="1" applyAlignment="1">
      <alignment horizontal="right" vertical="center" indent="2"/>
    </xf>
    <xf numFmtId="0" fontId="22" fillId="0" borderId="44" xfId="3" applyFont="1" applyBorder="1" applyAlignment="1">
      <alignment vertical="center" wrapText="1"/>
    </xf>
    <xf numFmtId="0" fontId="23" fillId="0" borderId="44" xfId="3" applyFont="1" applyBorder="1" applyAlignment="1">
      <alignment vertical="center" wrapText="1"/>
    </xf>
    <xf numFmtId="3" fontId="50" fillId="0" borderId="27" xfId="3" applyNumberFormat="1" applyFont="1" applyBorder="1" applyAlignment="1">
      <alignment horizontal="right" vertical="center" indent="2"/>
    </xf>
    <xf numFmtId="3" fontId="51" fillId="0" borderId="27" xfId="3" applyNumberFormat="1" applyFont="1" applyBorder="1" applyAlignment="1">
      <alignment horizontal="right" vertical="center" indent="2"/>
    </xf>
    <xf numFmtId="0" fontId="4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0" fontId="53" fillId="0" borderId="0" xfId="3" applyFont="1" applyAlignment="1">
      <alignment vertical="center" wrapText="1"/>
    </xf>
    <xf numFmtId="0" fontId="11" fillId="0" borderId="0" xfId="3" applyFont="1" applyAlignment="1">
      <alignment horizontal="center"/>
    </xf>
    <xf numFmtId="0" fontId="54" fillId="0" borderId="31" xfId="3" applyFont="1" applyBorder="1" applyAlignment="1">
      <alignment horizontal="center" vertical="center"/>
    </xf>
    <xf numFmtId="0" fontId="55" fillId="0" borderId="31" xfId="3" applyFont="1" applyBorder="1" applyAlignment="1">
      <alignment horizontal="center" vertical="center"/>
    </xf>
    <xf numFmtId="0" fontId="54" fillId="0" borderId="0" xfId="3" applyFont="1"/>
    <xf numFmtId="0" fontId="54" fillId="0" borderId="27" xfId="3" applyFont="1" applyBorder="1" applyAlignment="1">
      <alignment horizontal="left"/>
    </xf>
    <xf numFmtId="3" fontId="54" fillId="0" borderId="45" xfId="3" applyNumberFormat="1" applyFont="1" applyBorder="1" applyAlignment="1">
      <alignment horizontal="right" indent="1"/>
    </xf>
    <xf numFmtId="3" fontId="54" fillId="0" borderId="27" xfId="3" applyNumberFormat="1" applyFont="1" applyBorder="1" applyAlignment="1">
      <alignment horizontal="right" indent="1"/>
    </xf>
    <xf numFmtId="0" fontId="54" fillId="0" borderId="27" xfId="3" applyFont="1" applyBorder="1" applyAlignment="1">
      <alignment horizontal="left" wrapText="1"/>
    </xf>
    <xf numFmtId="0" fontId="53" fillId="4" borderId="27" xfId="3" applyFont="1" applyFill="1" applyBorder="1" applyAlignment="1">
      <alignment horizontal="left"/>
    </xf>
    <xf numFmtId="3" fontId="53" fillId="4" borderId="27" xfId="3" applyNumberFormat="1" applyFont="1" applyFill="1" applyBorder="1" applyAlignment="1">
      <alignment horizontal="right" indent="1"/>
    </xf>
    <xf numFmtId="3" fontId="53" fillId="0" borderId="0" xfId="3" applyNumberFormat="1" applyFont="1"/>
    <xf numFmtId="0" fontId="54" fillId="0" borderId="27" xfId="3" applyFont="1" applyBorder="1" applyAlignment="1">
      <alignment horizontal="left" vertical="center" wrapText="1"/>
    </xf>
    <xf numFmtId="3" fontId="54" fillId="0" borderId="27" xfId="3" applyNumberFormat="1" applyFont="1" applyBorder="1" applyAlignment="1">
      <alignment horizontal="right" vertical="center" wrapText="1"/>
    </xf>
    <xf numFmtId="3" fontId="53" fillId="0" borderId="0" xfId="3" applyNumberFormat="1" applyFont="1" applyAlignment="1">
      <alignment vertical="center" wrapText="1"/>
    </xf>
    <xf numFmtId="0" fontId="11" fillId="0" borderId="0" xfId="3" applyFont="1" applyAlignment="1">
      <alignment vertical="center" wrapText="1"/>
    </xf>
    <xf numFmtId="0" fontId="53" fillId="4" borderId="27" xfId="3" applyFont="1" applyFill="1" applyBorder="1"/>
    <xf numFmtId="3" fontId="54" fillId="0" borderId="0" xfId="3" applyNumberFormat="1" applyFont="1"/>
    <xf numFmtId="0" fontId="4" fillId="0" borderId="0" xfId="3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0" fontId="10" fillId="0" borderId="31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 wrapText="1"/>
    </xf>
    <xf numFmtId="0" fontId="10" fillId="0" borderId="34" xfId="3" applyFont="1" applyBorder="1" applyAlignment="1">
      <alignment horizontal="center" vertical="center" wrapText="1"/>
    </xf>
    <xf numFmtId="0" fontId="10" fillId="5" borderId="27" xfId="3" applyFont="1" applyFill="1" applyBorder="1"/>
    <xf numFmtId="3" fontId="10" fillId="5" borderId="27" xfId="3" applyNumberFormat="1" applyFont="1" applyFill="1" applyBorder="1" applyAlignment="1">
      <alignment horizontal="right" indent="2"/>
    </xf>
    <xf numFmtId="0" fontId="7" fillId="5" borderId="27" xfId="3" applyFont="1" applyFill="1" applyBorder="1"/>
    <xf numFmtId="0" fontId="7" fillId="5" borderId="27" xfId="3" applyFont="1" applyFill="1" applyBorder="1" applyAlignment="1">
      <alignment horizontal="center"/>
    </xf>
    <xf numFmtId="3" fontId="7" fillId="5" borderId="27" xfId="3" applyNumberFormat="1" applyFont="1" applyFill="1" applyBorder="1"/>
    <xf numFmtId="0" fontId="7" fillId="5" borderId="27" xfId="3" applyFont="1" applyFill="1" applyBorder="1" applyAlignment="1">
      <alignment vertical="center" wrapText="1"/>
    </xf>
    <xf numFmtId="0" fontId="7" fillId="5" borderId="27" xfId="3" applyFont="1" applyFill="1" applyBorder="1" applyAlignment="1">
      <alignment horizontal="center" vertical="center"/>
    </xf>
    <xf numFmtId="3" fontId="7" fillId="5" borderId="27" xfId="3" applyNumberFormat="1" applyFont="1" applyFill="1" applyBorder="1" applyAlignment="1">
      <alignment horizontal="right" vertical="center"/>
    </xf>
    <xf numFmtId="0" fontId="10" fillId="0" borderId="27" xfId="3" applyFont="1" applyBorder="1"/>
    <xf numFmtId="3" fontId="10" fillId="2" borderId="27" xfId="3" applyNumberFormat="1" applyFont="1" applyFill="1" applyBorder="1" applyAlignment="1">
      <alignment horizontal="right" indent="2"/>
    </xf>
    <xf numFmtId="3" fontId="7" fillId="2" borderId="27" xfId="3" applyNumberFormat="1" applyFont="1" applyFill="1" applyBorder="1" applyAlignment="1">
      <alignment horizontal="right" indent="1"/>
    </xf>
    <xf numFmtId="0" fontId="7" fillId="0" borderId="27" xfId="3" applyFont="1" applyBorder="1"/>
    <xf numFmtId="0" fontId="7" fillId="0" borderId="27" xfId="3" applyFont="1" applyBorder="1" applyAlignment="1">
      <alignment horizontal="center"/>
    </xf>
    <xf numFmtId="0" fontId="7" fillId="0" borderId="27" xfId="3" applyFont="1" applyBorder="1" applyAlignment="1">
      <alignment wrapText="1"/>
    </xf>
    <xf numFmtId="0" fontId="7" fillId="0" borderId="27" xfId="3" applyFont="1" applyBorder="1" applyAlignment="1">
      <alignment horizontal="center" vertical="center"/>
    </xf>
    <xf numFmtId="0" fontId="10" fillId="4" borderId="27" xfId="3" applyFont="1" applyFill="1" applyBorder="1"/>
    <xf numFmtId="3" fontId="10" fillId="4" borderId="27" xfId="3" applyNumberFormat="1" applyFont="1" applyFill="1" applyBorder="1" applyAlignment="1">
      <alignment horizontal="right" indent="1"/>
    </xf>
    <xf numFmtId="0" fontId="10" fillId="0" borderId="0" xfId="3" applyFont="1"/>
    <xf numFmtId="3" fontId="10" fillId="0" borderId="0" xfId="3" applyNumberFormat="1" applyFont="1"/>
    <xf numFmtId="0" fontId="7" fillId="0" borderId="0" xfId="3" applyFont="1"/>
    <xf numFmtId="3" fontId="7" fillId="0" borderId="0" xfId="3" applyNumberFormat="1" applyFont="1"/>
    <xf numFmtId="0" fontId="56" fillId="0" borderId="0" xfId="3" applyFont="1"/>
    <xf numFmtId="0" fontId="17" fillId="0" borderId="0" xfId="3" applyFont="1"/>
    <xf numFmtId="3" fontId="10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7" fillId="0" borderId="36" xfId="3" applyFont="1" applyBorder="1"/>
    <xf numFmtId="0" fontId="2" fillId="0" borderId="6" xfId="3" applyBorder="1"/>
    <xf numFmtId="0" fontId="53" fillId="0" borderId="0" xfId="3" applyFont="1" applyAlignment="1">
      <alignment horizontal="center" vertical="center" wrapText="1"/>
    </xf>
    <xf numFmtId="0" fontId="7" fillId="0" borderId="40" xfId="3" applyFont="1" applyBorder="1"/>
    <xf numFmtId="0" fontId="57" fillId="0" borderId="0" xfId="3" applyFont="1"/>
    <xf numFmtId="0" fontId="58" fillId="0" borderId="0" xfId="3" applyFont="1"/>
    <xf numFmtId="0" fontId="58" fillId="0" borderId="0" xfId="3" applyFont="1" applyAlignment="1">
      <alignment horizontal="center"/>
    </xf>
    <xf numFmtId="3" fontId="58" fillId="0" borderId="0" xfId="3" applyNumberFormat="1" applyFont="1"/>
    <xf numFmtId="0" fontId="2" fillId="0" borderId="23" xfId="3" applyBorder="1"/>
    <xf numFmtId="0" fontId="57" fillId="0" borderId="1" xfId="3" applyFont="1" applyBorder="1"/>
    <xf numFmtId="0" fontId="58" fillId="0" borderId="1" xfId="3" applyFont="1" applyBorder="1"/>
    <xf numFmtId="0" fontId="58" fillId="0" borderId="1" xfId="3" applyFont="1" applyBorder="1" applyAlignment="1">
      <alignment horizontal="center"/>
    </xf>
    <xf numFmtId="3" fontId="58" fillId="0" borderId="1" xfId="3" applyNumberFormat="1" applyFont="1" applyBorder="1"/>
    <xf numFmtId="0" fontId="9" fillId="0" borderId="0" xfId="3" applyFont="1" applyAlignment="1">
      <alignment vertical="center"/>
    </xf>
    <xf numFmtId="0" fontId="59" fillId="0" borderId="0" xfId="3" applyFont="1" applyAlignment="1">
      <alignment vertical="center" wrapText="1"/>
    </xf>
    <xf numFmtId="3" fontId="7" fillId="0" borderId="0" xfId="3" applyNumberFormat="1" applyFont="1" applyAlignment="1">
      <alignment vertical="center"/>
    </xf>
    <xf numFmtId="3" fontId="9" fillId="0" borderId="0" xfId="3" applyNumberFormat="1" applyFont="1" applyAlignment="1">
      <alignment vertical="center"/>
    </xf>
    <xf numFmtId="0" fontId="60" fillId="0" borderId="0" xfId="3" applyFont="1" applyAlignment="1">
      <alignment horizontal="center" vertical="center" wrapText="1"/>
    </xf>
    <xf numFmtId="0" fontId="60" fillId="0" borderId="0" xfId="3" applyFont="1" applyAlignment="1">
      <alignment vertical="center" wrapText="1"/>
    </xf>
    <xf numFmtId="3" fontId="61" fillId="0" borderId="0" xfId="3" applyNumberFormat="1" applyFont="1" applyAlignment="1">
      <alignment vertical="center"/>
    </xf>
    <xf numFmtId="0" fontId="53" fillId="0" borderId="27" xfId="3" applyFont="1" applyBorder="1" applyAlignment="1">
      <alignment horizontal="center" vertical="center" wrapText="1"/>
    </xf>
    <xf numFmtId="0" fontId="53" fillId="0" borderId="45" xfId="3" applyFont="1" applyBorder="1" applyAlignment="1">
      <alignment horizontal="center" vertical="center" wrapText="1"/>
    </xf>
    <xf numFmtId="0" fontId="58" fillId="5" borderId="45" xfId="3" applyFont="1" applyFill="1" applyBorder="1" applyAlignment="1">
      <alignment vertical="center" wrapText="1"/>
    </xf>
    <xf numFmtId="0" fontId="54" fillId="5" borderId="45" xfId="3" applyFont="1" applyFill="1" applyBorder="1" applyAlignment="1">
      <alignment horizontal="center" vertical="center"/>
    </xf>
    <xf numFmtId="165" fontId="53" fillId="5" borderId="45" xfId="1" applyNumberFormat="1" applyFont="1" applyFill="1" applyBorder="1" applyAlignment="1">
      <alignment horizontal="center" vertical="center"/>
    </xf>
    <xf numFmtId="165" fontId="54" fillId="5" borderId="45" xfId="1" applyNumberFormat="1" applyFont="1" applyFill="1" applyBorder="1" applyAlignment="1">
      <alignment horizontal="center" vertical="center"/>
    </xf>
    <xf numFmtId="9" fontId="54" fillId="5" borderId="45" xfId="2" applyFont="1" applyFill="1" applyBorder="1" applyAlignment="1">
      <alignment horizontal="center" vertical="center"/>
    </xf>
    <xf numFmtId="0" fontId="58" fillId="5" borderId="27" xfId="3" applyFont="1" applyFill="1" applyBorder="1" applyAlignment="1">
      <alignment vertical="center" wrapText="1"/>
    </xf>
    <xf numFmtId="0" fontId="54" fillId="5" borderId="27" xfId="3" applyFont="1" applyFill="1" applyBorder="1" applyAlignment="1">
      <alignment horizontal="center" vertical="center"/>
    </xf>
    <xf numFmtId="165" fontId="53" fillId="5" borderId="27" xfId="1" applyNumberFormat="1" applyFont="1" applyFill="1" applyBorder="1" applyAlignment="1">
      <alignment horizontal="center" vertical="center"/>
    </xf>
    <xf numFmtId="165" fontId="54" fillId="5" borderId="27" xfId="1" applyNumberFormat="1" applyFont="1" applyFill="1" applyBorder="1" applyAlignment="1">
      <alignment horizontal="center" vertical="center"/>
    </xf>
    <xf numFmtId="9" fontId="54" fillId="5" borderId="27" xfId="2" applyFont="1" applyFill="1" applyBorder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62" fillId="0" borderId="0" xfId="3" applyFont="1"/>
    <xf numFmtId="0" fontId="63" fillId="0" borderId="0" xfId="3" applyFont="1" applyAlignment="1">
      <alignment vertical="center"/>
    </xf>
    <xf numFmtId="0" fontId="7" fillId="0" borderId="31" xfId="3" applyFont="1" applyBorder="1" applyAlignment="1">
      <alignment horizontal="center"/>
    </xf>
    <xf numFmtId="0" fontId="53" fillId="0" borderId="31" xfId="3" applyFont="1" applyBorder="1" applyAlignment="1">
      <alignment vertical="center"/>
    </xf>
    <xf numFmtId="3" fontId="53" fillId="0" borderId="45" xfId="3" applyNumberFormat="1" applyFont="1" applyBorder="1" applyAlignment="1">
      <alignment vertical="center"/>
    </xf>
    <xf numFmtId="0" fontId="62" fillId="0" borderId="0" xfId="3" applyFont="1" applyAlignment="1">
      <alignment vertical="center"/>
    </xf>
    <xf numFmtId="0" fontId="7" fillId="0" borderId="45" xfId="3" applyFont="1" applyBorder="1"/>
    <xf numFmtId="3" fontId="7" fillId="0" borderId="27" xfId="3" applyNumberFormat="1" applyFont="1" applyBorder="1"/>
    <xf numFmtId="0" fontId="54" fillId="0" borderId="27" xfId="3" applyFont="1" applyBorder="1" applyAlignment="1">
      <alignment vertical="center"/>
    </xf>
    <xf numFmtId="3" fontId="53" fillId="0" borderId="27" xfId="3" applyNumberFormat="1" applyFont="1" applyBorder="1" applyAlignment="1">
      <alignment vertical="center"/>
    </xf>
    <xf numFmtId="0" fontId="63" fillId="0" borderId="27" xfId="3" applyFont="1" applyBorder="1"/>
    <xf numFmtId="3" fontId="63" fillId="0" borderId="27" xfId="3" applyNumberFormat="1" applyFont="1" applyBorder="1"/>
    <xf numFmtId="0" fontId="3" fillId="0" borderId="0" xfId="0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9" fillId="0" borderId="0" xfId="5" applyFont="1"/>
    <xf numFmtId="0" fontId="63" fillId="0" borderId="0" xfId="5" applyFont="1" applyAlignment="1">
      <alignment horizontal="center" vertical="center"/>
    </xf>
    <xf numFmtId="0" fontId="53" fillId="0" borderId="0" xfId="5" applyFont="1" applyAlignment="1">
      <alignment horizontal="center" vertical="center"/>
    </xf>
    <xf numFmtId="0" fontId="7" fillId="0" borderId="0" xfId="5" applyFont="1"/>
    <xf numFmtId="0" fontId="7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7" fillId="0" borderId="0" xfId="5" applyFont="1" applyAlignment="1">
      <alignment horizontal="right"/>
    </xf>
    <xf numFmtId="0" fontId="7" fillId="0" borderId="27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0" fillId="0" borderId="27" xfId="5" applyFont="1" applyBorder="1" applyAlignment="1">
      <alignment horizontal="center" vertical="center" wrapText="1"/>
    </xf>
    <xf numFmtId="0" fontId="7" fillId="0" borderId="27" xfId="5" applyFont="1" applyBorder="1" applyAlignment="1">
      <alignment vertical="center"/>
    </xf>
    <xf numFmtId="3" fontId="9" fillId="0" borderId="27" xfId="5" applyNumberFormat="1" applyFont="1" applyBorder="1" applyAlignment="1">
      <alignment horizontal="right" vertical="center"/>
    </xf>
    <xf numFmtId="3" fontId="11" fillId="0" borderId="27" xfId="5" applyNumberFormat="1" applyFont="1" applyBorder="1" applyAlignment="1">
      <alignment horizontal="right" vertical="center" indent="1"/>
    </xf>
    <xf numFmtId="0" fontId="10" fillId="0" borderId="27" xfId="5" applyFont="1" applyBorder="1" applyAlignment="1">
      <alignment vertical="center"/>
    </xf>
    <xf numFmtId="3" fontId="11" fillId="0" borderId="27" xfId="5" applyNumberFormat="1" applyFont="1" applyBorder="1" applyAlignment="1">
      <alignment horizontal="right" vertical="center"/>
    </xf>
    <xf numFmtId="0" fontId="10" fillId="0" borderId="46" xfId="5" applyFont="1" applyBorder="1" applyAlignment="1">
      <alignment vertical="center"/>
    </xf>
    <xf numFmtId="3" fontId="11" fillId="0" borderId="44" xfId="5" applyNumberFormat="1" applyFont="1" applyBorder="1" applyAlignment="1">
      <alignment horizontal="right" vertical="center" indent="1"/>
    </xf>
    <xf numFmtId="0" fontId="11" fillId="0" borderId="0" xfId="5" applyFont="1"/>
    <xf numFmtId="0" fontId="9" fillId="0" borderId="27" xfId="5" applyFont="1" applyBorder="1" applyAlignment="1">
      <alignment horizontal="right" vertical="center"/>
    </xf>
    <xf numFmtId="0" fontId="10" fillId="0" borderId="0" xfId="5" applyFont="1" applyAlignment="1">
      <alignment vertical="center"/>
    </xf>
    <xf numFmtId="0" fontId="10" fillId="0" borderId="0" xfId="5" applyFont="1"/>
    <xf numFmtId="0" fontId="65" fillId="0" borderId="0" xfId="0" applyFont="1"/>
    <xf numFmtId="0" fontId="59" fillId="0" borderId="0" xfId="3" applyFont="1" applyAlignment="1">
      <alignment vertical="center"/>
    </xf>
    <xf numFmtId="3" fontId="62" fillId="0" borderId="0" xfId="3" applyNumberFormat="1" applyFont="1" applyAlignment="1">
      <alignment vertical="center"/>
    </xf>
    <xf numFmtId="0" fontId="2" fillId="0" borderId="0" xfId="3" applyAlignment="1">
      <alignment horizontal="right" vertical="center"/>
    </xf>
    <xf numFmtId="0" fontId="10" fillId="4" borderId="46" xfId="3" applyFont="1" applyFill="1" applyBorder="1" applyAlignment="1">
      <alignment vertical="center"/>
    </xf>
    <xf numFmtId="0" fontId="10" fillId="4" borderId="50" xfId="3" applyFont="1" applyFill="1" applyBorder="1" applyAlignment="1">
      <alignment vertical="center"/>
    </xf>
    <xf numFmtId="0" fontId="7" fillId="0" borderId="27" xfId="3" applyFont="1" applyBorder="1" applyAlignment="1">
      <alignment horizontal="left" vertical="center"/>
    </xf>
    <xf numFmtId="3" fontId="7" fillId="0" borderId="27" xfId="3" applyNumberFormat="1" applyFont="1" applyBorder="1" applyAlignment="1">
      <alignment horizontal="right" vertical="center" indent="1"/>
    </xf>
    <xf numFmtId="3" fontId="7" fillId="2" borderId="27" xfId="3" applyNumberFormat="1" applyFont="1" applyFill="1" applyBorder="1" applyAlignment="1">
      <alignment horizontal="right" vertical="center" indent="1"/>
    </xf>
    <xf numFmtId="0" fontId="7" fillId="0" borderId="27" xfId="3" applyFont="1" applyBorder="1" applyAlignment="1">
      <alignment horizontal="left" vertical="center" wrapText="1"/>
    </xf>
    <xf numFmtId="0" fontId="10" fillId="4" borderId="27" xfId="3" applyFont="1" applyFill="1" applyBorder="1" applyAlignment="1">
      <alignment horizontal="right" vertical="center"/>
    </xf>
    <xf numFmtId="3" fontId="10" fillId="4" borderId="27" xfId="3" applyNumberFormat="1" applyFont="1" applyFill="1" applyBorder="1" applyAlignment="1">
      <alignment horizontal="right" vertical="center" indent="1"/>
    </xf>
    <xf numFmtId="0" fontId="10" fillId="0" borderId="43" xfId="3" applyFont="1" applyBorder="1" applyAlignment="1">
      <alignment horizontal="left" vertical="center"/>
    </xf>
    <xf numFmtId="3" fontId="10" fillId="0" borderId="43" xfId="3" applyNumberFormat="1" applyFont="1" applyBorder="1" applyAlignment="1">
      <alignment horizontal="right" vertical="center" indent="1"/>
    </xf>
    <xf numFmtId="3" fontId="66" fillId="0" borderId="43" xfId="3" applyNumberFormat="1" applyFont="1" applyBorder="1" applyAlignment="1">
      <alignment horizontal="right" vertical="center" indent="1"/>
    </xf>
    <xf numFmtId="0" fontId="10" fillId="4" borderId="27" xfId="3" applyFont="1" applyFill="1" applyBorder="1" applyAlignment="1">
      <alignment horizontal="left" vertical="center"/>
    </xf>
    <xf numFmtId="3" fontId="7" fillId="4" borderId="27" xfId="3" applyNumberFormat="1" applyFont="1" applyFill="1" applyBorder="1" applyAlignment="1">
      <alignment horizontal="right" vertical="center" indent="1"/>
    </xf>
    <xf numFmtId="0" fontId="62" fillId="0" borderId="44" xfId="3" applyFont="1" applyBorder="1" applyAlignment="1">
      <alignment vertical="center"/>
    </xf>
    <xf numFmtId="0" fontId="10" fillId="4" borderId="27" xfId="3" applyFont="1" applyFill="1" applyBorder="1" applyAlignment="1">
      <alignment vertical="center" wrapText="1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7" fillId="0" borderId="31" xfId="0" applyFont="1" applyBorder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7" fillId="0" borderId="42" xfId="0" applyFont="1" applyBorder="1" applyAlignment="1">
      <alignment horizontal="center" vertical="center"/>
    </xf>
    <xf numFmtId="0" fontId="68" fillId="0" borderId="27" xfId="0" applyFont="1" applyBorder="1" applyAlignment="1">
      <alignment horizontal="center" vertical="center"/>
    </xf>
    <xf numFmtId="0" fontId="0" fillId="0" borderId="19" xfId="0" applyBorder="1"/>
    <xf numFmtId="164" fontId="69" fillId="0" borderId="45" xfId="1" applyNumberFormat="1" applyFont="1" applyBorder="1"/>
    <xf numFmtId="164" fontId="69" fillId="0" borderId="13" xfId="1" applyNumberFormat="1" applyFont="1" applyBorder="1"/>
    <xf numFmtId="0" fontId="0" fillId="0" borderId="7" xfId="0" applyBorder="1" applyAlignment="1">
      <alignment wrapText="1"/>
    </xf>
    <xf numFmtId="164" fontId="69" fillId="0" borderId="27" xfId="1" applyNumberFormat="1" applyFont="1" applyBorder="1"/>
    <xf numFmtId="164" fontId="69" fillId="0" borderId="5" xfId="1" applyNumberFormat="1" applyFont="1" applyBorder="1"/>
    <xf numFmtId="0" fontId="0" fillId="0" borderId="7" xfId="0" applyBorder="1"/>
    <xf numFmtId="0" fontId="0" fillId="0" borderId="51" xfId="0" applyBorder="1"/>
    <xf numFmtId="164" fontId="69" fillId="0" borderId="52" xfId="1" applyNumberFormat="1" applyFont="1" applyBorder="1"/>
    <xf numFmtId="164" fontId="69" fillId="0" borderId="33" xfId="1" applyNumberFormat="1" applyFont="1" applyBorder="1"/>
    <xf numFmtId="0" fontId="0" fillId="0" borderId="10" xfId="0" applyBorder="1"/>
    <xf numFmtId="164" fontId="69" fillId="0" borderId="53" xfId="1" applyNumberFormat="1" applyFont="1" applyBorder="1"/>
    <xf numFmtId="0" fontId="1" fillId="0" borderId="0" xfId="0" applyFont="1"/>
    <xf numFmtId="164" fontId="69" fillId="0" borderId="54" xfId="1" applyNumberFormat="1" applyFont="1" applyBorder="1" applyAlignment="1">
      <alignment horizontal="right"/>
    </xf>
    <xf numFmtId="164" fontId="69" fillId="0" borderId="54" xfId="1" applyNumberFormat="1" applyFont="1" applyBorder="1" applyAlignment="1">
      <alignment horizontal="left"/>
    </xf>
    <xf numFmtId="164" fontId="69" fillId="0" borderId="54" xfId="1" applyNumberFormat="1" applyFont="1" applyBorder="1" applyAlignment="1">
      <alignment horizontal="left" indent="1"/>
    </xf>
    <xf numFmtId="164" fontId="69" fillId="0" borderId="3" xfId="1" applyNumberFormat="1" applyFont="1" applyBorder="1" applyAlignment="1">
      <alignment horizontal="left" indent="1"/>
    </xf>
    <xf numFmtId="164" fontId="69" fillId="0" borderId="27" xfId="1" applyNumberFormat="1" applyFont="1" applyBorder="1" applyAlignment="1">
      <alignment horizontal="right"/>
    </xf>
    <xf numFmtId="164" fontId="69" fillId="0" borderId="27" xfId="1" applyNumberFormat="1" applyFont="1" applyBorder="1" applyAlignment="1">
      <alignment horizontal="left"/>
    </xf>
    <xf numFmtId="164" fontId="69" fillId="0" borderId="27" xfId="1" applyNumberFormat="1" applyFont="1" applyBorder="1" applyAlignment="1">
      <alignment horizontal="left" indent="1"/>
    </xf>
    <xf numFmtId="164" fontId="69" fillId="0" borderId="5" xfId="1" applyNumberFormat="1" applyFont="1" applyBorder="1" applyAlignment="1">
      <alignment horizontal="left" indent="1"/>
    </xf>
    <xf numFmtId="164" fontId="69" fillId="0" borderId="55" xfId="1" applyNumberFormat="1" applyFont="1" applyBorder="1" applyAlignment="1">
      <alignment horizontal="left"/>
    </xf>
    <xf numFmtId="164" fontId="69" fillId="0" borderId="52" xfId="1" applyNumberFormat="1" applyFont="1" applyBorder="1" applyAlignment="1">
      <alignment horizontal="right"/>
    </xf>
    <xf numFmtId="164" fontId="69" fillId="0" borderId="52" xfId="1" applyNumberFormat="1" applyFont="1" applyBorder="1" applyAlignment="1">
      <alignment horizontal="left"/>
    </xf>
    <xf numFmtId="164" fontId="69" fillId="0" borderId="52" xfId="1" applyNumberFormat="1" applyFont="1" applyBorder="1" applyAlignment="1">
      <alignment horizontal="left" indent="1"/>
    </xf>
    <xf numFmtId="164" fontId="69" fillId="0" borderId="33" xfId="1" applyNumberFormat="1" applyFont="1" applyBorder="1" applyAlignment="1">
      <alignment horizontal="left" indent="1"/>
    </xf>
    <xf numFmtId="0" fontId="0" fillId="0" borderId="20" xfId="0" applyBorder="1" applyAlignment="1">
      <alignment wrapText="1"/>
    </xf>
    <xf numFmtId="164" fontId="69" fillId="0" borderId="56" xfId="1" applyNumberFormat="1" applyFont="1" applyBorder="1" applyAlignment="1">
      <alignment horizontal="right"/>
    </xf>
    <xf numFmtId="164" fontId="69" fillId="0" borderId="56" xfId="1" applyNumberFormat="1" applyFont="1" applyBorder="1" applyAlignment="1">
      <alignment horizontal="left"/>
    </xf>
    <xf numFmtId="164" fontId="69" fillId="0" borderId="56" xfId="1" applyNumberFormat="1" applyFont="1" applyBorder="1" applyAlignment="1">
      <alignment horizontal="left" indent="1"/>
    </xf>
    <xf numFmtId="164" fontId="69" fillId="0" borderId="53" xfId="1" applyNumberFormat="1" applyFont="1" applyBorder="1" applyAlignment="1">
      <alignment horizontal="right"/>
    </xf>
    <xf numFmtId="164" fontId="0" fillId="0" borderId="0" xfId="0" applyNumberFormat="1"/>
    <xf numFmtId="3" fontId="2" fillId="0" borderId="0" xfId="3" applyNumberFormat="1" applyAlignment="1">
      <alignment horizontal="center" vertical="center"/>
    </xf>
    <xf numFmtId="3" fontId="9" fillId="0" borderId="6" xfId="3" applyNumberFormat="1" applyFont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23" fillId="0" borderId="26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right"/>
    </xf>
    <xf numFmtId="3" fontId="26" fillId="0" borderId="25" xfId="3" applyNumberFormat="1" applyFont="1" applyBorder="1" applyAlignment="1">
      <alignment horizontal="center" vertical="center" wrapText="1"/>
    </xf>
    <xf numFmtId="3" fontId="26" fillId="0" borderId="34" xfId="3" applyNumberFormat="1" applyFont="1" applyBorder="1" applyAlignment="1">
      <alignment horizontal="center" vertical="center" wrapText="1"/>
    </xf>
    <xf numFmtId="3" fontId="15" fillId="0" borderId="25" xfId="3" applyNumberFormat="1" applyFont="1" applyBorder="1" applyAlignment="1">
      <alignment horizontal="center" vertical="center" wrapText="1"/>
    </xf>
    <xf numFmtId="3" fontId="15" fillId="0" borderId="34" xfId="3" applyNumberFormat="1" applyFont="1" applyBorder="1" applyAlignment="1">
      <alignment horizontal="center" vertical="center" wrapText="1"/>
    </xf>
    <xf numFmtId="0" fontId="15" fillId="0" borderId="31" xfId="3" applyFont="1" applyBorder="1" applyAlignment="1">
      <alignment horizontal="left" vertical="center" wrapText="1"/>
    </xf>
    <xf numFmtId="3" fontId="15" fillId="0" borderId="0" xfId="3" applyNumberFormat="1" applyFont="1" applyAlignment="1">
      <alignment horizontal="center" vertical="center" wrapText="1"/>
    </xf>
    <xf numFmtId="3" fontId="15" fillId="0" borderId="31" xfId="3" applyNumberFormat="1" applyFont="1" applyBorder="1" applyAlignment="1">
      <alignment horizontal="left" vertical="center" wrapText="1"/>
    </xf>
    <xf numFmtId="0" fontId="15" fillId="0" borderId="23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5" xfId="3" applyFont="1" applyBorder="1" applyAlignment="1">
      <alignment horizontal="center" vertical="center" wrapText="1"/>
    </xf>
    <xf numFmtId="0" fontId="15" fillId="0" borderId="34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5" fillId="0" borderId="31" xfId="3" applyFont="1" applyBorder="1" applyAlignment="1">
      <alignment horizontal="center" vertical="center" wrapText="1"/>
    </xf>
    <xf numFmtId="0" fontId="28" fillId="5" borderId="35" xfId="3" applyFont="1" applyFill="1" applyBorder="1" applyAlignment="1">
      <alignment horizontal="center" vertical="center"/>
    </xf>
    <xf numFmtId="0" fontId="28" fillId="5" borderId="38" xfId="3" applyFont="1" applyFill="1" applyBorder="1" applyAlignment="1">
      <alignment horizontal="center" vertical="center"/>
    </xf>
    <xf numFmtId="0" fontId="28" fillId="5" borderId="39" xfId="3" applyFont="1" applyFill="1" applyBorder="1" applyAlignment="1">
      <alignment horizontal="center" vertical="center"/>
    </xf>
    <xf numFmtId="49" fontId="10" fillId="4" borderId="25" xfId="3" applyNumberFormat="1" applyFont="1" applyFill="1" applyBorder="1" applyAlignment="1">
      <alignment horizontal="center" vertical="center" wrapText="1"/>
    </xf>
    <xf numFmtId="49" fontId="10" fillId="4" borderId="34" xfId="3" applyNumberFormat="1" applyFont="1" applyFill="1" applyBorder="1" applyAlignment="1">
      <alignment horizontal="center" vertical="center" wrapText="1"/>
    </xf>
    <xf numFmtId="0" fontId="10" fillId="4" borderId="31" xfId="3" applyFont="1" applyFill="1" applyBorder="1" applyAlignment="1">
      <alignment horizontal="left" vertical="center"/>
    </xf>
    <xf numFmtId="0" fontId="28" fillId="0" borderId="31" xfId="3" applyFont="1" applyBorder="1" applyAlignment="1">
      <alignment horizontal="center" vertical="center"/>
    </xf>
    <xf numFmtId="0" fontId="10" fillId="4" borderId="25" xfId="3" applyFont="1" applyFill="1" applyBorder="1" applyAlignment="1">
      <alignment horizontal="center" vertical="center"/>
    </xf>
    <xf numFmtId="0" fontId="10" fillId="4" borderId="34" xfId="3" applyFont="1" applyFill="1" applyBorder="1" applyAlignment="1">
      <alignment horizontal="center" vertical="center"/>
    </xf>
    <xf numFmtId="3" fontId="11" fillId="4" borderId="35" xfId="3" applyNumberFormat="1" applyFont="1" applyFill="1" applyBorder="1" applyAlignment="1">
      <alignment horizontal="center" vertical="center" wrapText="1"/>
    </xf>
    <xf numFmtId="3" fontId="11" fillId="4" borderId="39" xfId="3" applyNumberFormat="1" applyFont="1" applyFill="1" applyBorder="1" applyAlignment="1">
      <alignment horizontal="center" vertical="center" wrapText="1"/>
    </xf>
    <xf numFmtId="3" fontId="11" fillId="4" borderId="38" xfId="3" applyNumberFormat="1" applyFont="1" applyFill="1" applyBorder="1" applyAlignment="1">
      <alignment horizontal="center" vertical="center" wrapText="1"/>
    </xf>
    <xf numFmtId="3" fontId="11" fillId="0" borderId="35" xfId="3" applyNumberFormat="1" applyFont="1" applyBorder="1" applyAlignment="1">
      <alignment horizontal="center" vertical="center" wrapText="1"/>
    </xf>
    <xf numFmtId="3" fontId="11" fillId="0" borderId="39" xfId="3" applyNumberFormat="1" applyFont="1" applyBorder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 textRotation="90"/>
    </xf>
    <xf numFmtId="0" fontId="11" fillId="0" borderId="39" xfId="3" applyFont="1" applyBorder="1" applyAlignment="1">
      <alignment horizontal="center" vertical="center" textRotation="90"/>
    </xf>
    <xf numFmtId="0" fontId="11" fillId="0" borderId="36" xfId="3" applyFont="1" applyBorder="1" applyAlignment="1">
      <alignment horizontal="center" vertical="center"/>
    </xf>
    <xf numFmtId="0" fontId="11" fillId="0" borderId="40" xfId="3" applyFont="1" applyBorder="1" applyAlignment="1">
      <alignment horizontal="center" vertical="center"/>
    </xf>
    <xf numFmtId="3" fontId="10" fillId="0" borderId="37" xfId="3" applyNumberFormat="1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3" fontId="10" fillId="0" borderId="42" xfId="3" applyNumberFormat="1" applyFont="1" applyBorder="1" applyAlignment="1">
      <alignment horizontal="center" vertical="center"/>
    </xf>
    <xf numFmtId="3" fontId="10" fillId="0" borderId="36" xfId="3" applyNumberFormat="1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43" fillId="0" borderId="0" xfId="3" applyFont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top" wrapText="1"/>
    </xf>
    <xf numFmtId="0" fontId="5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53" fillId="0" borderId="42" xfId="3" applyFont="1" applyBorder="1" applyAlignment="1">
      <alignment horizontal="center" vertical="center" wrapText="1"/>
    </xf>
    <xf numFmtId="0" fontId="53" fillId="0" borderId="37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53" fillId="0" borderId="25" xfId="3" applyFont="1" applyBorder="1" applyAlignment="1">
      <alignment horizontal="center" vertical="center" wrapText="1"/>
    </xf>
    <xf numFmtId="0" fontId="53" fillId="0" borderId="49" xfId="3" applyFont="1" applyBorder="1" applyAlignment="1">
      <alignment horizontal="center" vertical="center" wrapText="1"/>
    </xf>
    <xf numFmtId="0" fontId="53" fillId="0" borderId="34" xfId="3" applyFont="1" applyBorder="1" applyAlignment="1">
      <alignment horizontal="center" vertical="center" wrapText="1"/>
    </xf>
    <xf numFmtId="0" fontId="60" fillId="0" borderId="0" xfId="3" applyFont="1" applyAlignment="1">
      <alignment horizontal="center" vertical="center" wrapText="1"/>
    </xf>
    <xf numFmtId="0" fontId="53" fillId="0" borderId="27" xfId="3" applyFont="1" applyBorder="1" applyAlignment="1">
      <alignment horizontal="center" vertical="center"/>
    </xf>
    <xf numFmtId="0" fontId="53" fillId="0" borderId="27" xfId="3" applyFont="1" applyBorder="1" applyAlignment="1">
      <alignment horizontal="center" vertical="center" wrapText="1"/>
    </xf>
    <xf numFmtId="0" fontId="53" fillId="0" borderId="46" xfId="3" applyFont="1" applyBorder="1" applyAlignment="1">
      <alignment horizontal="center" vertical="center" wrapText="1"/>
    </xf>
    <xf numFmtId="0" fontId="53" fillId="0" borderId="44" xfId="3" applyFont="1" applyBorder="1" applyAlignment="1">
      <alignment horizontal="center" vertical="center" wrapText="1"/>
    </xf>
    <xf numFmtId="0" fontId="53" fillId="0" borderId="47" xfId="3" applyFont="1" applyBorder="1" applyAlignment="1">
      <alignment horizontal="center" vertical="center" wrapText="1"/>
    </xf>
    <xf numFmtId="0" fontId="53" fillId="0" borderId="48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63" fillId="0" borderId="0" xfId="3" applyFont="1" applyAlignment="1">
      <alignment horizontal="center" vertical="center"/>
    </xf>
    <xf numFmtId="0" fontId="10" fillId="0" borderId="46" xfId="5" applyFont="1" applyBorder="1" applyAlignment="1">
      <alignment horizontal="center" vertical="center"/>
    </xf>
    <xf numFmtId="0" fontId="10" fillId="0" borderId="50" xfId="5" applyFont="1" applyBorder="1" applyAlignment="1">
      <alignment horizontal="center" vertical="center"/>
    </xf>
    <xf numFmtId="0" fontId="10" fillId="0" borderId="25" xfId="5" applyFont="1" applyBorder="1" applyAlignment="1">
      <alignment horizontal="center" vertical="center"/>
    </xf>
    <xf numFmtId="0" fontId="10" fillId="0" borderId="34" xfId="5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3" fillId="0" borderId="0" xfId="5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59" fillId="0" borderId="0" xfId="3" applyFont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68" fillId="0" borderId="2" xfId="0" applyFont="1" applyBorder="1" applyAlignment="1">
      <alignment horizontal="center" vertical="center"/>
    </xf>
    <xf numFmtId="0" fontId="68" fillId="0" borderId="32" xfId="0" applyFont="1" applyBorder="1" applyAlignment="1">
      <alignment horizontal="center" vertical="center"/>
    </xf>
  </cellXfs>
  <cellStyles count="6">
    <cellStyle name="Ezres" xfId="1" builtinId="3"/>
    <cellStyle name="Normál" xfId="0" builtinId="0"/>
    <cellStyle name="Normál 2" xfId="3"/>
    <cellStyle name="Normál_Munkafüzet1" xfId="5"/>
    <cellStyle name="Százalék" xfId="2" builtinId="5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I128"/>
  <sheetViews>
    <sheetView zoomScale="130" zoomScaleNormal="130" workbookViewId="0">
      <selection activeCell="G4" sqref="G4"/>
    </sheetView>
  </sheetViews>
  <sheetFormatPr defaultColWidth="8.85546875" defaultRowHeight="15"/>
  <cols>
    <col min="1" max="1" width="9" style="7" customWidth="1"/>
    <col min="2" max="2" width="67" style="9" customWidth="1"/>
    <col min="3" max="4" width="24.7109375" style="9" customWidth="1"/>
    <col min="5" max="5" width="17.28515625" style="4" hidden="1" customWidth="1"/>
    <col min="6" max="6" width="12.85546875" style="4" hidden="1" customWidth="1"/>
    <col min="7" max="10" width="8.85546875" style="4"/>
    <col min="11" max="11" width="20.42578125" style="4" customWidth="1"/>
    <col min="12" max="16384" width="8.85546875" style="4"/>
  </cols>
  <sheetData>
    <row r="1" spans="1:9" ht="23.25" customHeight="1">
      <c r="A1" s="421" t="s">
        <v>546</v>
      </c>
      <c r="B1" s="421"/>
      <c r="C1" s="421"/>
      <c r="D1" s="1"/>
      <c r="E1" s="2"/>
      <c r="F1" s="2"/>
      <c r="G1" s="2"/>
      <c r="H1" s="3"/>
    </row>
    <row r="2" spans="1:9" ht="42" customHeight="1">
      <c r="A2" s="422" t="s">
        <v>0</v>
      </c>
      <c r="B2" s="422"/>
      <c r="C2" s="422"/>
      <c r="D2" s="5"/>
      <c r="E2" s="6"/>
      <c r="F2" s="6"/>
      <c r="G2" s="6"/>
      <c r="H2" s="5"/>
      <c r="I2" s="6"/>
    </row>
    <row r="3" spans="1:9" ht="16.5" thickBot="1">
      <c r="B3" s="8"/>
      <c r="D3" s="10" t="s">
        <v>1</v>
      </c>
      <c r="E3" s="11"/>
    </row>
    <row r="4" spans="1:9" ht="33" customHeight="1">
      <c r="B4" s="12" t="s">
        <v>2</v>
      </c>
      <c r="C4" s="13" t="s">
        <v>3</v>
      </c>
      <c r="D4" s="13" t="s">
        <v>4</v>
      </c>
      <c r="E4" s="4" t="s">
        <v>5</v>
      </c>
    </row>
    <row r="5" spans="1:9">
      <c r="B5" s="14" t="s">
        <v>6</v>
      </c>
      <c r="C5" s="15">
        <v>70119800</v>
      </c>
      <c r="D5" s="15">
        <f>70119800+2851000</f>
        <v>72970800</v>
      </c>
      <c r="E5" s="420">
        <v>118733829</v>
      </c>
      <c r="F5" s="418">
        <f>+D5+D6+D7+D8+D9+D10+D11+D12+D22</f>
        <v>121584829</v>
      </c>
    </row>
    <row r="6" spans="1:9">
      <c r="B6" s="16" t="s">
        <v>7</v>
      </c>
      <c r="C6" s="17">
        <v>9024810</v>
      </c>
      <c r="D6" s="17">
        <v>9024810</v>
      </c>
      <c r="E6" s="420"/>
      <c r="F6" s="418"/>
    </row>
    <row r="7" spans="1:9">
      <c r="B7" s="16" t="s">
        <v>8</v>
      </c>
      <c r="C7" s="17">
        <v>6400000</v>
      </c>
      <c r="D7" s="17">
        <v>6400000</v>
      </c>
      <c r="E7" s="420"/>
      <c r="F7" s="418"/>
    </row>
    <row r="8" spans="1:9">
      <c r="B8" s="16" t="s">
        <v>9</v>
      </c>
      <c r="C8" s="17">
        <v>522123</v>
      </c>
      <c r="D8" s="17">
        <v>522123</v>
      </c>
      <c r="E8" s="420"/>
      <c r="F8" s="418"/>
    </row>
    <row r="9" spans="1:9">
      <c r="B9" s="16" t="s">
        <v>10</v>
      </c>
      <c r="C9" s="17">
        <v>5343580</v>
      </c>
      <c r="D9" s="17">
        <v>5343580</v>
      </c>
      <c r="E9" s="420"/>
      <c r="F9" s="418"/>
    </row>
    <row r="10" spans="1:9">
      <c r="B10" s="16" t="s">
        <v>11</v>
      </c>
      <c r="C10" s="17">
        <v>6615000</v>
      </c>
      <c r="D10" s="17">
        <v>6615000</v>
      </c>
      <c r="E10" s="420"/>
      <c r="F10" s="418"/>
    </row>
    <row r="11" spans="1:9">
      <c r="B11" s="16" t="s">
        <v>12</v>
      </c>
      <c r="C11" s="17">
        <v>19659616</v>
      </c>
      <c r="D11" s="17">
        <v>19659616</v>
      </c>
      <c r="E11" s="420"/>
      <c r="F11" s="418"/>
    </row>
    <row r="12" spans="1:9">
      <c r="B12" s="16" t="s">
        <v>13</v>
      </c>
      <c r="C12" s="17">
        <v>972400</v>
      </c>
      <c r="D12" s="17">
        <v>972400</v>
      </c>
      <c r="E12" s="420"/>
      <c r="F12" s="418"/>
    </row>
    <row r="13" spans="1:9">
      <c r="B13" s="16" t="s">
        <v>14</v>
      </c>
      <c r="C13" s="17">
        <v>68553383</v>
      </c>
      <c r="D13" s="17">
        <f>68553383+975000</f>
        <v>69528383</v>
      </c>
    </row>
    <row r="14" spans="1:9">
      <c r="B14" s="16" t="s">
        <v>15</v>
      </c>
      <c r="C14" s="17">
        <v>18536765</v>
      </c>
      <c r="D14" s="18">
        <f>18536765+850000+1377000</f>
        <v>20763765</v>
      </c>
    </row>
    <row r="15" spans="1:9">
      <c r="B15" s="16" t="s">
        <v>16</v>
      </c>
      <c r="C15" s="17">
        <f>3400000+4705600+150000+5280000+1853000</f>
        <v>15388600</v>
      </c>
      <c r="D15" s="17">
        <f>3400000+4705600+150000+5280000+1853000+380000</f>
        <v>15768600</v>
      </c>
    </row>
    <row r="16" spans="1:9">
      <c r="B16" s="16" t="s">
        <v>17</v>
      </c>
      <c r="C16" s="17">
        <v>18506000</v>
      </c>
      <c r="D16" s="18">
        <f>18506000+1948000</f>
        <v>20454000</v>
      </c>
    </row>
    <row r="17" spans="2:6">
      <c r="B17" s="16" t="s">
        <v>18</v>
      </c>
      <c r="C17" s="17">
        <v>32507193</v>
      </c>
      <c r="D17" s="18">
        <v>32507193</v>
      </c>
    </row>
    <row r="18" spans="2:6">
      <c r="B18" s="16" t="s">
        <v>19</v>
      </c>
      <c r="C18" s="17">
        <v>1072740</v>
      </c>
      <c r="D18" s="18">
        <v>1072740</v>
      </c>
    </row>
    <row r="19" spans="2:6">
      <c r="B19" s="16" t="s">
        <v>20</v>
      </c>
      <c r="C19" s="17">
        <v>7482500</v>
      </c>
      <c r="D19" s="18">
        <v>7482500</v>
      </c>
    </row>
    <row r="20" spans="2:6">
      <c r="B20" s="16" t="s">
        <v>21</v>
      </c>
      <c r="C20" s="17">
        <v>1140000</v>
      </c>
      <c r="D20" s="18">
        <v>1140000</v>
      </c>
    </row>
    <row r="21" spans="2:6">
      <c r="B21" s="16" t="s">
        <v>22</v>
      </c>
      <c r="C21" s="17">
        <v>2964500</v>
      </c>
      <c r="D21" s="17">
        <f>2964500+100000</f>
        <v>3064500</v>
      </c>
    </row>
    <row r="22" spans="2:6">
      <c r="B22" s="16" t="s">
        <v>23</v>
      </c>
      <c r="C22" s="17">
        <v>76500</v>
      </c>
      <c r="D22" s="17">
        <v>76500</v>
      </c>
      <c r="E22" s="19"/>
    </row>
    <row r="23" spans="2:6">
      <c r="B23" s="16" t="s">
        <v>24</v>
      </c>
      <c r="C23" s="17">
        <v>0</v>
      </c>
      <c r="D23" s="17">
        <v>992732</v>
      </c>
    </row>
    <row r="24" spans="2:6">
      <c r="B24" s="20" t="s">
        <v>25</v>
      </c>
      <c r="C24" s="21">
        <v>0</v>
      </c>
      <c r="D24" s="21">
        <v>12248000</v>
      </c>
    </row>
    <row r="25" spans="2:6">
      <c r="B25" s="20" t="s">
        <v>26</v>
      </c>
      <c r="C25" s="21">
        <v>0</v>
      </c>
      <c r="D25" s="21">
        <v>4279265</v>
      </c>
    </row>
    <row r="26" spans="2:6">
      <c r="B26" s="20" t="s">
        <v>27</v>
      </c>
      <c r="C26" s="21">
        <v>0</v>
      </c>
      <c r="D26" s="21">
        <v>8932904</v>
      </c>
    </row>
    <row r="27" spans="2:6">
      <c r="B27" s="20" t="s">
        <v>28</v>
      </c>
      <c r="C27" s="22">
        <f>+'4 b.sz.mell.'!F8</f>
        <v>10665000</v>
      </c>
      <c r="D27" s="22">
        <v>10665000</v>
      </c>
    </row>
    <row r="28" spans="2:6" ht="15.75" thickBot="1">
      <c r="B28" s="20" t="s">
        <v>29</v>
      </c>
      <c r="C28" s="22">
        <f>+'4 b.sz.mell.'!F6</f>
        <v>17986559</v>
      </c>
      <c r="D28" s="22">
        <f>+'4 b.sz.mell.'!G6-D27</f>
        <v>17986559</v>
      </c>
    </row>
    <row r="29" spans="2:6" ht="19.899999999999999" customHeight="1" thickBot="1">
      <c r="B29" s="23" t="s">
        <v>30</v>
      </c>
      <c r="C29" s="24">
        <f>SUM(C5:C28)</f>
        <v>313537069</v>
      </c>
      <c r="D29" s="24">
        <f>SUM(D5:D28)</f>
        <v>348470970</v>
      </c>
      <c r="E29" s="25">
        <f>+'4 b.sz.mell.'!G36</f>
        <v>319819411</v>
      </c>
      <c r="F29" s="25">
        <f>+D29-E29</f>
        <v>28651559</v>
      </c>
    </row>
    <row r="30" spans="2:6">
      <c r="B30" s="26" t="s">
        <v>31</v>
      </c>
      <c r="C30" s="27">
        <f>+'4 b.sz.mell.'!F25</f>
        <v>14981900</v>
      </c>
      <c r="D30" s="27">
        <f>+'4 b.sz.mell.'!G25</f>
        <v>16629400</v>
      </c>
    </row>
    <row r="31" spans="2:6">
      <c r="B31" s="16" t="s">
        <v>32</v>
      </c>
      <c r="C31" s="28">
        <f>+'4 b.sz.mell.'!F12+'4 b.sz.mell.'!F11+'4 b.sz.mell.'!F10+'4 b.sz.mell.'!F13</f>
        <v>0</v>
      </c>
      <c r="D31" s="28">
        <f>+'4 b.sz.mell.'!G12+'4 b.sz.mell.'!G11+'4 b.sz.mell.'!G10+'4 b.sz.mell.'!G13</f>
        <v>25482294</v>
      </c>
    </row>
    <row r="32" spans="2:6">
      <c r="B32" s="16" t="s">
        <v>33</v>
      </c>
      <c r="C32" s="28">
        <f>+'4 b.sz.mell.'!F28</f>
        <v>6245115</v>
      </c>
      <c r="D32" s="28">
        <f>+'4 b.sz.mell.'!G28</f>
        <v>6245115</v>
      </c>
    </row>
    <row r="33" spans="2:6">
      <c r="B33" s="16" t="s">
        <v>34</v>
      </c>
      <c r="C33" s="28">
        <f>+'4 b.sz.mell.'!F41</f>
        <v>947353</v>
      </c>
      <c r="D33" s="28">
        <f>+'4 b.sz.mell.'!G39</f>
        <v>947353</v>
      </c>
    </row>
    <row r="34" spans="2:6">
      <c r="B34" s="20" t="s">
        <v>35</v>
      </c>
      <c r="C34" s="22">
        <f>+'4 b.sz.mell.'!F29</f>
        <v>1000000</v>
      </c>
      <c r="D34" s="22">
        <f>+'4 b.sz.mell.'!G29</f>
        <v>1000000</v>
      </c>
    </row>
    <row r="35" spans="2:6">
      <c r="B35" s="20" t="s">
        <v>36</v>
      </c>
      <c r="C35" s="22">
        <f>+'4 b.sz.mell.'!F50</f>
        <v>2800000</v>
      </c>
      <c r="D35" s="22">
        <f>+'4 b.sz.mell.'!G50</f>
        <v>2800000</v>
      </c>
    </row>
    <row r="36" spans="2:6">
      <c r="B36" s="20" t="s">
        <v>37</v>
      </c>
      <c r="C36" s="22">
        <f>+'4 b.sz.mell.'!F21</f>
        <v>0</v>
      </c>
      <c r="D36" s="21">
        <f>+'4 b.sz.mell.'!G21</f>
        <v>1064812</v>
      </c>
    </row>
    <row r="37" spans="2:6">
      <c r="B37" s="20" t="s">
        <v>38</v>
      </c>
      <c r="C37" s="22">
        <v>0</v>
      </c>
      <c r="D37" s="22">
        <f>+'4 b.sz.mell.'!G17</f>
        <v>7796297</v>
      </c>
    </row>
    <row r="38" spans="2:6">
      <c r="B38" s="20" t="s">
        <v>39</v>
      </c>
      <c r="C38" s="22">
        <v>0</v>
      </c>
      <c r="D38" s="22">
        <f>+'4 b.sz.mell.'!G40</f>
        <v>1374233</v>
      </c>
    </row>
    <row r="39" spans="2:6" ht="15.75" thickBot="1">
      <c r="B39" s="20" t="s">
        <v>40</v>
      </c>
      <c r="C39" s="22">
        <v>0</v>
      </c>
      <c r="D39" s="22">
        <f>+'4 b.sz.mell.'!G56</f>
        <v>4030222</v>
      </c>
    </row>
    <row r="40" spans="2:6" ht="19.899999999999999" customHeight="1" thickBot="1">
      <c r="B40" s="23" t="s">
        <v>41</v>
      </c>
      <c r="C40" s="24">
        <f>SUM(C30:C39)</f>
        <v>25974368</v>
      </c>
      <c r="D40" s="24">
        <f>SUM(D30:D39)</f>
        <v>67369726</v>
      </c>
      <c r="E40" s="25">
        <f>+'4 b.sz.mell.'!G62-'4 b.sz.mell.'!G36-'4 b.sz.mell.'!G6</f>
        <v>67369726</v>
      </c>
      <c r="F40" s="25">
        <f>+E40-D40</f>
        <v>0</v>
      </c>
    </row>
    <row r="41" spans="2:6">
      <c r="B41" s="16" t="s">
        <v>42</v>
      </c>
      <c r="C41" s="28">
        <v>7700000</v>
      </c>
      <c r="D41" s="28">
        <v>7700000</v>
      </c>
      <c r="E41" s="29"/>
    </row>
    <row r="42" spans="2:6">
      <c r="B42" s="16" t="s">
        <v>43</v>
      </c>
      <c r="C42" s="28">
        <v>41500000</v>
      </c>
      <c r="D42" s="28">
        <v>41500000</v>
      </c>
      <c r="E42" s="30"/>
    </row>
    <row r="43" spans="2:6">
      <c r="B43" s="16" t="s">
        <v>44</v>
      </c>
      <c r="C43" s="28">
        <v>100000</v>
      </c>
      <c r="D43" s="28">
        <v>100000</v>
      </c>
      <c r="E43" s="30"/>
    </row>
    <row r="44" spans="2:6">
      <c r="B44" s="16" t="s">
        <v>45</v>
      </c>
      <c r="C44" s="28">
        <v>500000</v>
      </c>
      <c r="D44" s="28">
        <v>500000</v>
      </c>
      <c r="E44" s="30"/>
    </row>
    <row r="45" spans="2:6">
      <c r="B45" s="16" t="s">
        <v>46</v>
      </c>
      <c r="C45" s="28">
        <v>6000000</v>
      </c>
      <c r="D45" s="28">
        <v>6000000</v>
      </c>
      <c r="E45" s="30"/>
    </row>
    <row r="46" spans="2:6" ht="15.75" thickBot="1">
      <c r="B46" s="20" t="s">
        <v>47</v>
      </c>
      <c r="C46" s="22">
        <v>3470000</v>
      </c>
      <c r="D46" s="22">
        <v>3470000</v>
      </c>
      <c r="E46" s="30"/>
    </row>
    <row r="47" spans="2:6" ht="19.899999999999999" customHeight="1" thickBot="1">
      <c r="B47" s="23" t="s">
        <v>48</v>
      </c>
      <c r="C47" s="24">
        <f>SUM(C41:C46)</f>
        <v>59270000</v>
      </c>
      <c r="D47" s="24">
        <f>SUM(D41:D46)</f>
        <v>59270000</v>
      </c>
      <c r="E47" s="31">
        <f>+'4 b.sz.mell.'!P62</f>
        <v>59270000</v>
      </c>
    </row>
    <row r="48" spans="2:6">
      <c r="B48" s="16" t="s">
        <v>49</v>
      </c>
      <c r="C48" s="28">
        <v>2400000</v>
      </c>
      <c r="D48" s="28">
        <v>1889764</v>
      </c>
      <c r="E48" s="30"/>
    </row>
    <row r="49" spans="2:7">
      <c r="B49" s="16" t="s">
        <v>50</v>
      </c>
      <c r="C49" s="28">
        <f>1600000+200000+700000+1100000+1800000+800000+5000+130000+6800000</f>
        <v>13135000</v>
      </c>
      <c r="D49" s="28">
        <f>11275000</f>
        <v>11275000</v>
      </c>
      <c r="E49" s="30"/>
    </row>
    <row r="50" spans="2:7">
      <c r="B50" s="16" t="s">
        <v>51</v>
      </c>
      <c r="C50" s="28">
        <v>14000000</v>
      </c>
      <c r="D50" s="28">
        <v>14000000</v>
      </c>
      <c r="E50" s="30"/>
    </row>
    <row r="51" spans="2:7">
      <c r="B51" s="16" t="s">
        <v>52</v>
      </c>
      <c r="C51" s="28">
        <v>780000</v>
      </c>
      <c r="D51" s="28">
        <f>950000-D59</f>
        <v>810000</v>
      </c>
      <c r="E51" s="30"/>
    </row>
    <row r="52" spans="2:7">
      <c r="B52" s="26" t="s">
        <v>53</v>
      </c>
      <c r="C52" s="27">
        <v>9300000</v>
      </c>
      <c r="D52" s="27">
        <v>11379921</v>
      </c>
      <c r="E52" s="30"/>
    </row>
    <row r="53" spans="2:7">
      <c r="B53" s="16" t="s">
        <v>54</v>
      </c>
      <c r="C53" s="28">
        <f>4500000+4150000</f>
        <v>8650000</v>
      </c>
      <c r="D53" s="28">
        <v>9380315</v>
      </c>
      <c r="E53" s="30"/>
    </row>
    <row r="54" spans="2:7">
      <c r="B54" s="16" t="s">
        <v>55</v>
      </c>
      <c r="C54" s="28">
        <v>1300000</v>
      </c>
      <c r="D54" s="28">
        <v>1300000</v>
      </c>
      <c r="E54" s="30"/>
    </row>
    <row r="55" spans="2:7">
      <c r="B55" s="16" t="s">
        <v>56</v>
      </c>
      <c r="C55" s="28">
        <v>0</v>
      </c>
      <c r="D55" s="28">
        <v>5000</v>
      </c>
      <c r="E55" s="30"/>
    </row>
    <row r="56" spans="2:7" ht="18.75" customHeight="1">
      <c r="B56" s="16" t="s">
        <v>57</v>
      </c>
      <c r="C56" s="28">
        <f>4600000+1000000+700000+20000</f>
        <v>6320000</v>
      </c>
      <c r="D56" s="28">
        <v>5740000</v>
      </c>
      <c r="E56" s="30"/>
    </row>
    <row r="57" spans="2:7" ht="18.75" customHeight="1" thickBot="1">
      <c r="B57" s="32" t="s">
        <v>58</v>
      </c>
      <c r="C57" s="33">
        <v>0</v>
      </c>
      <c r="D57" s="33">
        <v>0</v>
      </c>
      <c r="E57" s="30"/>
    </row>
    <row r="58" spans="2:7" ht="19.899999999999999" customHeight="1" thickBot="1">
      <c r="B58" s="23" t="s">
        <v>59</v>
      </c>
      <c r="C58" s="24">
        <f>SUM(C48:C57)</f>
        <v>55885000</v>
      </c>
      <c r="D58" s="34">
        <f>SUM(D48:D57)</f>
        <v>55780000</v>
      </c>
      <c r="E58" s="29">
        <f>+'4 b.sz.mell.'!D62</f>
        <v>56025000</v>
      </c>
      <c r="F58" s="25">
        <f>+'4 b.sz.mell.'!E62</f>
        <v>55920000</v>
      </c>
      <c r="G58" s="25"/>
    </row>
    <row r="59" spans="2:7" ht="19.899999999999999" customHeight="1" thickBot="1">
      <c r="B59" s="35" t="s">
        <v>60</v>
      </c>
      <c r="C59" s="36">
        <v>140000</v>
      </c>
      <c r="D59" s="37">
        <v>140000</v>
      </c>
      <c r="E59" s="38"/>
    </row>
    <row r="60" spans="2:7" ht="19.899999999999999" customHeight="1" thickBot="1">
      <c r="B60" s="39" t="s">
        <v>61</v>
      </c>
      <c r="C60" s="24">
        <f>SUM(C59)</f>
        <v>140000</v>
      </c>
      <c r="D60" s="34">
        <f>SUM(D59)</f>
        <v>140000</v>
      </c>
      <c r="E60" s="29">
        <f>+C58+C60</f>
        <v>56025000</v>
      </c>
      <c r="F60" s="25">
        <f>+D58+D60</f>
        <v>55920000</v>
      </c>
    </row>
    <row r="61" spans="2:7" ht="19.899999999999999" customHeight="1" thickBot="1">
      <c r="B61" s="40" t="s">
        <v>62</v>
      </c>
      <c r="C61" s="41">
        <v>0</v>
      </c>
      <c r="D61" s="42">
        <f>+'4 b.sz.mell.'!I36-D65-D62-D64</f>
        <v>14999998</v>
      </c>
      <c r="E61" s="38"/>
      <c r="F61" s="25"/>
    </row>
    <row r="62" spans="2:7" ht="19.899999999999999" customHeight="1">
      <c r="B62" s="40" t="s">
        <v>63</v>
      </c>
      <c r="C62" s="41">
        <v>8945081</v>
      </c>
      <c r="D62" s="41">
        <v>8945081</v>
      </c>
      <c r="E62" s="38"/>
      <c r="F62" s="25">
        <f>+F58-F60</f>
        <v>0</v>
      </c>
    </row>
    <row r="63" spans="2:7" ht="19.899999999999999" customHeight="1">
      <c r="B63" s="43" t="s">
        <v>64</v>
      </c>
      <c r="C63" s="44">
        <f>+'4 b.sz.mell.'!H27</f>
        <v>77804327</v>
      </c>
      <c r="D63" s="44">
        <f>+'4 b.sz.mell.'!I27</f>
        <v>77804327</v>
      </c>
      <c r="E63" s="38"/>
    </row>
    <row r="64" spans="2:7" ht="19.899999999999999" customHeight="1">
      <c r="B64" s="45" t="s">
        <v>65</v>
      </c>
      <c r="C64" s="17">
        <v>13223939</v>
      </c>
      <c r="D64" s="17">
        <v>13223939</v>
      </c>
      <c r="E64" s="38"/>
    </row>
    <row r="65" spans="1:9" ht="19.899999999999999" customHeight="1">
      <c r="B65" s="45" t="s">
        <v>66</v>
      </c>
      <c r="C65" s="17">
        <v>8845094</v>
      </c>
      <c r="D65" s="17">
        <v>8845094</v>
      </c>
      <c r="E65" s="38"/>
    </row>
    <row r="66" spans="1:9" ht="19.899999999999999" customHeight="1">
      <c r="B66" s="45" t="s">
        <v>67</v>
      </c>
      <c r="C66" s="17">
        <v>0</v>
      </c>
      <c r="D66" s="17">
        <v>105000</v>
      </c>
      <c r="E66" s="38"/>
    </row>
    <row r="67" spans="1:9" ht="19.899999999999999" customHeight="1" thickBot="1">
      <c r="B67" s="45" t="s">
        <v>68</v>
      </c>
      <c r="C67" s="17">
        <v>0</v>
      </c>
      <c r="D67" s="17">
        <f>+'4 b.sz.mell.'!I17</f>
        <v>2999999</v>
      </c>
      <c r="E67" s="38"/>
    </row>
    <row r="68" spans="1:9" ht="19.899999999999999" customHeight="1">
      <c r="B68" s="46" t="s">
        <v>69</v>
      </c>
      <c r="C68" s="47">
        <f>SUM(C62:C66)</f>
        <v>108818441</v>
      </c>
      <c r="D68" s="47">
        <f>SUM(D61:D67)</f>
        <v>126923438</v>
      </c>
      <c r="E68" s="29">
        <f>+'4 b.sz.mell.'!H62</f>
        <v>108818441</v>
      </c>
      <c r="F68" s="25">
        <f>+'4 b.sz.mell.'!I62+'4 b.sz.mell.'!K62</f>
        <v>126923438</v>
      </c>
    </row>
    <row r="69" spans="1:9">
      <c r="B69" s="45" t="s">
        <v>70</v>
      </c>
      <c r="C69" s="17">
        <f>+'4 b.sz.mell.'!L61+'4 b.sz.mell.'!L51+'4 b.sz.mell.'!L47+'4 b.sz.mell.'!L44+'4 b.sz.mell.'!L38</f>
        <v>416948898</v>
      </c>
      <c r="D69" s="18">
        <f>+'4 b.sz.mell.'!M62</f>
        <v>420153306</v>
      </c>
      <c r="E69" s="29">
        <f>+'4 b.sz.mell.'!L62</f>
        <v>416948898</v>
      </c>
    </row>
    <row r="70" spans="1:9" ht="19.899999999999999" customHeight="1" thickBot="1">
      <c r="B70" s="48" t="s">
        <v>71</v>
      </c>
      <c r="C70" s="49">
        <f>SUM(C69)</f>
        <v>416948898</v>
      </c>
      <c r="D70" s="50">
        <f>SUM(D69)</f>
        <v>420153306</v>
      </c>
      <c r="E70" s="30"/>
      <c r="F70" s="25"/>
    </row>
    <row r="71" spans="1:9" ht="27" customHeight="1" thickBot="1">
      <c r="B71" s="48" t="s">
        <v>72</v>
      </c>
      <c r="C71" s="51">
        <f>SUM(C29,C40,C47,C58,C60,C68,C70)</f>
        <v>980573776</v>
      </c>
      <c r="D71" s="51">
        <f>SUM(D29,D40,D47,D58,D60,D68,D70)</f>
        <v>1078107440</v>
      </c>
      <c r="E71" s="29">
        <f>+'4 b.sz.mell.'!R62-'4 b.sz.mell.'!N62</f>
        <v>980573776</v>
      </c>
      <c r="F71" s="25">
        <f>+'4 b.sz.mell.'!S62-'4 b.sz.mell.'!O62</f>
        <v>1078107440</v>
      </c>
    </row>
    <row r="72" spans="1:9">
      <c r="B72" s="52"/>
      <c r="C72" s="53"/>
      <c r="D72" s="53"/>
      <c r="E72" s="31">
        <f>+'4 b.sz.mell.'!S62-'4 b.sz.mell.'!O62</f>
        <v>1078107440</v>
      </c>
      <c r="F72" s="25">
        <f>+D71-F71</f>
        <v>0</v>
      </c>
    </row>
    <row r="73" spans="1:9">
      <c r="B73" s="54"/>
      <c r="C73" s="55" t="s">
        <v>73</v>
      </c>
      <c r="D73" s="55"/>
      <c r="E73" s="56"/>
    </row>
    <row r="74" spans="1:9" ht="36.6" customHeight="1">
      <c r="B74" s="5" t="s">
        <v>74</v>
      </c>
      <c r="E74" s="5"/>
      <c r="F74" s="5"/>
      <c r="G74" s="5"/>
      <c r="H74" s="5"/>
      <c r="I74" s="6"/>
    </row>
    <row r="75" spans="1:9" ht="12.75" customHeight="1">
      <c r="A75" s="57"/>
      <c r="B75" s="58"/>
      <c r="E75" s="58"/>
    </row>
    <row r="76" spans="1:9" ht="21.75" customHeight="1" thickBot="1">
      <c r="B76" s="59" t="s">
        <v>1</v>
      </c>
      <c r="E76" s="11"/>
    </row>
    <row r="77" spans="1:9" ht="32.25" customHeight="1">
      <c r="B77" s="12" t="s">
        <v>75</v>
      </c>
      <c r="C77" s="13" t="s">
        <v>3</v>
      </c>
      <c r="D77" s="13" t="s">
        <v>76</v>
      </c>
      <c r="E77" s="60"/>
    </row>
    <row r="78" spans="1:9">
      <c r="B78" s="14" t="s">
        <v>77</v>
      </c>
      <c r="C78" s="61">
        <f>+'4.a sz.mell.'!D66</f>
        <v>212285909</v>
      </c>
      <c r="D78" s="61">
        <f>+'4.a sz.mell.'!E66</f>
        <v>252614445</v>
      </c>
      <c r="E78" s="30"/>
    </row>
    <row r="79" spans="1:9">
      <c r="B79" s="14" t="s">
        <v>78</v>
      </c>
      <c r="C79" s="61">
        <f>+'4.a sz.mell.'!F66</f>
        <v>39599062</v>
      </c>
      <c r="D79" s="61">
        <f>+'4.a sz.mell.'!G66</f>
        <v>45321540</v>
      </c>
      <c r="E79" s="62"/>
    </row>
    <row r="80" spans="1:9" ht="25.5">
      <c r="B80" s="63" t="s">
        <v>79</v>
      </c>
      <c r="C80" s="61">
        <f>+'4.a sz.mell.'!H66</f>
        <v>243566668</v>
      </c>
      <c r="D80" s="61">
        <f>+'4.a sz.mell.'!I66</f>
        <v>269078150</v>
      </c>
      <c r="E80" s="64"/>
    </row>
    <row r="81" spans="2:6">
      <c r="B81" s="14" t="s">
        <v>80</v>
      </c>
      <c r="C81" s="61">
        <f>+'4.a sz.mell.'!L66</f>
        <v>4767000</v>
      </c>
      <c r="D81" s="61">
        <f>+'4.a sz.mell.'!M66</f>
        <v>4767000</v>
      </c>
      <c r="E81" s="30"/>
      <c r="F81" s="25"/>
    </row>
    <row r="82" spans="2:6">
      <c r="B82" s="14" t="s">
        <v>81</v>
      </c>
      <c r="C82" s="61">
        <v>0</v>
      </c>
      <c r="D82" s="61">
        <v>0</v>
      </c>
      <c r="E82" s="30"/>
      <c r="F82" s="25"/>
    </row>
    <row r="83" spans="2:6">
      <c r="B83" s="14" t="s">
        <v>82</v>
      </c>
      <c r="C83" s="61">
        <f>+'4.a sz.mell.'!P66</f>
        <v>10420711</v>
      </c>
      <c r="D83" s="61">
        <f>+'4.a sz.mell.'!Q66</f>
        <v>10420711</v>
      </c>
      <c r="E83" s="30"/>
    </row>
    <row r="84" spans="2:6">
      <c r="B84" s="14" t="s">
        <v>83</v>
      </c>
      <c r="C84" s="61">
        <f>+'4.a sz.mell.'!R66</f>
        <v>1643568</v>
      </c>
      <c r="D84" s="61">
        <f>+'4.a sz.mell.'!S66</f>
        <v>1643568</v>
      </c>
      <c r="E84" s="30"/>
    </row>
    <row r="85" spans="2:6">
      <c r="B85" s="14" t="s">
        <v>84</v>
      </c>
      <c r="C85" s="61">
        <f>+E85-C86</f>
        <v>2911250</v>
      </c>
      <c r="D85" s="61">
        <v>3003885</v>
      </c>
      <c r="E85" s="419">
        <f>+'4.a sz.mell.'!J66</f>
        <v>84567133</v>
      </c>
      <c r="F85" s="418"/>
    </row>
    <row r="86" spans="2:6">
      <c r="B86" s="14" t="s">
        <v>85</v>
      </c>
      <c r="C86" s="61">
        <f>+'4.a sz.mell.'!J24+2400000</f>
        <v>81655883</v>
      </c>
      <c r="D86" s="61">
        <v>91616900</v>
      </c>
      <c r="E86" s="419"/>
      <c r="F86" s="418"/>
    </row>
    <row r="87" spans="2:6">
      <c r="B87" s="65" t="s">
        <v>86</v>
      </c>
      <c r="C87" s="66">
        <v>0</v>
      </c>
      <c r="D87" s="66">
        <f>+'4.a sz.mell.'!K26</f>
        <v>155500000</v>
      </c>
      <c r="E87" s="67"/>
      <c r="F87" s="418"/>
    </row>
    <row r="88" spans="2:6" ht="19.899999999999999" customHeight="1" thickBot="1">
      <c r="B88" s="68" t="s">
        <v>87</v>
      </c>
      <c r="C88" s="69">
        <f>SUM(C78:C86)</f>
        <v>596850051</v>
      </c>
      <c r="D88" s="69">
        <f>SUM(D78:D87)</f>
        <v>833966199</v>
      </c>
      <c r="E88" s="29"/>
    </row>
    <row r="89" spans="2:6">
      <c r="B89" s="14" t="s">
        <v>88</v>
      </c>
      <c r="C89" s="61">
        <v>0</v>
      </c>
      <c r="D89" s="61">
        <v>0</v>
      </c>
      <c r="E89" s="38"/>
    </row>
    <row r="90" spans="2:6" ht="15.75" thickBot="1">
      <c r="B90" s="70" t="s">
        <v>89</v>
      </c>
      <c r="C90" s="71">
        <f>+'4.a sz.mell.'!N66-C89</f>
        <v>107151973</v>
      </c>
      <c r="D90" s="71">
        <f>+'4.a sz.mell.'!O66-D89</f>
        <v>92763301</v>
      </c>
      <c r="E90" s="38"/>
    </row>
    <row r="91" spans="2:6" ht="19.899999999999999" customHeight="1" thickBot="1">
      <c r="B91" s="72" t="s">
        <v>90</v>
      </c>
      <c r="C91" s="73">
        <f>SUM(C89:C90)</f>
        <v>107151973</v>
      </c>
      <c r="D91" s="73">
        <f>SUM(D89:D90)</f>
        <v>92763301</v>
      </c>
      <c r="E91" s="38"/>
    </row>
    <row r="92" spans="2:6">
      <c r="B92" s="14" t="s">
        <v>91</v>
      </c>
      <c r="C92" s="61">
        <f>+'4.a sz.mell.'!T66</f>
        <v>233711826</v>
      </c>
      <c r="D92" s="61">
        <f>+'4.a sz.mell.'!U66</f>
        <v>80089492</v>
      </c>
      <c r="E92" s="30"/>
    </row>
    <row r="93" spans="2:6">
      <c r="B93" s="70" t="s">
        <v>92</v>
      </c>
      <c r="C93" s="71">
        <f>+'4.a sz.mell.'!V66</f>
        <v>42859926</v>
      </c>
      <c r="D93" s="71">
        <f>+'4.a sz.mell.'!W66</f>
        <v>71288448</v>
      </c>
      <c r="E93" s="30"/>
    </row>
    <row r="94" spans="2:6" ht="15.75" thickBot="1">
      <c r="B94" s="70" t="s">
        <v>93</v>
      </c>
      <c r="C94" s="71">
        <v>0</v>
      </c>
      <c r="D94" s="71">
        <v>0</v>
      </c>
      <c r="E94" s="30"/>
    </row>
    <row r="95" spans="2:6" ht="19.899999999999999" customHeight="1" thickBot="1">
      <c r="B95" s="72" t="s">
        <v>94</v>
      </c>
      <c r="C95" s="73">
        <f>SUM(C92:C94)</f>
        <v>276571752</v>
      </c>
      <c r="D95" s="73">
        <f>SUM(D92:D94)</f>
        <v>151377940</v>
      </c>
      <c r="E95" s="30"/>
    </row>
    <row r="96" spans="2:6" ht="24.6" customHeight="1" thickBot="1">
      <c r="B96" s="48" t="s">
        <v>95</v>
      </c>
      <c r="C96" s="74">
        <f>C88+C91+C95</f>
        <v>980573776</v>
      </c>
      <c r="D96" s="74">
        <f>D88+D91+D95</f>
        <v>1078107440</v>
      </c>
      <c r="E96" s="75"/>
      <c r="F96" s="25"/>
    </row>
    <row r="97" spans="2:5">
      <c r="B97" s="30"/>
      <c r="E97" s="30"/>
    </row>
    <row r="98" spans="2:5" hidden="1">
      <c r="B98" s="30"/>
      <c r="C98" s="53">
        <f>+C96-C71</f>
        <v>0</v>
      </c>
      <c r="D98" s="53">
        <f>+D96-D71</f>
        <v>0</v>
      </c>
      <c r="E98" s="30"/>
    </row>
    <row r="99" spans="2:5">
      <c r="B99" s="30"/>
      <c r="E99" s="30"/>
    </row>
    <row r="104" spans="2:5" ht="41.25" customHeight="1"/>
    <row r="128" spans="3:4">
      <c r="C128" s="76" t="s">
        <v>96</v>
      </c>
      <c r="D128" s="76"/>
    </row>
  </sheetData>
  <mergeCells count="6">
    <mergeCell ref="F85:F87"/>
    <mergeCell ref="E85:E86"/>
    <mergeCell ref="F5:F12"/>
    <mergeCell ref="E5:E12"/>
    <mergeCell ref="A1:C1"/>
    <mergeCell ref="A2:C2"/>
  </mergeCells>
  <printOptions horizontalCentered="1"/>
  <pageMargins left="0.70866141732283472" right="0.70866141732283472" top="0.11811023622047245" bottom="0.15748031496062992" header="0.31496062992125984" footer="0.15748031496062992"/>
  <pageSetup paperSize="9" scale="69" fitToHeight="2" orientation="portrait" r:id="rId1"/>
  <rowBreaks count="1" manualBreakCount="1">
    <brk id="7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P9"/>
  <sheetViews>
    <sheetView zoomScale="80" zoomScaleNormal="80" zoomScaleSheetLayoutView="55" workbookViewId="0">
      <selection activeCell="H5" sqref="H5"/>
    </sheetView>
  </sheetViews>
  <sheetFormatPr defaultRowHeight="15.75"/>
  <cols>
    <col min="1" max="1" width="47.140625" style="304" customWidth="1"/>
    <col min="2" max="2" width="15.140625" style="323" customWidth="1"/>
    <col min="3" max="3" width="21.28515625" style="323" customWidth="1"/>
    <col min="4" max="4" width="23.7109375" style="323" customWidth="1"/>
    <col min="5" max="5" width="17.28515625" style="323" customWidth="1"/>
    <col min="6" max="6" width="21.7109375" style="323" customWidth="1"/>
    <col min="7" max="7" width="18.28515625" style="323" customWidth="1"/>
    <col min="8" max="8" width="21.7109375" style="323" customWidth="1"/>
    <col min="9" max="10" width="19.7109375" style="323" customWidth="1"/>
    <col min="11" max="11" width="20.42578125" style="323" customWidth="1"/>
    <col min="12" max="12" width="21.5703125" style="306" customWidth="1"/>
    <col min="13" max="13" width="26.140625" style="306" customWidth="1"/>
    <col min="14" max="14" width="20.7109375" style="306" customWidth="1"/>
    <col min="15" max="15" width="17.7109375" style="306" customWidth="1"/>
    <col min="16" max="16" width="18.85546875" style="307" customWidth="1"/>
    <col min="17" max="16384" width="9.140625" style="30"/>
  </cols>
  <sheetData>
    <row r="1" spans="1:16" ht="21" customHeight="1">
      <c r="A1" s="421" t="s">
        <v>555</v>
      </c>
      <c r="B1" s="421"/>
      <c r="C1" s="421"/>
      <c r="D1" s="421"/>
      <c r="E1" s="421"/>
      <c r="F1" s="421"/>
      <c r="G1" s="421"/>
      <c r="H1" s="421"/>
      <c r="I1" s="421"/>
      <c r="J1" s="1"/>
      <c r="K1" s="1"/>
      <c r="L1" s="2"/>
      <c r="M1" s="2"/>
      <c r="N1" s="2"/>
      <c r="O1" s="2"/>
      <c r="P1" s="2"/>
    </row>
    <row r="2" spans="1:16"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6" ht="27.75" customHeight="1">
      <c r="A3" s="484" t="s">
        <v>457</v>
      </c>
      <c r="B3" s="484"/>
      <c r="C3" s="484"/>
      <c r="D3" s="484"/>
      <c r="E3" s="484"/>
      <c r="F3" s="484"/>
      <c r="G3" s="484"/>
      <c r="H3" s="484"/>
      <c r="I3" s="484"/>
      <c r="J3" s="308"/>
      <c r="K3" s="308"/>
      <c r="L3" s="309"/>
      <c r="M3" s="309"/>
      <c r="N3" s="309"/>
      <c r="O3" s="309"/>
      <c r="P3" s="309"/>
    </row>
    <row r="4" spans="1:16" ht="42.75" customHeight="1">
      <c r="A4" s="426" t="s">
        <v>458</v>
      </c>
      <c r="B4" s="426"/>
      <c r="C4" s="426"/>
      <c r="D4" s="426"/>
      <c r="E4" s="426"/>
      <c r="F4" s="426"/>
      <c r="G4" s="426"/>
      <c r="H4" s="426"/>
      <c r="I4" s="426"/>
      <c r="J4" s="82"/>
      <c r="K4" s="82"/>
      <c r="L4" s="81"/>
      <c r="M4" s="81"/>
      <c r="N4" s="81"/>
      <c r="O4" s="81"/>
      <c r="P4" s="81"/>
    </row>
    <row r="5" spans="1:16" ht="30" customHeight="1" thickBot="1">
      <c r="A5" s="310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</row>
    <row r="6" spans="1:16" ht="54.75" customHeight="1" thickBot="1">
      <c r="A6" s="485" t="s">
        <v>418</v>
      </c>
      <c r="B6" s="486" t="s">
        <v>459</v>
      </c>
      <c r="C6" s="486" t="s">
        <v>460</v>
      </c>
      <c r="D6" s="487" t="s">
        <v>461</v>
      </c>
      <c r="E6" s="488"/>
      <c r="F6" s="489" t="s">
        <v>462</v>
      </c>
      <c r="G6" s="490"/>
      <c r="H6" s="487" t="s">
        <v>463</v>
      </c>
      <c r="I6" s="488"/>
      <c r="J6" s="488"/>
      <c r="K6" s="488"/>
      <c r="L6" s="481" t="s">
        <v>464</v>
      </c>
      <c r="M6" s="482"/>
      <c r="N6" s="482"/>
      <c r="O6" s="483"/>
    </row>
    <row r="7" spans="1:16" ht="73.5" customHeight="1">
      <c r="A7" s="485"/>
      <c r="B7" s="486"/>
      <c r="C7" s="486"/>
      <c r="D7" s="311" t="s">
        <v>465</v>
      </c>
      <c r="E7" s="311" t="s">
        <v>466</v>
      </c>
      <c r="F7" s="311" t="s">
        <v>465</v>
      </c>
      <c r="G7" s="311" t="s">
        <v>466</v>
      </c>
      <c r="H7" s="311" t="s">
        <v>465</v>
      </c>
      <c r="I7" s="311" t="s">
        <v>466</v>
      </c>
      <c r="J7" s="311" t="s">
        <v>467</v>
      </c>
      <c r="K7" s="311" t="s">
        <v>468</v>
      </c>
      <c r="L7" s="312" t="s">
        <v>465</v>
      </c>
      <c r="M7" s="312" t="s">
        <v>466</v>
      </c>
      <c r="N7" s="311" t="s">
        <v>467</v>
      </c>
      <c r="O7" s="311" t="s">
        <v>468</v>
      </c>
      <c r="P7" s="30"/>
    </row>
    <row r="8" spans="1:16" ht="83.25" customHeight="1">
      <c r="A8" s="313" t="s">
        <v>469</v>
      </c>
      <c r="B8" s="314" t="s">
        <v>424</v>
      </c>
      <c r="C8" s="315">
        <v>89180205</v>
      </c>
      <c r="D8" s="316">
        <v>49599394</v>
      </c>
      <c r="E8" s="317">
        <f>+D8/C8</f>
        <v>0.55617044163556251</v>
      </c>
      <c r="F8" s="316">
        <f>+D8-14740137</f>
        <v>34859257</v>
      </c>
      <c r="G8" s="317">
        <f>+F8/C8</f>
        <v>0.39088558946461271</v>
      </c>
      <c r="H8" s="316">
        <v>38712761</v>
      </c>
      <c r="I8" s="317">
        <f>+H8/C8</f>
        <v>0.43409589605675386</v>
      </c>
      <c r="J8" s="316">
        <v>38712761</v>
      </c>
      <c r="K8" s="317">
        <f>+J8/C8</f>
        <v>0.43409589605675386</v>
      </c>
      <c r="L8" s="316">
        <v>53452898</v>
      </c>
      <c r="M8" s="317">
        <f>+L8/C8</f>
        <v>0.59938074822770371</v>
      </c>
      <c r="N8" s="316">
        <v>38712761</v>
      </c>
      <c r="O8" s="317">
        <f>+N8/C8</f>
        <v>0.43409589605675386</v>
      </c>
      <c r="P8" s="30"/>
    </row>
    <row r="9" spans="1:16" s="38" customFormat="1" ht="82.5" customHeight="1">
      <c r="A9" s="318" t="s">
        <v>470</v>
      </c>
      <c r="B9" s="319" t="s">
        <v>424</v>
      </c>
      <c r="C9" s="320">
        <v>88739589</v>
      </c>
      <c r="D9" s="321">
        <v>48307343</v>
      </c>
      <c r="E9" s="322">
        <f>+D9/C9</f>
        <v>0.54437194880404505</v>
      </c>
      <c r="F9" s="321">
        <f>+D9-23005204</f>
        <v>25302139</v>
      </c>
      <c r="G9" s="317">
        <f>+F9/C9</f>
        <v>0.285127971462658</v>
      </c>
      <c r="H9" s="321">
        <v>39091566</v>
      </c>
      <c r="I9" s="317">
        <f>+H9/C9</f>
        <v>0.44052002539700741</v>
      </c>
      <c r="J9" s="321">
        <v>39091566</v>
      </c>
      <c r="K9" s="317">
        <f>+J9/C9</f>
        <v>0.44052002539700741</v>
      </c>
      <c r="L9" s="321">
        <v>62096770</v>
      </c>
      <c r="M9" s="317">
        <f>+L9/C9</f>
        <v>0.69976400273839445</v>
      </c>
      <c r="N9" s="321">
        <v>39091566</v>
      </c>
      <c r="O9" s="317">
        <f>+N9/C9</f>
        <v>0.44052002539700741</v>
      </c>
    </row>
  </sheetData>
  <mergeCells count="10">
    <mergeCell ref="L6:O6"/>
    <mergeCell ref="A1:I1"/>
    <mergeCell ref="A3:I3"/>
    <mergeCell ref="A4:I4"/>
    <mergeCell ref="A6:A7"/>
    <mergeCell ref="B6:B7"/>
    <mergeCell ref="C6:C7"/>
    <mergeCell ref="D6:E6"/>
    <mergeCell ref="F6:G6"/>
    <mergeCell ref="H6:K6"/>
  </mergeCells>
  <printOptions horizontalCentered="1"/>
  <pageMargins left="0.27559055118110237" right="0.15748031496062992" top="0.39370078740157483" bottom="0.43307086614173229" header="0.51181102362204722" footer="0.51181102362204722"/>
  <pageSetup paperSize="8" scale="6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I16"/>
  <sheetViews>
    <sheetView topLeftCell="B1" zoomScaleNormal="100" workbookViewId="0">
      <selection activeCell="F4" sqref="F4"/>
    </sheetView>
  </sheetViews>
  <sheetFormatPr defaultColWidth="8.85546875" defaultRowHeight="15.75"/>
  <cols>
    <col min="1" max="1" width="12.28515625" style="4" hidden="1" customWidth="1"/>
    <col min="2" max="2" width="47.28515625" style="4" customWidth="1"/>
    <col min="3" max="3" width="20.7109375" style="283" customWidth="1"/>
    <col min="4" max="4" width="24.42578125" style="283" customWidth="1"/>
    <col min="5" max="5" width="17.28515625" style="283" customWidth="1"/>
    <col min="6" max="7" width="9.140625" style="283" customWidth="1"/>
    <col min="8" max="9" width="8.85546875" style="324"/>
    <col min="10" max="10" width="8.85546875" style="4"/>
    <col min="11" max="11" width="20.42578125" style="4" customWidth="1"/>
    <col min="12" max="16384" width="8.85546875" style="4"/>
  </cols>
  <sheetData>
    <row r="1" spans="1:9" ht="40.5" customHeight="1">
      <c r="A1" s="491" t="s">
        <v>556</v>
      </c>
      <c r="B1" s="491"/>
      <c r="C1" s="491"/>
      <c r="D1" s="2"/>
      <c r="E1" s="2"/>
      <c r="F1" s="2"/>
      <c r="G1" s="2"/>
    </row>
    <row r="4" spans="1:9" ht="38.25" customHeight="1">
      <c r="A4" s="325" t="s">
        <v>471</v>
      </c>
      <c r="B4" s="492" t="s">
        <v>471</v>
      </c>
      <c r="C4" s="492"/>
      <c r="D4" s="325"/>
      <c r="E4" s="325"/>
      <c r="F4" s="325"/>
      <c r="G4" s="325"/>
    </row>
    <row r="6" spans="1:9" ht="16.5" thickBot="1">
      <c r="C6" s="260" t="s">
        <v>472</v>
      </c>
    </row>
    <row r="7" spans="1:9" ht="16.5" customHeight="1" thickBot="1">
      <c r="C7" s="326" t="s">
        <v>473</v>
      </c>
      <c r="D7" s="326" t="s">
        <v>474</v>
      </c>
    </row>
    <row r="8" spans="1:9" s="149" customFormat="1" ht="35.1" customHeight="1" thickBot="1">
      <c r="B8" s="327" t="s">
        <v>475</v>
      </c>
      <c r="C8" s="328">
        <f>+'1.sz.mell.'!C90</f>
        <v>107151973</v>
      </c>
      <c r="D8" s="328">
        <f>+'1.sz.mell.'!D90</f>
        <v>92763301</v>
      </c>
      <c r="E8" s="150"/>
      <c r="F8" s="150"/>
      <c r="G8" s="150"/>
      <c r="H8" s="329"/>
      <c r="I8" s="329"/>
    </row>
    <row r="9" spans="1:9">
      <c r="B9" s="330" t="s">
        <v>476</v>
      </c>
      <c r="C9" s="331">
        <f>+'4.a sz.mell.'!N15</f>
        <v>32120642</v>
      </c>
      <c r="D9" s="331">
        <f>+'4.a sz.mell.'!O15</f>
        <v>32120642</v>
      </c>
    </row>
    <row r="10" spans="1:9" ht="47.25">
      <c r="B10" s="277" t="s">
        <v>477</v>
      </c>
      <c r="C10" s="331">
        <f>+'4.a sz.mell.'!N17</f>
        <v>67707822</v>
      </c>
      <c r="D10" s="331">
        <f>+'4.a sz.mell.'!O17</f>
        <v>53319150</v>
      </c>
    </row>
    <row r="11" spans="1:9" ht="31.5">
      <c r="B11" s="277" t="s">
        <v>478</v>
      </c>
      <c r="C11" s="331">
        <f>+'4.a sz.mell.'!N20</f>
        <v>2267425</v>
      </c>
      <c r="D11" s="331">
        <f>+'4.a sz.mell.'!O20</f>
        <v>2267425</v>
      </c>
    </row>
    <row r="12" spans="1:9" ht="47.25">
      <c r="B12" s="277" t="s">
        <v>479</v>
      </c>
      <c r="C12" s="331">
        <f>+'4.a sz.mell.'!N28</f>
        <v>5056084</v>
      </c>
      <c r="D12" s="331">
        <f>+'4.a sz.mell.'!O28</f>
        <v>5056084</v>
      </c>
    </row>
    <row r="13" spans="1:9" s="149" customFormat="1" ht="28.5" customHeight="1">
      <c r="B13" s="332" t="s">
        <v>480</v>
      </c>
      <c r="C13" s="333">
        <f>+'1.sz.mell.'!C89</f>
        <v>0</v>
      </c>
      <c r="D13" s="333">
        <f>+'1.sz.mell.'!D89</f>
        <v>0</v>
      </c>
      <c r="E13" s="150"/>
      <c r="F13" s="150"/>
      <c r="G13" s="150"/>
      <c r="H13" s="329"/>
      <c r="I13" s="329"/>
    </row>
    <row r="14" spans="1:9" ht="20.25">
      <c r="B14" s="334" t="s">
        <v>481</v>
      </c>
      <c r="C14" s="335">
        <f>+C13+C8</f>
        <v>107151973</v>
      </c>
      <c r="D14" s="335">
        <f>+D13+D8</f>
        <v>92763301</v>
      </c>
    </row>
    <row r="16" spans="1:9">
      <c r="C16" s="284"/>
      <c r="D16" s="284"/>
    </row>
  </sheetData>
  <mergeCells count="2">
    <mergeCell ref="A1:C1"/>
    <mergeCell ref="B4:C4"/>
  </mergeCells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2" max="1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A24"/>
  <sheetViews>
    <sheetView zoomScale="80" zoomScaleNormal="80" zoomScaleSheetLayoutView="40" workbookViewId="0">
      <pane xSplit="1" ySplit="1" topLeftCell="B2" activePane="bottomRight" state="frozen"/>
      <selection activeCell="C39" sqref="C39"/>
      <selection pane="topRight" activeCell="C39" sqref="C39"/>
      <selection pane="bottomLeft" activeCell="C39" sqref="C39"/>
      <selection pane="bottomRight" activeCell="G32" sqref="G32"/>
    </sheetView>
  </sheetViews>
  <sheetFormatPr defaultRowHeight="15.75"/>
  <cols>
    <col min="1" max="1" width="36.85546875" style="342" customWidth="1"/>
    <col min="2" max="4" width="20.28515625" style="342" customWidth="1"/>
    <col min="5" max="5" width="17.28515625" style="342" customWidth="1"/>
    <col min="6" max="10" width="20.28515625" style="342" customWidth="1"/>
    <col min="11" max="11" width="20.42578125" style="342" customWidth="1"/>
    <col min="12" max="23" width="20.28515625" style="342" customWidth="1"/>
    <col min="24" max="25" width="20.28515625" style="357" customWidth="1"/>
    <col min="26" max="27" width="20.28515625" style="358" customWidth="1"/>
    <col min="28" max="28" width="12.140625" style="338" customWidth="1"/>
    <col min="29" max="29" width="11.5703125" style="338" bestFit="1" customWidth="1"/>
    <col min="30" max="30" width="13.28515625" style="338" customWidth="1"/>
    <col min="31" max="31" width="11.5703125" style="338" bestFit="1" customWidth="1"/>
    <col min="32" max="32" width="13.28515625" style="338" customWidth="1"/>
    <col min="33" max="34" width="13.140625" style="338" bestFit="1" customWidth="1"/>
    <col min="35" max="35" width="16.85546875" style="338" customWidth="1"/>
    <col min="36" max="36" width="20.28515625" style="338" customWidth="1"/>
    <col min="37" max="37" width="16.85546875" style="338" customWidth="1"/>
    <col min="38" max="16384" width="9.140625" style="338"/>
  </cols>
  <sheetData>
    <row r="1" spans="1:27">
      <c r="A1" s="497" t="s">
        <v>557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336"/>
      <c r="Z1" s="337"/>
      <c r="AA1" s="337"/>
    </row>
    <row r="2" spans="1:27" s="341" customFormat="1" ht="28.5" customHeight="1">
      <c r="A2" s="498" t="s">
        <v>482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339"/>
      <c r="Z2" s="340"/>
      <c r="AA2" s="340"/>
    </row>
    <row r="3" spans="1:27" ht="26.25" customHeight="1" thickBot="1">
      <c r="X3" s="343" t="s">
        <v>1</v>
      </c>
      <c r="Y3" s="343"/>
      <c r="Z3" s="344"/>
      <c r="AA3" s="344"/>
    </row>
    <row r="4" spans="1:27" s="346" customFormat="1" ht="24.95" customHeight="1" thickBot="1">
      <c r="A4" s="345"/>
      <c r="B4" s="493" t="s">
        <v>483</v>
      </c>
      <c r="C4" s="494"/>
      <c r="D4" s="493" t="s">
        <v>484</v>
      </c>
      <c r="E4" s="494"/>
      <c r="F4" s="493" t="s">
        <v>485</v>
      </c>
      <c r="G4" s="494"/>
      <c r="H4" s="493" t="s">
        <v>486</v>
      </c>
      <c r="I4" s="494"/>
      <c r="J4" s="493" t="s">
        <v>487</v>
      </c>
      <c r="K4" s="494"/>
      <c r="L4" s="493" t="s">
        <v>488</v>
      </c>
      <c r="M4" s="494"/>
      <c r="N4" s="493" t="s">
        <v>489</v>
      </c>
      <c r="O4" s="494"/>
      <c r="P4" s="493" t="s">
        <v>490</v>
      </c>
      <c r="Q4" s="494"/>
      <c r="R4" s="493" t="s">
        <v>491</v>
      </c>
      <c r="S4" s="494"/>
      <c r="T4" s="493" t="s">
        <v>492</v>
      </c>
      <c r="U4" s="494"/>
      <c r="V4" s="493" t="s">
        <v>493</v>
      </c>
      <c r="W4" s="494"/>
      <c r="X4" s="493" t="s">
        <v>494</v>
      </c>
      <c r="Y4" s="494"/>
      <c r="Z4" s="495" t="s">
        <v>495</v>
      </c>
      <c r="AA4" s="496"/>
    </row>
    <row r="5" spans="1:27" s="346" customFormat="1" ht="45.75" customHeight="1">
      <c r="A5" s="345"/>
      <c r="B5" s="347" t="s">
        <v>473</v>
      </c>
      <c r="C5" s="347" t="s">
        <v>474</v>
      </c>
      <c r="D5" s="347" t="s">
        <v>473</v>
      </c>
      <c r="E5" s="347" t="s">
        <v>474</v>
      </c>
      <c r="F5" s="347" t="s">
        <v>473</v>
      </c>
      <c r="G5" s="347" t="s">
        <v>474</v>
      </c>
      <c r="H5" s="347" t="s">
        <v>473</v>
      </c>
      <c r="I5" s="347" t="s">
        <v>474</v>
      </c>
      <c r="J5" s="347" t="s">
        <v>473</v>
      </c>
      <c r="K5" s="347" t="s">
        <v>474</v>
      </c>
      <c r="L5" s="347" t="s">
        <v>473</v>
      </c>
      <c r="M5" s="347" t="s">
        <v>474</v>
      </c>
      <c r="N5" s="347" t="s">
        <v>473</v>
      </c>
      <c r="O5" s="347" t="s">
        <v>474</v>
      </c>
      <c r="P5" s="347" t="s">
        <v>473</v>
      </c>
      <c r="Q5" s="347" t="s">
        <v>474</v>
      </c>
      <c r="R5" s="347" t="s">
        <v>473</v>
      </c>
      <c r="S5" s="347" t="s">
        <v>474</v>
      </c>
      <c r="T5" s="347" t="s">
        <v>473</v>
      </c>
      <c r="U5" s="347" t="s">
        <v>474</v>
      </c>
      <c r="V5" s="347" t="s">
        <v>473</v>
      </c>
      <c r="W5" s="347" t="s">
        <v>474</v>
      </c>
      <c r="X5" s="347" t="s">
        <v>473</v>
      </c>
      <c r="Y5" s="347" t="s">
        <v>474</v>
      </c>
      <c r="Z5" s="347" t="s">
        <v>473</v>
      </c>
      <c r="AA5" s="347" t="s">
        <v>474</v>
      </c>
    </row>
    <row r="6" spans="1:27" ht="24.95" customHeight="1">
      <c r="A6" s="348" t="s">
        <v>496</v>
      </c>
      <c r="B6" s="349">
        <v>28292620</v>
      </c>
      <c r="C6" s="349">
        <v>28292620</v>
      </c>
      <c r="D6" s="349">
        <v>28292620</v>
      </c>
      <c r="E6" s="349">
        <v>28292620</v>
      </c>
      <c r="F6" s="349">
        <v>28292620</v>
      </c>
      <c r="G6" s="349">
        <v>28292620</v>
      </c>
      <c r="H6" s="349">
        <v>28292620</v>
      </c>
      <c r="I6" s="349">
        <v>28292620</v>
      </c>
      <c r="J6" s="349">
        <v>28292620</v>
      </c>
      <c r="K6" s="349">
        <f>28292620+9500000</f>
        <v>37792620</v>
      </c>
      <c r="L6" s="349">
        <v>28292620</v>
      </c>
      <c r="M6" s="349">
        <f>28292620+9500000</f>
        <v>37792620</v>
      </c>
      <c r="N6" s="349">
        <v>28292620</v>
      </c>
      <c r="O6" s="349">
        <f>28292620+9500000</f>
        <v>37792620</v>
      </c>
      <c r="P6" s="349">
        <v>28292620</v>
      </c>
      <c r="Q6" s="349">
        <f>28292620+9500000</f>
        <v>37792620</v>
      </c>
      <c r="R6" s="349">
        <v>28292620</v>
      </c>
      <c r="S6" s="349">
        <f>28292620+9500000</f>
        <v>37792620</v>
      </c>
      <c r="T6" s="349">
        <v>28292620</v>
      </c>
      <c r="U6" s="349">
        <f>28292620+9500000</f>
        <v>37792620</v>
      </c>
      <c r="V6" s="349">
        <v>28292620</v>
      </c>
      <c r="W6" s="349">
        <f>28292620+9500000</f>
        <v>37792620</v>
      </c>
      <c r="X6" s="349">
        <f>28292620-3</f>
        <v>28292617</v>
      </c>
      <c r="Y6" s="349">
        <f>28292620-3+9829259</f>
        <v>38121876</v>
      </c>
      <c r="Z6" s="350">
        <f t="shared" ref="Z6:AA12" si="0">+X6+V6+T6+R6+P6+N6+L6+J6+H6+F6+D6+B6</f>
        <v>339511437</v>
      </c>
      <c r="AA6" s="350">
        <f t="shared" si="0"/>
        <v>415840696</v>
      </c>
    </row>
    <row r="7" spans="1:27" ht="24.95" customHeight="1">
      <c r="A7" s="348" t="s">
        <v>497</v>
      </c>
      <c r="B7" s="349">
        <v>120000</v>
      </c>
      <c r="C7" s="349">
        <v>120000</v>
      </c>
      <c r="D7" s="349">
        <v>320000</v>
      </c>
      <c r="E7" s="349">
        <v>320000</v>
      </c>
      <c r="F7" s="349">
        <v>4700000</v>
      </c>
      <c r="G7" s="349">
        <v>4700000</v>
      </c>
      <c r="H7" s="349">
        <v>1950000</v>
      </c>
      <c r="I7" s="349">
        <v>1950000</v>
      </c>
      <c r="J7" s="349">
        <v>19300000</v>
      </c>
      <c r="K7" s="349">
        <v>19300000</v>
      </c>
      <c r="L7" s="349">
        <v>1850000</v>
      </c>
      <c r="M7" s="349">
        <v>1850000</v>
      </c>
      <c r="N7" s="349">
        <v>850000</v>
      </c>
      <c r="O7" s="349">
        <v>850000</v>
      </c>
      <c r="P7" s="349">
        <v>1400000</v>
      </c>
      <c r="Q7" s="349">
        <v>1400000</v>
      </c>
      <c r="R7" s="349">
        <v>7500000</v>
      </c>
      <c r="S7" s="349">
        <v>7500000</v>
      </c>
      <c r="T7" s="349">
        <v>2200000</v>
      </c>
      <c r="U7" s="349">
        <v>2200000</v>
      </c>
      <c r="V7" s="349">
        <v>1900000</v>
      </c>
      <c r="W7" s="349">
        <v>1900000</v>
      </c>
      <c r="X7" s="349">
        <v>17180000</v>
      </c>
      <c r="Y7" s="349">
        <v>17180000</v>
      </c>
      <c r="Z7" s="350">
        <f t="shared" si="0"/>
        <v>59270000</v>
      </c>
      <c r="AA7" s="350">
        <f t="shared" si="0"/>
        <v>59270000</v>
      </c>
    </row>
    <row r="8" spans="1:27" ht="24.95" customHeight="1">
      <c r="A8" s="348" t="s">
        <v>498</v>
      </c>
      <c r="B8" s="349">
        <f t="shared" ref="B8:S8" si="1">5570012-850000</f>
        <v>4720012</v>
      </c>
      <c r="C8" s="349">
        <f t="shared" si="1"/>
        <v>4720012</v>
      </c>
      <c r="D8" s="349">
        <f t="shared" si="1"/>
        <v>4720012</v>
      </c>
      <c r="E8" s="349">
        <f t="shared" si="1"/>
        <v>4720012</v>
      </c>
      <c r="F8" s="349">
        <f t="shared" si="1"/>
        <v>4720012</v>
      </c>
      <c r="G8" s="349">
        <f t="shared" si="1"/>
        <v>4720012</v>
      </c>
      <c r="H8" s="349">
        <f t="shared" si="1"/>
        <v>4720012</v>
      </c>
      <c r="I8" s="349">
        <f t="shared" si="1"/>
        <v>4720012</v>
      </c>
      <c r="J8" s="349">
        <f t="shared" si="1"/>
        <v>4720012</v>
      </c>
      <c r="K8" s="349">
        <f t="shared" si="1"/>
        <v>4720012</v>
      </c>
      <c r="L8" s="349">
        <f t="shared" si="1"/>
        <v>4720012</v>
      </c>
      <c r="M8" s="349">
        <f t="shared" si="1"/>
        <v>4720012</v>
      </c>
      <c r="N8" s="349">
        <f t="shared" si="1"/>
        <v>4720012</v>
      </c>
      <c r="O8" s="349">
        <f t="shared" si="1"/>
        <v>4720012</v>
      </c>
      <c r="P8" s="349">
        <f t="shared" si="1"/>
        <v>4720012</v>
      </c>
      <c r="Q8" s="349">
        <f t="shared" si="1"/>
        <v>4720012</v>
      </c>
      <c r="R8" s="349">
        <f t="shared" si="1"/>
        <v>4720012</v>
      </c>
      <c r="S8" s="349">
        <f t="shared" si="1"/>
        <v>4720012</v>
      </c>
      <c r="T8" s="349">
        <f>5570012-850000-10285</f>
        <v>4709727</v>
      </c>
      <c r="U8" s="349">
        <f>5570012-850000-10285</f>
        <v>4709727</v>
      </c>
      <c r="V8" s="349">
        <f>5570012-850000</f>
        <v>4720012</v>
      </c>
      <c r="W8" s="349">
        <f>5570012-850000-105000</f>
        <v>4615012</v>
      </c>
      <c r="X8" s="349">
        <f>5570012+1-836836-618024</f>
        <v>4115153</v>
      </c>
      <c r="Y8" s="349">
        <f>5570012+1-836836-618024</f>
        <v>4115153</v>
      </c>
      <c r="Z8" s="350">
        <f t="shared" si="0"/>
        <v>56025000</v>
      </c>
      <c r="AA8" s="350">
        <f t="shared" si="0"/>
        <v>55920000</v>
      </c>
    </row>
    <row r="9" spans="1:27" ht="24.95" customHeight="1">
      <c r="A9" s="348" t="s">
        <v>499</v>
      </c>
      <c r="B9" s="349">
        <v>0</v>
      </c>
      <c r="C9" s="349">
        <v>0</v>
      </c>
      <c r="D9" s="349">
        <v>0</v>
      </c>
      <c r="E9" s="349">
        <v>0</v>
      </c>
      <c r="F9" s="349">
        <v>0</v>
      </c>
      <c r="G9" s="349">
        <v>0</v>
      </c>
      <c r="H9" s="349">
        <f>+'4 b.sz.mell.'!H27</f>
        <v>77804327</v>
      </c>
      <c r="I9" s="349">
        <f>+'4 b.sz.mell.'!I27</f>
        <v>77804327</v>
      </c>
      <c r="J9" s="349"/>
      <c r="K9" s="349"/>
      <c r="L9" s="349">
        <f>+'4 b.sz.mell.'!H36</f>
        <v>31014114</v>
      </c>
      <c r="M9" s="349">
        <f>+'4 b.sz.mell.'!I36</f>
        <v>46014112</v>
      </c>
      <c r="N9" s="349"/>
      <c r="O9" s="349"/>
      <c r="P9" s="349"/>
      <c r="Q9" s="349"/>
      <c r="R9" s="349"/>
      <c r="S9" s="349">
        <v>2999999</v>
      </c>
      <c r="T9" s="349">
        <v>0</v>
      </c>
      <c r="U9" s="349">
        <v>0</v>
      </c>
      <c r="V9" s="349">
        <v>0</v>
      </c>
      <c r="W9" s="349">
        <v>0</v>
      </c>
      <c r="X9" s="349">
        <v>0</v>
      </c>
      <c r="Y9" s="349">
        <v>0</v>
      </c>
      <c r="Z9" s="350">
        <f t="shared" si="0"/>
        <v>108818441</v>
      </c>
      <c r="AA9" s="350">
        <f t="shared" si="0"/>
        <v>126818438</v>
      </c>
    </row>
    <row r="10" spans="1:27" ht="24.95" customHeight="1">
      <c r="A10" s="348" t="s">
        <v>500</v>
      </c>
      <c r="B10" s="349">
        <v>0</v>
      </c>
      <c r="C10" s="349">
        <v>0</v>
      </c>
      <c r="D10" s="349">
        <v>0</v>
      </c>
      <c r="E10" s="349">
        <v>0</v>
      </c>
      <c r="F10" s="349">
        <v>0</v>
      </c>
      <c r="G10" s="349">
        <v>0</v>
      </c>
      <c r="H10" s="349">
        <v>0</v>
      </c>
      <c r="I10" s="349">
        <v>0</v>
      </c>
      <c r="J10" s="349">
        <v>0</v>
      </c>
      <c r="K10" s="349">
        <v>0</v>
      </c>
      <c r="L10" s="349">
        <v>0</v>
      </c>
      <c r="M10" s="349">
        <v>0</v>
      </c>
      <c r="N10" s="349">
        <v>0</v>
      </c>
      <c r="O10" s="349">
        <v>0</v>
      </c>
      <c r="P10" s="349">
        <v>0</v>
      </c>
      <c r="Q10" s="349">
        <v>0</v>
      </c>
      <c r="R10" s="349">
        <v>0</v>
      </c>
      <c r="S10" s="349">
        <v>0</v>
      </c>
      <c r="T10" s="349">
        <v>0</v>
      </c>
      <c r="U10" s="349">
        <v>0</v>
      </c>
      <c r="V10" s="349">
        <v>0</v>
      </c>
      <c r="W10" s="349">
        <v>0</v>
      </c>
      <c r="X10" s="349">
        <v>0</v>
      </c>
      <c r="Y10" s="349">
        <v>0</v>
      </c>
      <c r="Z10" s="350">
        <f>+X10+V10+T10+R10+P10+N10+L10+J10+H10+F10+D10+B10</f>
        <v>0</v>
      </c>
      <c r="AA10" s="350">
        <f t="shared" si="0"/>
        <v>0</v>
      </c>
    </row>
    <row r="11" spans="1:27" ht="24.95" customHeight="1">
      <c r="A11" s="348" t="s">
        <v>501</v>
      </c>
      <c r="B11" s="349">
        <v>34750000</v>
      </c>
      <c r="C11" s="349">
        <v>34750000</v>
      </c>
      <c r="D11" s="349">
        <v>34750000</v>
      </c>
      <c r="E11" s="349">
        <v>34750000</v>
      </c>
      <c r="F11" s="349">
        <v>34750000</v>
      </c>
      <c r="G11" s="349">
        <v>34750000</v>
      </c>
      <c r="H11" s="349">
        <v>34750000</v>
      </c>
      <c r="I11" s="349">
        <v>34750000</v>
      </c>
      <c r="J11" s="349">
        <v>34750000</v>
      </c>
      <c r="K11" s="349">
        <v>34750000</v>
      </c>
      <c r="L11" s="349">
        <v>34750000</v>
      </c>
      <c r="M11" s="349">
        <v>34750000</v>
      </c>
      <c r="N11" s="349">
        <v>34750000</v>
      </c>
      <c r="O11" s="349">
        <v>34750000</v>
      </c>
      <c r="P11" s="349">
        <v>34750000</v>
      </c>
      <c r="Q11" s="349">
        <v>34750000</v>
      </c>
      <c r="R11" s="349">
        <v>34750000</v>
      </c>
      <c r="S11" s="349">
        <f>34750000+3204408</f>
        <v>37954408</v>
      </c>
      <c r="T11" s="349">
        <v>34750000</v>
      </c>
      <c r="U11" s="349">
        <v>34750000</v>
      </c>
      <c r="V11" s="349">
        <v>34750000</v>
      </c>
      <c r="W11" s="349">
        <v>34750000</v>
      </c>
      <c r="X11" s="349">
        <f>34750000-51102</f>
        <v>34698898</v>
      </c>
      <c r="Y11" s="349">
        <f>34750000-51102</f>
        <v>34698898</v>
      </c>
      <c r="Z11" s="350">
        <f t="shared" si="0"/>
        <v>416948898</v>
      </c>
      <c r="AA11" s="350">
        <f t="shared" si="0"/>
        <v>420153306</v>
      </c>
    </row>
    <row r="12" spans="1:27" ht="24.95" customHeight="1">
      <c r="A12" s="351" t="s">
        <v>502</v>
      </c>
      <c r="B12" s="352">
        <f t="shared" ref="B12:X12" si="2">SUM(B6:B11)</f>
        <v>67882632</v>
      </c>
      <c r="C12" s="352">
        <f t="shared" ref="C12" si="3">SUM(C6:C11)</f>
        <v>67882632</v>
      </c>
      <c r="D12" s="352">
        <f t="shared" si="2"/>
        <v>68082632</v>
      </c>
      <c r="E12" s="352">
        <f t="shared" ref="E12" si="4">SUM(E6:E11)</f>
        <v>68082632</v>
      </c>
      <c r="F12" s="352">
        <f t="shared" si="2"/>
        <v>72462632</v>
      </c>
      <c r="G12" s="352">
        <f t="shared" ref="G12" si="5">SUM(G6:G11)</f>
        <v>72462632</v>
      </c>
      <c r="H12" s="352">
        <f t="shared" si="2"/>
        <v>147516959</v>
      </c>
      <c r="I12" s="352">
        <f t="shared" ref="I12" si="6">SUM(I6:I11)</f>
        <v>147516959</v>
      </c>
      <c r="J12" s="352">
        <f t="shared" si="2"/>
        <v>87062632</v>
      </c>
      <c r="K12" s="352">
        <f t="shared" ref="K12" si="7">SUM(K6:K11)</f>
        <v>96562632</v>
      </c>
      <c r="L12" s="352">
        <f t="shared" si="2"/>
        <v>100626746</v>
      </c>
      <c r="M12" s="352">
        <f t="shared" ref="M12" si="8">SUM(M6:M11)</f>
        <v>125126744</v>
      </c>
      <c r="N12" s="352">
        <f t="shared" si="2"/>
        <v>68612632</v>
      </c>
      <c r="O12" s="352">
        <f t="shared" ref="O12" si="9">SUM(O6:O11)</f>
        <v>78112632</v>
      </c>
      <c r="P12" s="352">
        <f t="shared" si="2"/>
        <v>69162632</v>
      </c>
      <c r="Q12" s="352">
        <f t="shared" ref="Q12" si="10">SUM(Q6:Q11)</f>
        <v>78662632</v>
      </c>
      <c r="R12" s="352">
        <f>SUM(R6:R11)</f>
        <v>75262632</v>
      </c>
      <c r="S12" s="352">
        <f>SUM(S6:S11)</f>
        <v>90967039</v>
      </c>
      <c r="T12" s="352">
        <f t="shared" si="2"/>
        <v>69952347</v>
      </c>
      <c r="U12" s="352">
        <f t="shared" ref="U12" si="11">SUM(U6:U11)</f>
        <v>79452347</v>
      </c>
      <c r="V12" s="352">
        <f t="shared" si="2"/>
        <v>69662632</v>
      </c>
      <c r="W12" s="352">
        <f t="shared" ref="W12" si="12">SUM(W6:W11)</f>
        <v>79057632</v>
      </c>
      <c r="X12" s="352">
        <f t="shared" si="2"/>
        <v>84286668</v>
      </c>
      <c r="Y12" s="352">
        <f t="shared" ref="Y12" si="13">SUM(Y6:Y11)</f>
        <v>94115927</v>
      </c>
      <c r="Z12" s="350">
        <f t="shared" si="0"/>
        <v>980573776</v>
      </c>
      <c r="AA12" s="350">
        <f t="shared" si="0"/>
        <v>1078002440</v>
      </c>
    </row>
    <row r="13" spans="1:27" ht="24.95" customHeight="1">
      <c r="A13" s="353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4"/>
      <c r="Z13" s="350"/>
      <c r="AA13" s="350"/>
    </row>
    <row r="14" spans="1:27" s="355" customFormat="1" ht="24.95" customHeight="1">
      <c r="A14" s="348" t="s">
        <v>124</v>
      </c>
      <c r="B14" s="349">
        <v>17690000</v>
      </c>
      <c r="C14" s="349">
        <f>17690000+3360000</f>
        <v>21050000</v>
      </c>
      <c r="D14" s="349">
        <v>17690000</v>
      </c>
      <c r="E14" s="349">
        <f>17690000+3360000</f>
        <v>21050000</v>
      </c>
      <c r="F14" s="349">
        <v>17690000</v>
      </c>
      <c r="G14" s="349">
        <f>17690000+3360000</f>
        <v>21050000</v>
      </c>
      <c r="H14" s="349">
        <v>17690000</v>
      </c>
      <c r="I14" s="349">
        <f>17690000+3360000</f>
        <v>21050000</v>
      </c>
      <c r="J14" s="349">
        <v>17690000</v>
      </c>
      <c r="K14" s="349">
        <f>17690000+3360000</f>
        <v>21050000</v>
      </c>
      <c r="L14" s="349">
        <v>17690000</v>
      </c>
      <c r="M14" s="349">
        <f>17690000+3360000</f>
        <v>21050000</v>
      </c>
      <c r="N14" s="349">
        <v>17690000</v>
      </c>
      <c r="O14" s="349">
        <f>17690000+3360000</f>
        <v>21050000</v>
      </c>
      <c r="P14" s="349">
        <v>17690000</v>
      </c>
      <c r="Q14" s="349">
        <f>17690000+3360000</f>
        <v>21050000</v>
      </c>
      <c r="R14" s="349">
        <v>17690000</v>
      </c>
      <c r="S14" s="349">
        <f>17690000+3360000</f>
        <v>21050000</v>
      </c>
      <c r="T14" s="349">
        <v>17690000</v>
      </c>
      <c r="U14" s="349">
        <f>17690000+3360000</f>
        <v>21050000</v>
      </c>
      <c r="V14" s="349">
        <v>17690000</v>
      </c>
      <c r="W14" s="349">
        <f>17690000+3360000</f>
        <v>21050000</v>
      </c>
      <c r="X14" s="349">
        <f>17690000+5909</f>
        <v>17695909</v>
      </c>
      <c r="Y14" s="349">
        <f>17690000+5909+3368536</f>
        <v>21064445</v>
      </c>
      <c r="Z14" s="350">
        <f t="shared" ref="Z14:AA24" si="14">+X14+V14+T14+R14+P14+N14+L14+J14+H14+F14+D14+B14</f>
        <v>212285909</v>
      </c>
      <c r="AA14" s="350">
        <f t="shared" si="14"/>
        <v>252614445</v>
      </c>
    </row>
    <row r="15" spans="1:27" s="355" customFormat="1" ht="24.95" customHeight="1">
      <c r="A15" s="348" t="s">
        <v>503</v>
      </c>
      <c r="B15" s="349">
        <v>3299900</v>
      </c>
      <c r="C15" s="349">
        <f>3299900+476000</f>
        <v>3775900</v>
      </c>
      <c r="D15" s="349">
        <v>3299900</v>
      </c>
      <c r="E15" s="349">
        <f>3299900+476000</f>
        <v>3775900</v>
      </c>
      <c r="F15" s="349">
        <v>3299900</v>
      </c>
      <c r="G15" s="349">
        <f>3299900+476000</f>
        <v>3775900</v>
      </c>
      <c r="H15" s="349">
        <v>3299900</v>
      </c>
      <c r="I15" s="349">
        <f>3299900+476000</f>
        <v>3775900</v>
      </c>
      <c r="J15" s="349">
        <v>3299900</v>
      </c>
      <c r="K15" s="349">
        <f>3299900+476000</f>
        <v>3775900</v>
      </c>
      <c r="L15" s="349">
        <v>3299900</v>
      </c>
      <c r="M15" s="349">
        <f>3299900+476000</f>
        <v>3775900</v>
      </c>
      <c r="N15" s="349">
        <v>3299900</v>
      </c>
      <c r="O15" s="349">
        <f>3299900+476000</f>
        <v>3775900</v>
      </c>
      <c r="P15" s="349">
        <v>3299900</v>
      </c>
      <c r="Q15" s="349">
        <f>3299900+476000</f>
        <v>3775900</v>
      </c>
      <c r="R15" s="349">
        <v>3299900</v>
      </c>
      <c r="S15" s="349">
        <f>3299900+476000</f>
        <v>3775900</v>
      </c>
      <c r="T15" s="349">
        <v>3299900</v>
      </c>
      <c r="U15" s="349">
        <f>3299900+476000</f>
        <v>3775900</v>
      </c>
      <c r="V15" s="349">
        <v>3299900</v>
      </c>
      <c r="W15" s="349">
        <f>3299900+476000</f>
        <v>3775900</v>
      </c>
      <c r="X15" s="349">
        <f>3299900+262</f>
        <v>3300162</v>
      </c>
      <c r="Y15" s="349">
        <f>3299900+262+486478</f>
        <v>3786640</v>
      </c>
      <c r="Z15" s="350">
        <f t="shared" si="14"/>
        <v>39599062</v>
      </c>
      <c r="AA15" s="350">
        <f t="shared" si="14"/>
        <v>45321540</v>
      </c>
    </row>
    <row r="16" spans="1:27" s="355" customFormat="1" ht="24.95" customHeight="1">
      <c r="A16" s="348" t="s">
        <v>504</v>
      </c>
      <c r="B16" s="349">
        <v>20290000</v>
      </c>
      <c r="C16" s="349">
        <f>20290000+2100000</f>
        <v>22390000</v>
      </c>
      <c r="D16" s="349">
        <v>20290000</v>
      </c>
      <c r="E16" s="349">
        <f>20290000+2100000</f>
        <v>22390000</v>
      </c>
      <c r="F16" s="349">
        <v>20290000</v>
      </c>
      <c r="G16" s="349">
        <f>2100000+20290000</f>
        <v>22390000</v>
      </c>
      <c r="H16" s="349">
        <v>20290000</v>
      </c>
      <c r="I16" s="349">
        <f>2100000+20290000</f>
        <v>22390000</v>
      </c>
      <c r="J16" s="349">
        <v>20290000</v>
      </c>
      <c r="K16" s="349">
        <f>2100000+20290000</f>
        <v>22390000</v>
      </c>
      <c r="L16" s="349">
        <v>20290000</v>
      </c>
      <c r="M16" s="349">
        <f>2100000+20290000</f>
        <v>22390000</v>
      </c>
      <c r="N16" s="349">
        <v>20290000</v>
      </c>
      <c r="O16" s="349">
        <f>2100000+20290000</f>
        <v>22390000</v>
      </c>
      <c r="P16" s="349">
        <v>20290000</v>
      </c>
      <c r="Q16" s="349">
        <f>2100000+20290000</f>
        <v>22390000</v>
      </c>
      <c r="R16" s="349">
        <v>20290000</v>
      </c>
      <c r="S16" s="349">
        <f>2100000+20290000</f>
        <v>22390000</v>
      </c>
      <c r="T16" s="349">
        <v>20290000</v>
      </c>
      <c r="U16" s="349">
        <f>2100000+20290000</f>
        <v>22390000</v>
      </c>
      <c r="V16" s="349">
        <f>20290000+86668</f>
        <v>20376668</v>
      </c>
      <c r="W16" s="349">
        <f>20290000+86668+2100000</f>
        <v>22476668</v>
      </c>
      <c r="X16" s="349">
        <v>20290000</v>
      </c>
      <c r="Y16" s="349">
        <f>20290000+2411482</f>
        <v>22701482</v>
      </c>
      <c r="Z16" s="350">
        <f t="shared" si="14"/>
        <v>243566668</v>
      </c>
      <c r="AA16" s="350">
        <f t="shared" si="14"/>
        <v>269078150</v>
      </c>
    </row>
    <row r="17" spans="1:27" s="355" customFormat="1" ht="24.95" customHeight="1">
      <c r="A17" s="348" t="s">
        <v>505</v>
      </c>
      <c r="B17" s="349">
        <v>397000</v>
      </c>
      <c r="C17" s="349">
        <v>397000</v>
      </c>
      <c r="D17" s="349">
        <v>397000</v>
      </c>
      <c r="E17" s="349">
        <v>397000</v>
      </c>
      <c r="F17" s="349">
        <v>397000</v>
      </c>
      <c r="G17" s="349">
        <v>397000</v>
      </c>
      <c r="H17" s="349">
        <v>397000</v>
      </c>
      <c r="I17" s="349">
        <v>397000</v>
      </c>
      <c r="J17" s="349">
        <v>397000</v>
      </c>
      <c r="K17" s="349">
        <v>397000</v>
      </c>
      <c r="L17" s="349">
        <v>397000</v>
      </c>
      <c r="M17" s="349">
        <v>397000</v>
      </c>
      <c r="N17" s="349">
        <v>397000</v>
      </c>
      <c r="O17" s="349">
        <v>397000</v>
      </c>
      <c r="P17" s="349">
        <v>397000</v>
      </c>
      <c r="Q17" s="349">
        <v>397000</v>
      </c>
      <c r="R17" s="349">
        <v>397000</v>
      </c>
      <c r="S17" s="349">
        <v>397000</v>
      </c>
      <c r="T17" s="349">
        <v>397000</v>
      </c>
      <c r="U17" s="349">
        <v>397000</v>
      </c>
      <c r="V17" s="349">
        <v>397000</v>
      </c>
      <c r="W17" s="349">
        <v>397000</v>
      </c>
      <c r="X17" s="349">
        <f>397000+3000</f>
        <v>400000</v>
      </c>
      <c r="Y17" s="349">
        <f>397000+3000</f>
        <v>400000</v>
      </c>
      <c r="Z17" s="350">
        <f t="shared" si="14"/>
        <v>4767000</v>
      </c>
      <c r="AA17" s="350">
        <f t="shared" si="14"/>
        <v>4767000</v>
      </c>
    </row>
    <row r="18" spans="1:27" s="355" customFormat="1" ht="24.95" customHeight="1">
      <c r="A18" s="348" t="s">
        <v>506</v>
      </c>
      <c r="B18" s="349">
        <v>7047000</v>
      </c>
      <c r="C18" s="349">
        <v>7047000</v>
      </c>
      <c r="D18" s="349">
        <v>7047000</v>
      </c>
      <c r="E18" s="349">
        <v>7047000</v>
      </c>
      <c r="F18" s="349">
        <v>7047000</v>
      </c>
      <c r="G18" s="349">
        <v>7047000</v>
      </c>
      <c r="H18" s="349">
        <v>7047000</v>
      </c>
      <c r="I18" s="349">
        <v>7047000</v>
      </c>
      <c r="J18" s="349">
        <v>7047000</v>
      </c>
      <c r="K18" s="349">
        <v>7047000</v>
      </c>
      <c r="L18" s="349">
        <v>7047000</v>
      </c>
      <c r="M18" s="349">
        <v>7047000</v>
      </c>
      <c r="N18" s="349">
        <v>7047000</v>
      </c>
      <c r="O18" s="349">
        <v>7047000</v>
      </c>
      <c r="P18" s="349">
        <v>7047000</v>
      </c>
      <c r="Q18" s="349">
        <f>155500000+7047000</f>
        <v>162547000</v>
      </c>
      <c r="R18" s="349">
        <v>7047000</v>
      </c>
      <c r="S18" s="349">
        <v>7047000</v>
      </c>
      <c r="T18" s="349">
        <v>7047000</v>
      </c>
      <c r="U18" s="349">
        <f>7047000+10053652</f>
        <v>17100652</v>
      </c>
      <c r="V18" s="349">
        <v>7047000</v>
      </c>
      <c r="W18" s="349">
        <v>7047000</v>
      </c>
      <c r="X18" s="349">
        <f>7047000+3133</f>
        <v>7050133</v>
      </c>
      <c r="Y18" s="349">
        <f>7047000+3133</f>
        <v>7050133</v>
      </c>
      <c r="Z18" s="350">
        <f t="shared" si="14"/>
        <v>84567133</v>
      </c>
      <c r="AA18" s="350">
        <f t="shared" si="14"/>
        <v>250120785</v>
      </c>
    </row>
    <row r="19" spans="1:27" s="355" customFormat="1" ht="24.95" customHeight="1">
      <c r="A19" s="348" t="s">
        <v>507</v>
      </c>
      <c r="B19" s="349">
        <v>10420711</v>
      </c>
      <c r="C19" s="349">
        <v>10420711</v>
      </c>
      <c r="D19" s="356">
        <v>0</v>
      </c>
      <c r="E19" s="356">
        <v>0</v>
      </c>
      <c r="F19" s="356">
        <v>0</v>
      </c>
      <c r="G19" s="356">
        <v>0</v>
      </c>
      <c r="H19" s="356">
        <v>0</v>
      </c>
      <c r="I19" s="356">
        <v>0</v>
      </c>
      <c r="J19" s="356">
        <v>0</v>
      </c>
      <c r="K19" s="356">
        <v>0</v>
      </c>
      <c r="L19" s="356">
        <v>0</v>
      </c>
      <c r="M19" s="356">
        <v>0</v>
      </c>
      <c r="N19" s="356">
        <v>0</v>
      </c>
      <c r="O19" s="356">
        <v>0</v>
      </c>
      <c r="P19" s="356">
        <v>0</v>
      </c>
      <c r="Q19" s="356">
        <v>0</v>
      </c>
      <c r="R19" s="356">
        <v>0</v>
      </c>
      <c r="S19" s="356">
        <v>0</v>
      </c>
      <c r="T19" s="356">
        <v>0</v>
      </c>
      <c r="U19" s="356">
        <v>0</v>
      </c>
      <c r="V19" s="356">
        <v>0</v>
      </c>
      <c r="W19" s="356">
        <v>0</v>
      </c>
      <c r="X19" s="356">
        <v>0</v>
      </c>
      <c r="Y19" s="356">
        <v>0</v>
      </c>
      <c r="Z19" s="350">
        <f t="shared" si="14"/>
        <v>10420711</v>
      </c>
      <c r="AA19" s="350">
        <f t="shared" si="14"/>
        <v>10420711</v>
      </c>
    </row>
    <row r="20" spans="1:27" s="355" customFormat="1" ht="24.95" customHeight="1">
      <c r="A20" s="348" t="s">
        <v>508</v>
      </c>
      <c r="B20" s="349">
        <f>893700+62489</f>
        <v>956189</v>
      </c>
      <c r="C20" s="349">
        <f>893700+62489</f>
        <v>956189</v>
      </c>
      <c r="D20" s="356">
        <v>62489</v>
      </c>
      <c r="E20" s="356">
        <v>62489</v>
      </c>
      <c r="F20" s="356">
        <v>62489</v>
      </c>
      <c r="G20" s="356">
        <v>62489</v>
      </c>
      <c r="H20" s="356">
        <v>62489</v>
      </c>
      <c r="I20" s="356">
        <v>62489</v>
      </c>
      <c r="J20" s="356">
        <v>62489</v>
      </c>
      <c r="K20" s="356">
        <v>62489</v>
      </c>
      <c r="L20" s="356">
        <v>62489</v>
      </c>
      <c r="M20" s="356">
        <v>62489</v>
      </c>
      <c r="N20" s="356">
        <v>62489</v>
      </c>
      <c r="O20" s="356">
        <v>62489</v>
      </c>
      <c r="P20" s="356">
        <v>62489</v>
      </c>
      <c r="Q20" s="356">
        <v>62489</v>
      </c>
      <c r="R20" s="356">
        <v>62489</v>
      </c>
      <c r="S20" s="356">
        <v>62489</v>
      </c>
      <c r="T20" s="356">
        <v>62489</v>
      </c>
      <c r="U20" s="356">
        <v>62489</v>
      </c>
      <c r="V20" s="356">
        <v>62489</v>
      </c>
      <c r="W20" s="356">
        <v>62489</v>
      </c>
      <c r="X20" s="356">
        <v>62489</v>
      </c>
      <c r="Y20" s="356">
        <v>62489</v>
      </c>
      <c r="Z20" s="350">
        <f t="shared" si="14"/>
        <v>1643568</v>
      </c>
      <c r="AA20" s="350">
        <f t="shared" si="14"/>
        <v>1643568</v>
      </c>
    </row>
    <row r="21" spans="1:27" ht="24.95" customHeight="1">
      <c r="A21" s="348" t="s">
        <v>509</v>
      </c>
      <c r="B21" s="356">
        <v>0</v>
      </c>
      <c r="C21" s="356">
        <v>0</v>
      </c>
      <c r="D21" s="356">
        <v>0</v>
      </c>
      <c r="E21" s="356">
        <v>0</v>
      </c>
      <c r="F21" s="349">
        <v>0</v>
      </c>
      <c r="G21" s="349">
        <v>0</v>
      </c>
      <c r="H21" s="349">
        <v>0</v>
      </c>
      <c r="I21" s="349">
        <v>0</v>
      </c>
      <c r="J21" s="349">
        <v>21430395</v>
      </c>
      <c r="K21" s="349">
        <v>21430395</v>
      </c>
      <c r="L21" s="349">
        <v>21430395</v>
      </c>
      <c r="M21" s="349">
        <v>21430395</v>
      </c>
      <c r="N21" s="349">
        <v>21430395</v>
      </c>
      <c r="O21" s="349">
        <v>21430395</v>
      </c>
      <c r="P21" s="349">
        <v>0</v>
      </c>
      <c r="Q21" s="349">
        <v>0</v>
      </c>
      <c r="R21" s="349">
        <v>21430395</v>
      </c>
      <c r="S21" s="349">
        <f>21430395-14388672</f>
        <v>7041723</v>
      </c>
      <c r="T21" s="349">
        <v>0</v>
      </c>
      <c r="U21" s="349">
        <v>0</v>
      </c>
      <c r="V21" s="349">
        <v>0</v>
      </c>
      <c r="W21" s="349">
        <v>0</v>
      </c>
      <c r="X21" s="349">
        <v>21430393</v>
      </c>
      <c r="Y21" s="349">
        <v>21430393</v>
      </c>
      <c r="Z21" s="350">
        <f t="shared" si="14"/>
        <v>107151973</v>
      </c>
      <c r="AA21" s="350">
        <f t="shared" si="14"/>
        <v>92763301</v>
      </c>
    </row>
    <row r="22" spans="1:27" ht="24.95" customHeight="1">
      <c r="A22" s="348" t="s">
        <v>510</v>
      </c>
      <c r="B22" s="356">
        <v>23000000</v>
      </c>
      <c r="C22" s="356">
        <v>23000000</v>
      </c>
      <c r="D22" s="356">
        <v>23000000</v>
      </c>
      <c r="E22" s="356">
        <v>23000000</v>
      </c>
      <c r="F22" s="356">
        <v>23000000</v>
      </c>
      <c r="G22" s="356">
        <v>23000000</v>
      </c>
      <c r="H22" s="356">
        <v>23000000</v>
      </c>
      <c r="I22" s="356">
        <v>23000000</v>
      </c>
      <c r="J22" s="356">
        <f>23000000+571752</f>
        <v>23571752</v>
      </c>
      <c r="K22" s="356">
        <f>23000000+571752</f>
        <v>23571752</v>
      </c>
      <c r="L22" s="356">
        <v>23000000</v>
      </c>
      <c r="M22" s="356">
        <v>23000000</v>
      </c>
      <c r="N22" s="356">
        <v>23000000</v>
      </c>
      <c r="O22" s="356">
        <f>23000000-10193812-105000</f>
        <v>12701188</v>
      </c>
      <c r="P22" s="356">
        <v>23000000</v>
      </c>
      <c r="Q22" s="356"/>
      <c r="R22" s="356">
        <v>23000000</v>
      </c>
      <c r="S22" s="356">
        <v>0</v>
      </c>
      <c r="T22" s="356">
        <v>23000000</v>
      </c>
      <c r="U22" s="356">
        <v>0</v>
      </c>
      <c r="V22" s="356">
        <v>23000000</v>
      </c>
      <c r="W22" s="356">
        <v>0</v>
      </c>
      <c r="X22" s="356">
        <v>23000000</v>
      </c>
      <c r="Y22" s="356">
        <v>0</v>
      </c>
      <c r="Z22" s="350">
        <f t="shared" si="14"/>
        <v>276571752</v>
      </c>
      <c r="AA22" s="350">
        <f t="shared" si="14"/>
        <v>151272940</v>
      </c>
    </row>
    <row r="23" spans="1:27" ht="24.95" customHeight="1">
      <c r="A23" s="351" t="s">
        <v>511</v>
      </c>
      <c r="B23" s="352">
        <f t="shared" ref="B23:X23" si="15">SUM(B14:B22)</f>
        <v>83100800</v>
      </c>
      <c r="C23" s="352">
        <f t="shared" ref="C23" si="16">SUM(C14:C22)</f>
        <v>89036800</v>
      </c>
      <c r="D23" s="352">
        <f t="shared" si="15"/>
        <v>71786389</v>
      </c>
      <c r="E23" s="352">
        <f t="shared" ref="E23" si="17">SUM(E14:E22)</f>
        <v>77722389</v>
      </c>
      <c r="F23" s="352">
        <f t="shared" si="15"/>
        <v>71786389</v>
      </c>
      <c r="G23" s="352">
        <f t="shared" ref="G23" si="18">SUM(G14:G22)</f>
        <v>77722389</v>
      </c>
      <c r="H23" s="352">
        <f t="shared" si="15"/>
        <v>71786389</v>
      </c>
      <c r="I23" s="352">
        <f t="shared" ref="I23" si="19">SUM(I14:I22)</f>
        <v>77722389</v>
      </c>
      <c r="J23" s="352">
        <f t="shared" si="15"/>
        <v>93788536</v>
      </c>
      <c r="K23" s="352">
        <f t="shared" ref="K23" si="20">SUM(K14:K22)</f>
        <v>99724536</v>
      </c>
      <c r="L23" s="352">
        <f t="shared" si="15"/>
        <v>93216784</v>
      </c>
      <c r="M23" s="352">
        <f t="shared" ref="M23" si="21">SUM(M14:M22)</f>
        <v>99152784</v>
      </c>
      <c r="N23" s="352">
        <f t="shared" si="15"/>
        <v>93216784</v>
      </c>
      <c r="O23" s="352">
        <f t="shared" ref="O23" si="22">SUM(O14:O22)</f>
        <v>88853972</v>
      </c>
      <c r="P23" s="352">
        <f t="shared" si="15"/>
        <v>71786389</v>
      </c>
      <c r="Q23" s="352">
        <f t="shared" ref="Q23" si="23">SUM(Q14:Q22)</f>
        <v>210222389</v>
      </c>
      <c r="R23" s="352">
        <f t="shared" si="15"/>
        <v>93216784</v>
      </c>
      <c r="S23" s="352">
        <f>SUM(S14:S22)</f>
        <v>61764112</v>
      </c>
      <c r="T23" s="352">
        <f t="shared" si="15"/>
        <v>71786389</v>
      </c>
      <c r="U23" s="352">
        <f>SUM(U14:U22)</f>
        <v>64776041</v>
      </c>
      <c r="V23" s="352">
        <f t="shared" si="15"/>
        <v>71873057</v>
      </c>
      <c r="W23" s="352">
        <f>SUM(W14:W22)</f>
        <v>54809057</v>
      </c>
      <c r="X23" s="352">
        <f t="shared" si="15"/>
        <v>93229086</v>
      </c>
      <c r="Y23" s="352">
        <f t="shared" ref="Y23" si="24">SUM(Y14:Y22)</f>
        <v>76495582</v>
      </c>
      <c r="Z23" s="350">
        <f t="shared" si="14"/>
        <v>980573776</v>
      </c>
      <c r="AA23" s="350">
        <f t="shared" si="14"/>
        <v>1078002440</v>
      </c>
    </row>
    <row r="24" spans="1:27" ht="24.95" customHeight="1">
      <c r="A24" s="351" t="s">
        <v>512</v>
      </c>
      <c r="B24" s="352">
        <f t="shared" ref="B24:Y24" si="25">B12-B23</f>
        <v>-15218168</v>
      </c>
      <c r="C24" s="352">
        <f t="shared" si="25"/>
        <v>-21154168</v>
      </c>
      <c r="D24" s="352">
        <f t="shared" si="25"/>
        <v>-3703757</v>
      </c>
      <c r="E24" s="352">
        <f t="shared" si="25"/>
        <v>-9639757</v>
      </c>
      <c r="F24" s="352">
        <f t="shared" si="25"/>
        <v>676243</v>
      </c>
      <c r="G24" s="352">
        <f t="shared" si="25"/>
        <v>-5259757</v>
      </c>
      <c r="H24" s="352">
        <f t="shared" si="25"/>
        <v>75730570</v>
      </c>
      <c r="I24" s="352">
        <f t="shared" si="25"/>
        <v>69794570</v>
      </c>
      <c r="J24" s="352">
        <f t="shared" si="25"/>
        <v>-6725904</v>
      </c>
      <c r="K24" s="352">
        <f t="shared" si="25"/>
        <v>-3161904</v>
      </c>
      <c r="L24" s="352">
        <f t="shared" si="25"/>
        <v>7409962</v>
      </c>
      <c r="M24" s="352">
        <f t="shared" si="25"/>
        <v>25973960</v>
      </c>
      <c r="N24" s="352">
        <f t="shared" si="25"/>
        <v>-24604152</v>
      </c>
      <c r="O24" s="352">
        <f t="shared" si="25"/>
        <v>-10741340</v>
      </c>
      <c r="P24" s="352">
        <f t="shared" si="25"/>
        <v>-2623757</v>
      </c>
      <c r="Q24" s="352">
        <f t="shared" si="25"/>
        <v>-131559757</v>
      </c>
      <c r="R24" s="352">
        <f t="shared" si="25"/>
        <v>-17954152</v>
      </c>
      <c r="S24" s="352">
        <f t="shared" si="25"/>
        <v>29202927</v>
      </c>
      <c r="T24" s="352">
        <f t="shared" si="25"/>
        <v>-1834042</v>
      </c>
      <c r="U24" s="352">
        <f t="shared" si="25"/>
        <v>14676306</v>
      </c>
      <c r="V24" s="352">
        <f t="shared" si="25"/>
        <v>-2210425</v>
      </c>
      <c r="W24" s="352">
        <f t="shared" si="25"/>
        <v>24248575</v>
      </c>
      <c r="X24" s="352">
        <f t="shared" si="25"/>
        <v>-8942418</v>
      </c>
      <c r="Y24" s="352">
        <f t="shared" si="25"/>
        <v>17620345</v>
      </c>
      <c r="Z24" s="350">
        <f t="shared" si="14"/>
        <v>0</v>
      </c>
      <c r="AA24" s="350">
        <f t="shared" si="14"/>
        <v>0</v>
      </c>
    </row>
  </sheetData>
  <mergeCells count="15">
    <mergeCell ref="A1:X1"/>
    <mergeCell ref="A2:X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rintOptions horizontalCentered="1"/>
  <pageMargins left="0.15748031496062992" right="0.15748031496062992" top="0.35433070866141736" bottom="0.31496062992125984" header="0.78740157480314965" footer="0.15748031496062992"/>
  <pageSetup paperSize="8" scale="3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H32"/>
  <sheetViews>
    <sheetView zoomScaleNormal="100" workbookViewId="0">
      <selection activeCell="G3" sqref="G3"/>
    </sheetView>
  </sheetViews>
  <sheetFormatPr defaultColWidth="8.85546875" defaultRowHeight="15"/>
  <cols>
    <col min="1" max="1" width="8.85546875" style="4"/>
    <col min="2" max="2" width="8.85546875" style="149" customWidth="1"/>
    <col min="3" max="3" width="45.5703125" style="329" customWidth="1"/>
    <col min="4" max="4" width="16.28515625" style="361" customWidth="1"/>
    <col min="5" max="5" width="17.28515625" style="149" customWidth="1"/>
    <col min="6" max="6" width="16.85546875" style="149" customWidth="1"/>
    <col min="7" max="7" width="10.140625" style="149" bestFit="1" customWidth="1"/>
    <col min="8" max="8" width="12.7109375" style="149" customWidth="1"/>
    <col min="9" max="10" width="8.85546875" style="4"/>
    <col min="11" max="11" width="20.42578125" style="4" customWidth="1"/>
    <col min="12" max="16384" width="8.85546875" style="4"/>
  </cols>
  <sheetData>
    <row r="1" spans="1:8" ht="15.75">
      <c r="A1" s="499" t="s">
        <v>558</v>
      </c>
      <c r="B1" s="499"/>
      <c r="C1" s="499"/>
      <c r="D1" s="499"/>
      <c r="E1" s="499"/>
      <c r="F1" s="359"/>
    </row>
    <row r="2" spans="1:8" ht="15.75">
      <c r="C2" s="360"/>
    </row>
    <row r="3" spans="1:8" ht="42" customHeight="1">
      <c r="A3" s="476" t="s">
        <v>513</v>
      </c>
      <c r="B3" s="476"/>
      <c r="C3" s="476"/>
      <c r="D3" s="476"/>
      <c r="E3" s="476"/>
      <c r="F3" s="240"/>
    </row>
    <row r="4" spans="1:8" ht="24.75" customHeight="1"/>
    <row r="5" spans="1:8" ht="25.5" customHeight="1">
      <c r="B5" s="500" t="s">
        <v>514</v>
      </c>
      <c r="C5" s="500"/>
      <c r="D5" s="500"/>
      <c r="E5" s="500"/>
      <c r="F5" s="500"/>
    </row>
    <row r="6" spans="1:8" ht="17.25" customHeight="1">
      <c r="C6" s="113"/>
      <c r="D6" s="362"/>
      <c r="E6" s="362" t="s">
        <v>1</v>
      </c>
    </row>
    <row r="7" spans="1:8" ht="17.25" customHeight="1">
      <c r="C7" s="363" t="s">
        <v>515</v>
      </c>
      <c r="D7" s="364" t="s">
        <v>473</v>
      </c>
      <c r="E7" s="364" t="s">
        <v>474</v>
      </c>
      <c r="H7" s="4"/>
    </row>
    <row r="8" spans="1:8" ht="17.25" customHeight="1">
      <c r="C8" s="365" t="s">
        <v>516</v>
      </c>
      <c r="D8" s="366">
        <v>110000</v>
      </c>
      <c r="E8" s="366">
        <v>110000</v>
      </c>
      <c r="H8" s="4"/>
    </row>
    <row r="9" spans="1:8" ht="17.25" customHeight="1">
      <c r="C9" s="365" t="s">
        <v>517</v>
      </c>
      <c r="D9" s="366">
        <v>150000</v>
      </c>
      <c r="E9" s="366">
        <v>150000</v>
      </c>
      <c r="H9" s="4"/>
    </row>
    <row r="10" spans="1:8" ht="17.25" customHeight="1">
      <c r="C10" s="365" t="s">
        <v>518</v>
      </c>
      <c r="D10" s="366">
        <v>10000</v>
      </c>
      <c r="E10" s="366">
        <v>10000</v>
      </c>
      <c r="H10" s="4"/>
    </row>
    <row r="11" spans="1:8" ht="17.25" customHeight="1">
      <c r="C11" s="365" t="s">
        <v>519</v>
      </c>
      <c r="D11" s="366">
        <v>140000</v>
      </c>
      <c r="E11" s="366">
        <v>140000</v>
      </c>
      <c r="H11" s="4"/>
    </row>
    <row r="12" spans="1:8" ht="17.25" customHeight="1">
      <c r="C12" s="365" t="s">
        <v>520</v>
      </c>
      <c r="D12" s="366">
        <v>200000</v>
      </c>
      <c r="E12" s="366">
        <v>200000</v>
      </c>
      <c r="H12" s="4"/>
    </row>
    <row r="13" spans="1:8" ht="17.25" customHeight="1">
      <c r="C13" s="365" t="s">
        <v>521</v>
      </c>
      <c r="D13" s="366">
        <v>2400000</v>
      </c>
      <c r="E13" s="366">
        <v>2400000</v>
      </c>
      <c r="H13" s="4"/>
    </row>
    <row r="14" spans="1:8" ht="17.25" customHeight="1">
      <c r="C14" s="365" t="s">
        <v>522</v>
      </c>
      <c r="D14" s="366">
        <v>1500000</v>
      </c>
      <c r="E14" s="366">
        <v>1500000</v>
      </c>
      <c r="H14" s="4"/>
    </row>
    <row r="15" spans="1:8" ht="17.25" customHeight="1">
      <c r="C15" s="365" t="s">
        <v>523</v>
      </c>
      <c r="D15" s="366">
        <v>20000</v>
      </c>
      <c r="E15" s="366">
        <v>20000</v>
      </c>
      <c r="H15" s="4"/>
    </row>
    <row r="16" spans="1:8" ht="17.25" customHeight="1">
      <c r="C16" s="365" t="s">
        <v>524</v>
      </c>
      <c r="D16" s="366">
        <v>79255883</v>
      </c>
      <c r="E16" s="367">
        <v>79255883</v>
      </c>
      <c r="H16" s="4"/>
    </row>
    <row r="17" spans="3:8" ht="17.25" customHeight="1">
      <c r="C17" s="365" t="s">
        <v>525</v>
      </c>
      <c r="D17" s="366">
        <v>200000</v>
      </c>
      <c r="E17" s="366">
        <v>200000</v>
      </c>
      <c r="H17" s="4"/>
    </row>
    <row r="18" spans="3:8" ht="17.25" customHeight="1">
      <c r="C18" s="365" t="s">
        <v>526</v>
      </c>
      <c r="D18" s="366">
        <v>61250</v>
      </c>
      <c r="E18" s="366">
        <v>61250</v>
      </c>
      <c r="H18" s="4"/>
    </row>
    <row r="19" spans="3:8" ht="17.25" customHeight="1">
      <c r="C19" s="365" t="s">
        <v>527</v>
      </c>
      <c r="D19" s="366">
        <v>20000</v>
      </c>
      <c r="E19" s="366">
        <v>20000</v>
      </c>
      <c r="H19" s="4"/>
    </row>
    <row r="20" spans="3:8" ht="17.25" customHeight="1">
      <c r="C20" s="368" t="s">
        <v>528</v>
      </c>
      <c r="D20" s="366">
        <v>500000</v>
      </c>
      <c r="E20" s="366">
        <v>500000</v>
      </c>
      <c r="H20" s="4"/>
    </row>
    <row r="21" spans="3:8" ht="17.25" customHeight="1">
      <c r="C21" s="368" t="s">
        <v>529</v>
      </c>
      <c r="D21" s="366">
        <v>0</v>
      </c>
      <c r="E21" s="366">
        <v>8932904</v>
      </c>
      <c r="H21" s="4"/>
    </row>
    <row r="22" spans="3:8" ht="40.5" customHeight="1">
      <c r="C22" s="368" t="s">
        <v>530</v>
      </c>
      <c r="D22" s="366">
        <v>0</v>
      </c>
      <c r="E22" s="366">
        <v>490000</v>
      </c>
      <c r="H22" s="4"/>
    </row>
    <row r="23" spans="3:8" ht="35.25" customHeight="1">
      <c r="C23" s="368" t="s">
        <v>531</v>
      </c>
      <c r="D23" s="366">
        <v>0</v>
      </c>
      <c r="E23" s="366">
        <v>70273</v>
      </c>
      <c r="H23" s="4"/>
    </row>
    <row r="24" spans="3:8" ht="17.25" customHeight="1">
      <c r="C24" s="368" t="s">
        <v>532</v>
      </c>
      <c r="D24" s="366">
        <v>0</v>
      </c>
      <c r="E24" s="366">
        <v>560475</v>
      </c>
      <c r="H24" s="4"/>
    </row>
    <row r="25" spans="3:8" ht="17.25" customHeight="1">
      <c r="C25" s="369" t="s">
        <v>414</v>
      </c>
      <c r="D25" s="370">
        <f>SUM(D8:D21)</f>
        <v>84567133</v>
      </c>
      <c r="E25" s="370">
        <f>SUM(E8:E24)</f>
        <v>94620785</v>
      </c>
      <c r="F25" s="188"/>
      <c r="G25" s="188"/>
      <c r="H25" s="25"/>
    </row>
    <row r="26" spans="3:8" ht="30" customHeight="1">
      <c r="C26" s="371"/>
      <c r="D26" s="372"/>
      <c r="E26" s="373"/>
      <c r="G26" s="188"/>
    </row>
    <row r="27" spans="3:8" ht="25.5" customHeight="1">
      <c r="C27" s="374" t="s">
        <v>533</v>
      </c>
      <c r="D27" s="375">
        <v>0</v>
      </c>
      <c r="E27" s="375">
        <v>0</v>
      </c>
      <c r="H27" s="4"/>
    </row>
    <row r="28" spans="3:8" ht="24.75" customHeight="1">
      <c r="C28" s="369" t="s">
        <v>414</v>
      </c>
      <c r="D28" s="370">
        <v>0</v>
      </c>
      <c r="E28" s="370">
        <v>0</v>
      </c>
      <c r="H28" s="4"/>
    </row>
    <row r="29" spans="3:8" ht="18" customHeight="1">
      <c r="C29" s="376"/>
      <c r="D29" s="149"/>
      <c r="H29" s="4"/>
    </row>
    <row r="30" spans="3:8" ht="18" customHeight="1">
      <c r="C30" s="377" t="s">
        <v>534</v>
      </c>
      <c r="D30" s="370">
        <f>SUM(D25,D28)</f>
        <v>84567133</v>
      </c>
      <c r="E30" s="370">
        <f>SUM(E25,E28)</f>
        <v>94620785</v>
      </c>
      <c r="H30" s="4"/>
    </row>
    <row r="31" spans="3:8" ht="18" customHeight="1"/>
    <row r="32" spans="3:8">
      <c r="E32" s="188"/>
    </row>
  </sheetData>
  <mergeCells count="3">
    <mergeCell ref="A1:E1"/>
    <mergeCell ref="A3:E3"/>
    <mergeCell ref="B5:F5"/>
  </mergeCells>
  <pageMargins left="0.75" right="0.75" top="0.75" bottom="1" header="0.5" footer="0.5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K30"/>
  <sheetViews>
    <sheetView tabSelected="1" zoomScaleNormal="100" workbookViewId="0">
      <selection activeCell="H8" sqref="H8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  <col min="11" max="11" width="20.42578125" customWidth="1"/>
  </cols>
  <sheetData>
    <row r="1" spans="1:11" ht="15.75">
      <c r="A1" s="499" t="s">
        <v>559</v>
      </c>
      <c r="B1" s="499"/>
      <c r="C1" s="499"/>
      <c r="D1" s="499"/>
      <c r="E1" s="499"/>
      <c r="F1" s="499"/>
      <c r="G1" s="499"/>
      <c r="H1" s="499"/>
      <c r="I1" s="378"/>
      <c r="J1" s="378"/>
      <c r="K1" s="378"/>
    </row>
    <row r="2" spans="1:11" ht="15.75">
      <c r="A2" s="379"/>
      <c r="B2" s="379"/>
      <c r="C2" s="379"/>
      <c r="D2" s="379"/>
      <c r="E2" s="379"/>
      <c r="F2" s="379"/>
      <c r="G2" s="379"/>
      <c r="H2" s="379"/>
      <c r="I2" s="378"/>
      <c r="J2" s="378"/>
      <c r="K2" s="378"/>
    </row>
    <row r="3" spans="1:11" ht="30" customHeight="1">
      <c r="A3" s="501" t="s">
        <v>535</v>
      </c>
      <c r="B3" s="501"/>
      <c r="C3" s="501"/>
      <c r="D3" s="501"/>
      <c r="E3" s="501"/>
      <c r="F3" s="501"/>
      <c r="G3" s="501"/>
      <c r="H3" s="501"/>
      <c r="I3" s="380"/>
      <c r="J3" s="380"/>
      <c r="K3" s="380"/>
    </row>
    <row r="4" spans="1:11" ht="30" customHeigh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</row>
    <row r="5" spans="1:11" ht="30" customHeight="1" thickBot="1">
      <c r="E5" s="381" t="s">
        <v>1</v>
      </c>
    </row>
    <row r="6" spans="1:11" ht="30" customHeight="1" thickBot="1">
      <c r="A6" s="382" t="s">
        <v>356</v>
      </c>
      <c r="B6" s="502">
        <v>2019</v>
      </c>
      <c r="C6" s="503"/>
      <c r="D6" s="383">
        <v>2020</v>
      </c>
      <c r="E6" s="383">
        <v>2021</v>
      </c>
      <c r="F6" s="383">
        <v>2022</v>
      </c>
    </row>
    <row r="7" spans="1:11" ht="30" customHeight="1" thickBot="1">
      <c r="A7" s="384"/>
      <c r="B7" s="385" t="s">
        <v>473</v>
      </c>
      <c r="C7" s="385" t="s">
        <v>474</v>
      </c>
      <c r="D7" s="385" t="s">
        <v>473</v>
      </c>
      <c r="E7" s="385" t="s">
        <v>473</v>
      </c>
      <c r="F7" s="385" t="s">
        <v>473</v>
      </c>
    </row>
    <row r="8" spans="1:11" ht="15" customHeight="1">
      <c r="A8" s="386" t="s">
        <v>536</v>
      </c>
      <c r="B8" s="387">
        <f>+'1.sz.mell.'!C29</f>
        <v>313537069</v>
      </c>
      <c r="C8" s="387">
        <f>+'1.sz.mell.'!D29</f>
        <v>348470970</v>
      </c>
      <c r="D8" s="387">
        <v>310000000</v>
      </c>
      <c r="E8" s="387">
        <v>315000000</v>
      </c>
      <c r="F8" s="388">
        <v>320000000</v>
      </c>
    </row>
    <row r="9" spans="1:11" ht="30" customHeight="1">
      <c r="A9" s="389" t="s">
        <v>537</v>
      </c>
      <c r="B9" s="390">
        <f>+'1.sz.mell.'!C40</f>
        <v>25974368</v>
      </c>
      <c r="C9" s="390">
        <f>+'1.sz.mell.'!D40</f>
        <v>67369726</v>
      </c>
      <c r="D9" s="390">
        <v>34000000</v>
      </c>
      <c r="E9" s="390">
        <v>38000000</v>
      </c>
      <c r="F9" s="391">
        <v>42000000</v>
      </c>
    </row>
    <row r="10" spans="1:11" ht="15" customHeight="1">
      <c r="A10" s="392" t="s">
        <v>497</v>
      </c>
      <c r="B10" s="390">
        <f>+'1.sz.mell.'!C47</f>
        <v>59270000</v>
      </c>
      <c r="C10" s="390">
        <f>+'1.sz.mell.'!D47</f>
        <v>59270000</v>
      </c>
      <c r="D10" s="390">
        <v>53000000</v>
      </c>
      <c r="E10" s="390">
        <v>55000000</v>
      </c>
      <c r="F10" s="391">
        <v>57000000</v>
      </c>
    </row>
    <row r="11" spans="1:11" ht="15" customHeight="1">
      <c r="A11" s="392" t="s">
        <v>498</v>
      </c>
      <c r="B11" s="390">
        <f>+'1.sz.mell.'!C58</f>
        <v>55885000</v>
      </c>
      <c r="C11" s="390">
        <f>+'1.sz.mell.'!D58</f>
        <v>55780000</v>
      </c>
      <c r="D11" s="390">
        <v>48000000</v>
      </c>
      <c r="E11" s="390">
        <v>46000000</v>
      </c>
      <c r="F11" s="391">
        <v>45000000</v>
      </c>
    </row>
    <row r="12" spans="1:11" ht="15" customHeight="1">
      <c r="A12" s="392" t="s">
        <v>538</v>
      </c>
      <c r="B12" s="390">
        <f>+'1.sz.mell.'!C60</f>
        <v>140000</v>
      </c>
      <c r="C12" s="390">
        <f>+'1.sz.mell.'!D60</f>
        <v>140000</v>
      </c>
      <c r="D12" s="390">
        <v>0</v>
      </c>
      <c r="E12" s="390">
        <v>0</v>
      </c>
      <c r="F12" s="391">
        <v>0</v>
      </c>
    </row>
    <row r="13" spans="1:11" ht="15" customHeight="1">
      <c r="A13" s="392" t="s">
        <v>113</v>
      </c>
      <c r="B13" s="390">
        <v>0</v>
      </c>
      <c r="C13" s="390">
        <v>0</v>
      </c>
      <c r="D13" s="390">
        <v>0</v>
      </c>
      <c r="E13" s="390">
        <v>0</v>
      </c>
      <c r="F13" s="391">
        <v>0</v>
      </c>
    </row>
    <row r="14" spans="1:11" ht="15" customHeight="1">
      <c r="A14" s="392" t="s">
        <v>539</v>
      </c>
      <c r="B14" s="390">
        <f>+'1.sz.mell.'!C68</f>
        <v>108818441</v>
      </c>
      <c r="C14" s="390">
        <f>+'1.sz.mell.'!D68</f>
        <v>126923438</v>
      </c>
      <c r="D14" s="390">
        <v>500000</v>
      </c>
      <c r="E14" s="390">
        <v>200000</v>
      </c>
      <c r="F14" s="391">
        <v>0</v>
      </c>
    </row>
    <row r="15" spans="1:11" ht="15" customHeight="1" thickBot="1">
      <c r="A15" s="393" t="s">
        <v>540</v>
      </c>
      <c r="B15" s="394">
        <f>+'1.sz.mell.'!C70</f>
        <v>416948898</v>
      </c>
      <c r="C15" s="394">
        <f>+'1.sz.mell.'!D70</f>
        <v>420153306</v>
      </c>
      <c r="D15" s="394">
        <v>120000000</v>
      </c>
      <c r="E15" s="394">
        <v>80000000</v>
      </c>
      <c r="F15" s="395">
        <v>75000000</v>
      </c>
    </row>
    <row r="16" spans="1:11" ht="15" customHeight="1" thickBot="1">
      <c r="A16" s="396" t="s">
        <v>72</v>
      </c>
      <c r="B16" s="397">
        <f>SUM(B8:B15)</f>
        <v>980573776</v>
      </c>
      <c r="C16" s="397">
        <f>SUM(C8:C15)</f>
        <v>1078107440</v>
      </c>
      <c r="D16" s="397">
        <f t="shared" ref="D16:F16" si="0">SUM(D8:D15)</f>
        <v>565500000</v>
      </c>
      <c r="E16" s="397">
        <f t="shared" si="0"/>
        <v>534200000</v>
      </c>
      <c r="F16" s="397">
        <f t="shared" si="0"/>
        <v>539000000</v>
      </c>
    </row>
    <row r="17" spans="1:8" ht="30" customHeight="1" thickBot="1">
      <c r="B17" s="398"/>
      <c r="C17" s="398"/>
      <c r="D17" s="398"/>
      <c r="E17" s="398"/>
      <c r="F17" s="398"/>
    </row>
    <row r="18" spans="1:8" ht="15" customHeight="1">
      <c r="A18" s="386" t="s">
        <v>124</v>
      </c>
      <c r="B18" s="399">
        <f>+'1.sz.mell.'!C78</f>
        <v>212285909</v>
      </c>
      <c r="C18" s="399">
        <f>+'1.sz.mell.'!D78</f>
        <v>252614445</v>
      </c>
      <c r="D18" s="400">
        <v>176000000</v>
      </c>
      <c r="E18" s="401">
        <v>179000000</v>
      </c>
      <c r="F18" s="402">
        <v>181000000</v>
      </c>
    </row>
    <row r="19" spans="1:8" ht="15" customHeight="1">
      <c r="A19" s="392" t="s">
        <v>541</v>
      </c>
      <c r="B19" s="403">
        <f>+'1.sz.mell.'!C79</f>
        <v>39599062</v>
      </c>
      <c r="C19" s="403">
        <f>+'1.sz.mell.'!D79</f>
        <v>45321540</v>
      </c>
      <c r="D19" s="404">
        <v>35000000</v>
      </c>
      <c r="E19" s="405">
        <v>37000000</v>
      </c>
      <c r="F19" s="406">
        <v>39000000</v>
      </c>
    </row>
    <row r="20" spans="1:8" ht="15" customHeight="1">
      <c r="A20" s="392" t="s">
        <v>126</v>
      </c>
      <c r="B20" s="403">
        <f>+'1.sz.mell.'!C80</f>
        <v>243566668</v>
      </c>
      <c r="C20" s="403">
        <f>+'1.sz.mell.'!D80</f>
        <v>269078150</v>
      </c>
      <c r="D20" s="404">
        <f>16000000+137000000-D25</f>
        <v>152476284</v>
      </c>
      <c r="E20" s="405">
        <f>13000000+140000000-E25</f>
        <v>152449986</v>
      </c>
      <c r="F20" s="406">
        <f>150000000-F25</f>
        <v>149471743</v>
      </c>
    </row>
    <row r="21" spans="1:8" ht="15" customHeight="1">
      <c r="A21" s="392" t="s">
        <v>542</v>
      </c>
      <c r="B21" s="403">
        <f>+'1.sz.mell.'!C82</f>
        <v>0</v>
      </c>
      <c r="C21" s="403">
        <f>+'1.sz.mell.'!D82</f>
        <v>0</v>
      </c>
      <c r="D21" s="404">
        <v>0</v>
      </c>
      <c r="E21" s="405">
        <v>0</v>
      </c>
      <c r="F21" s="406">
        <v>0</v>
      </c>
    </row>
    <row r="22" spans="1:8" ht="15" customHeight="1">
      <c r="A22" s="392" t="s">
        <v>543</v>
      </c>
      <c r="B22" s="403">
        <f>+'1.sz.mell.'!C81</f>
        <v>4767000</v>
      </c>
      <c r="C22" s="403">
        <f>+'1.sz.mell.'!D81</f>
        <v>4767000</v>
      </c>
      <c r="D22" s="404">
        <v>4000000</v>
      </c>
      <c r="E22" s="405">
        <v>5000000</v>
      </c>
      <c r="F22" s="406">
        <v>6000000</v>
      </c>
    </row>
    <row r="23" spans="1:8" ht="15" customHeight="1">
      <c r="A23" s="392" t="s">
        <v>506</v>
      </c>
      <c r="B23" s="403">
        <f>+'1.sz.mell.'!C85+'1.sz.mell.'!C86</f>
        <v>84567133</v>
      </c>
      <c r="C23" s="403">
        <f>+'1.sz.mell.'!D85+'1.sz.mell.'!D86</f>
        <v>94620785</v>
      </c>
      <c r="D23" s="404">
        <v>76000000</v>
      </c>
      <c r="E23" s="405">
        <v>78000000</v>
      </c>
      <c r="F23" s="406">
        <v>82000000</v>
      </c>
    </row>
    <row r="24" spans="1:8" ht="15" customHeight="1">
      <c r="A24" s="392" t="s">
        <v>259</v>
      </c>
      <c r="B24" s="403">
        <f>+'1.sz.mell.'!C83</f>
        <v>10420711</v>
      </c>
      <c r="C24" s="403">
        <f>+'1.sz.mell.'!D83</f>
        <v>10420711</v>
      </c>
      <c r="D24" s="404">
        <v>0</v>
      </c>
      <c r="E24" s="405">
        <v>0</v>
      </c>
      <c r="F24" s="406">
        <v>0</v>
      </c>
    </row>
    <row r="25" spans="1:8" ht="15" customHeight="1">
      <c r="A25" s="392" t="s">
        <v>544</v>
      </c>
      <c r="B25" s="403">
        <f>+'1.sz.mell.'!C84</f>
        <v>1643568</v>
      </c>
      <c r="C25" s="403">
        <f>+'1.sz.mell.'!D84</f>
        <v>1643568</v>
      </c>
      <c r="D25" s="407">
        <v>523716</v>
      </c>
      <c r="E25" s="405">
        <v>550014</v>
      </c>
      <c r="F25" s="406">
        <v>528257</v>
      </c>
    </row>
    <row r="26" spans="1:8" ht="15" customHeight="1">
      <c r="A26" s="392" t="s">
        <v>509</v>
      </c>
      <c r="B26" s="403">
        <f>+'1.sz.mell.'!C89+'1.sz.mell.'!C90</f>
        <v>107151973</v>
      </c>
      <c r="C26" s="403">
        <f>+'1.sz.mell.'!D89+'1.sz.mell.'!D90</f>
        <v>92763301</v>
      </c>
      <c r="D26" s="404">
        <v>5000000</v>
      </c>
      <c r="E26" s="405">
        <v>5000000</v>
      </c>
      <c r="F26" s="406">
        <v>5000000</v>
      </c>
    </row>
    <row r="27" spans="1:8" ht="15" customHeight="1" thickBot="1">
      <c r="A27" s="393" t="s">
        <v>510</v>
      </c>
      <c r="B27" s="408">
        <f>+'1.sz.mell.'!C95</f>
        <v>276571752</v>
      </c>
      <c r="C27" s="408">
        <f>+'1.sz.mell.'!D95</f>
        <v>151377940</v>
      </c>
      <c r="D27" s="409">
        <v>116500000</v>
      </c>
      <c r="E27" s="410">
        <v>77200000</v>
      </c>
      <c r="F27" s="411">
        <v>76000000</v>
      </c>
    </row>
    <row r="28" spans="1:8" ht="43.5" customHeight="1" thickBot="1">
      <c r="A28" s="412" t="s">
        <v>545</v>
      </c>
      <c r="B28" s="413">
        <v>0</v>
      </c>
      <c r="C28" s="413">
        <v>155500000</v>
      </c>
      <c r="D28" s="414">
        <v>0</v>
      </c>
      <c r="E28" s="415">
        <v>0</v>
      </c>
      <c r="F28" s="411">
        <v>0</v>
      </c>
    </row>
    <row r="29" spans="1:8" ht="15" customHeight="1" thickBot="1">
      <c r="A29" s="396" t="s">
        <v>95</v>
      </c>
      <c r="B29" s="416">
        <f>SUM(B18:B28)</f>
        <v>980573776</v>
      </c>
      <c r="C29" s="416">
        <f t="shared" ref="C29:F29" si="1">SUM(C18:C28)</f>
        <v>1078107440</v>
      </c>
      <c r="D29" s="416">
        <f t="shared" si="1"/>
        <v>565500000</v>
      </c>
      <c r="E29" s="416">
        <f t="shared" si="1"/>
        <v>534200000</v>
      </c>
      <c r="F29" s="416">
        <f t="shared" si="1"/>
        <v>539000000</v>
      </c>
    </row>
    <row r="30" spans="1:8" ht="30" customHeight="1">
      <c r="C30" s="417">
        <f>+C16-C29</f>
        <v>0</v>
      </c>
      <c r="D30" s="417"/>
      <c r="E30" s="417"/>
      <c r="F30" s="417"/>
      <c r="G30" s="417"/>
      <c r="H30" s="417"/>
    </row>
  </sheetData>
  <mergeCells count="3">
    <mergeCell ref="A1:H1"/>
    <mergeCell ref="A3:H3"/>
    <mergeCell ref="B6:C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P47"/>
  <sheetViews>
    <sheetView topLeftCell="A22" zoomScale="140" zoomScaleNormal="140" zoomScaleSheetLayoutView="140" workbookViewId="0">
      <selection activeCell="G7" sqref="G7"/>
    </sheetView>
  </sheetViews>
  <sheetFormatPr defaultRowHeight="15.75"/>
  <cols>
    <col min="1" max="1" width="1" style="78" customWidth="1"/>
    <col min="2" max="2" width="42.5703125" style="78" customWidth="1"/>
    <col min="3" max="4" width="13.5703125" style="78" customWidth="1"/>
    <col min="5" max="5" width="17.28515625" style="78" customWidth="1"/>
    <col min="6" max="6" width="15" style="78" customWidth="1"/>
    <col min="7" max="7" width="12.7109375" style="78" bestFit="1" customWidth="1"/>
    <col min="8" max="10" width="9.140625" style="78"/>
    <col min="11" max="11" width="20.42578125" style="78" customWidth="1"/>
    <col min="12" max="16384" width="9.140625" style="78"/>
  </cols>
  <sheetData>
    <row r="1" spans="1:16" ht="22.5" customHeight="1">
      <c r="A1" s="425" t="s">
        <v>547</v>
      </c>
      <c r="B1" s="425"/>
      <c r="C1" s="425"/>
      <c r="D1" s="425"/>
      <c r="E1" s="77"/>
      <c r="F1" s="77"/>
    </row>
    <row r="2" spans="1:16"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32.25" customHeight="1">
      <c r="A3" s="426" t="s">
        <v>97</v>
      </c>
      <c r="B3" s="426"/>
      <c r="C3" s="426"/>
      <c r="D3" s="426"/>
      <c r="E3" s="81"/>
      <c r="F3" s="82"/>
    </row>
    <row r="4" spans="1:16">
      <c r="B4" s="427"/>
      <c r="C4" s="427"/>
      <c r="D4" s="427"/>
    </row>
    <row r="5" spans="1:16">
      <c r="C5" s="428"/>
      <c r="D5" s="428"/>
    </row>
    <row r="6" spans="1:16" s="83" customFormat="1" ht="21" customHeight="1">
      <c r="B6" s="423" t="s">
        <v>98</v>
      </c>
      <c r="C6" s="424"/>
      <c r="D6" s="424"/>
      <c r="E6" s="424"/>
      <c r="F6" s="424"/>
    </row>
    <row r="7" spans="1:16" s="83" customFormat="1" ht="42" customHeight="1">
      <c r="B7" s="84" t="s">
        <v>99</v>
      </c>
      <c r="C7" s="85" t="s">
        <v>100</v>
      </c>
      <c r="D7" s="85" t="s">
        <v>101</v>
      </c>
      <c r="E7" s="85" t="s">
        <v>102</v>
      </c>
      <c r="F7" s="85" t="s">
        <v>103</v>
      </c>
    </row>
    <row r="8" spans="1:16" s="83" customFormat="1" ht="15" customHeight="1">
      <c r="B8" s="86" t="s">
        <v>104</v>
      </c>
      <c r="C8" s="87">
        <v>37599000</v>
      </c>
      <c r="D8" s="87">
        <v>51891000</v>
      </c>
      <c r="E8" s="87">
        <f>+'1.sz.mell.'!C58</f>
        <v>55885000</v>
      </c>
      <c r="F8" s="87">
        <f>+'1.sz.mell.'!D58+'1.sz.mell.'!D60</f>
        <v>55920000</v>
      </c>
    </row>
    <row r="9" spans="1:16" s="83" customFormat="1" ht="15" customHeight="1">
      <c r="B9" s="86" t="s">
        <v>105</v>
      </c>
      <c r="C9" s="87">
        <v>42850000</v>
      </c>
      <c r="D9" s="87">
        <v>59270000</v>
      </c>
      <c r="E9" s="87">
        <f>+'1.sz.mell.'!C47</f>
        <v>59270000</v>
      </c>
      <c r="F9" s="87">
        <f>+'1.sz.mell.'!D47</f>
        <v>59270000</v>
      </c>
    </row>
    <row r="10" spans="1:16" s="83" customFormat="1" ht="15" customHeight="1">
      <c r="B10" s="88" t="s">
        <v>106</v>
      </c>
      <c r="C10" s="89">
        <v>277309685</v>
      </c>
      <c r="D10" s="90">
        <f>268051083+318000</f>
        <v>268369083</v>
      </c>
      <c r="E10" s="90">
        <f>+'1.sz.mell.'!C29+'1.sz.mell.'!C60</f>
        <v>313677069</v>
      </c>
      <c r="F10" s="90">
        <f>+'1.sz.mell.'!D29</f>
        <v>348470970</v>
      </c>
    </row>
    <row r="11" spans="1:16" s="83" customFormat="1" ht="15" customHeight="1">
      <c r="B11" s="88" t="s">
        <v>107</v>
      </c>
      <c r="C11" s="89">
        <v>33400115</v>
      </c>
      <c r="D11" s="90">
        <f>24579725</f>
        <v>24579725</v>
      </c>
      <c r="E11" s="90">
        <f>+'1.sz.mell.'!C40</f>
        <v>25974368</v>
      </c>
      <c r="F11" s="90">
        <f>+'1.sz.mell.'!D40</f>
        <v>67369726</v>
      </c>
    </row>
    <row r="12" spans="1:16" s="83" customFormat="1" ht="15" customHeight="1">
      <c r="B12" s="88" t="s">
        <v>108</v>
      </c>
      <c r="C12" s="89">
        <v>12600000</v>
      </c>
      <c r="D12" s="89">
        <v>13848000</v>
      </c>
      <c r="E12" s="89">
        <f>+'1.sz.mell.'!C30</f>
        <v>14981900</v>
      </c>
      <c r="F12" s="89">
        <f>+'1.sz.mell.'!D30</f>
        <v>16629400</v>
      </c>
    </row>
    <row r="13" spans="1:16" s="83" customFormat="1" ht="15" customHeight="1">
      <c r="B13" s="91" t="s">
        <v>109</v>
      </c>
      <c r="C13" s="92">
        <v>47523000</v>
      </c>
      <c r="D13" s="92">
        <v>81549342</v>
      </c>
      <c r="E13" s="92">
        <f>+'1.sz.mell.'!C69-'2.sz.mell.'!E23</f>
        <v>215097476</v>
      </c>
      <c r="F13" s="92">
        <f>+'1.sz.mell.'!D69-'2.sz.mell.'!F23</f>
        <v>218301884</v>
      </c>
    </row>
    <row r="14" spans="1:16" s="83" customFormat="1" ht="15" customHeight="1">
      <c r="B14" s="91" t="s">
        <v>110</v>
      </c>
      <c r="C14" s="92">
        <v>0</v>
      </c>
      <c r="D14" s="92">
        <v>0</v>
      </c>
      <c r="E14" s="92">
        <v>0</v>
      </c>
      <c r="F14" s="92">
        <v>0</v>
      </c>
    </row>
    <row r="15" spans="1:16" s="83" customFormat="1" ht="15" customHeight="1" thickBot="1">
      <c r="B15" s="91" t="s">
        <v>111</v>
      </c>
      <c r="C15" s="92">
        <v>0</v>
      </c>
      <c r="D15" s="92">
        <v>0</v>
      </c>
      <c r="E15" s="92">
        <v>0</v>
      </c>
      <c r="F15" s="92">
        <v>0</v>
      </c>
    </row>
    <row r="16" spans="1:16" s="93" customFormat="1" ht="15" customHeight="1" thickBot="1">
      <c r="B16" s="94" t="s">
        <v>112</v>
      </c>
      <c r="C16" s="95">
        <f>C8+C9+C10+C11+C13+C15</f>
        <v>438681800</v>
      </c>
      <c r="D16" s="95">
        <f>D8+D9+D10+D11+D13+D15</f>
        <v>485659150</v>
      </c>
      <c r="E16" s="95">
        <f>E8+E9+E10+E11+E13+E15</f>
        <v>669903913</v>
      </c>
      <c r="F16" s="95">
        <f>F8+F9+F10+F11+F13+F15</f>
        <v>749332580</v>
      </c>
      <c r="G16" s="96"/>
    </row>
    <row r="17" spans="2:7" s="83" customFormat="1" ht="15" customHeight="1">
      <c r="B17" s="97" t="s">
        <v>113</v>
      </c>
      <c r="C17" s="98">
        <v>1500000</v>
      </c>
      <c r="D17" s="98">
        <v>0</v>
      </c>
      <c r="E17" s="98">
        <v>0</v>
      </c>
      <c r="F17" s="98">
        <v>0</v>
      </c>
      <c r="G17" s="99"/>
    </row>
    <row r="18" spans="2:7" s="83" customFormat="1" ht="15" customHeight="1">
      <c r="B18" s="88" t="s">
        <v>114</v>
      </c>
      <c r="C18" s="87">
        <v>0</v>
      </c>
      <c r="D18" s="87">
        <v>0</v>
      </c>
      <c r="E18" s="87">
        <v>0</v>
      </c>
      <c r="F18" s="87">
        <v>0</v>
      </c>
    </row>
    <row r="19" spans="2:7" s="83" customFormat="1" ht="15" customHeight="1">
      <c r="B19" s="88" t="s">
        <v>115</v>
      </c>
      <c r="C19" s="89">
        <v>60200000</v>
      </c>
      <c r="D19" s="89"/>
      <c r="E19" s="89"/>
      <c r="F19" s="89"/>
    </row>
    <row r="20" spans="2:7" s="83" customFormat="1" ht="15" customHeight="1">
      <c r="B20" s="88" t="s">
        <v>116</v>
      </c>
      <c r="C20" s="89">
        <v>0</v>
      </c>
      <c r="D20" s="89">
        <f>246525100+32758134</f>
        <v>279283234</v>
      </c>
      <c r="E20" s="89">
        <f>+'1.sz.mell.'!C68</f>
        <v>108818441</v>
      </c>
      <c r="F20" s="89">
        <f>+'1.sz.mell.'!D68</f>
        <v>126923438</v>
      </c>
      <c r="G20" s="99"/>
    </row>
    <row r="21" spans="2:7" s="83" customFormat="1" ht="15" customHeight="1">
      <c r="B21" s="88" t="s">
        <v>117</v>
      </c>
      <c r="C21" s="89">
        <v>200000</v>
      </c>
      <c r="D21" s="89">
        <v>0</v>
      </c>
      <c r="E21" s="89">
        <v>0</v>
      </c>
      <c r="F21" s="89">
        <v>0</v>
      </c>
    </row>
    <row r="22" spans="2:7" s="83" customFormat="1" ht="15" customHeight="1">
      <c r="B22" s="88" t="s">
        <v>118</v>
      </c>
      <c r="C22" s="89">
        <v>0</v>
      </c>
      <c r="D22" s="89">
        <v>0</v>
      </c>
      <c r="E22" s="89">
        <v>0</v>
      </c>
      <c r="F22" s="89">
        <v>0</v>
      </c>
    </row>
    <row r="23" spans="2:7" s="83" customFormat="1" ht="15" customHeight="1" thickBot="1">
      <c r="B23" s="91" t="s">
        <v>119</v>
      </c>
      <c r="C23" s="92">
        <v>23480000</v>
      </c>
      <c r="D23" s="92">
        <v>83953371</v>
      </c>
      <c r="E23" s="92">
        <v>201851422</v>
      </c>
      <c r="F23" s="92">
        <v>201851422</v>
      </c>
    </row>
    <row r="24" spans="2:7" s="93" customFormat="1" ht="15" customHeight="1" thickBot="1">
      <c r="B24" s="94" t="s">
        <v>120</v>
      </c>
      <c r="C24" s="95">
        <f>SUM(C17:C23)</f>
        <v>85380000</v>
      </c>
      <c r="D24" s="95">
        <f>SUM(D17:D23)</f>
        <v>363236605</v>
      </c>
      <c r="E24" s="95">
        <f>SUM(E17:E23)</f>
        <v>310669863</v>
      </c>
      <c r="F24" s="95">
        <f>SUM(F17:F23)</f>
        <v>328774860</v>
      </c>
    </row>
    <row r="25" spans="2:7" s="93" customFormat="1" ht="15" customHeight="1" thickBot="1">
      <c r="B25" s="100" t="s">
        <v>121</v>
      </c>
      <c r="C25" s="101">
        <f>SUM(C16,C24)</f>
        <v>524061800</v>
      </c>
      <c r="D25" s="101">
        <f>+D24+D16</f>
        <v>848895755</v>
      </c>
      <c r="E25" s="101">
        <f>+E24+E16</f>
        <v>980573776</v>
      </c>
      <c r="F25" s="101">
        <f>+F24+F16</f>
        <v>1078107440</v>
      </c>
    </row>
    <row r="26" spans="2:7" s="93" customFormat="1" ht="15" customHeight="1">
      <c r="C26" s="102"/>
      <c r="D26" s="102"/>
    </row>
    <row r="27" spans="2:7" s="83" customFormat="1" ht="15" customHeight="1"/>
    <row r="28" spans="2:7" s="83" customFormat="1" ht="15" customHeight="1">
      <c r="C28" s="428"/>
      <c r="D28" s="428"/>
    </row>
    <row r="29" spans="2:7" s="83" customFormat="1" ht="21" customHeight="1">
      <c r="B29" s="423" t="s">
        <v>122</v>
      </c>
      <c r="C29" s="424"/>
      <c r="D29" s="424"/>
      <c r="E29" s="424"/>
      <c r="F29" s="424"/>
    </row>
    <row r="30" spans="2:7" s="83" customFormat="1" ht="38.25">
      <c r="B30" s="84" t="s">
        <v>99</v>
      </c>
      <c r="C30" s="85" t="s">
        <v>100</v>
      </c>
      <c r="D30" s="85" t="s">
        <v>101</v>
      </c>
      <c r="E30" s="85" t="s">
        <v>123</v>
      </c>
      <c r="F30" s="85" t="s">
        <v>123</v>
      </c>
    </row>
    <row r="31" spans="2:7" s="83" customFormat="1" ht="15" customHeight="1">
      <c r="B31" s="86" t="s">
        <v>124</v>
      </c>
      <c r="C31" s="103">
        <v>168006000</v>
      </c>
      <c r="D31" s="103">
        <v>172604200</v>
      </c>
      <c r="E31" s="103">
        <f>+'4.a sz.mell.'!D66</f>
        <v>212285909</v>
      </c>
      <c r="F31" s="103">
        <f>+'4.a sz.mell.'!E66</f>
        <v>252614445</v>
      </c>
    </row>
    <row r="32" spans="2:7" s="83" customFormat="1" ht="15" customHeight="1">
      <c r="B32" s="88" t="s">
        <v>125</v>
      </c>
      <c r="C32" s="104">
        <v>35676000</v>
      </c>
      <c r="D32" s="104">
        <v>32695500</v>
      </c>
      <c r="E32" s="104">
        <f>+'4.a sz.mell.'!F66</f>
        <v>39599062</v>
      </c>
      <c r="F32" s="104">
        <f>+'4.a sz.mell.'!G66</f>
        <v>45321540</v>
      </c>
    </row>
    <row r="33" spans="2:7" s="83" customFormat="1" ht="15" customHeight="1">
      <c r="B33" s="88" t="s">
        <v>126</v>
      </c>
      <c r="C33" s="104">
        <v>135888000</v>
      </c>
      <c r="D33" s="104">
        <v>135629000</v>
      </c>
      <c r="E33" s="104">
        <f>+'4.a sz.mell.'!H66</f>
        <v>243566668</v>
      </c>
      <c r="F33" s="104">
        <f>+'4.a sz.mell.'!I66</f>
        <v>269078150</v>
      </c>
    </row>
    <row r="34" spans="2:7" s="83" customFormat="1" ht="15" customHeight="1">
      <c r="B34" s="88" t="s">
        <v>127</v>
      </c>
      <c r="C34" s="104">
        <v>74910000</v>
      </c>
      <c r="D34" s="104">
        <f>72104709+2880000</f>
        <v>74984709</v>
      </c>
      <c r="E34" s="104">
        <f>+'1.sz.mell.'!C85+'1.sz.mell.'!C86</f>
        <v>84567133</v>
      </c>
      <c r="F34" s="104">
        <f>'1.sz.mell.'!D85+'1.sz.mell.'!D86+'1.sz.mell.'!D87</f>
        <v>250120785</v>
      </c>
    </row>
    <row r="35" spans="2:7" s="83" customFormat="1" ht="15" customHeight="1">
      <c r="B35" s="91" t="s">
        <v>128</v>
      </c>
      <c r="C35" s="104">
        <v>3000000</v>
      </c>
      <c r="D35" s="104">
        <v>3781000</v>
      </c>
      <c r="E35" s="104">
        <f>+'4.a sz.mell.'!L66</f>
        <v>4767000</v>
      </c>
      <c r="F35" s="104">
        <f>+'4.a sz.mell.'!M66</f>
        <v>4767000</v>
      </c>
    </row>
    <row r="36" spans="2:7" s="83" customFormat="1" ht="15" customHeight="1">
      <c r="B36" s="91" t="s">
        <v>129</v>
      </c>
      <c r="C36" s="105">
        <v>0</v>
      </c>
      <c r="D36" s="105">
        <v>0</v>
      </c>
      <c r="E36" s="105">
        <f>+'1.sz.mell.'!C82</f>
        <v>0</v>
      </c>
      <c r="F36" s="105">
        <f>+'1.sz.mell.'!D82</f>
        <v>0</v>
      </c>
    </row>
    <row r="37" spans="2:7" s="83" customFormat="1" ht="15" customHeight="1">
      <c r="B37" s="91" t="s">
        <v>130</v>
      </c>
      <c r="C37" s="105">
        <v>9097933</v>
      </c>
      <c r="D37" s="105">
        <v>9649634</v>
      </c>
      <c r="E37" s="105">
        <f>+'4.a sz.mell.'!P66</f>
        <v>10420711</v>
      </c>
      <c r="F37" s="105">
        <f>+'4.a sz.mell.'!Q66</f>
        <v>10420711</v>
      </c>
    </row>
    <row r="38" spans="2:7" s="83" customFormat="1" ht="15" customHeight="1">
      <c r="B38" s="91" t="s">
        <v>131</v>
      </c>
      <c r="C38" s="105">
        <v>0</v>
      </c>
      <c r="D38" s="105">
        <v>0</v>
      </c>
      <c r="E38" s="105">
        <f>+'1.sz.mell.'!C84</f>
        <v>1643568</v>
      </c>
      <c r="F38" s="105">
        <f>+'1.sz.mell.'!D84</f>
        <v>1643568</v>
      </c>
    </row>
    <row r="39" spans="2:7" s="83" customFormat="1" ht="15" customHeight="1">
      <c r="B39" s="91" t="s">
        <v>132</v>
      </c>
      <c r="C39" s="105">
        <v>2000000</v>
      </c>
      <c r="D39" s="105">
        <v>1415952</v>
      </c>
      <c r="E39" s="105">
        <f>+'1.sz.mell.'!C89</f>
        <v>0</v>
      </c>
      <c r="F39" s="105">
        <f>+'1.sz.mell.'!D89</f>
        <v>0</v>
      </c>
    </row>
    <row r="40" spans="2:7" s="83" customFormat="1" ht="15" customHeight="1" thickBot="1">
      <c r="B40" s="91" t="s">
        <v>133</v>
      </c>
      <c r="C40" s="106">
        <v>1000867</v>
      </c>
      <c r="D40" s="106">
        <v>90687347</v>
      </c>
      <c r="E40" s="106">
        <f>+'1.sz.mell.'!C90</f>
        <v>107151973</v>
      </c>
      <c r="F40" s="106">
        <f>+'1.sz.mell.'!D90</f>
        <v>92763301</v>
      </c>
    </row>
    <row r="41" spans="2:7" s="83" customFormat="1" ht="15" customHeight="1" thickBot="1">
      <c r="B41" s="94" t="s">
        <v>134</v>
      </c>
      <c r="C41" s="107">
        <f>SUM(C31:C40)</f>
        <v>429578800</v>
      </c>
      <c r="D41" s="107">
        <f>SUM(D31:D40)</f>
        <v>521447342</v>
      </c>
      <c r="E41" s="107">
        <f>SUM(E31:E40)</f>
        <v>704002024</v>
      </c>
      <c r="F41" s="107">
        <f>SUM(F31:F40)</f>
        <v>926729500</v>
      </c>
    </row>
    <row r="42" spans="2:7" s="83" customFormat="1" ht="15" customHeight="1">
      <c r="B42" s="108" t="s">
        <v>135</v>
      </c>
      <c r="C42" s="109">
        <v>86864000</v>
      </c>
      <c r="D42" s="109">
        <v>50435066</v>
      </c>
      <c r="E42" s="109">
        <f>+'4.a sz.mell.'!V66</f>
        <v>42859926</v>
      </c>
      <c r="F42" s="109">
        <f>+'4.a sz.mell.'!W66</f>
        <v>71288448</v>
      </c>
    </row>
    <row r="43" spans="2:7" s="83" customFormat="1" ht="15" customHeight="1">
      <c r="B43" s="88" t="s">
        <v>136</v>
      </c>
      <c r="C43" s="104">
        <v>7619000</v>
      </c>
      <c r="D43" s="104">
        <v>277013347</v>
      </c>
      <c r="E43" s="104">
        <f>+'4.a sz.mell.'!T66</f>
        <v>233711826</v>
      </c>
      <c r="F43" s="104">
        <f>+'4.a sz.mell.'!U66</f>
        <v>80089492</v>
      </c>
    </row>
    <row r="44" spans="2:7" s="83" customFormat="1" ht="15" customHeight="1" thickBot="1">
      <c r="B44" s="91" t="s">
        <v>137</v>
      </c>
      <c r="C44" s="105">
        <v>0</v>
      </c>
      <c r="D44" s="105">
        <v>0</v>
      </c>
      <c r="E44" s="105">
        <v>0</v>
      </c>
      <c r="F44" s="105">
        <v>0</v>
      </c>
    </row>
    <row r="45" spans="2:7" s="83" customFormat="1" ht="15" customHeight="1" thickBot="1">
      <c r="B45" s="94" t="s">
        <v>138</v>
      </c>
      <c r="C45" s="107">
        <f>SUM(C42:C44)</f>
        <v>94483000</v>
      </c>
      <c r="D45" s="107">
        <f>SUM(D42:D44)</f>
        <v>327448413</v>
      </c>
      <c r="E45" s="107">
        <f>SUM(E42:E44)</f>
        <v>276571752</v>
      </c>
      <c r="F45" s="107">
        <f>SUM(F42:F44)</f>
        <v>151377940</v>
      </c>
    </row>
    <row r="46" spans="2:7" s="93" customFormat="1" ht="18.75" customHeight="1" thickBot="1">
      <c r="B46" s="100" t="s">
        <v>139</v>
      </c>
      <c r="C46" s="101">
        <f>SUM(C41,C45)</f>
        <v>524061800</v>
      </c>
      <c r="D46" s="101">
        <f>SUM(D41,D45)</f>
        <v>848895755</v>
      </c>
      <c r="E46" s="101">
        <f>SUM(E41,E45)</f>
        <v>980573776</v>
      </c>
      <c r="F46" s="101">
        <f>SUM(F41,F45)</f>
        <v>1078107440</v>
      </c>
      <c r="G46" s="96"/>
    </row>
    <row r="47" spans="2:7">
      <c r="E47" s="110"/>
    </row>
  </sheetData>
  <mergeCells count="7">
    <mergeCell ref="B29:F29"/>
    <mergeCell ref="A1:D1"/>
    <mergeCell ref="A3:D3"/>
    <mergeCell ref="B4:D4"/>
    <mergeCell ref="C5:D5"/>
    <mergeCell ref="B6:F6"/>
    <mergeCell ref="C28:D28"/>
  </mergeCells>
  <printOptions horizontalCentered="1"/>
  <pageMargins left="0.43307086614173229" right="0.15748031496062992" top="0.51181102362204722" bottom="0.39370078740157483" header="0.55118110236220474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X25"/>
  <sheetViews>
    <sheetView zoomScaleNormal="100" zoomScaleSheetLayoutView="40" workbookViewId="0">
      <selection activeCell="A4" sqref="A4:R4"/>
    </sheetView>
  </sheetViews>
  <sheetFormatPr defaultRowHeight="15"/>
  <cols>
    <col min="1" max="1" width="4.140625" style="136" bestFit="1" customWidth="1"/>
    <col min="2" max="2" width="40" style="136" customWidth="1"/>
    <col min="3" max="4" width="17.7109375" style="119" customWidth="1"/>
    <col min="5" max="5" width="17.28515625" style="119" customWidth="1"/>
    <col min="6" max="10" width="17.7109375" style="119" customWidth="1"/>
    <col min="11" max="11" width="20.42578125" style="119" customWidth="1"/>
    <col min="12" max="12" width="17.7109375" style="119" customWidth="1"/>
    <col min="13" max="13" width="12.42578125" style="119" bestFit="1" customWidth="1"/>
    <col min="14" max="14" width="14" style="119" bestFit="1" customWidth="1"/>
    <col min="15" max="15" width="12.5703125" style="119" customWidth="1"/>
    <col min="16" max="16" width="14" style="119" bestFit="1" customWidth="1"/>
    <col min="17" max="17" width="12.5703125" style="119" customWidth="1"/>
    <col min="18" max="18" width="13.140625" style="119" bestFit="1" customWidth="1"/>
    <col min="19" max="19" width="16.42578125" style="119" customWidth="1"/>
    <col min="20" max="20" width="14.85546875" style="119" customWidth="1"/>
    <col min="21" max="21" width="13.140625" style="119" customWidth="1"/>
    <col min="22" max="22" width="16.5703125" style="119" customWidth="1"/>
    <col min="23" max="23" width="8.42578125" style="119" bestFit="1" customWidth="1"/>
    <col min="24" max="25" width="8.42578125" style="119" customWidth="1"/>
    <col min="26" max="26" width="8.85546875" style="119" bestFit="1" customWidth="1"/>
    <col min="27" max="28" width="8.42578125" style="119" customWidth="1"/>
    <col min="29" max="29" width="8.85546875" style="119" bestFit="1" customWidth="1"/>
    <col min="30" max="31" width="8.42578125" style="119" customWidth="1"/>
    <col min="32" max="32" width="8.42578125" style="119" bestFit="1" customWidth="1"/>
    <col min="33" max="34" width="8.42578125" style="119" customWidth="1"/>
    <col min="35" max="35" width="8.42578125" style="119" bestFit="1" customWidth="1"/>
    <col min="36" max="37" width="8.42578125" style="119" customWidth="1"/>
    <col min="38" max="38" width="8.85546875" style="119" bestFit="1" customWidth="1"/>
    <col min="39" max="16384" width="9.140625" style="112"/>
  </cols>
  <sheetData>
    <row r="1" spans="1:50" ht="15" customHeight="1">
      <c r="A1" s="425" t="s">
        <v>548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41"/>
      <c r="Q1" s="80"/>
      <c r="R1" s="80"/>
      <c r="S1" s="80"/>
      <c r="T1" s="80"/>
      <c r="U1" s="80"/>
      <c r="V1" s="80"/>
      <c r="W1" s="80"/>
      <c r="X1" s="80"/>
      <c r="Y1" s="80"/>
      <c r="Z1" s="80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</row>
    <row r="2" spans="1:50" ht="30.75" customHeight="1">
      <c r="A2" s="442" t="s">
        <v>140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113"/>
      <c r="R2" s="113"/>
      <c r="S2" s="113"/>
      <c r="T2" s="114"/>
      <c r="U2" s="114"/>
      <c r="V2" s="114"/>
      <c r="W2" s="114"/>
      <c r="X2" s="114"/>
      <c r="Y2" s="114"/>
      <c r="Z2" s="114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</row>
    <row r="3" spans="1:50">
      <c r="A3" s="116"/>
      <c r="B3" s="117"/>
      <c r="C3" s="118"/>
      <c r="D3" s="118"/>
      <c r="E3" s="118"/>
      <c r="F3" s="118"/>
      <c r="G3" s="118"/>
      <c r="H3" s="118"/>
      <c r="I3" s="118"/>
      <c r="K3" s="118"/>
      <c r="L3" s="118"/>
      <c r="M3" s="118"/>
      <c r="O3" s="118"/>
      <c r="P3" s="118"/>
      <c r="R3" s="120" t="s">
        <v>1</v>
      </c>
      <c r="S3" s="118"/>
      <c r="T3" s="118"/>
      <c r="U3" s="118"/>
      <c r="V3" s="118"/>
      <c r="W3" s="118"/>
      <c r="X3" s="118"/>
      <c r="AM3" s="119"/>
      <c r="AN3" s="119"/>
      <c r="AO3" s="119"/>
      <c r="AP3" s="119"/>
      <c r="AQ3" s="119"/>
    </row>
    <row r="4" spans="1:50" ht="24.6" customHeight="1" thickBot="1">
      <c r="A4" s="436" t="s">
        <v>141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U4" s="121"/>
      <c r="V4" s="121"/>
      <c r="W4" s="121"/>
      <c r="X4" s="121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</row>
    <row r="5" spans="1:50" ht="103.15" customHeight="1" thickBot="1">
      <c r="A5" s="443" t="s">
        <v>142</v>
      </c>
      <c r="B5" s="443"/>
      <c r="C5" s="431" t="s">
        <v>143</v>
      </c>
      <c r="D5" s="432"/>
      <c r="E5" s="431" t="s">
        <v>144</v>
      </c>
      <c r="F5" s="432"/>
      <c r="G5" s="431" t="s">
        <v>145</v>
      </c>
      <c r="H5" s="432"/>
      <c r="I5" s="431" t="s">
        <v>146</v>
      </c>
      <c r="J5" s="432"/>
      <c r="K5" s="429" t="s">
        <v>147</v>
      </c>
      <c r="L5" s="430"/>
      <c r="M5" s="431" t="s">
        <v>148</v>
      </c>
      <c r="N5" s="432"/>
      <c r="O5" s="431" t="s">
        <v>149</v>
      </c>
      <c r="P5" s="432"/>
      <c r="Q5" s="431" t="s">
        <v>150</v>
      </c>
      <c r="R5" s="432"/>
      <c r="X5" s="122"/>
      <c r="Y5" s="122"/>
      <c r="Z5" s="122"/>
      <c r="AA5" s="122"/>
      <c r="AB5" s="122"/>
      <c r="AC5" s="122"/>
      <c r="AD5" s="122"/>
      <c r="AE5" s="122"/>
      <c r="AF5" s="122"/>
      <c r="AG5" s="434"/>
      <c r="AH5" s="434"/>
      <c r="AI5" s="434"/>
      <c r="AJ5" s="123"/>
      <c r="AK5" s="123"/>
      <c r="AL5" s="123"/>
    </row>
    <row r="6" spans="1:50" ht="36" customHeight="1" thickBot="1">
      <c r="A6" s="124" t="s">
        <v>151</v>
      </c>
      <c r="B6" s="125"/>
      <c r="C6" s="126" t="s">
        <v>152</v>
      </c>
      <c r="D6" s="126" t="s">
        <v>153</v>
      </c>
      <c r="E6" s="126" t="s">
        <v>152</v>
      </c>
      <c r="F6" s="126" t="s">
        <v>153</v>
      </c>
      <c r="G6" s="126" t="s">
        <v>152</v>
      </c>
      <c r="H6" s="126" t="s">
        <v>153</v>
      </c>
      <c r="I6" s="126" t="s">
        <v>152</v>
      </c>
      <c r="J6" s="126" t="s">
        <v>153</v>
      </c>
      <c r="K6" s="126" t="s">
        <v>152</v>
      </c>
      <c r="L6" s="126" t="s">
        <v>153</v>
      </c>
      <c r="M6" s="126" t="s">
        <v>152</v>
      </c>
      <c r="N6" s="126" t="s">
        <v>153</v>
      </c>
      <c r="O6" s="126" t="s">
        <v>152</v>
      </c>
      <c r="P6" s="126" t="s">
        <v>153</v>
      </c>
      <c r="Q6" s="126" t="s">
        <v>152</v>
      </c>
      <c r="R6" s="126" t="s">
        <v>152</v>
      </c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12"/>
      <c r="AL6" s="112"/>
    </row>
    <row r="7" spans="1:50" s="133" customFormat="1" ht="30" customHeight="1" thickBot="1">
      <c r="A7" s="127" t="s">
        <v>154</v>
      </c>
      <c r="B7" s="128" t="s">
        <v>155</v>
      </c>
      <c r="C7" s="129">
        <f>+'4 b.sz.mell.'!D38</f>
        <v>32165000</v>
      </c>
      <c r="D7" s="129">
        <f>+'4 b.sz.mell.'!E38</f>
        <v>32060000</v>
      </c>
      <c r="E7" s="129">
        <f>+'4 b.sz.mell.'!P37</f>
        <v>59200000</v>
      </c>
      <c r="F7" s="129">
        <f>+'4 b.sz.mell.'!Q37</f>
        <v>59200000</v>
      </c>
      <c r="G7" s="129">
        <f>+'4 b.sz.mell.'!F38</f>
        <v>335764084</v>
      </c>
      <c r="H7" s="129">
        <f>+'4 b.sz.mell.'!G38</f>
        <v>406688888</v>
      </c>
      <c r="I7" s="129">
        <v>0</v>
      </c>
      <c r="J7" s="129">
        <v>0</v>
      </c>
      <c r="K7" s="129">
        <f>+'4 b.sz.mell.'!N38</f>
        <v>0</v>
      </c>
      <c r="L7" s="129">
        <f>+'4 b.sz.mell.'!O38</f>
        <v>0</v>
      </c>
      <c r="M7" s="129">
        <f>+'4 b.sz.mell.'!L38</f>
        <v>415199185</v>
      </c>
      <c r="N7" s="129">
        <f>+'4 b.sz.mell.'!M38</f>
        <v>418403593</v>
      </c>
      <c r="O7" s="130">
        <f>+M7+K7+I7+G7+E7+C7</f>
        <v>842328269</v>
      </c>
      <c r="P7" s="130">
        <f>+N7+L7+J7+H7+F7+D7</f>
        <v>916352481</v>
      </c>
      <c r="Q7" s="131">
        <f>+O7-K7</f>
        <v>842328269</v>
      </c>
      <c r="R7" s="131">
        <f>+P7-L7</f>
        <v>916352481</v>
      </c>
      <c r="S7" s="119"/>
      <c r="T7" s="119"/>
      <c r="U7" s="119"/>
      <c r="V7" s="119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32"/>
      <c r="AI7" s="132"/>
      <c r="AJ7" s="132"/>
    </row>
    <row r="8" spans="1:50" s="133" customFormat="1" ht="30" customHeight="1" thickBot="1">
      <c r="A8" s="127" t="s">
        <v>156</v>
      </c>
      <c r="B8" s="128" t="s">
        <v>157</v>
      </c>
      <c r="C8" s="129">
        <f>+'4 b.sz.mell.'!D44</f>
        <v>1200000</v>
      </c>
      <c r="D8" s="129">
        <f>+'4 b.sz.mell.'!E44</f>
        <v>1200000</v>
      </c>
      <c r="E8" s="129">
        <f>+'4 b.sz.mell.'!P44</f>
        <v>70000</v>
      </c>
      <c r="F8" s="129">
        <f>+'4 b.sz.mell.'!Q44</f>
        <v>70000</v>
      </c>
      <c r="G8" s="129">
        <f>+'4 b.sz.mell.'!F44</f>
        <v>947353</v>
      </c>
      <c r="H8" s="129">
        <f>+'4 b.sz.mell.'!G44</f>
        <v>2321586</v>
      </c>
      <c r="I8" s="129">
        <v>0</v>
      </c>
      <c r="J8" s="129">
        <v>0</v>
      </c>
      <c r="K8" s="129">
        <f>+'4 b.sz.mell.'!N44</f>
        <v>97123414</v>
      </c>
      <c r="L8" s="129">
        <f>+'4 b.sz.mell.'!O44</f>
        <v>109371414</v>
      </c>
      <c r="M8" s="129">
        <f>+'4 b.sz.mell.'!L44</f>
        <v>133733</v>
      </c>
      <c r="N8" s="129">
        <f>+'4 b.sz.mell.'!M44</f>
        <v>133733</v>
      </c>
      <c r="O8" s="130">
        <f t="shared" ref="O8:P11" si="0">+M8+K8+I8+G8+E8+C8</f>
        <v>99474500</v>
      </c>
      <c r="P8" s="130">
        <f t="shared" si="0"/>
        <v>113096733</v>
      </c>
      <c r="Q8" s="131">
        <f t="shared" ref="Q8:R11" si="1">+O8-K8</f>
        <v>2351086</v>
      </c>
      <c r="R8" s="131">
        <f t="shared" si="1"/>
        <v>3725319</v>
      </c>
      <c r="S8" s="119"/>
      <c r="T8" s="119"/>
      <c r="U8" s="119"/>
      <c r="V8" s="119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32"/>
      <c r="AI8" s="132"/>
      <c r="AJ8" s="132"/>
    </row>
    <row r="9" spans="1:50" s="133" customFormat="1" ht="30" customHeight="1" thickBot="1">
      <c r="A9" s="127" t="s">
        <v>158</v>
      </c>
      <c r="B9" s="128" t="s">
        <v>159</v>
      </c>
      <c r="C9" s="129">
        <f>+'4 b.sz.mell.'!D47</f>
        <v>1250000</v>
      </c>
      <c r="D9" s="129">
        <f>+'4 b.sz.mell.'!E47</f>
        <v>1250000</v>
      </c>
      <c r="E9" s="129">
        <v>0</v>
      </c>
      <c r="F9" s="129">
        <v>0</v>
      </c>
      <c r="G9" s="129">
        <f>+'4 b.sz.mell.'!F47</f>
        <v>0</v>
      </c>
      <c r="H9" s="129">
        <f>+'4 b.sz.mell.'!G47</f>
        <v>0</v>
      </c>
      <c r="I9" s="129">
        <v>0</v>
      </c>
      <c r="J9" s="129">
        <v>0</v>
      </c>
      <c r="K9" s="129">
        <f>+'4 b.sz.mell.'!N47</f>
        <v>15124465</v>
      </c>
      <c r="L9" s="129">
        <f>+'4 b.sz.mell.'!O47</f>
        <v>15124465</v>
      </c>
      <c r="M9" s="129">
        <f>+'4 b.sz.mell.'!L47</f>
        <v>364135</v>
      </c>
      <c r="N9" s="129">
        <f>+'4 b.sz.mell.'!M47</f>
        <v>364135</v>
      </c>
      <c r="O9" s="130">
        <f t="shared" si="0"/>
        <v>16738600</v>
      </c>
      <c r="P9" s="130">
        <f t="shared" si="0"/>
        <v>16738600</v>
      </c>
      <c r="Q9" s="131">
        <f t="shared" si="1"/>
        <v>1614135</v>
      </c>
      <c r="R9" s="131">
        <f t="shared" si="1"/>
        <v>1614135</v>
      </c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32"/>
      <c r="AI9" s="132"/>
      <c r="AJ9" s="132"/>
    </row>
    <row r="10" spans="1:50" s="133" customFormat="1" ht="30" customHeight="1" thickBot="1">
      <c r="A10" s="127" t="s">
        <v>160</v>
      </c>
      <c r="B10" s="128" t="s">
        <v>161</v>
      </c>
      <c r="C10" s="129">
        <f>+'4 b.sz.mell.'!D51</f>
        <v>140000</v>
      </c>
      <c r="D10" s="129">
        <f>+'4 b.sz.mell.'!E51</f>
        <v>140000</v>
      </c>
      <c r="E10" s="129">
        <v>0</v>
      </c>
      <c r="F10" s="129">
        <v>0</v>
      </c>
      <c r="G10" s="129">
        <f>+'4 b.sz.mell.'!F51</f>
        <v>2800000</v>
      </c>
      <c r="H10" s="129">
        <f>+'4 b.sz.mell.'!G51</f>
        <v>2800000</v>
      </c>
      <c r="I10" s="129">
        <v>0</v>
      </c>
      <c r="J10" s="129">
        <v>0</v>
      </c>
      <c r="K10" s="129">
        <f>+'4 b.sz.mell.'!N51</f>
        <v>3439292</v>
      </c>
      <c r="L10" s="129">
        <f>+'4 b.sz.mell.'!O51</f>
        <v>3439292</v>
      </c>
      <c r="M10" s="129">
        <f>+'4 b.sz.mell.'!L51</f>
        <v>248208</v>
      </c>
      <c r="N10" s="129">
        <f>+'4 b.sz.mell.'!M51</f>
        <v>248208</v>
      </c>
      <c r="O10" s="130">
        <f t="shared" si="0"/>
        <v>6627500</v>
      </c>
      <c r="P10" s="130">
        <f t="shared" si="0"/>
        <v>6627500</v>
      </c>
      <c r="Q10" s="131">
        <f t="shared" si="1"/>
        <v>3188208</v>
      </c>
      <c r="R10" s="131">
        <f t="shared" si="1"/>
        <v>3188208</v>
      </c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32"/>
      <c r="AI10" s="132"/>
      <c r="AJ10" s="132"/>
    </row>
    <row r="11" spans="1:50" s="133" customFormat="1" ht="30" customHeight="1" thickBot="1">
      <c r="A11" s="127" t="s">
        <v>162</v>
      </c>
      <c r="B11" s="129" t="s">
        <v>163</v>
      </c>
      <c r="C11" s="129">
        <f>+'4 b.sz.mell.'!D61</f>
        <v>21270000</v>
      </c>
      <c r="D11" s="129">
        <f>+'4 b.sz.mell.'!E61</f>
        <v>21270000</v>
      </c>
      <c r="E11" s="129">
        <v>0</v>
      </c>
      <c r="F11" s="129">
        <v>0</v>
      </c>
      <c r="G11" s="129">
        <f>+'4 b.sz.mell.'!F61</f>
        <v>0</v>
      </c>
      <c r="H11" s="129">
        <f>+'4 b.sz.mell.'!G61</f>
        <v>4030222</v>
      </c>
      <c r="I11" s="129">
        <v>0</v>
      </c>
      <c r="J11" s="129">
        <v>0</v>
      </c>
      <c r="K11" s="129">
        <f>+'4 b.sz.mell.'!N61</f>
        <v>88274163</v>
      </c>
      <c r="L11" s="129">
        <f>+'4 b.sz.mell.'!O61</f>
        <v>88274163</v>
      </c>
      <c r="M11" s="129">
        <f>+'4 b.sz.mell.'!L61</f>
        <v>1003637</v>
      </c>
      <c r="N11" s="129">
        <f>+'4 b.sz.mell.'!M61</f>
        <v>1003637</v>
      </c>
      <c r="O11" s="130">
        <f t="shared" si="0"/>
        <v>110547800</v>
      </c>
      <c r="P11" s="130">
        <f t="shared" si="0"/>
        <v>114578022</v>
      </c>
      <c r="Q11" s="131">
        <f t="shared" si="1"/>
        <v>22273637</v>
      </c>
      <c r="R11" s="131">
        <f t="shared" si="1"/>
        <v>26303859</v>
      </c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32"/>
      <c r="AI11" s="132"/>
      <c r="AJ11" s="132"/>
    </row>
    <row r="12" spans="1:50" s="133" customFormat="1" ht="36.75" customHeight="1" thickBot="1">
      <c r="A12" s="435" t="s">
        <v>164</v>
      </c>
      <c r="B12" s="435"/>
      <c r="C12" s="134">
        <f t="shared" ref="C12:K12" si="2">SUM(C7:C11)</f>
        <v>56025000</v>
      </c>
      <c r="D12" s="134">
        <f t="shared" ref="D12:I12" si="3">SUM(D7:D11)</f>
        <v>55920000</v>
      </c>
      <c r="E12" s="134">
        <f t="shared" si="3"/>
        <v>59270000</v>
      </c>
      <c r="F12" s="134">
        <f t="shared" si="3"/>
        <v>59270000</v>
      </c>
      <c r="G12" s="134">
        <f t="shared" si="3"/>
        <v>339511437</v>
      </c>
      <c r="H12" s="134">
        <f t="shared" si="3"/>
        <v>415840696</v>
      </c>
      <c r="I12" s="134">
        <f t="shared" si="3"/>
        <v>0</v>
      </c>
      <c r="J12" s="134">
        <v>0</v>
      </c>
      <c r="K12" s="134">
        <f t="shared" si="2"/>
        <v>203961334</v>
      </c>
      <c r="L12" s="134">
        <f t="shared" ref="L12:R12" si="4">SUM(L7:L11)</f>
        <v>216209334</v>
      </c>
      <c r="M12" s="134">
        <f t="shared" si="4"/>
        <v>416948898</v>
      </c>
      <c r="N12" s="134">
        <f t="shared" si="4"/>
        <v>420153306</v>
      </c>
      <c r="O12" s="130">
        <f t="shared" si="4"/>
        <v>1075716669</v>
      </c>
      <c r="P12" s="130">
        <f t="shared" si="4"/>
        <v>1167393336</v>
      </c>
      <c r="Q12" s="131">
        <f t="shared" si="4"/>
        <v>871755335</v>
      </c>
      <c r="R12" s="131">
        <f t="shared" si="4"/>
        <v>951184002</v>
      </c>
      <c r="S12" s="119"/>
      <c r="T12" s="119"/>
      <c r="U12" s="119"/>
      <c r="V12" s="119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</row>
    <row r="13" spans="1:50"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</row>
    <row r="14" spans="1:50" hidden="1">
      <c r="M14" s="119">
        <f>+'4 b.sz.mell.'!F62</f>
        <v>339511437</v>
      </c>
      <c r="N14" s="119">
        <f>+'4 b.sz.mell.'!H62</f>
        <v>108818441</v>
      </c>
      <c r="S14" s="119">
        <f>+'4 b.sz.mell.'!N62</f>
        <v>203961334</v>
      </c>
      <c r="U14" s="119">
        <f>+'4 b.sz.mell.'!L62</f>
        <v>416948898</v>
      </c>
      <c r="W14" s="119">
        <f>+'4 b.sz.mell.'!R62-'4 b.sz.mell.'!H62</f>
        <v>1075716669</v>
      </c>
      <c r="Y14" s="119">
        <f>+'4 b.sz.mell.'!R62-'4 b.sz.mell.'!H62-'4 b.sz.mell.'!N62</f>
        <v>871755335</v>
      </c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</row>
    <row r="15" spans="1:50" hidden="1">
      <c r="C15" s="119">
        <f>+'4 b.sz.mell.'!D62</f>
        <v>56025000</v>
      </c>
      <c r="D15" s="119">
        <f>+'4 b.sz.mell.'!E62</f>
        <v>55920000</v>
      </c>
      <c r="E15" s="119">
        <f>+'4 b.sz.mell.'!P62</f>
        <v>59270000</v>
      </c>
      <c r="F15" s="119">
        <f>+'4 b.sz.mell.'!Q62</f>
        <v>59270000</v>
      </c>
      <c r="G15" s="119">
        <f>+'4 b.sz.mell.'!F62</f>
        <v>339511437</v>
      </c>
      <c r="H15" s="119">
        <f>+'4 b.sz.mell.'!G62</f>
        <v>415840696</v>
      </c>
      <c r="K15" s="119">
        <f>+'4 b.sz.mell.'!N62</f>
        <v>203961334</v>
      </c>
      <c r="L15" s="119">
        <f>+'4 b.sz.mell.'!O62</f>
        <v>216209334</v>
      </c>
      <c r="M15" s="119">
        <f>+'4 b.sz.mell.'!L62</f>
        <v>416948898</v>
      </c>
      <c r="N15" s="119">
        <f>+'4 b.sz.mell.'!M62</f>
        <v>420153306</v>
      </c>
      <c r="O15" s="119">
        <f>+'4 b.sz.mell.'!R62-'4 b.sz.mell.'!H62</f>
        <v>1075716669</v>
      </c>
      <c r="P15" s="119">
        <f>+'4 b.sz.mell.'!S62-'4 b.sz.mell.'!I62</f>
        <v>1167498336</v>
      </c>
      <c r="Q15" s="119" t="e">
        <f>+'4 b.sz.mell.'!#REF!-'4 b.sz.mell.'!H62</f>
        <v>#REF!</v>
      </c>
      <c r="R15" s="119">
        <f>+'4 b.sz.mell.'!S62-'4 b.sz.mell.'!O62-'4 b.sz.mell.'!K62-'4 b.sz.mell.'!I62</f>
        <v>951184002</v>
      </c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</row>
    <row r="16" spans="1:50">
      <c r="AM16" s="119"/>
      <c r="AN16" s="119"/>
      <c r="AO16" s="119"/>
      <c r="AP16" s="119"/>
      <c r="AQ16" s="119"/>
    </row>
    <row r="17" spans="1:46" ht="15.75" customHeight="1" thickBot="1">
      <c r="A17" s="436" t="s">
        <v>165</v>
      </c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8"/>
      <c r="N17" s="438"/>
      <c r="O17" s="438"/>
      <c r="P17" s="438"/>
      <c r="Q17" s="438"/>
      <c r="R17" s="438"/>
      <c r="S17" s="438"/>
      <c r="T17" s="438"/>
      <c r="AM17" s="119"/>
      <c r="AN17" s="119"/>
      <c r="AO17" s="119"/>
      <c r="AP17" s="119"/>
      <c r="AQ17" s="119"/>
    </row>
    <row r="18" spans="1:46" ht="99.95" customHeight="1" thickBot="1">
      <c r="A18" s="439" t="s">
        <v>142</v>
      </c>
      <c r="B18" s="440"/>
      <c r="C18" s="431" t="s">
        <v>166</v>
      </c>
      <c r="D18" s="432"/>
      <c r="E18" s="431" t="s">
        <v>167</v>
      </c>
      <c r="F18" s="432"/>
      <c r="G18" s="431" t="s">
        <v>168</v>
      </c>
      <c r="H18" s="432"/>
      <c r="I18" s="431" t="s">
        <v>169</v>
      </c>
      <c r="J18" s="432"/>
      <c r="K18" s="429" t="s">
        <v>170</v>
      </c>
      <c r="L18" s="430"/>
      <c r="M18" s="431" t="s">
        <v>171</v>
      </c>
      <c r="N18" s="432"/>
      <c r="O18" s="431" t="s">
        <v>172</v>
      </c>
      <c r="P18" s="432"/>
      <c r="Q18" s="431" t="s">
        <v>130</v>
      </c>
      <c r="R18" s="432"/>
      <c r="S18" s="431" t="s">
        <v>173</v>
      </c>
      <c r="T18" s="432"/>
      <c r="U18" s="137" t="s">
        <v>174</v>
      </c>
      <c r="V18" s="137" t="s">
        <v>174</v>
      </c>
      <c r="AM18" s="119"/>
      <c r="AN18" s="119"/>
      <c r="AO18" s="119"/>
      <c r="AP18" s="119"/>
      <c r="AQ18" s="119"/>
      <c r="AR18" s="119"/>
      <c r="AS18" s="119"/>
      <c r="AT18" s="119"/>
    </row>
    <row r="19" spans="1:46" ht="26.25" thickBot="1">
      <c r="A19" s="124" t="s">
        <v>151</v>
      </c>
      <c r="B19" s="125"/>
      <c r="C19" s="138" t="s">
        <v>175</v>
      </c>
      <c r="D19" s="126" t="s">
        <v>153</v>
      </c>
      <c r="E19" s="138" t="s">
        <v>175</v>
      </c>
      <c r="F19" s="126" t="s">
        <v>153</v>
      </c>
      <c r="G19" s="138" t="s">
        <v>175</v>
      </c>
      <c r="H19" s="126" t="s">
        <v>153</v>
      </c>
      <c r="I19" s="138" t="s">
        <v>175</v>
      </c>
      <c r="J19" s="126" t="s">
        <v>153</v>
      </c>
      <c r="K19" s="138" t="s">
        <v>175</v>
      </c>
      <c r="L19" s="126" t="s">
        <v>153</v>
      </c>
      <c r="M19" s="138" t="s">
        <v>175</v>
      </c>
      <c r="N19" s="126" t="s">
        <v>153</v>
      </c>
      <c r="O19" s="138" t="s">
        <v>175</v>
      </c>
      <c r="P19" s="126" t="s">
        <v>153</v>
      </c>
      <c r="Q19" s="138" t="s">
        <v>175</v>
      </c>
      <c r="R19" s="126" t="s">
        <v>153</v>
      </c>
      <c r="S19" s="138" t="s">
        <v>175</v>
      </c>
      <c r="T19" s="126" t="s">
        <v>153</v>
      </c>
      <c r="U19" s="138" t="s">
        <v>175</v>
      </c>
      <c r="V19" s="126" t="s">
        <v>153</v>
      </c>
      <c r="AM19" s="119"/>
      <c r="AN19" s="119"/>
      <c r="AO19" s="119"/>
      <c r="AP19" s="119"/>
      <c r="AQ19" s="119"/>
      <c r="AR19" s="119"/>
      <c r="AS19" s="119"/>
      <c r="AT19" s="119"/>
    </row>
    <row r="20" spans="1:46" ht="30" customHeight="1" thickBot="1">
      <c r="A20" s="139" t="s">
        <v>154</v>
      </c>
      <c r="B20" s="140" t="s">
        <v>155</v>
      </c>
      <c r="C20" s="129">
        <f>+'4.a sz.mell.'!D43</f>
        <v>89229309</v>
      </c>
      <c r="D20" s="129">
        <f>+'4.a sz.mell.'!E43</f>
        <v>113549177</v>
      </c>
      <c r="E20" s="141">
        <f>+'4.a sz.mell.'!F43</f>
        <v>16036262</v>
      </c>
      <c r="F20" s="141">
        <f>+'4.a sz.mell.'!G43</f>
        <v>18805673</v>
      </c>
      <c r="G20" s="141">
        <f>+'4.a sz.mell.'!H43</f>
        <v>159216668</v>
      </c>
      <c r="H20" s="141">
        <f>+'4.a sz.mell.'!I43</f>
        <v>186177603</v>
      </c>
      <c r="I20" s="141">
        <f>+'4.a sz.mell.'!J43</f>
        <v>84547133</v>
      </c>
      <c r="J20" s="141">
        <f>+'4.a sz.mell.'!K43</f>
        <v>250030512</v>
      </c>
      <c r="K20" s="142">
        <f>+'4 b.sz.mell.'!N62</f>
        <v>203961334</v>
      </c>
      <c r="L20" s="142">
        <f>+'4 b.sz.mell.'!O62</f>
        <v>216209334</v>
      </c>
      <c r="M20" s="141">
        <f>+'4.a sz.mell.'!L66</f>
        <v>4767000</v>
      </c>
      <c r="N20" s="141">
        <f>+'4.a sz.mell.'!M66</f>
        <v>4767000</v>
      </c>
      <c r="O20" s="143">
        <f>+'4.a sz.mell.'!R43</f>
        <v>1643568</v>
      </c>
      <c r="P20" s="143">
        <f>+'4.a sz.mell.'!S43</f>
        <v>1643568</v>
      </c>
      <c r="Q20" s="141">
        <f>+'4.a sz.mell.'!P66</f>
        <v>10420711</v>
      </c>
      <c r="R20" s="141">
        <f>+'4.a sz.mell.'!Q66</f>
        <v>10420711</v>
      </c>
      <c r="S20" s="144">
        <f t="shared" ref="S20:T25" si="5">+Q20+M20+K20+I20+G20+E20+C20+O20</f>
        <v>569821985</v>
      </c>
      <c r="T20" s="144">
        <f t="shared" si="5"/>
        <v>801603578</v>
      </c>
      <c r="U20" s="144">
        <f t="shared" ref="U20:V25" si="6">+S20-K20</f>
        <v>365860651</v>
      </c>
      <c r="V20" s="144">
        <f t="shared" si="6"/>
        <v>585394244</v>
      </c>
      <c r="AM20" s="119"/>
      <c r="AN20" s="119"/>
      <c r="AO20" s="119"/>
      <c r="AP20" s="119"/>
      <c r="AQ20" s="119"/>
      <c r="AR20" s="119"/>
      <c r="AS20" s="119"/>
      <c r="AT20" s="119"/>
    </row>
    <row r="21" spans="1:46" ht="30" customHeight="1" thickBot="1">
      <c r="A21" s="139" t="s">
        <v>156</v>
      </c>
      <c r="B21" s="140" t="s">
        <v>157</v>
      </c>
      <c r="C21" s="129">
        <f>+'4.a sz.mell.'!D48</f>
        <v>71480000</v>
      </c>
      <c r="D21" s="129">
        <f>+'4.a sz.mell.'!E48</f>
        <v>83213918</v>
      </c>
      <c r="E21" s="141">
        <f>+'4.a sz.mell.'!F48</f>
        <v>13820000</v>
      </c>
      <c r="F21" s="141">
        <f>+'4.a sz.mell.'!G48</f>
        <v>15999362</v>
      </c>
      <c r="G21" s="141">
        <f>+'4.a sz.mell.'!H48</f>
        <v>12850000</v>
      </c>
      <c r="H21" s="141">
        <f>+'4.a sz.mell.'!I48</f>
        <v>12488680</v>
      </c>
      <c r="I21" s="141">
        <f>+'4.a sz.mell.'!J48</f>
        <v>0</v>
      </c>
      <c r="J21" s="141">
        <f>+'4.a sz.mell.'!K48</f>
        <v>70273</v>
      </c>
      <c r="K21" s="142"/>
      <c r="L21" s="142"/>
      <c r="M21" s="141">
        <v>0</v>
      </c>
      <c r="N21" s="141">
        <v>0</v>
      </c>
      <c r="O21" s="141">
        <f>+'4.a sz.mell.'!R48</f>
        <v>0</v>
      </c>
      <c r="P21" s="141">
        <f>+'4.a sz.mell.'!S48</f>
        <v>0</v>
      </c>
      <c r="Q21" s="141">
        <v>0</v>
      </c>
      <c r="R21" s="141">
        <v>0</v>
      </c>
      <c r="S21" s="144">
        <f t="shared" si="5"/>
        <v>98150000</v>
      </c>
      <c r="T21" s="144">
        <f t="shared" si="5"/>
        <v>111772233</v>
      </c>
      <c r="U21" s="144">
        <f t="shared" si="6"/>
        <v>98150000</v>
      </c>
      <c r="V21" s="144">
        <f t="shared" si="6"/>
        <v>111772233</v>
      </c>
      <c r="AM21" s="119"/>
      <c r="AN21" s="119"/>
      <c r="AO21" s="119"/>
      <c r="AP21" s="119"/>
      <c r="AQ21" s="119"/>
      <c r="AR21" s="119"/>
      <c r="AS21" s="119"/>
      <c r="AT21" s="119"/>
    </row>
    <row r="22" spans="1:46" ht="30" customHeight="1" thickBot="1">
      <c r="A22" s="139" t="s">
        <v>158</v>
      </c>
      <c r="B22" s="140" t="s">
        <v>176</v>
      </c>
      <c r="C22" s="129">
        <f>+'4.a sz.mell.'!D53</f>
        <v>7326600</v>
      </c>
      <c r="D22" s="129">
        <f>+'4.a sz.mell.'!E53</f>
        <v>7326600</v>
      </c>
      <c r="E22" s="141">
        <f>+'4.a sz.mell.'!F53</f>
        <v>1255000</v>
      </c>
      <c r="F22" s="141">
        <f>+'4.a sz.mell.'!G53</f>
        <v>1255000</v>
      </c>
      <c r="G22" s="141">
        <f>+'4.a sz.mell.'!H53</f>
        <v>8010000</v>
      </c>
      <c r="H22" s="141">
        <f>+'4.a sz.mell.'!I53</f>
        <v>8010000</v>
      </c>
      <c r="I22" s="141">
        <f>+'4.a sz.mell.'!J53</f>
        <v>20000</v>
      </c>
      <c r="J22" s="141">
        <f>+'4.a sz.mell.'!K53</f>
        <v>20000</v>
      </c>
      <c r="K22" s="142"/>
      <c r="L22" s="142"/>
      <c r="M22" s="141">
        <v>0</v>
      </c>
      <c r="N22" s="141">
        <v>0</v>
      </c>
      <c r="O22" s="141">
        <f>+'4.a sz.mell.'!R53</f>
        <v>0</v>
      </c>
      <c r="P22" s="141">
        <f>+'4.a sz.mell.'!S53</f>
        <v>0</v>
      </c>
      <c r="Q22" s="141">
        <v>0</v>
      </c>
      <c r="R22" s="141">
        <v>0</v>
      </c>
      <c r="S22" s="144">
        <f t="shared" si="5"/>
        <v>16611600</v>
      </c>
      <c r="T22" s="144">
        <f t="shared" si="5"/>
        <v>16611600</v>
      </c>
      <c r="U22" s="144">
        <f t="shared" si="6"/>
        <v>16611600</v>
      </c>
      <c r="V22" s="144">
        <f t="shared" si="6"/>
        <v>16611600</v>
      </c>
      <c r="AM22" s="119"/>
      <c r="AN22" s="119"/>
      <c r="AO22" s="119"/>
      <c r="AP22" s="119"/>
      <c r="AQ22" s="119"/>
      <c r="AR22" s="119"/>
      <c r="AS22" s="119"/>
      <c r="AT22" s="119"/>
    </row>
    <row r="23" spans="1:46" ht="30" customHeight="1" thickBot="1">
      <c r="A23" s="139" t="s">
        <v>160</v>
      </c>
      <c r="B23" s="140" t="s">
        <v>161</v>
      </c>
      <c r="C23" s="129">
        <f>+'4.a sz.mell.'!D56</f>
        <v>3350000</v>
      </c>
      <c r="D23" s="129">
        <f>+'4.a sz.mell.'!E56</f>
        <v>3350000</v>
      </c>
      <c r="E23" s="141">
        <f>+'4.a sz.mell.'!F56</f>
        <v>650000</v>
      </c>
      <c r="F23" s="141">
        <f>+'4.a sz.mell.'!G56</f>
        <v>650000</v>
      </c>
      <c r="G23" s="141">
        <f>+'4.a sz.mell.'!H56</f>
        <v>2310000</v>
      </c>
      <c r="H23" s="141">
        <f>+'4.a sz.mell.'!I56</f>
        <v>2310000</v>
      </c>
      <c r="I23" s="141">
        <v>0</v>
      </c>
      <c r="J23" s="141">
        <v>0</v>
      </c>
      <c r="K23" s="142"/>
      <c r="L23" s="142"/>
      <c r="M23" s="141">
        <v>0</v>
      </c>
      <c r="N23" s="141">
        <v>0</v>
      </c>
      <c r="O23" s="141">
        <f>+'4.a sz.mell.'!R56</f>
        <v>0</v>
      </c>
      <c r="P23" s="141">
        <f>+'4.a sz.mell.'!S56</f>
        <v>0</v>
      </c>
      <c r="Q23" s="141">
        <v>0</v>
      </c>
      <c r="R23" s="141">
        <v>0</v>
      </c>
      <c r="S23" s="144">
        <f t="shared" si="5"/>
        <v>6310000</v>
      </c>
      <c r="T23" s="144">
        <f t="shared" si="5"/>
        <v>6310000</v>
      </c>
      <c r="U23" s="144">
        <f t="shared" si="6"/>
        <v>6310000</v>
      </c>
      <c r="V23" s="144">
        <f t="shared" si="6"/>
        <v>6310000</v>
      </c>
      <c r="AM23" s="119"/>
      <c r="AN23" s="119"/>
      <c r="AO23" s="119"/>
      <c r="AP23" s="119"/>
      <c r="AQ23" s="119"/>
      <c r="AR23" s="119"/>
      <c r="AS23" s="119"/>
      <c r="AT23" s="119"/>
    </row>
    <row r="24" spans="1:46" ht="30" customHeight="1" thickBot="1">
      <c r="A24" s="139" t="s">
        <v>162</v>
      </c>
      <c r="B24" s="145" t="s">
        <v>163</v>
      </c>
      <c r="C24" s="129">
        <f>+'4.a sz.mell.'!D65</f>
        <v>40900000</v>
      </c>
      <c r="D24" s="129">
        <f>+'4.a sz.mell.'!E65</f>
        <v>45174750</v>
      </c>
      <c r="E24" s="141">
        <f>+'4.a sz.mell.'!F65</f>
        <v>7837800</v>
      </c>
      <c r="F24" s="141">
        <f>+'4.a sz.mell.'!G65</f>
        <v>8611505</v>
      </c>
      <c r="G24" s="141">
        <f>+'4.a sz.mell.'!H65</f>
        <v>61180000</v>
      </c>
      <c r="H24" s="141">
        <f>+'4.a sz.mell.'!I65</f>
        <v>60091867</v>
      </c>
      <c r="I24" s="141">
        <v>0</v>
      </c>
      <c r="J24" s="141">
        <v>0</v>
      </c>
      <c r="K24" s="142"/>
      <c r="L24" s="142"/>
      <c r="M24" s="141">
        <v>0</v>
      </c>
      <c r="N24" s="141">
        <v>0</v>
      </c>
      <c r="O24" s="141">
        <f>+'4.a sz.mell.'!R65</f>
        <v>0</v>
      </c>
      <c r="P24" s="141">
        <f>+'4.a sz.mell.'!S65</f>
        <v>0</v>
      </c>
      <c r="Q24" s="141">
        <v>0</v>
      </c>
      <c r="R24" s="141">
        <v>0</v>
      </c>
      <c r="S24" s="144">
        <f t="shared" si="5"/>
        <v>109917800</v>
      </c>
      <c r="T24" s="144">
        <f t="shared" si="5"/>
        <v>113878122</v>
      </c>
      <c r="U24" s="144">
        <f t="shared" si="6"/>
        <v>109917800</v>
      </c>
      <c r="V24" s="144">
        <f t="shared" si="6"/>
        <v>113878122</v>
      </c>
      <c r="AM24" s="119"/>
      <c r="AN24" s="119"/>
      <c r="AO24" s="119"/>
      <c r="AP24" s="119"/>
      <c r="AQ24" s="119"/>
      <c r="AR24" s="119"/>
      <c r="AS24" s="119"/>
      <c r="AT24" s="119"/>
    </row>
    <row r="25" spans="1:46" ht="15.75" thickBot="1">
      <c r="A25" s="433" t="s">
        <v>164</v>
      </c>
      <c r="B25" s="433"/>
      <c r="C25" s="134">
        <f>SUM(C20:C24)</f>
        <v>212285909</v>
      </c>
      <c r="D25" s="134">
        <f>SUM(D20:D24)</f>
        <v>252614445</v>
      </c>
      <c r="E25" s="143">
        <f>SUM(E20:E24)</f>
        <v>39599062</v>
      </c>
      <c r="F25" s="143">
        <f>SUM(F20:F24)</f>
        <v>45321540</v>
      </c>
      <c r="G25" s="143">
        <f t="shared" ref="G25:R25" si="7">SUM(G20:G24)</f>
        <v>243566668</v>
      </c>
      <c r="H25" s="143">
        <f t="shared" si="7"/>
        <v>269078150</v>
      </c>
      <c r="I25" s="143">
        <f t="shared" si="7"/>
        <v>84567133</v>
      </c>
      <c r="J25" s="143">
        <f t="shared" si="7"/>
        <v>250120785</v>
      </c>
      <c r="K25" s="143">
        <f t="shared" si="7"/>
        <v>203961334</v>
      </c>
      <c r="L25" s="143">
        <f t="shared" si="7"/>
        <v>216209334</v>
      </c>
      <c r="M25" s="143">
        <f t="shared" si="7"/>
        <v>4767000</v>
      </c>
      <c r="N25" s="143">
        <f t="shared" si="7"/>
        <v>4767000</v>
      </c>
      <c r="O25" s="143">
        <f t="shared" si="7"/>
        <v>1643568</v>
      </c>
      <c r="P25" s="143">
        <f t="shared" si="7"/>
        <v>1643568</v>
      </c>
      <c r="Q25" s="143">
        <f t="shared" si="7"/>
        <v>10420711</v>
      </c>
      <c r="R25" s="143">
        <f t="shared" si="7"/>
        <v>10420711</v>
      </c>
      <c r="S25" s="144">
        <f t="shared" si="5"/>
        <v>800811385</v>
      </c>
      <c r="T25" s="144">
        <f t="shared" si="5"/>
        <v>1050175533</v>
      </c>
      <c r="U25" s="144">
        <f t="shared" si="6"/>
        <v>596850051</v>
      </c>
      <c r="V25" s="144">
        <f t="shared" si="6"/>
        <v>833966199</v>
      </c>
      <c r="AM25" s="119"/>
      <c r="AN25" s="119"/>
      <c r="AO25" s="119"/>
      <c r="AP25" s="119"/>
      <c r="AQ25" s="119"/>
      <c r="AR25" s="119"/>
      <c r="AS25" s="119"/>
      <c r="AT25" s="119"/>
    </row>
  </sheetData>
  <mergeCells count="26">
    <mergeCell ref="A1:P1"/>
    <mergeCell ref="A2:P2"/>
    <mergeCell ref="A4:R4"/>
    <mergeCell ref="A5:B5"/>
    <mergeCell ref="C5:D5"/>
    <mergeCell ref="E5:F5"/>
    <mergeCell ref="G5:H5"/>
    <mergeCell ref="I5:J5"/>
    <mergeCell ref="K5:L5"/>
    <mergeCell ref="M5:N5"/>
    <mergeCell ref="A25:B25"/>
    <mergeCell ref="O5:P5"/>
    <mergeCell ref="Q5:R5"/>
    <mergeCell ref="AG5:AI5"/>
    <mergeCell ref="A12:B12"/>
    <mergeCell ref="A17:T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</mergeCells>
  <printOptions horizontalCentered="1"/>
  <pageMargins left="0.11811023622047245" right="0.15748031496062992" top="0.74803149606299213" bottom="0.74803149606299213" header="0.31496062992125984" footer="0.31496062992125984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E66"/>
  <sheetViews>
    <sheetView zoomScaleNormal="100" workbookViewId="0">
      <pane xSplit="2" ySplit="5" topLeftCell="C6" activePane="bottomRight" state="frozen"/>
      <selection activeCell="C39" sqref="C39"/>
      <selection pane="topRight" activeCell="C39" sqref="C39"/>
      <selection pane="bottomLeft" activeCell="C39" sqref="C39"/>
      <selection pane="bottomRight" activeCell="G3" sqref="G3"/>
    </sheetView>
  </sheetViews>
  <sheetFormatPr defaultColWidth="8.85546875" defaultRowHeight="12.75"/>
  <cols>
    <col min="1" max="1" width="8.28515625" style="149" customWidth="1"/>
    <col min="2" max="2" width="12.140625" style="149" customWidth="1"/>
    <col min="3" max="3" width="45.28515625" style="149" customWidth="1"/>
    <col min="4" max="4" width="16" style="149" customWidth="1"/>
    <col min="5" max="5" width="17.28515625" style="149" customWidth="1"/>
    <col min="6" max="6" width="15.28515625" style="149" customWidth="1"/>
    <col min="7" max="7" width="14.85546875" style="149" customWidth="1"/>
    <col min="8" max="8" width="16.85546875" style="149" customWidth="1"/>
    <col min="9" max="9" width="14.85546875" style="149" customWidth="1"/>
    <col min="10" max="10" width="18.28515625" style="149" customWidth="1"/>
    <col min="11" max="11" width="20.42578125" style="149" customWidth="1"/>
    <col min="12" max="12" width="15.42578125" style="149" customWidth="1"/>
    <col min="13" max="13" width="16" style="149" customWidth="1"/>
    <col min="14" max="14" width="18" style="149" customWidth="1"/>
    <col min="15" max="20" width="16.85546875" style="149" customWidth="1"/>
    <col min="21" max="21" width="16.85546875" style="189" customWidth="1"/>
    <col min="22" max="22" width="16.85546875" style="149" customWidth="1"/>
    <col min="23" max="24" width="16.85546875" style="4" customWidth="1"/>
    <col min="25" max="25" width="18.28515625" style="4" customWidth="1"/>
    <col min="26" max="28" width="8.85546875" style="4"/>
    <col min="29" max="29" width="16.28515625" style="4" bestFit="1" customWidth="1"/>
    <col min="30" max="16384" width="8.85546875" style="4"/>
  </cols>
  <sheetData>
    <row r="1" spans="1:31" ht="15.75">
      <c r="A1" s="425" t="s">
        <v>549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80"/>
      <c r="P1" s="80"/>
      <c r="Q1" s="80"/>
      <c r="R1" s="80"/>
      <c r="S1" s="80"/>
      <c r="T1" s="80"/>
      <c r="U1" s="80"/>
      <c r="V1" s="146"/>
      <c r="X1" s="146"/>
      <c r="Y1" s="80" t="s">
        <v>177</v>
      </c>
    </row>
    <row r="2" spans="1:31" ht="33.75" customHeight="1">
      <c r="A2" s="458" t="s">
        <v>178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8"/>
    </row>
    <row r="3" spans="1:31" ht="16.5" thickBot="1">
      <c r="B3" s="150"/>
      <c r="C3" s="150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2"/>
      <c r="Z3" s="152"/>
      <c r="AA3" s="152"/>
      <c r="AB3" s="153"/>
      <c r="AC3" s="149"/>
    </row>
    <row r="4" spans="1:31" ht="21" customHeight="1" thickBot="1">
      <c r="A4" s="459" t="s">
        <v>179</v>
      </c>
      <c r="B4" s="461" t="s">
        <v>180</v>
      </c>
      <c r="C4" s="463" t="s">
        <v>181</v>
      </c>
      <c r="D4" s="465"/>
      <c r="E4" s="465"/>
      <c r="F4" s="465"/>
      <c r="G4" s="465"/>
      <c r="H4" s="465"/>
      <c r="I4" s="465"/>
      <c r="J4" s="465"/>
      <c r="K4" s="465"/>
      <c r="L4" s="465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453" t="s">
        <v>182</v>
      </c>
      <c r="Y4" s="453" t="s">
        <v>183</v>
      </c>
      <c r="Z4" s="456" t="s">
        <v>184</v>
      </c>
      <c r="AA4" s="456" t="s">
        <v>185</v>
      </c>
    </row>
    <row r="5" spans="1:31" ht="114" customHeight="1" thickBot="1">
      <c r="A5" s="460"/>
      <c r="B5" s="462"/>
      <c r="C5" s="464"/>
      <c r="D5" s="155" t="s">
        <v>186</v>
      </c>
      <c r="E5" s="155" t="s">
        <v>187</v>
      </c>
      <c r="F5" s="155" t="s">
        <v>188</v>
      </c>
      <c r="G5" s="155" t="s">
        <v>189</v>
      </c>
      <c r="H5" s="155" t="s">
        <v>190</v>
      </c>
      <c r="I5" s="155" t="s">
        <v>191</v>
      </c>
      <c r="J5" s="155" t="s">
        <v>192</v>
      </c>
      <c r="K5" s="155" t="s">
        <v>193</v>
      </c>
      <c r="L5" s="155" t="s">
        <v>194</v>
      </c>
      <c r="M5" s="155" t="s">
        <v>195</v>
      </c>
      <c r="N5" s="155" t="s">
        <v>196</v>
      </c>
      <c r="O5" s="155" t="s">
        <v>197</v>
      </c>
      <c r="P5" s="155" t="s">
        <v>198</v>
      </c>
      <c r="Q5" s="155" t="s">
        <v>199</v>
      </c>
      <c r="R5" s="155" t="s">
        <v>200</v>
      </c>
      <c r="S5" s="155" t="s">
        <v>201</v>
      </c>
      <c r="T5" s="155" t="s">
        <v>202</v>
      </c>
      <c r="U5" s="155" t="s">
        <v>203</v>
      </c>
      <c r="V5" s="155" t="s">
        <v>204</v>
      </c>
      <c r="W5" s="155" t="s">
        <v>205</v>
      </c>
      <c r="X5" s="454"/>
      <c r="Y5" s="455"/>
      <c r="Z5" s="457"/>
      <c r="AA5" s="457"/>
    </row>
    <row r="6" spans="1:31" ht="16.5" thickBot="1">
      <c r="A6" s="450" t="s">
        <v>154</v>
      </c>
      <c r="B6" s="156" t="s">
        <v>206</v>
      </c>
      <c r="C6" s="157" t="s">
        <v>207</v>
      </c>
      <c r="D6" s="158">
        <v>15502289</v>
      </c>
      <c r="E6" s="158">
        <v>15502289</v>
      </c>
      <c r="F6" s="158">
        <v>3042958</v>
      </c>
      <c r="G6" s="158">
        <v>3042958</v>
      </c>
      <c r="H6" s="158">
        <v>3680000</v>
      </c>
      <c r="I6" s="158">
        <v>3680000</v>
      </c>
      <c r="J6" s="158">
        <v>0</v>
      </c>
      <c r="K6" s="158">
        <v>0</v>
      </c>
      <c r="L6" s="159">
        <v>0</v>
      </c>
      <c r="M6" s="159">
        <v>0</v>
      </c>
      <c r="N6" s="158">
        <v>0</v>
      </c>
      <c r="O6" s="158">
        <v>0</v>
      </c>
      <c r="P6" s="159">
        <v>0</v>
      </c>
      <c r="Q6" s="159">
        <v>0</v>
      </c>
      <c r="R6" s="158">
        <v>0</v>
      </c>
      <c r="S6" s="158">
        <v>0</v>
      </c>
      <c r="T6" s="160">
        <v>0</v>
      </c>
      <c r="U6" s="160">
        <v>0</v>
      </c>
      <c r="V6" s="160">
        <v>0</v>
      </c>
      <c r="W6" s="160">
        <v>0</v>
      </c>
      <c r="X6" s="161">
        <f>+V6+T6+R6+P6+N6+L6+J6+H6+F6+D6</f>
        <v>22225247</v>
      </c>
      <c r="Y6" s="161">
        <f>+W6+U6+S6+Q6+O6+M6+K6+I6+G6+E6</f>
        <v>22225247</v>
      </c>
      <c r="Z6" s="162">
        <v>1</v>
      </c>
      <c r="AA6" s="162">
        <v>1</v>
      </c>
    </row>
    <row r="7" spans="1:31" ht="16.5" thickBot="1">
      <c r="A7" s="450"/>
      <c r="B7" s="156" t="s">
        <v>208</v>
      </c>
      <c r="C7" s="157" t="s">
        <v>209</v>
      </c>
      <c r="D7" s="158">
        <v>0</v>
      </c>
      <c r="E7" s="158">
        <v>0</v>
      </c>
      <c r="F7" s="158">
        <v>0</v>
      </c>
      <c r="G7" s="158">
        <v>0</v>
      </c>
      <c r="H7" s="158">
        <v>530000</v>
      </c>
      <c r="I7" s="158">
        <v>530000</v>
      </c>
      <c r="J7" s="158">
        <v>0</v>
      </c>
      <c r="K7" s="158">
        <v>0</v>
      </c>
      <c r="L7" s="159">
        <v>0</v>
      </c>
      <c r="M7" s="159">
        <v>0</v>
      </c>
      <c r="N7" s="158">
        <v>0</v>
      </c>
      <c r="O7" s="158">
        <v>0</v>
      </c>
      <c r="P7" s="159">
        <v>0</v>
      </c>
      <c r="Q7" s="159">
        <v>0</v>
      </c>
      <c r="R7" s="158">
        <v>0</v>
      </c>
      <c r="S7" s="158">
        <v>0</v>
      </c>
      <c r="T7" s="160">
        <v>0</v>
      </c>
      <c r="U7" s="160">
        <v>0</v>
      </c>
      <c r="V7" s="160">
        <v>0</v>
      </c>
      <c r="W7" s="160">
        <v>0</v>
      </c>
      <c r="X7" s="161">
        <f t="shared" ref="X7:Y65" si="0">+V7+T7+R7+P7+N7+L7+J7+H7+F7+D7</f>
        <v>530000</v>
      </c>
      <c r="Y7" s="161">
        <f t="shared" si="0"/>
        <v>530000</v>
      </c>
      <c r="Z7" s="162">
        <v>0</v>
      </c>
      <c r="AA7" s="162">
        <v>0</v>
      </c>
    </row>
    <row r="8" spans="1:31" ht="16.5" thickBot="1">
      <c r="A8" s="450"/>
      <c r="B8" s="156" t="s">
        <v>210</v>
      </c>
      <c r="C8" s="157" t="s">
        <v>211</v>
      </c>
      <c r="D8" s="158">
        <v>0</v>
      </c>
      <c r="E8" s="158">
        <v>0</v>
      </c>
      <c r="F8" s="158">
        <v>0</v>
      </c>
      <c r="G8" s="158">
        <v>0</v>
      </c>
      <c r="H8" s="158">
        <f>11910000+500000+10665000</f>
        <v>23075000</v>
      </c>
      <c r="I8" s="158">
        <v>21073508</v>
      </c>
      <c r="J8" s="158">
        <v>0</v>
      </c>
      <c r="K8" s="158">
        <v>0</v>
      </c>
      <c r="L8" s="159">
        <v>0</v>
      </c>
      <c r="M8" s="159">
        <v>0</v>
      </c>
      <c r="N8" s="158">
        <v>0</v>
      </c>
      <c r="O8" s="158">
        <v>0</v>
      </c>
      <c r="P8" s="159">
        <v>0</v>
      </c>
      <c r="Q8" s="159">
        <v>0</v>
      </c>
      <c r="R8" s="158">
        <v>0</v>
      </c>
      <c r="S8" s="158">
        <v>0</v>
      </c>
      <c r="T8" s="160">
        <f>11390757+2400000</f>
        <v>13790757</v>
      </c>
      <c r="U8" s="160">
        <f>11390757+2400000</f>
        <v>13790757</v>
      </c>
      <c r="V8" s="160">
        <f>3994771+162947+4500000</f>
        <v>8657718</v>
      </c>
      <c r="W8" s="160">
        <v>9207718</v>
      </c>
      <c r="X8" s="161">
        <f t="shared" si="0"/>
        <v>45523475</v>
      </c>
      <c r="Y8" s="161">
        <f t="shared" si="0"/>
        <v>44071983</v>
      </c>
      <c r="Z8" s="162">
        <v>0</v>
      </c>
      <c r="AA8" s="162">
        <v>0</v>
      </c>
    </row>
    <row r="9" spans="1:31" ht="16.5" thickBot="1">
      <c r="A9" s="450"/>
      <c r="B9" s="156" t="s">
        <v>212</v>
      </c>
      <c r="C9" s="157" t="s">
        <v>213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9">
        <v>0</v>
      </c>
      <c r="M9" s="159">
        <v>0</v>
      </c>
      <c r="N9" s="158">
        <v>0</v>
      </c>
      <c r="O9" s="158">
        <v>0</v>
      </c>
      <c r="P9" s="159">
        <v>0</v>
      </c>
      <c r="Q9" s="159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61">
        <f t="shared" si="0"/>
        <v>0</v>
      </c>
      <c r="Y9" s="161">
        <f t="shared" si="0"/>
        <v>0</v>
      </c>
      <c r="Z9" s="162">
        <v>0</v>
      </c>
      <c r="AA9" s="162">
        <v>0</v>
      </c>
    </row>
    <row r="10" spans="1:31" ht="16.5" thickBot="1">
      <c r="A10" s="450"/>
      <c r="B10" s="156" t="s">
        <v>214</v>
      </c>
      <c r="C10" s="163" t="s">
        <v>215</v>
      </c>
      <c r="D10" s="158">
        <v>6603930</v>
      </c>
      <c r="E10" s="158">
        <v>20033055</v>
      </c>
      <c r="F10" s="158">
        <v>643882</v>
      </c>
      <c r="G10" s="158">
        <v>1953222</v>
      </c>
      <c r="H10" s="158">
        <v>0</v>
      </c>
      <c r="I10" s="158">
        <v>2499135</v>
      </c>
      <c r="J10" s="158">
        <v>0</v>
      </c>
      <c r="K10" s="158">
        <v>0</v>
      </c>
      <c r="L10" s="159">
        <v>0</v>
      </c>
      <c r="M10" s="159">
        <v>0</v>
      </c>
      <c r="N10" s="158">
        <v>0</v>
      </c>
      <c r="O10" s="158">
        <v>0</v>
      </c>
      <c r="P10" s="159">
        <v>0</v>
      </c>
      <c r="Q10" s="159">
        <v>0</v>
      </c>
      <c r="R10" s="158">
        <v>0</v>
      </c>
      <c r="S10" s="158">
        <v>0</v>
      </c>
      <c r="T10" s="160">
        <v>0</v>
      </c>
      <c r="U10" s="160">
        <v>980000</v>
      </c>
      <c r="V10" s="160">
        <v>0</v>
      </c>
      <c r="W10" s="160">
        <v>270000</v>
      </c>
      <c r="X10" s="161">
        <f t="shared" si="0"/>
        <v>7247812</v>
      </c>
      <c r="Y10" s="161">
        <f t="shared" si="0"/>
        <v>25735412</v>
      </c>
      <c r="Z10" s="162">
        <v>27</v>
      </c>
      <c r="AA10" s="162">
        <v>15</v>
      </c>
    </row>
    <row r="11" spans="1:31" ht="16.5" thickBot="1">
      <c r="A11" s="450"/>
      <c r="B11" s="156" t="s">
        <v>216</v>
      </c>
      <c r="C11" s="163" t="s">
        <v>217</v>
      </c>
      <c r="D11" s="158">
        <v>0</v>
      </c>
      <c r="E11" s="158">
        <v>8805240</v>
      </c>
      <c r="F11" s="158">
        <v>0</v>
      </c>
      <c r="G11" s="158">
        <v>858492</v>
      </c>
      <c r="H11" s="158">
        <v>0</v>
      </c>
      <c r="I11" s="158">
        <v>4230730</v>
      </c>
      <c r="J11" s="158">
        <v>0</v>
      </c>
      <c r="K11" s="158">
        <v>0</v>
      </c>
      <c r="L11" s="159">
        <v>0</v>
      </c>
      <c r="M11" s="159">
        <v>0</v>
      </c>
      <c r="N11" s="158">
        <v>0</v>
      </c>
      <c r="O11" s="158">
        <v>0</v>
      </c>
      <c r="P11" s="159">
        <v>0</v>
      </c>
      <c r="Q11" s="159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61">
        <f t="shared" si="0"/>
        <v>0</v>
      </c>
      <c r="Y11" s="161">
        <f t="shared" si="0"/>
        <v>13894462</v>
      </c>
      <c r="Z11" s="162">
        <v>0</v>
      </c>
      <c r="AA11" s="162">
        <f>5+7</f>
        <v>12</v>
      </c>
    </row>
    <row r="12" spans="1:31" ht="16.5" thickBot="1">
      <c r="A12" s="450"/>
      <c r="B12" s="156" t="s">
        <v>218</v>
      </c>
      <c r="C12" s="163" t="s">
        <v>219</v>
      </c>
      <c r="D12" s="158">
        <v>3179670</v>
      </c>
      <c r="E12" s="158">
        <v>0</v>
      </c>
      <c r="F12" s="158">
        <v>310018</v>
      </c>
      <c r="G12" s="158">
        <v>0</v>
      </c>
      <c r="H12" s="158">
        <v>0</v>
      </c>
      <c r="I12" s="158">
        <v>95000</v>
      </c>
      <c r="J12" s="158">
        <v>0</v>
      </c>
      <c r="K12" s="158">
        <v>0</v>
      </c>
      <c r="L12" s="159">
        <v>0</v>
      </c>
      <c r="M12" s="159">
        <v>0</v>
      </c>
      <c r="N12" s="158">
        <v>0</v>
      </c>
      <c r="O12" s="158">
        <v>0</v>
      </c>
      <c r="P12" s="159">
        <v>0</v>
      </c>
      <c r="Q12" s="159">
        <v>0</v>
      </c>
      <c r="R12" s="158">
        <v>0</v>
      </c>
      <c r="S12" s="158">
        <v>0</v>
      </c>
      <c r="T12" s="160">
        <v>0</v>
      </c>
      <c r="U12" s="160">
        <v>0</v>
      </c>
      <c r="V12" s="160">
        <v>0</v>
      </c>
      <c r="W12" s="160">
        <v>0</v>
      </c>
      <c r="X12" s="161">
        <f t="shared" si="0"/>
        <v>3489688</v>
      </c>
      <c r="Y12" s="161">
        <f t="shared" si="0"/>
        <v>95000</v>
      </c>
      <c r="Z12" s="162">
        <f>5+8</f>
        <v>13</v>
      </c>
      <c r="AA12" s="162">
        <v>0</v>
      </c>
    </row>
    <row r="13" spans="1:31" ht="16.5" thickBot="1">
      <c r="A13" s="450"/>
      <c r="B13" s="164" t="s">
        <v>220</v>
      </c>
      <c r="C13" s="163" t="s">
        <v>221</v>
      </c>
      <c r="D13" s="158">
        <v>0</v>
      </c>
      <c r="E13" s="158">
        <v>0</v>
      </c>
      <c r="F13" s="158">
        <v>0</v>
      </c>
      <c r="G13" s="158">
        <v>0</v>
      </c>
      <c r="H13" s="158">
        <v>5350000</v>
      </c>
      <c r="I13" s="158">
        <v>9757132</v>
      </c>
      <c r="J13" s="158">
        <v>0</v>
      </c>
      <c r="K13" s="158">
        <v>0</v>
      </c>
      <c r="L13" s="159">
        <v>0</v>
      </c>
      <c r="M13" s="159">
        <v>0</v>
      </c>
      <c r="N13" s="158">
        <v>0</v>
      </c>
      <c r="O13" s="158">
        <v>0</v>
      </c>
      <c r="P13" s="159">
        <v>0</v>
      </c>
      <c r="Q13" s="159">
        <v>0</v>
      </c>
      <c r="R13" s="158">
        <v>0</v>
      </c>
      <c r="S13" s="158">
        <v>0</v>
      </c>
      <c r="T13" s="160">
        <v>23346577</v>
      </c>
      <c r="U13" s="160">
        <v>22423445</v>
      </c>
      <c r="V13" s="160">
        <f>30550358+492000+1609850+200000+200000</f>
        <v>33052208</v>
      </c>
      <c r="W13" s="160">
        <f>30550358+492000+1609850+200000+200000</f>
        <v>33052208</v>
      </c>
      <c r="X13" s="161">
        <f t="shared" si="0"/>
        <v>61748785</v>
      </c>
      <c r="Y13" s="161">
        <f t="shared" si="0"/>
        <v>65232785</v>
      </c>
      <c r="Z13" s="162">
        <v>0</v>
      </c>
      <c r="AA13" s="162">
        <v>0</v>
      </c>
    </row>
    <row r="14" spans="1:31" ht="16.5" thickBot="1">
      <c r="A14" s="450"/>
      <c r="B14" s="156" t="s">
        <v>222</v>
      </c>
      <c r="C14" s="163" t="s">
        <v>223</v>
      </c>
      <c r="D14" s="158">
        <v>0</v>
      </c>
      <c r="E14" s="158">
        <v>0</v>
      </c>
      <c r="F14" s="158">
        <v>0</v>
      </c>
      <c r="G14" s="158">
        <v>0</v>
      </c>
      <c r="H14" s="158">
        <v>0</v>
      </c>
      <c r="I14" s="158">
        <v>0</v>
      </c>
      <c r="J14" s="158">
        <v>140000</v>
      </c>
      <c r="K14" s="158">
        <v>140000</v>
      </c>
      <c r="L14" s="159">
        <v>0</v>
      </c>
      <c r="M14" s="159">
        <v>0</v>
      </c>
      <c r="N14" s="158">
        <v>0</v>
      </c>
      <c r="O14" s="158">
        <v>0</v>
      </c>
      <c r="P14" s="159">
        <v>0</v>
      </c>
      <c r="Q14" s="159">
        <v>0</v>
      </c>
      <c r="R14" s="158">
        <v>0</v>
      </c>
      <c r="S14" s="158">
        <v>0</v>
      </c>
      <c r="T14" s="160">
        <v>0</v>
      </c>
      <c r="U14" s="160">
        <v>0</v>
      </c>
      <c r="V14" s="160">
        <v>0</v>
      </c>
      <c r="W14" s="160">
        <v>0</v>
      </c>
      <c r="X14" s="161">
        <f t="shared" si="0"/>
        <v>140000</v>
      </c>
      <c r="Y14" s="161">
        <f t="shared" si="0"/>
        <v>140000</v>
      </c>
      <c r="Z14" s="162">
        <v>0</v>
      </c>
      <c r="AA14" s="162">
        <v>0</v>
      </c>
    </row>
    <row r="15" spans="1:31" ht="16.5" thickBot="1">
      <c r="A15" s="450"/>
      <c r="B15" s="156" t="s">
        <v>224</v>
      </c>
      <c r="C15" s="163" t="s">
        <v>225</v>
      </c>
      <c r="D15" s="158">
        <v>0</v>
      </c>
      <c r="E15" s="158">
        <v>0</v>
      </c>
      <c r="F15" s="158">
        <v>0</v>
      </c>
      <c r="G15" s="158">
        <v>0</v>
      </c>
      <c r="H15" s="158">
        <v>2490000</v>
      </c>
      <c r="I15" s="158">
        <v>2490000</v>
      </c>
      <c r="J15" s="158">
        <v>0</v>
      </c>
      <c r="K15" s="158">
        <v>0</v>
      </c>
      <c r="L15" s="159">
        <v>0</v>
      </c>
      <c r="M15" s="159">
        <v>0</v>
      </c>
      <c r="N15" s="158">
        <f>34610642-2490000</f>
        <v>32120642</v>
      </c>
      <c r="O15" s="158">
        <f>34610642-2490000</f>
        <v>32120642</v>
      </c>
      <c r="P15" s="159">
        <v>0</v>
      </c>
      <c r="Q15" s="159">
        <v>0</v>
      </c>
      <c r="R15" s="158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1">
        <f t="shared" si="0"/>
        <v>34610642</v>
      </c>
      <c r="Y15" s="161">
        <f t="shared" si="0"/>
        <v>34610642</v>
      </c>
      <c r="Z15" s="162">
        <v>0</v>
      </c>
      <c r="AA15" s="162">
        <v>0</v>
      </c>
    </row>
    <row r="16" spans="1:31" ht="16.5" thickBot="1">
      <c r="A16" s="450"/>
      <c r="B16" s="156" t="s">
        <v>226</v>
      </c>
      <c r="C16" s="163" t="s">
        <v>227</v>
      </c>
      <c r="D16" s="158">
        <v>0</v>
      </c>
      <c r="E16" s="158">
        <v>2340000</v>
      </c>
      <c r="F16" s="158">
        <v>0</v>
      </c>
      <c r="G16" s="158">
        <v>456300</v>
      </c>
      <c r="H16" s="158">
        <v>0</v>
      </c>
      <c r="I16" s="158">
        <v>2536447</v>
      </c>
      <c r="J16" s="158">
        <v>0</v>
      </c>
      <c r="K16" s="158">
        <v>0</v>
      </c>
      <c r="L16" s="159">
        <v>0</v>
      </c>
      <c r="M16" s="159">
        <v>0</v>
      </c>
      <c r="N16" s="158">
        <v>0</v>
      </c>
      <c r="O16" s="158">
        <v>0</v>
      </c>
      <c r="P16" s="159">
        <v>0</v>
      </c>
      <c r="Q16" s="159">
        <v>0</v>
      </c>
      <c r="R16" s="158">
        <v>0</v>
      </c>
      <c r="S16" s="160">
        <v>0</v>
      </c>
      <c r="T16" s="160">
        <v>0</v>
      </c>
      <c r="U16" s="160">
        <v>7999996</v>
      </c>
      <c r="V16" s="160">
        <v>0</v>
      </c>
      <c r="W16" s="160">
        <v>14999998</v>
      </c>
      <c r="X16" s="161">
        <f t="shared" si="0"/>
        <v>0</v>
      </c>
      <c r="Y16" s="161">
        <f t="shared" si="0"/>
        <v>28332741</v>
      </c>
      <c r="Z16" s="162">
        <v>0</v>
      </c>
      <c r="AA16" s="162">
        <v>1</v>
      </c>
      <c r="AB16" s="4" t="s">
        <v>228</v>
      </c>
    </row>
    <row r="17" spans="1:28" ht="16.5" thickBot="1">
      <c r="A17" s="450"/>
      <c r="B17" s="156" t="s">
        <v>229</v>
      </c>
      <c r="C17" s="163" t="s">
        <v>230</v>
      </c>
      <c r="D17" s="158">
        <v>0</v>
      </c>
      <c r="E17" s="158">
        <v>0</v>
      </c>
      <c r="F17" s="158">
        <v>0</v>
      </c>
      <c r="G17" s="158">
        <v>0</v>
      </c>
      <c r="H17" s="158">
        <v>750000</v>
      </c>
      <c r="I17" s="158">
        <v>14723799</v>
      </c>
      <c r="J17" s="158">
        <v>0</v>
      </c>
      <c r="K17" s="158">
        <v>0</v>
      </c>
      <c r="L17" s="159">
        <v>0</v>
      </c>
      <c r="M17" s="159">
        <v>0</v>
      </c>
      <c r="N17" s="158">
        <f>68457822-750000</f>
        <v>67707822</v>
      </c>
      <c r="O17" s="158">
        <v>53319150</v>
      </c>
      <c r="P17" s="159">
        <v>0</v>
      </c>
      <c r="Q17" s="159">
        <v>0</v>
      </c>
      <c r="R17" s="158">
        <v>0</v>
      </c>
      <c r="S17" s="158">
        <v>0</v>
      </c>
      <c r="T17" s="160">
        <v>0</v>
      </c>
      <c r="U17" s="160">
        <v>0</v>
      </c>
      <c r="V17" s="160">
        <v>0</v>
      </c>
      <c r="W17" s="160">
        <v>414873</v>
      </c>
      <c r="X17" s="161">
        <f t="shared" si="0"/>
        <v>68457822</v>
      </c>
      <c r="Y17" s="161">
        <f t="shared" si="0"/>
        <v>68457822</v>
      </c>
      <c r="Z17" s="162">
        <v>0</v>
      </c>
      <c r="AA17" s="162">
        <v>0</v>
      </c>
    </row>
    <row r="18" spans="1:28" ht="16.5" thickBot="1">
      <c r="A18" s="450"/>
      <c r="B18" s="156" t="s">
        <v>231</v>
      </c>
      <c r="C18" s="163" t="s">
        <v>232</v>
      </c>
      <c r="D18" s="158">
        <v>0</v>
      </c>
      <c r="E18" s="158">
        <v>0</v>
      </c>
      <c r="F18" s="158">
        <v>0</v>
      </c>
      <c r="G18" s="158">
        <v>0</v>
      </c>
      <c r="H18" s="158">
        <v>6400000</v>
      </c>
      <c r="I18" s="158">
        <v>6400000</v>
      </c>
      <c r="J18" s="158">
        <v>0</v>
      </c>
      <c r="K18" s="158">
        <v>0</v>
      </c>
      <c r="L18" s="159">
        <v>0</v>
      </c>
      <c r="M18" s="159">
        <v>0</v>
      </c>
      <c r="N18" s="158">
        <v>0</v>
      </c>
      <c r="O18" s="158">
        <v>0</v>
      </c>
      <c r="P18" s="159">
        <v>0</v>
      </c>
      <c r="Q18" s="159">
        <v>0</v>
      </c>
      <c r="R18" s="158">
        <v>0</v>
      </c>
      <c r="S18" s="158">
        <v>0</v>
      </c>
      <c r="T18" s="160">
        <v>0</v>
      </c>
      <c r="U18" s="160">
        <v>0</v>
      </c>
      <c r="V18" s="160">
        <v>0</v>
      </c>
      <c r="W18" s="160">
        <v>0</v>
      </c>
      <c r="X18" s="161">
        <f t="shared" si="0"/>
        <v>6400000</v>
      </c>
      <c r="Y18" s="161">
        <f t="shared" si="0"/>
        <v>6400000</v>
      </c>
      <c r="Z18" s="162">
        <v>0</v>
      </c>
      <c r="AA18" s="162">
        <v>0</v>
      </c>
    </row>
    <row r="19" spans="1:28" ht="16.5" thickBot="1">
      <c r="A19" s="450"/>
      <c r="B19" s="156" t="s">
        <v>233</v>
      </c>
      <c r="C19" s="163" t="s">
        <v>234</v>
      </c>
      <c r="D19" s="158">
        <v>2380500</v>
      </c>
      <c r="E19" s="158">
        <v>2380500</v>
      </c>
      <c r="F19" s="158">
        <v>464198</v>
      </c>
      <c r="G19" s="158">
        <v>464198</v>
      </c>
      <c r="H19" s="158">
        <v>2000000</v>
      </c>
      <c r="I19" s="158">
        <v>1800000</v>
      </c>
      <c r="J19" s="158">
        <v>0</v>
      </c>
      <c r="K19" s="158">
        <v>0</v>
      </c>
      <c r="L19" s="159">
        <v>0</v>
      </c>
      <c r="M19" s="159">
        <v>0</v>
      </c>
      <c r="N19" s="158">
        <v>0</v>
      </c>
      <c r="O19" s="158">
        <v>0</v>
      </c>
      <c r="P19" s="159">
        <v>0</v>
      </c>
      <c r="Q19" s="159">
        <v>0</v>
      </c>
      <c r="R19" s="158">
        <v>0</v>
      </c>
      <c r="S19" s="158">
        <v>0</v>
      </c>
      <c r="T19" s="160">
        <v>0</v>
      </c>
      <c r="U19" s="160">
        <v>0</v>
      </c>
      <c r="V19" s="160">
        <v>0</v>
      </c>
      <c r="W19" s="160">
        <v>0</v>
      </c>
      <c r="X19" s="161">
        <f t="shared" si="0"/>
        <v>4844698</v>
      </c>
      <c r="Y19" s="161">
        <f t="shared" si="0"/>
        <v>4644698</v>
      </c>
      <c r="Z19" s="162">
        <v>1</v>
      </c>
      <c r="AA19" s="162">
        <v>1</v>
      </c>
    </row>
    <row r="20" spans="1:28" ht="16.5" thickBot="1">
      <c r="A20" s="450"/>
      <c r="B20" s="156" t="s">
        <v>235</v>
      </c>
      <c r="C20" s="163" t="s">
        <v>236</v>
      </c>
      <c r="D20" s="158">
        <v>21692500</v>
      </c>
      <c r="E20" s="158">
        <v>22920000</v>
      </c>
      <c r="F20" s="158">
        <v>4100087</v>
      </c>
      <c r="G20" s="158">
        <v>4310012</v>
      </c>
      <c r="H20" s="158">
        <f>14530000+4584000+500000+386000+500000</f>
        <v>20500000</v>
      </c>
      <c r="I20" s="158">
        <v>16510920</v>
      </c>
      <c r="J20" s="158">
        <f>2400000+61250+500000+20000+200000+200000</f>
        <v>3381250</v>
      </c>
      <c r="K20" s="158">
        <f>4748675-O20</f>
        <v>2481250</v>
      </c>
      <c r="L20" s="159">
        <v>0</v>
      </c>
      <c r="M20" s="159">
        <v>0</v>
      </c>
      <c r="N20" s="158">
        <v>2267425</v>
      </c>
      <c r="O20" s="158">
        <v>2267425</v>
      </c>
      <c r="P20" s="159">
        <v>0</v>
      </c>
      <c r="Q20" s="159">
        <v>0</v>
      </c>
      <c r="R20" s="158">
        <v>0</v>
      </c>
      <c r="S20" s="158">
        <v>0</v>
      </c>
      <c r="T20" s="160">
        <v>9827883</v>
      </c>
      <c r="U20" s="160">
        <v>9827883</v>
      </c>
      <c r="V20" s="160">
        <v>0</v>
      </c>
      <c r="W20" s="160">
        <v>0</v>
      </c>
      <c r="X20" s="161">
        <f t="shared" si="0"/>
        <v>61769145</v>
      </c>
      <c r="Y20" s="161">
        <f t="shared" si="0"/>
        <v>58317490</v>
      </c>
      <c r="Z20" s="162">
        <v>9</v>
      </c>
      <c r="AA20" s="162">
        <v>10</v>
      </c>
      <c r="AB20" s="4" t="s">
        <v>237</v>
      </c>
    </row>
    <row r="21" spans="1:28" ht="16.5" thickBot="1">
      <c r="A21" s="450"/>
      <c r="B21" s="156" t="s">
        <v>238</v>
      </c>
      <c r="C21" s="163" t="s">
        <v>239</v>
      </c>
      <c r="D21" s="158">
        <v>0</v>
      </c>
      <c r="E21" s="158">
        <v>0</v>
      </c>
      <c r="F21" s="158">
        <v>0</v>
      </c>
      <c r="G21" s="158">
        <v>0</v>
      </c>
      <c r="H21" s="158">
        <v>2120000</v>
      </c>
      <c r="I21" s="158">
        <v>3875900</v>
      </c>
      <c r="J21" s="158">
        <v>0</v>
      </c>
      <c r="K21" s="158">
        <v>0</v>
      </c>
      <c r="L21" s="159">
        <v>0</v>
      </c>
      <c r="M21" s="159">
        <v>0</v>
      </c>
      <c r="N21" s="158">
        <v>0</v>
      </c>
      <c r="O21" s="158">
        <v>0</v>
      </c>
      <c r="P21" s="159">
        <v>0</v>
      </c>
      <c r="Q21" s="159">
        <v>0</v>
      </c>
      <c r="R21" s="158">
        <v>0</v>
      </c>
      <c r="S21" s="158">
        <v>0</v>
      </c>
      <c r="T21" s="160">
        <f>148074197+1750000</f>
        <v>149824197</v>
      </c>
      <c r="U21" s="160">
        <v>268750</v>
      </c>
      <c r="V21" s="160">
        <v>0</v>
      </c>
      <c r="W21" s="160">
        <v>0</v>
      </c>
      <c r="X21" s="161">
        <f t="shared" si="0"/>
        <v>151944197</v>
      </c>
      <c r="Y21" s="161">
        <f t="shared" si="0"/>
        <v>4144650</v>
      </c>
      <c r="Z21" s="162">
        <v>0</v>
      </c>
      <c r="AA21" s="162">
        <v>0</v>
      </c>
    </row>
    <row r="22" spans="1:28" ht="16.5" thickBot="1">
      <c r="A22" s="450"/>
      <c r="B22" s="156" t="s">
        <v>240</v>
      </c>
      <c r="C22" s="157" t="s">
        <v>241</v>
      </c>
      <c r="D22" s="158">
        <v>11591976</v>
      </c>
      <c r="E22" s="158">
        <v>12994104</v>
      </c>
      <c r="F22" s="158">
        <v>2260435</v>
      </c>
      <c r="G22" s="158">
        <v>2505807</v>
      </c>
      <c r="H22" s="158">
        <v>1700000</v>
      </c>
      <c r="I22" s="158">
        <v>1700000</v>
      </c>
      <c r="J22" s="158">
        <v>0</v>
      </c>
      <c r="K22" s="158">
        <v>0</v>
      </c>
      <c r="L22" s="159">
        <v>0</v>
      </c>
      <c r="M22" s="159">
        <v>0</v>
      </c>
      <c r="N22" s="158">
        <v>0</v>
      </c>
      <c r="O22" s="158">
        <v>0</v>
      </c>
      <c r="P22" s="159">
        <v>0</v>
      </c>
      <c r="Q22" s="159">
        <v>0</v>
      </c>
      <c r="R22" s="158">
        <v>0</v>
      </c>
      <c r="S22" s="158">
        <v>0</v>
      </c>
      <c r="T22" s="160">
        <v>130000</v>
      </c>
      <c r="U22" s="160">
        <v>130000</v>
      </c>
      <c r="V22" s="160">
        <v>0</v>
      </c>
      <c r="W22" s="160">
        <v>0</v>
      </c>
      <c r="X22" s="161">
        <f t="shared" si="0"/>
        <v>15682411</v>
      </c>
      <c r="Y22" s="161">
        <f t="shared" si="0"/>
        <v>17329911</v>
      </c>
      <c r="Z22" s="162">
        <v>3</v>
      </c>
      <c r="AA22" s="162">
        <v>3</v>
      </c>
    </row>
    <row r="23" spans="1:28" ht="16.5" thickBot="1">
      <c r="A23" s="450"/>
      <c r="B23" s="165" t="s">
        <v>242</v>
      </c>
      <c r="C23" s="157" t="s">
        <v>243</v>
      </c>
      <c r="D23" s="158">
        <v>120000</v>
      </c>
      <c r="E23" s="158">
        <v>120000</v>
      </c>
      <c r="F23" s="158">
        <v>23400</v>
      </c>
      <c r="G23" s="158">
        <v>23400</v>
      </c>
      <c r="H23" s="158">
        <v>2330000</v>
      </c>
      <c r="I23" s="158">
        <v>2330000</v>
      </c>
      <c r="J23" s="158">
        <v>1500000</v>
      </c>
      <c r="K23" s="158">
        <v>0</v>
      </c>
      <c r="L23" s="159">
        <v>0</v>
      </c>
      <c r="M23" s="159">
        <v>0</v>
      </c>
      <c r="N23" s="158">
        <v>0</v>
      </c>
      <c r="O23" s="158">
        <v>0</v>
      </c>
      <c r="P23" s="159">
        <v>0</v>
      </c>
      <c r="Q23" s="159">
        <v>0</v>
      </c>
      <c r="R23" s="158">
        <v>0</v>
      </c>
      <c r="S23" s="158">
        <v>0</v>
      </c>
      <c r="T23" s="160">
        <v>23529412</v>
      </c>
      <c r="U23" s="160">
        <v>11734287</v>
      </c>
      <c r="V23" s="160">
        <v>0</v>
      </c>
      <c r="W23" s="160">
        <v>11795125</v>
      </c>
      <c r="X23" s="161">
        <f t="shared" si="0"/>
        <v>27502812</v>
      </c>
      <c r="Y23" s="161">
        <f t="shared" si="0"/>
        <v>26002812</v>
      </c>
      <c r="Z23" s="162">
        <v>0</v>
      </c>
      <c r="AA23" s="162">
        <v>0</v>
      </c>
    </row>
    <row r="24" spans="1:28" ht="16.5" thickBot="1">
      <c r="A24" s="450"/>
      <c r="B24" s="156" t="s">
        <v>244</v>
      </c>
      <c r="C24" s="157" t="s">
        <v>245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79255883</v>
      </c>
      <c r="K24" s="158">
        <f>246919262-K25-K26</f>
        <v>91149262</v>
      </c>
      <c r="L24" s="159">
        <v>0</v>
      </c>
      <c r="M24" s="159">
        <v>0</v>
      </c>
      <c r="N24" s="158">
        <v>0</v>
      </c>
      <c r="O24" s="158">
        <v>0</v>
      </c>
      <c r="P24" s="159">
        <v>0</v>
      </c>
      <c r="Q24" s="159">
        <v>0</v>
      </c>
      <c r="R24" s="158">
        <v>0</v>
      </c>
      <c r="S24" s="158">
        <v>0</v>
      </c>
      <c r="T24" s="160">
        <v>0</v>
      </c>
      <c r="U24" s="160">
        <v>0</v>
      </c>
      <c r="V24" s="160">
        <v>0</v>
      </c>
      <c r="W24" s="160">
        <v>0</v>
      </c>
      <c r="X24" s="161">
        <f t="shared" si="0"/>
        <v>79255883</v>
      </c>
      <c r="Y24" s="161">
        <f t="shared" si="0"/>
        <v>91149262</v>
      </c>
      <c r="Z24" s="162">
        <v>0</v>
      </c>
      <c r="AA24" s="162">
        <v>0</v>
      </c>
    </row>
    <row r="25" spans="1:28" ht="42" customHeight="1" thickBot="1">
      <c r="A25" s="450"/>
      <c r="B25" s="156" t="s">
        <v>244</v>
      </c>
      <c r="C25" s="166" t="s">
        <v>246</v>
      </c>
      <c r="D25" s="158">
        <v>0</v>
      </c>
      <c r="E25" s="158">
        <v>0</v>
      </c>
      <c r="F25" s="158">
        <v>0</v>
      </c>
      <c r="G25" s="158">
        <v>0</v>
      </c>
      <c r="H25" s="158">
        <v>0</v>
      </c>
      <c r="I25" s="158">
        <v>0</v>
      </c>
      <c r="J25" s="158">
        <f>150000+110000+10000</f>
        <v>270000</v>
      </c>
      <c r="K25" s="158">
        <f>150000+110000+10000</f>
        <v>270000</v>
      </c>
      <c r="L25" s="158">
        <v>0</v>
      </c>
      <c r="M25" s="158">
        <v>0</v>
      </c>
      <c r="N25" s="158">
        <v>0</v>
      </c>
      <c r="O25" s="158">
        <v>0</v>
      </c>
      <c r="P25" s="158">
        <v>0</v>
      </c>
      <c r="Q25" s="158">
        <v>0</v>
      </c>
      <c r="R25" s="158">
        <v>0</v>
      </c>
      <c r="S25" s="158">
        <v>0</v>
      </c>
      <c r="T25" s="158">
        <v>0</v>
      </c>
      <c r="U25" s="158">
        <v>0</v>
      </c>
      <c r="V25" s="158">
        <v>0</v>
      </c>
      <c r="W25" s="158">
        <v>0</v>
      </c>
      <c r="X25" s="161">
        <f t="shared" si="0"/>
        <v>270000</v>
      </c>
      <c r="Y25" s="161">
        <f t="shared" si="0"/>
        <v>270000</v>
      </c>
      <c r="Z25" s="162"/>
      <c r="AA25" s="162"/>
    </row>
    <row r="26" spans="1:28" ht="42" customHeight="1" thickBot="1">
      <c r="A26" s="450"/>
      <c r="B26" s="156" t="s">
        <v>244</v>
      </c>
      <c r="C26" s="166" t="s">
        <v>247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58">
        <v>155500000</v>
      </c>
      <c r="L26" s="158">
        <v>0</v>
      </c>
      <c r="M26" s="158">
        <v>0</v>
      </c>
      <c r="N26" s="158">
        <v>0</v>
      </c>
      <c r="O26" s="158">
        <v>0</v>
      </c>
      <c r="P26" s="158">
        <v>0</v>
      </c>
      <c r="Q26" s="158">
        <v>0</v>
      </c>
      <c r="R26" s="158">
        <v>0</v>
      </c>
      <c r="S26" s="158">
        <v>0</v>
      </c>
      <c r="T26" s="158">
        <v>0</v>
      </c>
      <c r="U26" s="158">
        <v>0</v>
      </c>
      <c r="V26" s="158">
        <v>0</v>
      </c>
      <c r="W26" s="158">
        <v>0</v>
      </c>
      <c r="X26" s="161">
        <f t="shared" si="0"/>
        <v>0</v>
      </c>
      <c r="Y26" s="161">
        <f t="shared" si="0"/>
        <v>155500000</v>
      </c>
      <c r="Z26" s="162"/>
      <c r="AA26" s="162"/>
    </row>
    <row r="27" spans="1:28" ht="16.5" thickBot="1">
      <c r="A27" s="450"/>
      <c r="B27" s="156" t="s">
        <v>248</v>
      </c>
      <c r="C27" s="157" t="s">
        <v>249</v>
      </c>
      <c r="D27" s="158">
        <v>5545044</v>
      </c>
      <c r="E27" s="158">
        <v>5715044</v>
      </c>
      <c r="F27" s="158">
        <v>1081284</v>
      </c>
      <c r="G27" s="158">
        <v>1081284</v>
      </c>
      <c r="H27" s="158">
        <f>144000+2410000+40000+106000</f>
        <v>2700000</v>
      </c>
      <c r="I27" s="158">
        <v>2530000</v>
      </c>
      <c r="J27" s="158">
        <v>0</v>
      </c>
      <c r="K27" s="158">
        <v>0</v>
      </c>
      <c r="L27" s="159">
        <v>0</v>
      </c>
      <c r="M27" s="159">
        <v>0</v>
      </c>
      <c r="N27" s="158">
        <v>0</v>
      </c>
      <c r="O27" s="158">
        <v>0</v>
      </c>
      <c r="P27" s="159">
        <v>0</v>
      </c>
      <c r="Q27" s="159">
        <v>0</v>
      </c>
      <c r="R27" s="158">
        <v>0</v>
      </c>
      <c r="S27" s="158">
        <v>0</v>
      </c>
      <c r="T27" s="160">
        <f>200000+50000</f>
        <v>250000</v>
      </c>
      <c r="U27" s="160">
        <f>200000+50000</f>
        <v>250000</v>
      </c>
      <c r="V27" s="160">
        <v>150000</v>
      </c>
      <c r="W27" s="160">
        <v>150000</v>
      </c>
      <c r="X27" s="161">
        <f t="shared" si="0"/>
        <v>9726328</v>
      </c>
      <c r="Y27" s="161">
        <f t="shared" si="0"/>
        <v>9726328</v>
      </c>
      <c r="Z27" s="162">
        <v>2</v>
      </c>
      <c r="AA27" s="162">
        <v>2</v>
      </c>
    </row>
    <row r="28" spans="1:28" ht="16.5" thickBot="1">
      <c r="A28" s="450"/>
      <c r="B28" s="156" t="s">
        <v>250</v>
      </c>
      <c r="C28" s="157" t="s">
        <v>251</v>
      </c>
      <c r="D28" s="158">
        <v>0</v>
      </c>
      <c r="E28" s="158">
        <v>0</v>
      </c>
      <c r="F28" s="158">
        <v>0</v>
      </c>
      <c r="G28" s="158">
        <v>0</v>
      </c>
      <c r="H28" s="158">
        <v>600000</v>
      </c>
      <c r="I28" s="158">
        <v>600000</v>
      </c>
      <c r="J28" s="158">
        <v>0</v>
      </c>
      <c r="K28" s="158">
        <v>0</v>
      </c>
      <c r="L28" s="159">
        <v>0</v>
      </c>
      <c r="M28" s="159">
        <v>0</v>
      </c>
      <c r="N28" s="158">
        <v>5056084</v>
      </c>
      <c r="O28" s="158">
        <v>5056084</v>
      </c>
      <c r="P28" s="159">
        <v>0</v>
      </c>
      <c r="Q28" s="159">
        <v>0</v>
      </c>
      <c r="R28" s="158">
        <v>0</v>
      </c>
      <c r="S28" s="158">
        <v>0</v>
      </c>
      <c r="T28" s="160">
        <v>500000</v>
      </c>
      <c r="U28" s="160">
        <v>500000</v>
      </c>
      <c r="V28" s="160">
        <v>1000000</v>
      </c>
      <c r="W28" s="160">
        <v>1000000</v>
      </c>
      <c r="X28" s="161">
        <f t="shared" si="0"/>
        <v>7156084</v>
      </c>
      <c r="Y28" s="161">
        <f t="shared" si="0"/>
        <v>7156084</v>
      </c>
      <c r="Z28" s="162">
        <v>0</v>
      </c>
      <c r="AA28" s="162">
        <v>0</v>
      </c>
    </row>
    <row r="29" spans="1:28" ht="32.25" thickBot="1">
      <c r="A29" s="450"/>
      <c r="B29" s="156" t="s">
        <v>252</v>
      </c>
      <c r="C29" s="166" t="s">
        <v>253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58">
        <v>4279265</v>
      </c>
      <c r="J29" s="158">
        <v>0</v>
      </c>
      <c r="K29" s="158">
        <v>0</v>
      </c>
      <c r="L29" s="159">
        <v>0</v>
      </c>
      <c r="M29" s="159">
        <v>0</v>
      </c>
      <c r="N29" s="158">
        <v>0</v>
      </c>
      <c r="O29" s="158">
        <v>0</v>
      </c>
      <c r="P29" s="159">
        <v>0</v>
      </c>
      <c r="Q29" s="159">
        <v>0</v>
      </c>
      <c r="R29" s="158">
        <v>0</v>
      </c>
      <c r="S29" s="158">
        <v>0</v>
      </c>
      <c r="T29" s="160">
        <v>0</v>
      </c>
      <c r="U29" s="160">
        <v>0</v>
      </c>
      <c r="V29" s="160">
        <v>0</v>
      </c>
      <c r="W29" s="160">
        <v>0</v>
      </c>
      <c r="X29" s="161">
        <f t="shared" si="0"/>
        <v>0</v>
      </c>
      <c r="Y29" s="161">
        <f t="shared" si="0"/>
        <v>4279265</v>
      </c>
      <c r="Z29" s="162">
        <v>0</v>
      </c>
      <c r="AA29" s="162"/>
    </row>
    <row r="30" spans="1:28" ht="16.5" thickBot="1">
      <c r="A30" s="450"/>
      <c r="B30" s="156" t="s">
        <v>254</v>
      </c>
      <c r="C30" s="157" t="s">
        <v>255</v>
      </c>
      <c r="D30" s="158">
        <v>0</v>
      </c>
      <c r="E30" s="158">
        <v>0</v>
      </c>
      <c r="F30" s="158">
        <v>0</v>
      </c>
      <c r="G30" s="158">
        <v>0</v>
      </c>
      <c r="H30" s="158">
        <v>0</v>
      </c>
      <c r="I30" s="158">
        <v>0</v>
      </c>
      <c r="J30" s="158">
        <v>0</v>
      </c>
      <c r="K30" s="158">
        <v>0</v>
      </c>
      <c r="L30" s="159">
        <f>700000+1600000+100000</f>
        <v>2400000</v>
      </c>
      <c r="M30" s="159">
        <f>700000+1600000+100000</f>
        <v>2400000</v>
      </c>
      <c r="N30" s="158">
        <v>0</v>
      </c>
      <c r="O30" s="158">
        <v>0</v>
      </c>
      <c r="P30" s="159">
        <v>0</v>
      </c>
      <c r="Q30" s="159">
        <v>0</v>
      </c>
      <c r="R30" s="158">
        <v>0</v>
      </c>
      <c r="S30" s="158">
        <v>0</v>
      </c>
      <c r="T30" s="160">
        <v>0</v>
      </c>
      <c r="U30" s="160">
        <v>0</v>
      </c>
      <c r="V30" s="160">
        <v>0</v>
      </c>
      <c r="W30" s="160">
        <v>0</v>
      </c>
      <c r="X30" s="161">
        <f t="shared" si="0"/>
        <v>2400000</v>
      </c>
      <c r="Y30" s="161">
        <f t="shared" si="0"/>
        <v>2400000</v>
      </c>
      <c r="Z30" s="162">
        <v>0</v>
      </c>
      <c r="AA30" s="162">
        <v>0</v>
      </c>
    </row>
    <row r="31" spans="1:28" ht="16.5" thickBot="1">
      <c r="A31" s="450"/>
      <c r="B31" s="156" t="s">
        <v>256</v>
      </c>
      <c r="C31" s="167" t="s">
        <v>257</v>
      </c>
      <c r="D31" s="158">
        <v>0</v>
      </c>
      <c r="E31" s="158">
        <v>0</v>
      </c>
      <c r="F31" s="158">
        <v>0</v>
      </c>
      <c r="G31" s="158">
        <v>0</v>
      </c>
      <c r="H31" s="158">
        <v>0</v>
      </c>
      <c r="I31" s="158">
        <v>159644</v>
      </c>
      <c r="J31" s="158">
        <v>0</v>
      </c>
      <c r="K31" s="158">
        <v>0</v>
      </c>
      <c r="L31" s="159">
        <v>0</v>
      </c>
      <c r="M31" s="159">
        <v>0</v>
      </c>
      <c r="N31" s="158">
        <v>0</v>
      </c>
      <c r="O31" s="158">
        <v>0</v>
      </c>
      <c r="P31" s="159">
        <v>0</v>
      </c>
      <c r="Q31" s="159">
        <v>0</v>
      </c>
      <c r="R31" s="158">
        <v>0</v>
      </c>
      <c r="S31" s="158">
        <v>0</v>
      </c>
      <c r="T31" s="160">
        <f>2734000+1700000+180000+500000</f>
        <v>5114000</v>
      </c>
      <c r="U31" s="160">
        <v>4715474</v>
      </c>
      <c r="V31" s="160">
        <v>0</v>
      </c>
      <c r="W31" s="160">
        <v>398526</v>
      </c>
      <c r="X31" s="161">
        <f t="shared" si="0"/>
        <v>5114000</v>
      </c>
      <c r="Y31" s="161">
        <f t="shared" si="0"/>
        <v>5273644</v>
      </c>
      <c r="Z31" s="162">
        <v>0</v>
      </c>
      <c r="AA31" s="162">
        <v>0</v>
      </c>
      <c r="AB31" s="149"/>
    </row>
    <row r="32" spans="1:28" ht="16.5" thickBot="1">
      <c r="A32" s="450"/>
      <c r="B32" s="156" t="s">
        <v>258</v>
      </c>
      <c r="C32" s="157" t="s">
        <v>259</v>
      </c>
      <c r="D32" s="158">
        <v>0</v>
      </c>
      <c r="E32" s="158">
        <v>0</v>
      </c>
      <c r="F32" s="158">
        <v>0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9">
        <v>0</v>
      </c>
      <c r="M32" s="159">
        <v>0</v>
      </c>
      <c r="N32" s="158">
        <v>0</v>
      </c>
      <c r="O32" s="158">
        <v>0</v>
      </c>
      <c r="P32" s="159">
        <v>10420711</v>
      </c>
      <c r="Q32" s="159">
        <v>10420711</v>
      </c>
      <c r="R32" s="158">
        <v>0</v>
      </c>
      <c r="S32" s="158">
        <v>0</v>
      </c>
      <c r="T32" s="158">
        <v>0</v>
      </c>
      <c r="U32" s="158">
        <v>0</v>
      </c>
      <c r="V32" s="158">
        <v>0</v>
      </c>
      <c r="W32" s="158">
        <v>0</v>
      </c>
      <c r="X32" s="161">
        <f t="shared" si="0"/>
        <v>10420711</v>
      </c>
      <c r="Y32" s="161">
        <f t="shared" si="0"/>
        <v>10420711</v>
      </c>
      <c r="Z32" s="162">
        <v>0</v>
      </c>
      <c r="AA32" s="162">
        <v>0</v>
      </c>
    </row>
    <row r="33" spans="1:30" ht="35.25" customHeight="1" thickBot="1">
      <c r="A33" s="450"/>
      <c r="B33" s="156" t="s">
        <v>260</v>
      </c>
      <c r="C33" s="157" t="s">
        <v>261</v>
      </c>
      <c r="D33" s="158">
        <v>0</v>
      </c>
      <c r="E33" s="158">
        <v>0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f>893700+749868</f>
        <v>1643568</v>
      </c>
      <c r="S33" s="158">
        <f>893700+749868</f>
        <v>1643568</v>
      </c>
      <c r="T33" s="158">
        <v>0</v>
      </c>
      <c r="U33" s="158">
        <v>0</v>
      </c>
      <c r="V33" s="158">
        <v>0</v>
      </c>
      <c r="W33" s="158">
        <v>0</v>
      </c>
      <c r="X33" s="161">
        <f t="shared" si="0"/>
        <v>1643568</v>
      </c>
      <c r="Y33" s="161">
        <f t="shared" si="0"/>
        <v>1643568</v>
      </c>
      <c r="Z33" s="162">
        <v>0</v>
      </c>
      <c r="AA33" s="162">
        <v>0</v>
      </c>
    </row>
    <row r="34" spans="1:30" ht="16.5" thickBot="1">
      <c r="A34" s="450"/>
      <c r="B34" s="168" t="s">
        <v>262</v>
      </c>
      <c r="C34" s="168"/>
      <c r="D34" s="161">
        <f>SUM(D6:D33)</f>
        <v>66615909</v>
      </c>
      <c r="E34" s="161">
        <f>SUM(E6:E33)</f>
        <v>90810232</v>
      </c>
      <c r="F34" s="161">
        <f>SUM(F6:F33)</f>
        <v>11926262</v>
      </c>
      <c r="G34" s="161">
        <f>SUM(G6:G33)</f>
        <v>14695673</v>
      </c>
      <c r="H34" s="161">
        <f t="shared" ref="H34:W34" si="1">SUM(H6:H33)</f>
        <v>74225000</v>
      </c>
      <c r="I34" s="161">
        <f t="shared" si="1"/>
        <v>101801480</v>
      </c>
      <c r="J34" s="161">
        <f t="shared" si="1"/>
        <v>84547133</v>
      </c>
      <c r="K34" s="161">
        <f t="shared" si="1"/>
        <v>249540512</v>
      </c>
      <c r="L34" s="161">
        <f t="shared" si="1"/>
        <v>2400000</v>
      </c>
      <c r="M34" s="161">
        <f t="shared" si="1"/>
        <v>2400000</v>
      </c>
      <c r="N34" s="161">
        <f t="shared" si="1"/>
        <v>107151973</v>
      </c>
      <c r="O34" s="161">
        <f t="shared" si="1"/>
        <v>92763301</v>
      </c>
      <c r="P34" s="161">
        <f t="shared" si="1"/>
        <v>10420711</v>
      </c>
      <c r="Q34" s="161">
        <f t="shared" si="1"/>
        <v>10420711</v>
      </c>
      <c r="R34" s="161">
        <f t="shared" si="1"/>
        <v>1643568</v>
      </c>
      <c r="S34" s="161">
        <f t="shared" si="1"/>
        <v>1643568</v>
      </c>
      <c r="T34" s="161">
        <f t="shared" si="1"/>
        <v>226312826</v>
      </c>
      <c r="U34" s="161">
        <f t="shared" si="1"/>
        <v>72620592</v>
      </c>
      <c r="V34" s="161">
        <f t="shared" si="1"/>
        <v>42859926</v>
      </c>
      <c r="W34" s="161">
        <f t="shared" si="1"/>
        <v>71288448</v>
      </c>
      <c r="X34" s="161">
        <f t="shared" si="0"/>
        <v>628103308</v>
      </c>
      <c r="Y34" s="161">
        <f t="shared" si="0"/>
        <v>707984517</v>
      </c>
      <c r="Z34" s="169">
        <f>SUM(Z6:Z33)</f>
        <v>56</v>
      </c>
      <c r="AA34" s="169">
        <f>SUM(AA6:AA33)</f>
        <v>45</v>
      </c>
      <c r="AC34" s="25"/>
      <c r="AD34" s="25"/>
    </row>
    <row r="35" spans="1:30" ht="16.5" thickBot="1">
      <c r="A35" s="450"/>
      <c r="B35" s="156" t="s">
        <v>263</v>
      </c>
      <c r="C35" s="157" t="s">
        <v>264</v>
      </c>
      <c r="D35" s="158">
        <v>770400</v>
      </c>
      <c r="E35" s="158">
        <v>770400</v>
      </c>
      <c r="F35" s="158">
        <v>0</v>
      </c>
      <c r="G35" s="158">
        <v>0</v>
      </c>
      <c r="H35" s="158">
        <v>395000</v>
      </c>
      <c r="I35" s="158">
        <v>395000</v>
      </c>
      <c r="J35" s="158">
        <v>0</v>
      </c>
      <c r="K35" s="158">
        <v>0</v>
      </c>
      <c r="L35" s="159">
        <v>0</v>
      </c>
      <c r="M35" s="159">
        <v>0</v>
      </c>
      <c r="N35" s="158">
        <v>0</v>
      </c>
      <c r="O35" s="158">
        <v>0</v>
      </c>
      <c r="P35" s="159">
        <v>0</v>
      </c>
      <c r="Q35" s="159">
        <v>0</v>
      </c>
      <c r="R35" s="158">
        <v>0</v>
      </c>
      <c r="S35" s="158">
        <v>0</v>
      </c>
      <c r="T35" s="158">
        <v>0</v>
      </c>
      <c r="U35" s="158">
        <v>0</v>
      </c>
      <c r="V35" s="158">
        <v>0</v>
      </c>
      <c r="W35" s="158">
        <v>0</v>
      </c>
      <c r="X35" s="161">
        <f t="shared" si="0"/>
        <v>1165400</v>
      </c>
      <c r="Y35" s="161">
        <f t="shared" si="0"/>
        <v>1165400</v>
      </c>
      <c r="Z35" s="162">
        <v>1</v>
      </c>
      <c r="AA35" s="162">
        <v>1</v>
      </c>
      <c r="AC35" s="25"/>
    </row>
    <row r="36" spans="1:30" ht="16.5" thickBot="1">
      <c r="A36" s="450"/>
      <c r="B36" s="156" t="s">
        <v>254</v>
      </c>
      <c r="C36" s="157" t="s">
        <v>265</v>
      </c>
      <c r="D36" s="158">
        <v>0</v>
      </c>
      <c r="E36" s="158">
        <v>0</v>
      </c>
      <c r="F36" s="158">
        <v>0</v>
      </c>
      <c r="G36" s="158">
        <v>0</v>
      </c>
      <c r="H36" s="158">
        <v>0</v>
      </c>
      <c r="I36" s="158">
        <v>0</v>
      </c>
      <c r="J36" s="158">
        <v>0</v>
      </c>
      <c r="K36" s="158">
        <v>0</v>
      </c>
      <c r="L36" s="159">
        <v>567000</v>
      </c>
      <c r="M36" s="159">
        <v>567000</v>
      </c>
      <c r="N36" s="158">
        <v>0</v>
      </c>
      <c r="O36" s="158">
        <v>0</v>
      </c>
      <c r="P36" s="159">
        <v>0</v>
      </c>
      <c r="Q36" s="159">
        <v>0</v>
      </c>
      <c r="R36" s="158">
        <v>0</v>
      </c>
      <c r="S36" s="158">
        <v>0</v>
      </c>
      <c r="T36" s="158">
        <v>0</v>
      </c>
      <c r="U36" s="158">
        <v>0</v>
      </c>
      <c r="V36" s="158">
        <v>0</v>
      </c>
      <c r="W36" s="158">
        <v>0</v>
      </c>
      <c r="X36" s="161">
        <f t="shared" si="0"/>
        <v>567000</v>
      </c>
      <c r="Y36" s="161">
        <f t="shared" si="0"/>
        <v>567000</v>
      </c>
      <c r="Z36" s="162">
        <v>0</v>
      </c>
      <c r="AA36" s="162">
        <v>0</v>
      </c>
      <c r="AC36" s="25"/>
    </row>
    <row r="37" spans="1:30" ht="32.25" customHeight="1" thickBot="1">
      <c r="A37" s="450"/>
      <c r="B37" s="156" t="s">
        <v>254</v>
      </c>
      <c r="C37" s="166" t="s">
        <v>266</v>
      </c>
      <c r="D37" s="158">
        <v>0</v>
      </c>
      <c r="E37" s="158">
        <v>0</v>
      </c>
      <c r="F37" s="158">
        <v>0</v>
      </c>
      <c r="G37" s="158">
        <v>0</v>
      </c>
      <c r="H37" s="158">
        <v>0</v>
      </c>
      <c r="I37" s="158">
        <v>0</v>
      </c>
      <c r="J37" s="158">
        <v>0</v>
      </c>
      <c r="K37" s="158">
        <v>0</v>
      </c>
      <c r="L37" s="159">
        <v>800000</v>
      </c>
      <c r="M37" s="159">
        <v>800000</v>
      </c>
      <c r="N37" s="158">
        <v>0</v>
      </c>
      <c r="O37" s="158">
        <v>0</v>
      </c>
      <c r="P37" s="159">
        <v>0</v>
      </c>
      <c r="Q37" s="159">
        <v>0</v>
      </c>
      <c r="R37" s="158">
        <v>0</v>
      </c>
      <c r="S37" s="158">
        <v>0</v>
      </c>
      <c r="T37" s="158">
        <v>0</v>
      </c>
      <c r="U37" s="158">
        <v>0</v>
      </c>
      <c r="V37" s="158">
        <v>0</v>
      </c>
      <c r="W37" s="158">
        <v>0</v>
      </c>
      <c r="X37" s="161">
        <f t="shared" si="0"/>
        <v>800000</v>
      </c>
      <c r="Y37" s="161">
        <f t="shared" si="0"/>
        <v>800000</v>
      </c>
      <c r="Z37" s="162">
        <v>0</v>
      </c>
      <c r="AA37" s="162">
        <v>0</v>
      </c>
    </row>
    <row r="38" spans="1:30" ht="16.5" thickBot="1">
      <c r="A38" s="450"/>
      <c r="B38" s="170" t="s">
        <v>267</v>
      </c>
      <c r="C38" s="157" t="s">
        <v>268</v>
      </c>
      <c r="D38" s="158">
        <v>0</v>
      </c>
      <c r="E38" s="158">
        <v>0</v>
      </c>
      <c r="F38" s="158">
        <v>0</v>
      </c>
      <c r="G38" s="158">
        <v>0</v>
      </c>
      <c r="H38" s="158">
        <v>0</v>
      </c>
      <c r="I38" s="158">
        <v>0</v>
      </c>
      <c r="J38" s="158">
        <v>0</v>
      </c>
      <c r="K38" s="158">
        <v>0</v>
      </c>
      <c r="L38" s="159">
        <v>1000000</v>
      </c>
      <c r="M38" s="159">
        <v>1000000</v>
      </c>
      <c r="N38" s="158">
        <v>0</v>
      </c>
      <c r="O38" s="158">
        <v>0</v>
      </c>
      <c r="P38" s="159">
        <v>0</v>
      </c>
      <c r="Q38" s="159">
        <v>0</v>
      </c>
      <c r="R38" s="158">
        <v>0</v>
      </c>
      <c r="S38" s="158">
        <v>0</v>
      </c>
      <c r="T38" s="158">
        <v>0</v>
      </c>
      <c r="U38" s="158">
        <v>0</v>
      </c>
      <c r="V38" s="158">
        <v>0</v>
      </c>
      <c r="W38" s="158">
        <v>0</v>
      </c>
      <c r="X38" s="161">
        <f t="shared" si="0"/>
        <v>1000000</v>
      </c>
      <c r="Y38" s="161">
        <f t="shared" si="0"/>
        <v>1000000</v>
      </c>
      <c r="Z38" s="162">
        <v>0</v>
      </c>
      <c r="AA38" s="162">
        <v>0</v>
      </c>
    </row>
    <row r="39" spans="1:30" ht="16.5" thickBot="1">
      <c r="A39" s="450"/>
      <c r="B39" s="171" t="s">
        <v>269</v>
      </c>
      <c r="C39" s="163" t="s">
        <v>270</v>
      </c>
      <c r="D39" s="158">
        <v>0</v>
      </c>
      <c r="E39" s="158">
        <v>0</v>
      </c>
      <c r="F39" s="158">
        <v>0</v>
      </c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9">
        <v>0</v>
      </c>
      <c r="M39" s="159">
        <v>0</v>
      </c>
      <c r="N39" s="158">
        <v>0</v>
      </c>
      <c r="O39" s="158">
        <v>0</v>
      </c>
      <c r="P39" s="159">
        <v>0</v>
      </c>
      <c r="Q39" s="159">
        <v>0</v>
      </c>
      <c r="R39" s="158">
        <v>0</v>
      </c>
      <c r="S39" s="158">
        <v>0</v>
      </c>
      <c r="T39" s="160">
        <v>0</v>
      </c>
      <c r="U39" s="160">
        <v>0</v>
      </c>
      <c r="V39" s="158">
        <v>0</v>
      </c>
      <c r="W39" s="158">
        <v>0</v>
      </c>
      <c r="X39" s="161">
        <f t="shared" si="0"/>
        <v>0</v>
      </c>
      <c r="Y39" s="161">
        <f t="shared" si="0"/>
        <v>0</v>
      </c>
      <c r="Z39" s="162">
        <v>0</v>
      </c>
      <c r="AA39" s="162">
        <v>0</v>
      </c>
    </row>
    <row r="40" spans="1:30" ht="16.5" thickBot="1">
      <c r="A40" s="450"/>
      <c r="B40" s="156" t="s">
        <v>271</v>
      </c>
      <c r="C40" s="163" t="s">
        <v>272</v>
      </c>
      <c r="D40" s="158">
        <v>8483000</v>
      </c>
      <c r="E40" s="158">
        <v>8483000</v>
      </c>
      <c r="F40" s="158">
        <v>1573000</v>
      </c>
      <c r="G40" s="158">
        <v>1573000</v>
      </c>
      <c r="H40" s="158">
        <f>34740770+12300000</f>
        <v>47040770</v>
      </c>
      <c r="I40" s="158">
        <v>46550770</v>
      </c>
      <c r="J40" s="158">
        <v>0</v>
      </c>
      <c r="K40" s="158">
        <v>490000</v>
      </c>
      <c r="L40" s="159">
        <v>0</v>
      </c>
      <c r="M40" s="159">
        <v>0</v>
      </c>
      <c r="N40" s="158">
        <v>0</v>
      </c>
      <c r="O40" s="158">
        <v>0</v>
      </c>
      <c r="P40" s="159">
        <v>0</v>
      </c>
      <c r="Q40" s="159">
        <v>0</v>
      </c>
      <c r="R40" s="158">
        <v>0</v>
      </c>
      <c r="S40" s="158">
        <v>0</v>
      </c>
      <c r="T40" s="160">
        <v>5000000</v>
      </c>
      <c r="U40" s="160">
        <v>5000000</v>
      </c>
      <c r="V40" s="158">
        <v>0</v>
      </c>
      <c r="W40" s="158">
        <v>0</v>
      </c>
      <c r="X40" s="161">
        <f t="shared" si="0"/>
        <v>62096770</v>
      </c>
      <c r="Y40" s="161">
        <f t="shared" si="0"/>
        <v>62096770</v>
      </c>
      <c r="Z40" s="162">
        <v>0</v>
      </c>
      <c r="AA40" s="162">
        <v>0</v>
      </c>
    </row>
    <row r="41" spans="1:30" ht="16.5" thickBot="1">
      <c r="A41" s="450"/>
      <c r="B41" s="156" t="s">
        <v>273</v>
      </c>
      <c r="C41" s="163" t="s">
        <v>274</v>
      </c>
      <c r="D41" s="158">
        <v>13360000</v>
      </c>
      <c r="E41" s="158">
        <v>13485545</v>
      </c>
      <c r="F41" s="158">
        <v>2537000</v>
      </c>
      <c r="G41" s="158">
        <v>2537000</v>
      </c>
      <c r="H41" s="158">
        <f>29105898+8450000</f>
        <v>37555898</v>
      </c>
      <c r="I41" s="158">
        <v>37430353</v>
      </c>
      <c r="J41" s="158">
        <v>0</v>
      </c>
      <c r="K41" s="158">
        <v>0</v>
      </c>
      <c r="L41" s="159">
        <v>0</v>
      </c>
      <c r="M41" s="159">
        <v>0</v>
      </c>
      <c r="N41" s="158">
        <v>0</v>
      </c>
      <c r="O41" s="158">
        <v>0</v>
      </c>
      <c r="P41" s="159">
        <v>0</v>
      </c>
      <c r="Q41" s="159">
        <v>0</v>
      </c>
      <c r="R41" s="158">
        <v>0</v>
      </c>
      <c r="S41" s="158">
        <v>0</v>
      </c>
      <c r="T41" s="160">
        <v>0</v>
      </c>
      <c r="U41" s="160">
        <v>0</v>
      </c>
      <c r="V41" s="158">
        <v>0</v>
      </c>
      <c r="W41" s="158">
        <v>0</v>
      </c>
      <c r="X41" s="161">
        <f t="shared" si="0"/>
        <v>53452898</v>
      </c>
      <c r="Y41" s="161">
        <f t="shared" si="0"/>
        <v>53452898</v>
      </c>
      <c r="Z41" s="162">
        <v>0</v>
      </c>
      <c r="AA41" s="162">
        <v>0</v>
      </c>
      <c r="AB41" s="149"/>
    </row>
    <row r="42" spans="1:30" ht="16.5" thickBot="1">
      <c r="A42" s="450"/>
      <c r="B42" s="168" t="s">
        <v>275</v>
      </c>
      <c r="C42" s="168"/>
      <c r="D42" s="161">
        <f t="shared" ref="D42:W42" si="2">SUM(D35:D41)</f>
        <v>22613400</v>
      </c>
      <c r="E42" s="161">
        <f t="shared" si="2"/>
        <v>22738945</v>
      </c>
      <c r="F42" s="161">
        <f t="shared" si="2"/>
        <v>4110000</v>
      </c>
      <c r="G42" s="161">
        <f t="shared" si="2"/>
        <v>4110000</v>
      </c>
      <c r="H42" s="161">
        <f t="shared" si="2"/>
        <v>84991668</v>
      </c>
      <c r="I42" s="161">
        <f t="shared" si="2"/>
        <v>84376123</v>
      </c>
      <c r="J42" s="161">
        <f t="shared" si="2"/>
        <v>0</v>
      </c>
      <c r="K42" s="161">
        <f t="shared" si="2"/>
        <v>490000</v>
      </c>
      <c r="L42" s="161">
        <f t="shared" si="2"/>
        <v>2367000</v>
      </c>
      <c r="M42" s="161">
        <f t="shared" si="2"/>
        <v>2367000</v>
      </c>
      <c r="N42" s="161">
        <f t="shared" si="2"/>
        <v>0</v>
      </c>
      <c r="O42" s="161">
        <f t="shared" si="2"/>
        <v>0</v>
      </c>
      <c r="P42" s="161">
        <f t="shared" si="2"/>
        <v>0</v>
      </c>
      <c r="Q42" s="161">
        <f t="shared" si="2"/>
        <v>0</v>
      </c>
      <c r="R42" s="161">
        <f t="shared" si="2"/>
        <v>0</v>
      </c>
      <c r="S42" s="161">
        <f t="shared" si="2"/>
        <v>0</v>
      </c>
      <c r="T42" s="161">
        <f t="shared" si="2"/>
        <v>5000000</v>
      </c>
      <c r="U42" s="161">
        <f t="shared" si="2"/>
        <v>5000000</v>
      </c>
      <c r="V42" s="161">
        <f t="shared" si="2"/>
        <v>0</v>
      </c>
      <c r="W42" s="161">
        <f t="shared" si="2"/>
        <v>0</v>
      </c>
      <c r="X42" s="161">
        <f t="shared" si="0"/>
        <v>119082068</v>
      </c>
      <c r="Y42" s="161">
        <f t="shared" si="0"/>
        <v>119082068</v>
      </c>
      <c r="Z42" s="172">
        <v>0</v>
      </c>
      <c r="AA42" s="172">
        <v>0</v>
      </c>
    </row>
    <row r="43" spans="1:30" ht="16.5" thickBot="1">
      <c r="A43" s="450"/>
      <c r="B43" s="451" t="s">
        <v>276</v>
      </c>
      <c r="C43" s="452"/>
      <c r="D43" s="161">
        <f t="shared" ref="D43:W43" si="3">D34+D42</f>
        <v>89229309</v>
      </c>
      <c r="E43" s="161">
        <f t="shared" si="3"/>
        <v>113549177</v>
      </c>
      <c r="F43" s="161">
        <f t="shared" si="3"/>
        <v>16036262</v>
      </c>
      <c r="G43" s="161">
        <f t="shared" si="3"/>
        <v>18805673</v>
      </c>
      <c r="H43" s="161">
        <f t="shared" si="3"/>
        <v>159216668</v>
      </c>
      <c r="I43" s="161">
        <f t="shared" si="3"/>
        <v>186177603</v>
      </c>
      <c r="J43" s="161">
        <f t="shared" si="3"/>
        <v>84547133</v>
      </c>
      <c r="K43" s="161">
        <f t="shared" si="3"/>
        <v>250030512</v>
      </c>
      <c r="L43" s="173">
        <f t="shared" si="3"/>
        <v>4767000</v>
      </c>
      <c r="M43" s="173">
        <f t="shared" si="3"/>
        <v>4767000</v>
      </c>
      <c r="N43" s="161">
        <f t="shared" si="3"/>
        <v>107151973</v>
      </c>
      <c r="O43" s="161">
        <f t="shared" si="3"/>
        <v>92763301</v>
      </c>
      <c r="P43" s="173">
        <f t="shared" si="3"/>
        <v>10420711</v>
      </c>
      <c r="Q43" s="173">
        <f t="shared" si="3"/>
        <v>10420711</v>
      </c>
      <c r="R43" s="161">
        <f t="shared" si="3"/>
        <v>1643568</v>
      </c>
      <c r="S43" s="161">
        <f t="shared" si="3"/>
        <v>1643568</v>
      </c>
      <c r="T43" s="161">
        <f t="shared" si="3"/>
        <v>231312826</v>
      </c>
      <c r="U43" s="161">
        <f t="shared" si="3"/>
        <v>77620592</v>
      </c>
      <c r="V43" s="161">
        <f t="shared" si="3"/>
        <v>42859926</v>
      </c>
      <c r="W43" s="161">
        <f t="shared" si="3"/>
        <v>71288448</v>
      </c>
      <c r="X43" s="161">
        <f t="shared" si="0"/>
        <v>747185376</v>
      </c>
      <c r="Y43" s="161">
        <f t="shared" si="0"/>
        <v>827066585</v>
      </c>
      <c r="Z43" s="172">
        <f>SUM(Z34,Z42)</f>
        <v>56</v>
      </c>
      <c r="AA43" s="172">
        <f>SUM(AA34,AA42)</f>
        <v>45</v>
      </c>
      <c r="AC43" s="174" t="e">
        <f>+Y43+#REF!</f>
        <v>#REF!</v>
      </c>
    </row>
    <row r="44" spans="1:30" ht="37.9" customHeight="1" thickBot="1">
      <c r="A44" s="450" t="s">
        <v>156</v>
      </c>
      <c r="B44" s="164" t="s">
        <v>206</v>
      </c>
      <c r="C44" s="157" t="s">
        <v>207</v>
      </c>
      <c r="D44" s="158">
        <f>71480000-D46-D47</f>
        <v>59398000</v>
      </c>
      <c r="E44" s="158">
        <v>69805727</v>
      </c>
      <c r="F44" s="158">
        <f>13820000-F46-F47</f>
        <v>11651210</v>
      </c>
      <c r="G44" s="158">
        <v>13619679</v>
      </c>
      <c r="H44" s="158">
        <v>12850000</v>
      </c>
      <c r="I44" s="158">
        <v>12469804</v>
      </c>
      <c r="J44" s="158">
        <v>0</v>
      </c>
      <c r="K44" s="158">
        <v>0</v>
      </c>
      <c r="L44" s="159">
        <v>0</v>
      </c>
      <c r="M44" s="159">
        <v>0</v>
      </c>
      <c r="N44" s="158">
        <v>0</v>
      </c>
      <c r="O44" s="158">
        <v>0</v>
      </c>
      <c r="P44" s="159">
        <v>0</v>
      </c>
      <c r="Q44" s="159">
        <v>0</v>
      </c>
      <c r="R44" s="158"/>
      <c r="S44" s="158"/>
      <c r="T44" s="158">
        <v>1324500</v>
      </c>
      <c r="U44" s="158">
        <v>1324500</v>
      </c>
      <c r="V44" s="158">
        <v>0</v>
      </c>
      <c r="W44" s="158">
        <v>0</v>
      </c>
      <c r="X44" s="161">
        <f>+V44+T44+R44+P44+N44+L44+J44+H44+F44+D44</f>
        <v>85223710</v>
      </c>
      <c r="Y44" s="161">
        <f t="shared" si="0"/>
        <v>97219710</v>
      </c>
      <c r="Z44" s="175">
        <v>17</v>
      </c>
      <c r="AA44" s="175">
        <v>17</v>
      </c>
    </row>
    <row r="45" spans="1:30" ht="37.9" customHeight="1" thickBot="1">
      <c r="A45" s="450"/>
      <c r="B45" s="176" t="s">
        <v>277</v>
      </c>
      <c r="C45" s="157" t="s">
        <v>278</v>
      </c>
      <c r="D45" s="158">
        <v>0</v>
      </c>
      <c r="E45" s="158">
        <v>1074191</v>
      </c>
      <c r="F45" s="158">
        <v>0</v>
      </c>
      <c r="G45" s="158">
        <v>210893</v>
      </c>
      <c r="H45" s="158">
        <v>0</v>
      </c>
      <c r="I45" s="158">
        <v>18876</v>
      </c>
      <c r="J45" s="158">
        <v>0</v>
      </c>
      <c r="K45" s="158">
        <v>70273</v>
      </c>
      <c r="L45" s="159">
        <v>0</v>
      </c>
      <c r="M45" s="159">
        <v>0</v>
      </c>
      <c r="N45" s="158">
        <v>0</v>
      </c>
      <c r="O45" s="158">
        <v>0</v>
      </c>
      <c r="P45" s="159">
        <v>0</v>
      </c>
      <c r="Q45" s="159">
        <v>0</v>
      </c>
      <c r="R45" s="158">
        <v>0</v>
      </c>
      <c r="S45" s="158">
        <v>0</v>
      </c>
      <c r="T45" s="158">
        <v>0</v>
      </c>
      <c r="U45" s="158">
        <v>0</v>
      </c>
      <c r="V45" s="158">
        <v>0</v>
      </c>
      <c r="W45" s="158">
        <v>0</v>
      </c>
      <c r="X45" s="161">
        <f>+V45+T45+R45+P45+N45+L45+J45+H45+F45+D45</f>
        <v>0</v>
      </c>
      <c r="Y45" s="161">
        <f t="shared" si="0"/>
        <v>1374233</v>
      </c>
      <c r="Z45" s="175">
        <v>0</v>
      </c>
      <c r="AA45" s="175">
        <v>0</v>
      </c>
    </row>
    <row r="46" spans="1:30" ht="22.5" customHeight="1" thickBot="1">
      <c r="A46" s="450"/>
      <c r="B46" s="176" t="s">
        <v>271</v>
      </c>
      <c r="C46" s="163" t="s">
        <v>272</v>
      </c>
      <c r="D46" s="158">
        <v>6262000</v>
      </c>
      <c r="E46" s="158">
        <v>6514000</v>
      </c>
      <c r="F46" s="158">
        <v>1104090</v>
      </c>
      <c r="G46" s="158">
        <v>1104090</v>
      </c>
      <c r="H46" s="158">
        <v>0</v>
      </c>
      <c r="I46" s="158">
        <v>0</v>
      </c>
      <c r="J46" s="158">
        <v>0</v>
      </c>
      <c r="K46" s="158">
        <v>0</v>
      </c>
      <c r="L46" s="158">
        <v>0</v>
      </c>
      <c r="M46" s="158">
        <v>0</v>
      </c>
      <c r="N46" s="158">
        <v>0</v>
      </c>
      <c r="O46" s="158">
        <v>0</v>
      </c>
      <c r="P46" s="158">
        <v>0</v>
      </c>
      <c r="Q46" s="158">
        <v>0</v>
      </c>
      <c r="R46" s="158">
        <v>0</v>
      </c>
      <c r="S46" s="158">
        <v>0</v>
      </c>
      <c r="T46" s="158">
        <v>0</v>
      </c>
      <c r="U46" s="158">
        <v>0</v>
      </c>
      <c r="V46" s="158">
        <v>0</v>
      </c>
      <c r="W46" s="158">
        <v>0</v>
      </c>
      <c r="X46" s="161">
        <f t="shared" si="0"/>
        <v>7366090</v>
      </c>
      <c r="Y46" s="161">
        <f t="shared" si="0"/>
        <v>7618090</v>
      </c>
      <c r="Z46" s="175">
        <v>0</v>
      </c>
      <c r="AA46" s="175">
        <v>0</v>
      </c>
    </row>
    <row r="47" spans="1:30" ht="39" customHeight="1" thickBot="1">
      <c r="A47" s="450"/>
      <c r="B47" s="177" t="s">
        <v>279</v>
      </c>
      <c r="C47" s="163" t="s">
        <v>274</v>
      </c>
      <c r="D47" s="158">
        <v>5820000</v>
      </c>
      <c r="E47" s="158">
        <v>5820000</v>
      </c>
      <c r="F47" s="158">
        <v>1064700</v>
      </c>
      <c r="G47" s="158">
        <v>1064700</v>
      </c>
      <c r="H47" s="158">
        <v>0</v>
      </c>
      <c r="I47" s="158">
        <v>0</v>
      </c>
      <c r="J47" s="158">
        <v>0</v>
      </c>
      <c r="K47" s="158">
        <v>0</v>
      </c>
      <c r="L47" s="158">
        <v>0</v>
      </c>
      <c r="M47" s="158">
        <v>0</v>
      </c>
      <c r="N47" s="158">
        <v>0</v>
      </c>
      <c r="O47" s="158">
        <v>0</v>
      </c>
      <c r="P47" s="158">
        <v>0</v>
      </c>
      <c r="Q47" s="158">
        <v>0</v>
      </c>
      <c r="R47" s="158">
        <v>0</v>
      </c>
      <c r="S47" s="158">
        <v>0</v>
      </c>
      <c r="T47" s="158">
        <v>0</v>
      </c>
      <c r="U47" s="158">
        <v>0</v>
      </c>
      <c r="V47" s="158">
        <v>0</v>
      </c>
      <c r="W47" s="158">
        <v>0</v>
      </c>
      <c r="X47" s="161">
        <f t="shared" si="0"/>
        <v>6884700</v>
      </c>
      <c r="Y47" s="161">
        <f t="shared" si="0"/>
        <v>6884700</v>
      </c>
      <c r="Z47" s="175">
        <v>0</v>
      </c>
      <c r="AA47" s="175">
        <v>0</v>
      </c>
    </row>
    <row r="48" spans="1:30" ht="16.5" thickBot="1">
      <c r="A48" s="450"/>
      <c r="B48" s="451" t="s">
        <v>280</v>
      </c>
      <c r="C48" s="452"/>
      <c r="D48" s="161">
        <f>+D44+D46+D47+D45</f>
        <v>71480000</v>
      </c>
      <c r="E48" s="161">
        <f t="shared" ref="E48:W48" si="4">+E44+E46+E47+E45</f>
        <v>83213918</v>
      </c>
      <c r="F48" s="161">
        <f t="shared" si="4"/>
        <v>13820000</v>
      </c>
      <c r="G48" s="161">
        <f t="shared" si="4"/>
        <v>15999362</v>
      </c>
      <c r="H48" s="161">
        <f t="shared" si="4"/>
        <v>12850000</v>
      </c>
      <c r="I48" s="161">
        <f t="shared" si="4"/>
        <v>12488680</v>
      </c>
      <c r="J48" s="161">
        <f t="shared" si="4"/>
        <v>0</v>
      </c>
      <c r="K48" s="161">
        <f t="shared" si="4"/>
        <v>70273</v>
      </c>
      <c r="L48" s="161">
        <f t="shared" si="4"/>
        <v>0</v>
      </c>
      <c r="M48" s="161">
        <f t="shared" si="4"/>
        <v>0</v>
      </c>
      <c r="N48" s="161">
        <f t="shared" si="4"/>
        <v>0</v>
      </c>
      <c r="O48" s="161">
        <f t="shared" si="4"/>
        <v>0</v>
      </c>
      <c r="P48" s="161">
        <f t="shared" si="4"/>
        <v>0</v>
      </c>
      <c r="Q48" s="161">
        <f t="shared" si="4"/>
        <v>0</v>
      </c>
      <c r="R48" s="161">
        <f t="shared" si="4"/>
        <v>0</v>
      </c>
      <c r="S48" s="161">
        <f t="shared" si="4"/>
        <v>0</v>
      </c>
      <c r="T48" s="161">
        <f t="shared" si="4"/>
        <v>1324500</v>
      </c>
      <c r="U48" s="161">
        <f t="shared" si="4"/>
        <v>1324500</v>
      </c>
      <c r="V48" s="161">
        <f t="shared" si="4"/>
        <v>0</v>
      </c>
      <c r="W48" s="161">
        <f t="shared" si="4"/>
        <v>0</v>
      </c>
      <c r="X48" s="161">
        <f t="shared" si="0"/>
        <v>99474500</v>
      </c>
      <c r="Y48" s="161">
        <f t="shared" si="0"/>
        <v>113096733</v>
      </c>
      <c r="Z48" s="172">
        <v>17</v>
      </c>
      <c r="AA48" s="172">
        <v>17</v>
      </c>
    </row>
    <row r="49" spans="1:28" ht="18.95" customHeight="1" thickBot="1">
      <c r="A49" s="450" t="s">
        <v>158</v>
      </c>
      <c r="B49" s="156" t="s">
        <v>256</v>
      </c>
      <c r="C49" s="157" t="s">
        <v>257</v>
      </c>
      <c r="D49" s="158">
        <v>7326600</v>
      </c>
      <c r="E49" s="158">
        <v>1314000</v>
      </c>
      <c r="F49" s="158">
        <v>1255000</v>
      </c>
      <c r="G49" s="158">
        <v>81900</v>
      </c>
      <c r="H49" s="158">
        <f>8010000-H50-H51-H52</f>
        <v>6795000</v>
      </c>
      <c r="I49" s="158">
        <v>7495000</v>
      </c>
      <c r="J49" s="158">
        <v>20000</v>
      </c>
      <c r="K49" s="158">
        <v>20000</v>
      </c>
      <c r="L49" s="159">
        <v>0</v>
      </c>
      <c r="M49" s="159">
        <v>0</v>
      </c>
      <c r="N49" s="158">
        <v>0</v>
      </c>
      <c r="O49" s="158">
        <v>0</v>
      </c>
      <c r="P49" s="159">
        <v>0</v>
      </c>
      <c r="Q49" s="159">
        <v>0</v>
      </c>
      <c r="R49" s="158"/>
      <c r="S49" s="158"/>
      <c r="T49" s="158">
        <v>127000</v>
      </c>
      <c r="U49" s="158">
        <v>127000</v>
      </c>
      <c r="V49" s="158">
        <v>0</v>
      </c>
      <c r="W49" s="158">
        <v>0</v>
      </c>
      <c r="X49" s="161">
        <f t="shared" si="0"/>
        <v>15523600</v>
      </c>
      <c r="Y49" s="161">
        <f t="shared" si="0"/>
        <v>9037900</v>
      </c>
      <c r="Z49" s="175">
        <v>3</v>
      </c>
      <c r="AA49" s="175">
        <v>3</v>
      </c>
      <c r="AB49" s="149"/>
    </row>
    <row r="50" spans="1:28" ht="30.75" customHeight="1" thickBot="1">
      <c r="A50" s="450"/>
      <c r="B50" s="178" t="s">
        <v>281</v>
      </c>
      <c r="C50" s="179" t="s">
        <v>282</v>
      </c>
      <c r="D50" s="158">
        <v>0</v>
      </c>
      <c r="E50" s="158">
        <v>2145000</v>
      </c>
      <c r="F50" s="158">
        <v>0</v>
      </c>
      <c r="G50" s="158">
        <v>418275</v>
      </c>
      <c r="H50" s="158">
        <v>50000</v>
      </c>
      <c r="I50" s="158">
        <v>470000</v>
      </c>
      <c r="J50" s="158">
        <v>0</v>
      </c>
      <c r="K50" s="158">
        <v>0</v>
      </c>
      <c r="L50" s="158">
        <v>0</v>
      </c>
      <c r="M50" s="158">
        <v>0</v>
      </c>
      <c r="N50" s="158">
        <v>0</v>
      </c>
      <c r="O50" s="158">
        <v>0</v>
      </c>
      <c r="P50" s="158">
        <v>0</v>
      </c>
      <c r="Q50" s="158">
        <v>0</v>
      </c>
      <c r="R50" s="158">
        <v>0</v>
      </c>
      <c r="S50" s="158">
        <v>0</v>
      </c>
      <c r="T50" s="158">
        <v>0</v>
      </c>
      <c r="U50" s="158">
        <v>0</v>
      </c>
      <c r="V50" s="158">
        <v>0</v>
      </c>
      <c r="W50" s="158">
        <v>0</v>
      </c>
      <c r="X50" s="161">
        <f t="shared" si="0"/>
        <v>50000</v>
      </c>
      <c r="Y50" s="161">
        <f t="shared" si="0"/>
        <v>3033275</v>
      </c>
      <c r="Z50" s="175">
        <v>0</v>
      </c>
      <c r="AA50" s="175">
        <v>0</v>
      </c>
    </row>
    <row r="51" spans="1:28" ht="18.95" customHeight="1" thickBot="1">
      <c r="A51" s="450"/>
      <c r="B51" s="178" t="s">
        <v>283</v>
      </c>
      <c r="C51" s="180" t="s">
        <v>284</v>
      </c>
      <c r="D51" s="158">
        <v>0</v>
      </c>
      <c r="E51" s="158">
        <v>3867600</v>
      </c>
      <c r="F51" s="158">
        <v>0</v>
      </c>
      <c r="G51" s="158">
        <v>754825</v>
      </c>
      <c r="H51" s="158">
        <f>1000000+15000+100000</f>
        <v>1115000</v>
      </c>
      <c r="I51" s="158">
        <v>45000</v>
      </c>
      <c r="J51" s="158">
        <v>0</v>
      </c>
      <c r="K51" s="158">
        <v>0</v>
      </c>
      <c r="L51" s="158">
        <v>0</v>
      </c>
      <c r="M51" s="158">
        <v>0</v>
      </c>
      <c r="N51" s="158">
        <v>0</v>
      </c>
      <c r="O51" s="158">
        <v>0</v>
      </c>
      <c r="P51" s="158">
        <v>0</v>
      </c>
      <c r="Q51" s="158">
        <v>0</v>
      </c>
      <c r="R51" s="158">
        <v>0</v>
      </c>
      <c r="S51" s="158">
        <v>0</v>
      </c>
      <c r="T51" s="158">
        <v>0</v>
      </c>
      <c r="U51" s="158">
        <v>0</v>
      </c>
      <c r="V51" s="158">
        <v>0</v>
      </c>
      <c r="W51" s="158">
        <v>0</v>
      </c>
      <c r="X51" s="161">
        <f t="shared" si="0"/>
        <v>1115000</v>
      </c>
      <c r="Y51" s="161">
        <f t="shared" si="0"/>
        <v>4667425</v>
      </c>
      <c r="Z51" s="175">
        <v>0</v>
      </c>
      <c r="AA51" s="175">
        <v>0</v>
      </c>
    </row>
    <row r="52" spans="1:28" ht="32.25" customHeight="1" thickBot="1">
      <c r="A52" s="450"/>
      <c r="B52" s="178" t="s">
        <v>285</v>
      </c>
      <c r="C52" s="179" t="s">
        <v>286</v>
      </c>
      <c r="D52" s="158">
        <v>0</v>
      </c>
      <c r="E52" s="158">
        <v>0</v>
      </c>
      <c r="F52" s="158">
        <v>0</v>
      </c>
      <c r="G52" s="158">
        <v>0</v>
      </c>
      <c r="H52" s="158">
        <v>50000</v>
      </c>
      <c r="I52" s="158">
        <v>0</v>
      </c>
      <c r="J52" s="158">
        <v>0</v>
      </c>
      <c r="K52" s="158">
        <v>0</v>
      </c>
      <c r="L52" s="158">
        <v>0</v>
      </c>
      <c r="M52" s="158">
        <v>0</v>
      </c>
      <c r="N52" s="158">
        <v>0</v>
      </c>
      <c r="O52" s="158">
        <v>0</v>
      </c>
      <c r="P52" s="158">
        <v>0</v>
      </c>
      <c r="Q52" s="158">
        <v>0</v>
      </c>
      <c r="R52" s="158">
        <v>0</v>
      </c>
      <c r="S52" s="158">
        <v>0</v>
      </c>
      <c r="T52" s="158">
        <v>0</v>
      </c>
      <c r="U52" s="158">
        <v>0</v>
      </c>
      <c r="V52" s="158">
        <v>0</v>
      </c>
      <c r="W52" s="158">
        <v>0</v>
      </c>
      <c r="X52" s="161">
        <f t="shared" si="0"/>
        <v>50000</v>
      </c>
      <c r="Y52" s="161">
        <f t="shared" si="0"/>
        <v>0</v>
      </c>
      <c r="Z52" s="175">
        <v>0</v>
      </c>
      <c r="AA52" s="175">
        <v>0</v>
      </c>
    </row>
    <row r="53" spans="1:28" ht="22.5" customHeight="1" thickBot="1">
      <c r="A53" s="450"/>
      <c r="B53" s="451" t="s">
        <v>287</v>
      </c>
      <c r="C53" s="452"/>
      <c r="D53" s="161">
        <f>SUM(+D49+D50+D51+D52)</f>
        <v>7326600</v>
      </c>
      <c r="E53" s="161">
        <f>SUM(+E49+E50+E51+E52)</f>
        <v>7326600</v>
      </c>
      <c r="F53" s="161">
        <f t="shared" ref="F53:W53" si="5">SUM(+F49+F50+F51+F52)</f>
        <v>1255000</v>
      </c>
      <c r="G53" s="161">
        <f t="shared" si="5"/>
        <v>1255000</v>
      </c>
      <c r="H53" s="161">
        <f t="shared" si="5"/>
        <v>8010000</v>
      </c>
      <c r="I53" s="161">
        <f t="shared" si="5"/>
        <v>8010000</v>
      </c>
      <c r="J53" s="161">
        <f t="shared" si="5"/>
        <v>20000</v>
      </c>
      <c r="K53" s="161">
        <f t="shared" si="5"/>
        <v>20000</v>
      </c>
      <c r="L53" s="161">
        <f t="shared" si="5"/>
        <v>0</v>
      </c>
      <c r="M53" s="161">
        <f t="shared" si="5"/>
        <v>0</v>
      </c>
      <c r="N53" s="161">
        <f t="shared" si="5"/>
        <v>0</v>
      </c>
      <c r="O53" s="161">
        <f t="shared" si="5"/>
        <v>0</v>
      </c>
      <c r="P53" s="161">
        <f t="shared" si="5"/>
        <v>0</v>
      </c>
      <c r="Q53" s="161">
        <f t="shared" si="5"/>
        <v>0</v>
      </c>
      <c r="R53" s="161">
        <f t="shared" si="5"/>
        <v>0</v>
      </c>
      <c r="S53" s="161">
        <f t="shared" si="5"/>
        <v>0</v>
      </c>
      <c r="T53" s="161">
        <f t="shared" si="5"/>
        <v>127000</v>
      </c>
      <c r="U53" s="161">
        <f t="shared" si="5"/>
        <v>127000</v>
      </c>
      <c r="V53" s="161">
        <f t="shared" si="5"/>
        <v>0</v>
      </c>
      <c r="W53" s="161">
        <f t="shared" si="5"/>
        <v>0</v>
      </c>
      <c r="X53" s="161">
        <f t="shared" si="0"/>
        <v>16738600</v>
      </c>
      <c r="Y53" s="161">
        <f t="shared" si="0"/>
        <v>16738600</v>
      </c>
      <c r="Z53" s="172">
        <v>3</v>
      </c>
      <c r="AA53" s="172">
        <v>3</v>
      </c>
    </row>
    <row r="54" spans="1:28" ht="15.75" customHeight="1" thickBot="1">
      <c r="A54" s="181"/>
      <c r="B54" s="164" t="s">
        <v>288</v>
      </c>
      <c r="C54" s="157" t="s">
        <v>289</v>
      </c>
      <c r="D54" s="158">
        <v>0</v>
      </c>
      <c r="E54" s="158">
        <v>0</v>
      </c>
      <c r="F54" s="158">
        <v>0</v>
      </c>
      <c r="G54" s="158">
        <v>0</v>
      </c>
      <c r="H54" s="158">
        <v>1000000</v>
      </c>
      <c r="I54" s="158">
        <v>1010000</v>
      </c>
      <c r="J54" s="158">
        <v>0</v>
      </c>
      <c r="K54" s="158">
        <v>0</v>
      </c>
      <c r="L54" s="158">
        <v>0</v>
      </c>
      <c r="M54" s="158">
        <v>0</v>
      </c>
      <c r="N54" s="158">
        <v>0</v>
      </c>
      <c r="O54" s="158">
        <v>0</v>
      </c>
      <c r="P54" s="158">
        <v>0</v>
      </c>
      <c r="Q54" s="158">
        <v>0</v>
      </c>
      <c r="R54" s="158">
        <v>0</v>
      </c>
      <c r="S54" s="158">
        <v>0</v>
      </c>
      <c r="T54" s="158">
        <v>0</v>
      </c>
      <c r="U54" s="158">
        <v>0</v>
      </c>
      <c r="V54" s="158">
        <v>0</v>
      </c>
      <c r="W54" s="158">
        <v>0</v>
      </c>
      <c r="X54" s="161">
        <f t="shared" si="0"/>
        <v>1000000</v>
      </c>
      <c r="Y54" s="161">
        <f t="shared" si="0"/>
        <v>1010000</v>
      </c>
      <c r="Z54" s="175"/>
      <c r="AA54" s="175"/>
    </row>
    <row r="55" spans="1:28" ht="15.75" customHeight="1" thickBot="1">
      <c r="A55" s="450" t="s">
        <v>160</v>
      </c>
      <c r="B55" s="164" t="s">
        <v>290</v>
      </c>
      <c r="C55" s="157" t="s">
        <v>291</v>
      </c>
      <c r="D55" s="158">
        <v>3350000</v>
      </c>
      <c r="E55" s="158">
        <v>3350000</v>
      </c>
      <c r="F55" s="158">
        <v>650000</v>
      </c>
      <c r="G55" s="158">
        <v>650000</v>
      </c>
      <c r="H55" s="158">
        <f>2310000-1000000</f>
        <v>1310000</v>
      </c>
      <c r="I55" s="158">
        <f>2310000-I54</f>
        <v>1300000</v>
      </c>
      <c r="J55" s="158">
        <v>0</v>
      </c>
      <c r="K55" s="158">
        <v>0</v>
      </c>
      <c r="L55" s="159">
        <v>0</v>
      </c>
      <c r="M55" s="159">
        <v>0</v>
      </c>
      <c r="N55" s="158">
        <v>0</v>
      </c>
      <c r="O55" s="158">
        <v>0</v>
      </c>
      <c r="P55" s="159">
        <v>0</v>
      </c>
      <c r="Q55" s="159">
        <v>0</v>
      </c>
      <c r="R55" s="158"/>
      <c r="S55" s="158"/>
      <c r="T55" s="158">
        <v>317500</v>
      </c>
      <c r="U55" s="158">
        <v>317500</v>
      </c>
      <c r="V55" s="158">
        <v>0</v>
      </c>
      <c r="W55" s="158">
        <v>0</v>
      </c>
      <c r="X55" s="161">
        <f t="shared" si="0"/>
        <v>5627500</v>
      </c>
      <c r="Y55" s="161">
        <f t="shared" si="0"/>
        <v>5617500</v>
      </c>
      <c r="Z55" s="175">
        <v>1</v>
      </c>
      <c r="AA55" s="175">
        <v>1</v>
      </c>
    </row>
    <row r="56" spans="1:28" ht="23.25" customHeight="1" thickBot="1">
      <c r="A56" s="450"/>
      <c r="B56" s="451" t="s">
        <v>292</v>
      </c>
      <c r="C56" s="452"/>
      <c r="D56" s="161">
        <f>SUM(D54:D55)</f>
        <v>3350000</v>
      </c>
      <c r="E56" s="161">
        <f>SUM(E54:E55)</f>
        <v>3350000</v>
      </c>
      <c r="F56" s="161">
        <f t="shared" ref="F56:W56" si="6">SUM(F54:F55)</f>
        <v>650000</v>
      </c>
      <c r="G56" s="161">
        <f t="shared" si="6"/>
        <v>650000</v>
      </c>
      <c r="H56" s="161">
        <f t="shared" si="6"/>
        <v>2310000</v>
      </c>
      <c r="I56" s="161">
        <f t="shared" si="6"/>
        <v>2310000</v>
      </c>
      <c r="J56" s="161">
        <f t="shared" si="6"/>
        <v>0</v>
      </c>
      <c r="K56" s="161">
        <f t="shared" si="6"/>
        <v>0</v>
      </c>
      <c r="L56" s="161">
        <f t="shared" si="6"/>
        <v>0</v>
      </c>
      <c r="M56" s="161">
        <f t="shared" si="6"/>
        <v>0</v>
      </c>
      <c r="N56" s="161">
        <f t="shared" si="6"/>
        <v>0</v>
      </c>
      <c r="O56" s="161">
        <f t="shared" si="6"/>
        <v>0</v>
      </c>
      <c r="P56" s="161">
        <f t="shared" si="6"/>
        <v>0</v>
      </c>
      <c r="Q56" s="161">
        <f t="shared" si="6"/>
        <v>0</v>
      </c>
      <c r="R56" s="161">
        <f t="shared" si="6"/>
        <v>0</v>
      </c>
      <c r="S56" s="161">
        <f t="shared" si="6"/>
        <v>0</v>
      </c>
      <c r="T56" s="161">
        <f t="shared" si="6"/>
        <v>317500</v>
      </c>
      <c r="U56" s="161">
        <f t="shared" si="6"/>
        <v>317500</v>
      </c>
      <c r="V56" s="161">
        <f t="shared" si="6"/>
        <v>0</v>
      </c>
      <c r="W56" s="161">
        <f t="shared" si="6"/>
        <v>0</v>
      </c>
      <c r="X56" s="161">
        <f t="shared" si="0"/>
        <v>6627500</v>
      </c>
      <c r="Y56" s="161">
        <f t="shared" si="0"/>
        <v>6627500</v>
      </c>
      <c r="Z56" s="172">
        <v>1</v>
      </c>
      <c r="AA56" s="172">
        <v>1</v>
      </c>
    </row>
    <row r="57" spans="1:28" ht="21" customHeight="1" thickBot="1">
      <c r="A57" s="444" t="s">
        <v>162</v>
      </c>
      <c r="B57" s="182" t="s">
        <v>293</v>
      </c>
      <c r="C57" s="183" t="s">
        <v>294</v>
      </c>
      <c r="D57" s="184">
        <v>7300000</v>
      </c>
      <c r="E57" s="184">
        <v>7398573</v>
      </c>
      <c r="F57" s="184">
        <v>1417372</v>
      </c>
      <c r="G57" s="184">
        <v>1417372</v>
      </c>
      <c r="H57" s="184">
        <v>1480000</v>
      </c>
      <c r="I57" s="184">
        <v>840000</v>
      </c>
      <c r="J57" s="184">
        <v>0</v>
      </c>
      <c r="K57" s="184">
        <v>0</v>
      </c>
      <c r="L57" s="185">
        <v>0</v>
      </c>
      <c r="M57" s="185">
        <v>0</v>
      </c>
      <c r="N57" s="184">
        <v>0</v>
      </c>
      <c r="O57" s="184">
        <v>0</v>
      </c>
      <c r="P57" s="185">
        <v>0</v>
      </c>
      <c r="Q57" s="185">
        <v>0</v>
      </c>
      <c r="R57" s="158">
        <v>0</v>
      </c>
      <c r="S57" s="158">
        <v>0</v>
      </c>
      <c r="T57" s="184">
        <v>0</v>
      </c>
      <c r="U57" s="184">
        <v>0</v>
      </c>
      <c r="V57" s="184">
        <v>0</v>
      </c>
      <c r="W57" s="184">
        <v>0</v>
      </c>
      <c r="X57" s="161">
        <f t="shared" si="0"/>
        <v>10197372</v>
      </c>
      <c r="Y57" s="161">
        <f>+W57+U57+S57+Q57+O57+M57+K57+I57+G57+E57</f>
        <v>9655945</v>
      </c>
      <c r="Z57" s="186">
        <v>4</v>
      </c>
      <c r="AA57" s="186">
        <v>4</v>
      </c>
    </row>
    <row r="58" spans="1:28" ht="21" customHeight="1" thickBot="1">
      <c r="A58" s="445"/>
      <c r="B58" s="182" t="s">
        <v>295</v>
      </c>
      <c r="C58" s="183" t="s">
        <v>296</v>
      </c>
      <c r="D58" s="184">
        <f>7180000+40000</f>
        <v>7220000</v>
      </c>
      <c r="E58" s="184">
        <v>7236618</v>
      </c>
      <c r="F58" s="184">
        <f>1366967+7873</f>
        <v>1374840</v>
      </c>
      <c r="G58" s="184">
        <v>1366967</v>
      </c>
      <c r="H58" s="184">
        <v>1200000</v>
      </c>
      <c r="I58" s="184">
        <v>1110000</v>
      </c>
      <c r="J58" s="184">
        <v>0</v>
      </c>
      <c r="K58" s="184">
        <v>0</v>
      </c>
      <c r="L58" s="185">
        <v>0</v>
      </c>
      <c r="M58" s="185">
        <v>0</v>
      </c>
      <c r="N58" s="184">
        <v>0</v>
      </c>
      <c r="O58" s="184">
        <v>0</v>
      </c>
      <c r="P58" s="185">
        <v>0</v>
      </c>
      <c r="Q58" s="185">
        <v>0</v>
      </c>
      <c r="R58" s="158">
        <v>0</v>
      </c>
      <c r="S58" s="158">
        <v>0</v>
      </c>
      <c r="T58" s="184">
        <v>0</v>
      </c>
      <c r="U58" s="184">
        <v>0</v>
      </c>
      <c r="V58" s="184">
        <v>0</v>
      </c>
      <c r="W58" s="184">
        <v>0</v>
      </c>
      <c r="X58" s="161">
        <f t="shared" si="0"/>
        <v>9794840</v>
      </c>
      <c r="Y58" s="161">
        <f t="shared" si="0"/>
        <v>9713585</v>
      </c>
      <c r="Z58" s="186">
        <v>2</v>
      </c>
      <c r="AA58" s="186">
        <v>2</v>
      </c>
    </row>
    <row r="59" spans="1:28" ht="21" customHeight="1" thickBot="1">
      <c r="A59" s="445"/>
      <c r="B59" s="182" t="s">
        <v>297</v>
      </c>
      <c r="C59" s="183" t="s">
        <v>298</v>
      </c>
      <c r="D59" s="184">
        <v>2480000</v>
      </c>
      <c r="E59" s="184">
        <v>6733737</v>
      </c>
      <c r="F59" s="184">
        <v>483402</v>
      </c>
      <c r="G59" s="184">
        <v>1257107</v>
      </c>
      <c r="H59" s="184">
        <v>4000000</v>
      </c>
      <c r="I59" s="184">
        <v>3575000</v>
      </c>
      <c r="J59" s="184">
        <v>0</v>
      </c>
      <c r="K59" s="184">
        <v>0</v>
      </c>
      <c r="L59" s="185">
        <v>0</v>
      </c>
      <c r="M59" s="185">
        <v>0</v>
      </c>
      <c r="N59" s="184">
        <v>0</v>
      </c>
      <c r="O59" s="184">
        <v>0</v>
      </c>
      <c r="P59" s="185">
        <v>0</v>
      </c>
      <c r="Q59" s="185">
        <v>0</v>
      </c>
      <c r="R59" s="158">
        <v>0</v>
      </c>
      <c r="S59" s="158">
        <v>0</v>
      </c>
      <c r="T59" s="184">
        <v>630000</v>
      </c>
      <c r="U59" s="184">
        <v>630000</v>
      </c>
      <c r="V59" s="184">
        <v>0</v>
      </c>
      <c r="W59" s="184">
        <v>0</v>
      </c>
      <c r="X59" s="161">
        <f t="shared" si="0"/>
        <v>7593402</v>
      </c>
      <c r="Y59" s="161">
        <f t="shared" si="0"/>
        <v>12195844</v>
      </c>
      <c r="Z59" s="186">
        <v>2</v>
      </c>
      <c r="AA59" s="186">
        <v>6</v>
      </c>
      <c r="AB59" s="4" t="s">
        <v>299</v>
      </c>
    </row>
    <row r="60" spans="1:28" ht="40.5" customHeight="1" thickBot="1">
      <c r="A60" s="445"/>
      <c r="B60" s="182" t="s">
        <v>300</v>
      </c>
      <c r="C60" s="187" t="s">
        <v>301</v>
      </c>
      <c r="D60" s="158">
        <v>0</v>
      </c>
      <c r="E60" s="158">
        <v>0</v>
      </c>
      <c r="F60" s="158">
        <v>0</v>
      </c>
      <c r="G60" s="158">
        <v>0</v>
      </c>
      <c r="H60" s="184">
        <v>500000</v>
      </c>
      <c r="I60" s="184">
        <v>900000</v>
      </c>
      <c r="J60" s="158">
        <v>0</v>
      </c>
      <c r="K60" s="158">
        <v>0</v>
      </c>
      <c r="L60" s="158">
        <v>0</v>
      </c>
      <c r="M60" s="158">
        <v>0</v>
      </c>
      <c r="N60" s="158">
        <v>0</v>
      </c>
      <c r="O60" s="158">
        <v>0</v>
      </c>
      <c r="P60" s="158">
        <v>0</v>
      </c>
      <c r="Q60" s="158">
        <v>0</v>
      </c>
      <c r="R60" s="158">
        <v>0</v>
      </c>
      <c r="S60" s="158">
        <v>0</v>
      </c>
      <c r="T60" s="158">
        <v>0</v>
      </c>
      <c r="U60" s="158">
        <v>0</v>
      </c>
      <c r="V60" s="158">
        <v>0</v>
      </c>
      <c r="W60" s="158">
        <v>0</v>
      </c>
      <c r="X60" s="161">
        <f t="shared" si="0"/>
        <v>500000</v>
      </c>
      <c r="Y60" s="161">
        <f t="shared" si="0"/>
        <v>900000</v>
      </c>
      <c r="Z60" s="186">
        <v>0</v>
      </c>
      <c r="AA60" s="186">
        <v>0</v>
      </c>
    </row>
    <row r="61" spans="1:28" ht="21" customHeight="1" thickBot="1">
      <c r="A61" s="445"/>
      <c r="B61" s="182" t="s">
        <v>302</v>
      </c>
      <c r="C61" s="183" t="s">
        <v>303</v>
      </c>
      <c r="D61" s="184">
        <v>2440000</v>
      </c>
      <c r="E61" s="184">
        <v>2628322</v>
      </c>
      <c r="F61" s="184">
        <v>475473</v>
      </c>
      <c r="G61" s="184">
        <v>475473</v>
      </c>
      <c r="H61" s="184">
        <v>15000000</v>
      </c>
      <c r="I61" s="184">
        <v>15645000</v>
      </c>
      <c r="J61" s="184">
        <v>0</v>
      </c>
      <c r="K61" s="184">
        <v>0</v>
      </c>
      <c r="L61" s="185">
        <v>0</v>
      </c>
      <c r="M61" s="185">
        <v>0</v>
      </c>
      <c r="N61" s="184">
        <v>0</v>
      </c>
      <c r="O61" s="184">
        <v>0</v>
      </c>
      <c r="P61" s="185">
        <v>0</v>
      </c>
      <c r="Q61" s="185">
        <v>0</v>
      </c>
      <c r="R61" s="158">
        <v>0</v>
      </c>
      <c r="S61" s="158">
        <v>0</v>
      </c>
      <c r="T61" s="184">
        <v>0</v>
      </c>
      <c r="U61" s="184">
        <v>0</v>
      </c>
      <c r="V61" s="184">
        <v>0</v>
      </c>
      <c r="W61" s="184">
        <v>0</v>
      </c>
      <c r="X61" s="161">
        <f t="shared" si="0"/>
        <v>17915473</v>
      </c>
      <c r="Y61" s="161">
        <f t="shared" si="0"/>
        <v>18748795</v>
      </c>
      <c r="Z61" s="186">
        <v>1</v>
      </c>
      <c r="AA61" s="186">
        <v>1</v>
      </c>
    </row>
    <row r="62" spans="1:28" ht="21" customHeight="1" thickBot="1">
      <c r="A62" s="445"/>
      <c r="B62" s="182" t="s">
        <v>304</v>
      </c>
      <c r="C62" s="183" t="s">
        <v>305</v>
      </c>
      <c r="D62" s="184">
        <v>0</v>
      </c>
      <c r="E62" s="184">
        <v>0</v>
      </c>
      <c r="F62" s="184">
        <v>0</v>
      </c>
      <c r="G62" s="184">
        <v>0</v>
      </c>
      <c r="H62" s="184">
        <v>1500000</v>
      </c>
      <c r="I62" s="184">
        <v>1350000</v>
      </c>
      <c r="J62" s="184">
        <v>0</v>
      </c>
      <c r="K62" s="184">
        <v>0</v>
      </c>
      <c r="L62" s="185">
        <v>0</v>
      </c>
      <c r="M62" s="185">
        <v>0</v>
      </c>
      <c r="N62" s="184">
        <v>0</v>
      </c>
      <c r="O62" s="184">
        <v>0</v>
      </c>
      <c r="P62" s="185">
        <v>0</v>
      </c>
      <c r="Q62" s="185">
        <v>0</v>
      </c>
      <c r="R62" s="158">
        <v>0</v>
      </c>
      <c r="S62" s="158">
        <v>0</v>
      </c>
      <c r="T62" s="184">
        <v>0</v>
      </c>
      <c r="U62" s="184">
        <v>0</v>
      </c>
      <c r="V62" s="184">
        <v>0</v>
      </c>
      <c r="W62" s="184">
        <v>0</v>
      </c>
      <c r="X62" s="161">
        <f t="shared" si="0"/>
        <v>1500000</v>
      </c>
      <c r="Y62" s="161">
        <f t="shared" si="0"/>
        <v>1350000</v>
      </c>
      <c r="Z62" s="186">
        <v>0</v>
      </c>
      <c r="AA62" s="186">
        <v>0</v>
      </c>
    </row>
    <row r="63" spans="1:28" ht="21" customHeight="1" thickBot="1">
      <c r="A63" s="445"/>
      <c r="B63" s="182" t="s">
        <v>306</v>
      </c>
      <c r="C63" s="183" t="s">
        <v>307</v>
      </c>
      <c r="D63" s="184">
        <v>0</v>
      </c>
      <c r="E63" s="184">
        <v>0</v>
      </c>
      <c r="F63" s="184">
        <v>0</v>
      </c>
      <c r="G63" s="184">
        <v>0</v>
      </c>
      <c r="H63" s="184">
        <v>2500000</v>
      </c>
      <c r="I63" s="184">
        <v>2860000</v>
      </c>
      <c r="J63" s="184">
        <v>0</v>
      </c>
      <c r="K63" s="184">
        <v>0</v>
      </c>
      <c r="L63" s="185">
        <v>0</v>
      </c>
      <c r="M63" s="185">
        <v>0</v>
      </c>
      <c r="N63" s="184">
        <v>0</v>
      </c>
      <c r="O63" s="184">
        <v>0</v>
      </c>
      <c r="P63" s="185">
        <v>0</v>
      </c>
      <c r="Q63" s="185">
        <v>0</v>
      </c>
      <c r="R63" s="158">
        <v>0</v>
      </c>
      <c r="S63" s="158">
        <v>0</v>
      </c>
      <c r="T63" s="184">
        <v>0</v>
      </c>
      <c r="U63" s="184">
        <v>0</v>
      </c>
      <c r="V63" s="184">
        <v>0</v>
      </c>
      <c r="W63" s="184">
        <v>0</v>
      </c>
      <c r="X63" s="161">
        <f t="shared" si="0"/>
        <v>2500000</v>
      </c>
      <c r="Y63" s="161">
        <f t="shared" si="0"/>
        <v>2860000</v>
      </c>
      <c r="Z63" s="186">
        <v>0</v>
      </c>
      <c r="AA63" s="186">
        <v>0</v>
      </c>
    </row>
    <row r="64" spans="1:28" ht="21" customHeight="1" thickBot="1">
      <c r="A64" s="445"/>
      <c r="B64" s="182" t="s">
        <v>308</v>
      </c>
      <c r="C64" s="183" t="s">
        <v>309</v>
      </c>
      <c r="D64" s="184">
        <f>20960000+500000</f>
        <v>21460000</v>
      </c>
      <c r="E64" s="184">
        <v>21177500</v>
      </c>
      <c r="F64" s="184">
        <v>4086713</v>
      </c>
      <c r="G64" s="184">
        <v>4094586</v>
      </c>
      <c r="H64" s="184">
        <v>35000000</v>
      </c>
      <c r="I64" s="184">
        <v>33811867</v>
      </c>
      <c r="J64" s="184">
        <v>0</v>
      </c>
      <c r="K64" s="184">
        <v>0</v>
      </c>
      <c r="L64" s="185">
        <v>0</v>
      </c>
      <c r="M64" s="185">
        <v>0</v>
      </c>
      <c r="N64" s="184">
        <v>0</v>
      </c>
      <c r="O64" s="184">
        <v>0</v>
      </c>
      <c r="P64" s="185">
        <v>0</v>
      </c>
      <c r="Q64" s="185">
        <v>0</v>
      </c>
      <c r="R64" s="158">
        <v>0</v>
      </c>
      <c r="S64" s="158">
        <v>0</v>
      </c>
      <c r="T64" s="184">
        <v>0</v>
      </c>
      <c r="U64" s="184">
        <v>69900</v>
      </c>
      <c r="V64" s="184">
        <v>0</v>
      </c>
      <c r="W64" s="184">
        <v>0</v>
      </c>
      <c r="X64" s="161">
        <f t="shared" si="0"/>
        <v>60546713</v>
      </c>
      <c r="Y64" s="161">
        <f t="shared" si="0"/>
        <v>59153853</v>
      </c>
      <c r="Z64" s="186">
        <v>9</v>
      </c>
      <c r="AA64" s="186">
        <v>8</v>
      </c>
      <c r="AB64" s="4" t="s">
        <v>310</v>
      </c>
    </row>
    <row r="65" spans="1:27" ht="33" customHeight="1" thickBot="1">
      <c r="A65" s="446"/>
      <c r="B65" s="447" t="s">
        <v>311</v>
      </c>
      <c r="C65" s="448"/>
      <c r="D65" s="161">
        <f>SUM(D57:D64)</f>
        <v>40900000</v>
      </c>
      <c r="E65" s="161">
        <f t="shared" ref="E65:W65" si="7">SUM(E57:E64)</f>
        <v>45174750</v>
      </c>
      <c r="F65" s="161">
        <f t="shared" si="7"/>
        <v>7837800</v>
      </c>
      <c r="G65" s="161">
        <f t="shared" si="7"/>
        <v>8611505</v>
      </c>
      <c r="H65" s="161">
        <f t="shared" si="7"/>
        <v>61180000</v>
      </c>
      <c r="I65" s="161">
        <f t="shared" si="7"/>
        <v>60091867</v>
      </c>
      <c r="J65" s="161">
        <f t="shared" si="7"/>
        <v>0</v>
      </c>
      <c r="K65" s="161">
        <f t="shared" si="7"/>
        <v>0</v>
      </c>
      <c r="L65" s="173">
        <f t="shared" si="7"/>
        <v>0</v>
      </c>
      <c r="M65" s="173">
        <f t="shared" si="7"/>
        <v>0</v>
      </c>
      <c r="N65" s="161">
        <f t="shared" si="7"/>
        <v>0</v>
      </c>
      <c r="O65" s="161">
        <f t="shared" si="7"/>
        <v>0</v>
      </c>
      <c r="P65" s="173">
        <f t="shared" si="7"/>
        <v>0</v>
      </c>
      <c r="Q65" s="173">
        <f t="shared" si="7"/>
        <v>0</v>
      </c>
      <c r="R65" s="161">
        <f>SUM(R57:R64)</f>
        <v>0</v>
      </c>
      <c r="S65" s="161">
        <f>SUM(S57:S64)</f>
        <v>0</v>
      </c>
      <c r="T65" s="161">
        <f t="shared" si="7"/>
        <v>630000</v>
      </c>
      <c r="U65" s="161">
        <f t="shared" si="7"/>
        <v>699900</v>
      </c>
      <c r="V65" s="161">
        <f t="shared" si="7"/>
        <v>0</v>
      </c>
      <c r="W65" s="161">
        <f t="shared" si="7"/>
        <v>0</v>
      </c>
      <c r="X65" s="161">
        <f t="shared" si="0"/>
        <v>110547800</v>
      </c>
      <c r="Y65" s="161">
        <f t="shared" si="0"/>
        <v>114578022</v>
      </c>
      <c r="Z65" s="172">
        <f>SUM(Z57:Z64)</f>
        <v>18</v>
      </c>
      <c r="AA65" s="172">
        <f>SUM(AA57:AA64)</f>
        <v>21</v>
      </c>
    </row>
    <row r="66" spans="1:27" ht="26.25" customHeight="1" thickBot="1">
      <c r="A66" s="449" t="s">
        <v>312</v>
      </c>
      <c r="B66" s="449"/>
      <c r="C66" s="449"/>
      <c r="D66" s="161">
        <f t="shared" ref="D66:AA66" si="8">SUM(D43,D48,D53,D56,D65)</f>
        <v>212285909</v>
      </c>
      <c r="E66" s="161">
        <f t="shared" si="8"/>
        <v>252614445</v>
      </c>
      <c r="F66" s="161">
        <f t="shared" si="8"/>
        <v>39599062</v>
      </c>
      <c r="G66" s="161">
        <f t="shared" si="8"/>
        <v>45321540</v>
      </c>
      <c r="H66" s="161">
        <f t="shared" si="8"/>
        <v>243566668</v>
      </c>
      <c r="I66" s="161">
        <f t="shared" si="8"/>
        <v>269078150</v>
      </c>
      <c r="J66" s="161">
        <f t="shared" si="8"/>
        <v>84567133</v>
      </c>
      <c r="K66" s="161">
        <f t="shared" si="8"/>
        <v>250120785</v>
      </c>
      <c r="L66" s="173">
        <f t="shared" si="8"/>
        <v>4767000</v>
      </c>
      <c r="M66" s="173">
        <f t="shared" si="8"/>
        <v>4767000</v>
      </c>
      <c r="N66" s="161">
        <f t="shared" si="8"/>
        <v>107151973</v>
      </c>
      <c r="O66" s="161">
        <f t="shared" si="8"/>
        <v>92763301</v>
      </c>
      <c r="P66" s="161">
        <f t="shared" si="8"/>
        <v>10420711</v>
      </c>
      <c r="Q66" s="161">
        <f t="shared" si="8"/>
        <v>10420711</v>
      </c>
      <c r="R66" s="161">
        <f t="shared" si="8"/>
        <v>1643568</v>
      </c>
      <c r="S66" s="161">
        <f t="shared" si="8"/>
        <v>1643568</v>
      </c>
      <c r="T66" s="161">
        <f t="shared" si="8"/>
        <v>233711826</v>
      </c>
      <c r="U66" s="161">
        <f t="shared" si="8"/>
        <v>80089492</v>
      </c>
      <c r="V66" s="161">
        <f t="shared" si="8"/>
        <v>42859926</v>
      </c>
      <c r="W66" s="161">
        <f t="shared" si="8"/>
        <v>71288448</v>
      </c>
      <c r="X66" s="161">
        <f t="shared" si="8"/>
        <v>980573776</v>
      </c>
      <c r="Y66" s="161">
        <f>SUM(Y43,Y48,Y53,Y56,Y65)</f>
        <v>1078107440</v>
      </c>
      <c r="Z66" s="172">
        <f t="shared" si="8"/>
        <v>95</v>
      </c>
      <c r="AA66" s="172">
        <f t="shared" si="8"/>
        <v>87</v>
      </c>
    </row>
  </sheetData>
  <mergeCells count="21">
    <mergeCell ref="A1:N1"/>
    <mergeCell ref="A2:N2"/>
    <mergeCell ref="A4:A5"/>
    <mergeCell ref="B4:B5"/>
    <mergeCell ref="C4:C5"/>
    <mergeCell ref="D4:L4"/>
    <mergeCell ref="X4:X5"/>
    <mergeCell ref="Y4:Y5"/>
    <mergeCell ref="Z4:Z5"/>
    <mergeCell ref="AA4:AA5"/>
    <mergeCell ref="A6:A43"/>
    <mergeCell ref="B43:C43"/>
    <mergeCell ref="A57:A65"/>
    <mergeCell ref="B65:C65"/>
    <mergeCell ref="A66:C66"/>
    <mergeCell ref="A44:A48"/>
    <mergeCell ref="B48:C48"/>
    <mergeCell ref="A49:A53"/>
    <mergeCell ref="B53:C53"/>
    <mergeCell ref="A55:A56"/>
    <mergeCell ref="B56:C56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44" orientation="landscape" r:id="rId1"/>
  <colBreaks count="1" manualBreakCount="1">
    <brk id="14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I66"/>
  <sheetViews>
    <sheetView zoomScale="90" zoomScaleNormal="90" workbookViewId="0">
      <pane xSplit="2" ySplit="5" topLeftCell="C38" activePane="bottomRight" state="frozen"/>
      <selection activeCell="C39" sqref="C39"/>
      <selection pane="topRight" activeCell="C39" sqref="C39"/>
      <selection pane="bottomLeft" activeCell="C39" sqref="C39"/>
      <selection pane="bottomRight" activeCell="D4" sqref="D4:S4"/>
    </sheetView>
  </sheetViews>
  <sheetFormatPr defaultColWidth="8.85546875" defaultRowHeight="12.75"/>
  <cols>
    <col min="1" max="1" width="8.28515625" style="149" customWidth="1"/>
    <col min="2" max="2" width="12.140625" style="149" customWidth="1"/>
    <col min="3" max="3" width="49.5703125" style="149" customWidth="1"/>
    <col min="4" max="4" width="16" style="149" customWidth="1"/>
    <col min="5" max="5" width="17.28515625" style="209" customWidth="1"/>
    <col min="6" max="6" width="14.42578125" style="149" customWidth="1"/>
    <col min="7" max="7" width="14.42578125" style="209" customWidth="1"/>
    <col min="8" max="8" width="15.28515625" style="149" customWidth="1"/>
    <col min="9" max="10" width="15.28515625" style="209" customWidth="1"/>
    <col min="11" max="11" width="20.42578125" style="209" customWidth="1"/>
    <col min="12" max="12" width="18.5703125" style="149" customWidth="1"/>
    <col min="13" max="13" width="14.85546875" style="209" customWidth="1"/>
    <col min="14" max="14" width="14.85546875" style="149" customWidth="1"/>
    <col min="15" max="15" width="14.85546875" style="209" customWidth="1"/>
    <col min="16" max="16" width="16.85546875" style="149" customWidth="1"/>
    <col min="17" max="17" width="16.85546875" style="209" customWidth="1"/>
    <col min="18" max="19" width="18" style="149" customWidth="1"/>
    <col min="20" max="20" width="15.85546875" style="149" customWidth="1"/>
    <col min="21" max="21" width="7.42578125" style="149" bestFit="1" customWidth="1"/>
    <col min="22" max="24" width="10.5703125" style="149" bestFit="1" customWidth="1"/>
    <col min="25" max="25" width="5.140625" style="189" bestFit="1" customWidth="1"/>
    <col min="26" max="26" width="7.140625" style="149" bestFit="1" customWidth="1"/>
    <col min="27" max="16384" width="8.85546875" style="4"/>
  </cols>
  <sheetData>
    <row r="1" spans="1:35" ht="15.75">
      <c r="A1" s="425" t="s">
        <v>550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80"/>
      <c r="U1" s="80"/>
      <c r="V1" s="80"/>
      <c r="W1" s="80"/>
      <c r="X1" s="80"/>
      <c r="Y1" s="80"/>
      <c r="Z1" s="146"/>
      <c r="AA1" s="80"/>
      <c r="AB1" s="146"/>
    </row>
    <row r="2" spans="1:35" ht="33.75" customHeight="1">
      <c r="A2" s="458" t="s">
        <v>313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1"/>
    </row>
    <row r="3" spans="1:35" ht="16.5" thickBot="1">
      <c r="B3" s="150"/>
      <c r="C3" s="150"/>
      <c r="D3" s="151"/>
      <c r="E3" s="151"/>
      <c r="F3" s="151"/>
      <c r="G3" s="151"/>
      <c r="H3" s="151"/>
      <c r="I3" s="151"/>
      <c r="J3" s="151"/>
      <c r="K3" s="151"/>
      <c r="M3" s="151"/>
      <c r="N3" s="151"/>
      <c r="O3" s="151"/>
      <c r="P3" s="151"/>
      <c r="Q3" s="151"/>
      <c r="S3" s="151" t="s">
        <v>1</v>
      </c>
      <c r="T3" s="192"/>
      <c r="U3" s="192"/>
      <c r="V3" s="192"/>
      <c r="W3" s="192"/>
      <c r="X3" s="192"/>
      <c r="Y3" s="192"/>
      <c r="Z3" s="192"/>
      <c r="AA3" s="192"/>
      <c r="AB3" s="192"/>
      <c r="AC3" s="193"/>
      <c r="AD3" s="193"/>
      <c r="AE3" s="193"/>
      <c r="AF3" s="194"/>
      <c r="AG3" s="149"/>
    </row>
    <row r="4" spans="1:35" ht="39" customHeight="1" thickBot="1">
      <c r="A4" s="459" t="s">
        <v>179</v>
      </c>
      <c r="B4" s="461" t="s">
        <v>180</v>
      </c>
      <c r="C4" s="469" t="s">
        <v>181</v>
      </c>
      <c r="D4" s="470" t="s">
        <v>314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71"/>
      <c r="T4" s="4"/>
      <c r="U4" s="4"/>
      <c r="V4" s="4"/>
      <c r="W4" s="4"/>
      <c r="X4" s="4"/>
      <c r="Y4" s="4"/>
      <c r="Z4" s="4"/>
    </row>
    <row r="5" spans="1:35" ht="114" customHeight="1" thickBot="1">
      <c r="A5" s="460"/>
      <c r="B5" s="462"/>
      <c r="C5" s="464"/>
      <c r="D5" s="155" t="s">
        <v>315</v>
      </c>
      <c r="E5" s="155" t="s">
        <v>316</v>
      </c>
      <c r="F5" s="155" t="s">
        <v>317</v>
      </c>
      <c r="G5" s="155" t="s">
        <v>318</v>
      </c>
      <c r="H5" s="155" t="s">
        <v>319</v>
      </c>
      <c r="I5" s="155" t="s">
        <v>320</v>
      </c>
      <c r="J5" s="155" t="s">
        <v>321</v>
      </c>
      <c r="K5" s="155" t="s">
        <v>322</v>
      </c>
      <c r="L5" s="155" t="s">
        <v>323</v>
      </c>
      <c r="M5" s="155" t="s">
        <v>324</v>
      </c>
      <c r="N5" s="155" t="s">
        <v>325</v>
      </c>
      <c r="O5" s="155" t="s">
        <v>326</v>
      </c>
      <c r="P5" s="155" t="s">
        <v>327</v>
      </c>
      <c r="Q5" s="155" t="s">
        <v>328</v>
      </c>
      <c r="R5" s="195" t="s">
        <v>329</v>
      </c>
      <c r="S5" s="195" t="s">
        <v>330</v>
      </c>
      <c r="T5" s="4"/>
      <c r="U5" s="4"/>
      <c r="V5" s="4"/>
      <c r="W5" s="4"/>
      <c r="X5" s="4"/>
      <c r="Y5" s="4"/>
      <c r="Z5" s="4"/>
    </row>
    <row r="6" spans="1:35" ht="16.5" thickBot="1">
      <c r="A6" s="450" t="s">
        <v>154</v>
      </c>
      <c r="B6" s="156" t="s">
        <v>206</v>
      </c>
      <c r="C6" s="157" t="s">
        <v>207</v>
      </c>
      <c r="D6" s="158">
        <v>5000</v>
      </c>
      <c r="E6" s="158">
        <v>70800</v>
      </c>
      <c r="F6" s="158">
        <f>15586559+2400000</f>
        <v>17986559</v>
      </c>
      <c r="G6" s="158">
        <v>28651559</v>
      </c>
      <c r="H6" s="158"/>
      <c r="I6" s="158"/>
      <c r="J6" s="158"/>
      <c r="K6" s="158"/>
      <c r="L6" s="158">
        <f>45452932+460780</f>
        <v>45913712</v>
      </c>
      <c r="M6" s="158">
        <f>45452932+460780</f>
        <v>45913712</v>
      </c>
      <c r="N6" s="158"/>
      <c r="O6" s="158"/>
      <c r="P6" s="160"/>
      <c r="Q6" s="160"/>
      <c r="R6" s="196">
        <f>+P6+N6+L6+H6+F6+D6+J6</f>
        <v>63905271</v>
      </c>
      <c r="S6" s="196">
        <f>+Q6+O6+M6+I6+G6+E6+K6</f>
        <v>74636071</v>
      </c>
      <c r="T6" s="4"/>
      <c r="U6" s="4"/>
      <c r="V6" s="4"/>
      <c r="W6" s="4"/>
      <c r="X6" s="4"/>
      <c r="Y6" s="4"/>
      <c r="Z6" s="4"/>
    </row>
    <row r="7" spans="1:35" ht="16.5" thickBot="1">
      <c r="A7" s="450"/>
      <c r="B7" s="156" t="s">
        <v>208</v>
      </c>
      <c r="C7" s="157" t="s">
        <v>209</v>
      </c>
      <c r="D7" s="158">
        <v>60000</v>
      </c>
      <c r="E7" s="158">
        <v>60000</v>
      </c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60"/>
      <c r="Q7" s="160"/>
      <c r="R7" s="196">
        <f t="shared" ref="R7:S61" si="0">+P7+N7+L7+H7+F7+D7+J7</f>
        <v>60000</v>
      </c>
      <c r="S7" s="196">
        <f t="shared" si="0"/>
        <v>60000</v>
      </c>
      <c r="T7" s="4"/>
      <c r="U7" s="4"/>
      <c r="V7" s="4"/>
      <c r="W7" s="4"/>
      <c r="X7" s="4"/>
      <c r="Y7" s="4"/>
      <c r="Z7" s="4"/>
    </row>
    <row r="8" spans="1:35" ht="16.5" thickBot="1">
      <c r="A8" s="450"/>
      <c r="B8" s="156" t="s">
        <v>210</v>
      </c>
      <c r="C8" s="157" t="s">
        <v>211</v>
      </c>
      <c r="D8" s="158">
        <v>12400000</v>
      </c>
      <c r="E8" s="158">
        <v>12334200</v>
      </c>
      <c r="F8" s="158">
        <v>10665000</v>
      </c>
      <c r="G8" s="158">
        <v>0</v>
      </c>
      <c r="H8" s="158"/>
      <c r="I8" s="158"/>
      <c r="J8" s="158"/>
      <c r="K8" s="158"/>
      <c r="L8" s="158">
        <f>4656766+93750</f>
        <v>4750516</v>
      </c>
      <c r="M8" s="158">
        <f>4656766+93750</f>
        <v>4750516</v>
      </c>
      <c r="N8" s="158"/>
      <c r="O8" s="158"/>
      <c r="P8" s="160"/>
      <c r="Q8" s="160"/>
      <c r="R8" s="196">
        <f t="shared" si="0"/>
        <v>27815516</v>
      </c>
      <c r="S8" s="196">
        <f t="shared" si="0"/>
        <v>17084716</v>
      </c>
      <c r="T8" s="4"/>
      <c r="U8" s="4"/>
      <c r="V8" s="4"/>
      <c r="W8" s="4"/>
      <c r="X8" s="4"/>
      <c r="Y8" s="4"/>
      <c r="Z8" s="4"/>
    </row>
    <row r="9" spans="1:35" ht="16.5" thickBot="1">
      <c r="A9" s="450"/>
      <c r="B9" s="156" t="s">
        <v>331</v>
      </c>
      <c r="C9" s="157" t="s">
        <v>332</v>
      </c>
      <c r="D9" s="158"/>
      <c r="E9" s="158"/>
      <c r="F9" s="158"/>
      <c r="G9" s="158"/>
      <c r="H9" s="158"/>
      <c r="I9" s="158"/>
      <c r="J9" s="158"/>
      <c r="K9" s="158"/>
      <c r="L9" s="160"/>
      <c r="M9" s="160"/>
      <c r="N9" s="160"/>
      <c r="O9" s="160"/>
      <c r="P9" s="160"/>
      <c r="Q9" s="160"/>
      <c r="R9" s="196">
        <f t="shared" si="0"/>
        <v>0</v>
      </c>
      <c r="S9" s="196">
        <f t="shared" si="0"/>
        <v>0</v>
      </c>
      <c r="T9" s="4"/>
      <c r="U9" s="4"/>
      <c r="V9" s="4"/>
      <c r="W9" s="4"/>
      <c r="X9" s="4"/>
      <c r="Y9" s="4"/>
      <c r="Z9" s="4"/>
    </row>
    <row r="10" spans="1:35" ht="16.5" thickBot="1">
      <c r="A10" s="450"/>
      <c r="B10" s="156" t="s">
        <v>212</v>
      </c>
      <c r="C10" s="157" t="s">
        <v>213</v>
      </c>
      <c r="D10" s="158"/>
      <c r="E10" s="158"/>
      <c r="F10" s="158"/>
      <c r="G10" s="158"/>
      <c r="H10" s="158"/>
      <c r="I10" s="158"/>
      <c r="J10" s="158"/>
      <c r="K10" s="158"/>
      <c r="L10" s="160"/>
      <c r="M10" s="160"/>
      <c r="N10" s="160"/>
      <c r="O10" s="160"/>
      <c r="P10" s="160"/>
      <c r="Q10" s="160"/>
      <c r="R10" s="196">
        <f t="shared" si="0"/>
        <v>0</v>
      </c>
      <c r="S10" s="196">
        <f t="shared" si="0"/>
        <v>0</v>
      </c>
      <c r="T10" s="4"/>
      <c r="U10" s="4"/>
      <c r="V10" s="4"/>
      <c r="W10" s="4"/>
      <c r="X10" s="4"/>
      <c r="Y10" s="4"/>
      <c r="Z10" s="4"/>
    </row>
    <row r="11" spans="1:35" ht="16.5" thickBot="1">
      <c r="A11" s="450"/>
      <c r="B11" s="156" t="s">
        <v>214</v>
      </c>
      <c r="C11" s="163" t="s">
        <v>215</v>
      </c>
      <c r="D11" s="158"/>
      <c r="E11" s="158"/>
      <c r="F11" s="158">
        <v>0</v>
      </c>
      <c r="G11" s="158">
        <v>15387832</v>
      </c>
      <c r="H11" s="158"/>
      <c r="I11" s="158"/>
      <c r="J11" s="158"/>
      <c r="K11" s="158"/>
      <c r="L11" s="158">
        <f>5431530</f>
        <v>5431530</v>
      </c>
      <c r="M11" s="158">
        <f>5431530</f>
        <v>5431530</v>
      </c>
      <c r="N11" s="158"/>
      <c r="O11" s="158"/>
      <c r="P11" s="160"/>
      <c r="Q11" s="160"/>
      <c r="R11" s="196">
        <f t="shared" si="0"/>
        <v>5431530</v>
      </c>
      <c r="S11" s="196">
        <f t="shared" si="0"/>
        <v>20819362</v>
      </c>
      <c r="T11" s="4"/>
      <c r="U11" s="4"/>
      <c r="V11" s="4"/>
      <c r="W11" s="4"/>
      <c r="X11" s="4"/>
      <c r="Y11" s="4"/>
      <c r="Z11" s="4"/>
    </row>
    <row r="12" spans="1:35" ht="16.5" thickBot="1">
      <c r="A12" s="450"/>
      <c r="B12" s="156" t="s">
        <v>216</v>
      </c>
      <c r="C12" s="163" t="s">
        <v>217</v>
      </c>
      <c r="D12" s="158">
        <v>0</v>
      </c>
      <c r="E12" s="158">
        <v>2400000</v>
      </c>
      <c r="F12" s="158">
        <v>0</v>
      </c>
      <c r="G12" s="158">
        <v>10094462</v>
      </c>
      <c r="H12" s="158"/>
      <c r="I12" s="158"/>
      <c r="J12" s="158"/>
      <c r="K12" s="158"/>
      <c r="L12" s="158">
        <v>6411050</v>
      </c>
      <c r="M12" s="158">
        <v>6411050</v>
      </c>
      <c r="N12" s="158"/>
      <c r="O12" s="158"/>
      <c r="P12" s="159"/>
      <c r="Q12" s="159"/>
      <c r="R12" s="196">
        <f t="shared" si="0"/>
        <v>6411050</v>
      </c>
      <c r="S12" s="196">
        <f t="shared" si="0"/>
        <v>18905512</v>
      </c>
      <c r="T12" s="4"/>
      <c r="U12" s="4"/>
      <c r="V12" s="4"/>
      <c r="W12" s="4"/>
      <c r="X12" s="4"/>
      <c r="Y12" s="4"/>
      <c r="Z12" s="4"/>
    </row>
    <row r="13" spans="1:35" ht="16.5" thickBot="1">
      <c r="A13" s="450"/>
      <c r="B13" s="156" t="s">
        <v>218</v>
      </c>
      <c r="C13" s="163" t="s">
        <v>219</v>
      </c>
      <c r="D13" s="158">
        <v>2400000</v>
      </c>
      <c r="E13" s="158">
        <v>0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9"/>
      <c r="Q13" s="159"/>
      <c r="R13" s="196">
        <f t="shared" si="0"/>
        <v>2400000</v>
      </c>
      <c r="S13" s="196">
        <f t="shared" si="0"/>
        <v>0</v>
      </c>
      <c r="T13" s="4"/>
      <c r="U13" s="4"/>
      <c r="V13" s="4"/>
      <c r="W13" s="4"/>
      <c r="X13" s="4"/>
      <c r="Y13" s="4"/>
      <c r="Z13" s="4"/>
    </row>
    <row r="14" spans="1:35" ht="16.5" thickBot="1">
      <c r="A14" s="450"/>
      <c r="B14" s="164" t="s">
        <v>220</v>
      </c>
      <c r="C14" s="163" t="s">
        <v>221</v>
      </c>
      <c r="D14" s="158"/>
      <c r="E14" s="158"/>
      <c r="F14" s="158"/>
      <c r="G14" s="158"/>
      <c r="H14" s="158"/>
      <c r="I14" s="158"/>
      <c r="J14" s="158"/>
      <c r="K14" s="158"/>
      <c r="L14" s="158">
        <f>8945075+17098150</f>
        <v>26043225</v>
      </c>
      <c r="M14" s="158">
        <f>8945075+17098150</f>
        <v>26043225</v>
      </c>
      <c r="N14" s="158"/>
      <c r="O14" s="158"/>
      <c r="P14" s="159"/>
      <c r="Q14" s="159"/>
      <c r="R14" s="196">
        <f t="shared" si="0"/>
        <v>26043225</v>
      </c>
      <c r="S14" s="196">
        <f t="shared" si="0"/>
        <v>26043225</v>
      </c>
      <c r="T14" s="4"/>
      <c r="U14" s="4"/>
      <c r="V14" s="4"/>
      <c r="W14" s="4"/>
      <c r="X14" s="4"/>
      <c r="Y14" s="4"/>
      <c r="Z14" s="4"/>
    </row>
    <row r="15" spans="1:35" ht="16.5" thickBot="1">
      <c r="A15" s="450"/>
      <c r="B15" s="156" t="s">
        <v>222</v>
      </c>
      <c r="C15" s="163" t="s">
        <v>223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9"/>
      <c r="Q15" s="159"/>
      <c r="R15" s="196">
        <f t="shared" si="0"/>
        <v>0</v>
      </c>
      <c r="S15" s="196">
        <f t="shared" si="0"/>
        <v>0</v>
      </c>
      <c r="T15" s="4"/>
      <c r="U15" s="4"/>
      <c r="V15" s="4"/>
      <c r="W15" s="4"/>
      <c r="X15" s="4"/>
      <c r="Y15" s="4"/>
      <c r="Z15" s="4"/>
    </row>
    <row r="16" spans="1:35" ht="16.5" thickBot="1">
      <c r="A16" s="450"/>
      <c r="B16" s="156" t="s">
        <v>224</v>
      </c>
      <c r="C16" s="163" t="s">
        <v>225</v>
      </c>
      <c r="D16" s="158">
        <v>7500000</v>
      </c>
      <c r="E16" s="158">
        <v>7500000</v>
      </c>
      <c r="F16" s="158"/>
      <c r="G16" s="158"/>
      <c r="H16" s="158"/>
      <c r="I16" s="158"/>
      <c r="J16" s="158"/>
      <c r="K16" s="158"/>
      <c r="L16" s="158">
        <v>34610642</v>
      </c>
      <c r="M16" s="158">
        <v>34610642</v>
      </c>
      <c r="N16" s="158"/>
      <c r="O16" s="158"/>
      <c r="P16" s="159"/>
      <c r="Q16" s="159"/>
      <c r="R16" s="196">
        <f t="shared" si="0"/>
        <v>42110642</v>
      </c>
      <c r="S16" s="196">
        <f t="shared" si="0"/>
        <v>42110642</v>
      </c>
      <c r="T16" s="4"/>
      <c r="U16" s="4"/>
      <c r="V16" s="4"/>
      <c r="W16" s="4"/>
      <c r="X16" s="4"/>
      <c r="Y16" s="4"/>
      <c r="Z16" s="4"/>
    </row>
    <row r="17" spans="1:26" ht="16.5" thickBot="1">
      <c r="A17" s="450"/>
      <c r="B17" s="156" t="s">
        <v>226</v>
      </c>
      <c r="C17" s="163" t="s">
        <v>333</v>
      </c>
      <c r="D17" s="158"/>
      <c r="E17" s="158"/>
      <c r="F17" s="158">
        <v>0</v>
      </c>
      <c r="G17" s="158">
        <v>7796297</v>
      </c>
      <c r="H17" s="158">
        <v>0</v>
      </c>
      <c r="I17" s="158">
        <v>2999999</v>
      </c>
      <c r="J17" s="158"/>
      <c r="K17" s="158"/>
      <c r="L17" s="158"/>
      <c r="M17" s="158"/>
      <c r="N17" s="158"/>
      <c r="O17" s="158"/>
      <c r="P17" s="159"/>
      <c r="Q17" s="159"/>
      <c r="R17" s="196">
        <f t="shared" si="0"/>
        <v>0</v>
      </c>
      <c r="S17" s="196">
        <f t="shared" si="0"/>
        <v>10796296</v>
      </c>
      <c r="T17" s="4"/>
      <c r="U17" s="4"/>
      <c r="V17" s="4"/>
      <c r="W17" s="4"/>
      <c r="X17" s="4"/>
      <c r="Y17" s="4"/>
      <c r="Z17" s="4"/>
    </row>
    <row r="18" spans="1:26" ht="16.5" thickBot="1">
      <c r="A18" s="450"/>
      <c r="B18" s="156" t="s">
        <v>229</v>
      </c>
      <c r="C18" s="163" t="s">
        <v>230</v>
      </c>
      <c r="D18" s="158">
        <v>6000000</v>
      </c>
      <c r="E18" s="158">
        <v>6000000</v>
      </c>
      <c r="F18" s="158"/>
      <c r="G18" s="158"/>
      <c r="H18" s="158"/>
      <c r="I18" s="158"/>
      <c r="J18" s="158"/>
      <c r="K18" s="158"/>
      <c r="L18" s="158">
        <v>68457822</v>
      </c>
      <c r="M18" s="158">
        <v>68457822</v>
      </c>
      <c r="N18" s="158"/>
      <c r="O18" s="158"/>
      <c r="P18" s="159"/>
      <c r="Q18" s="159"/>
      <c r="R18" s="196">
        <f t="shared" si="0"/>
        <v>74457822</v>
      </c>
      <c r="S18" s="196">
        <f t="shared" si="0"/>
        <v>74457822</v>
      </c>
      <c r="T18" s="4"/>
      <c r="U18" s="4"/>
      <c r="V18" s="4"/>
      <c r="W18" s="4"/>
      <c r="X18" s="4"/>
      <c r="Y18" s="4"/>
      <c r="Z18" s="4"/>
    </row>
    <row r="19" spans="1:26" ht="16.5" thickBot="1">
      <c r="A19" s="450"/>
      <c r="B19" s="156" t="s">
        <v>231</v>
      </c>
      <c r="C19" s="163" t="s">
        <v>232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9"/>
      <c r="Q19" s="159"/>
      <c r="R19" s="196">
        <f t="shared" si="0"/>
        <v>0</v>
      </c>
      <c r="S19" s="196">
        <f t="shared" si="0"/>
        <v>0</v>
      </c>
      <c r="T19" s="4"/>
      <c r="U19" s="4"/>
      <c r="V19" s="4"/>
      <c r="W19" s="4"/>
      <c r="X19" s="4"/>
      <c r="Y19" s="4"/>
      <c r="Z19" s="4"/>
    </row>
    <row r="20" spans="1:26" ht="16.5" thickBot="1">
      <c r="A20" s="450"/>
      <c r="B20" s="156" t="s">
        <v>233</v>
      </c>
      <c r="C20" s="163" t="s">
        <v>234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9"/>
      <c r="Q20" s="159"/>
      <c r="R20" s="196">
        <f t="shared" si="0"/>
        <v>0</v>
      </c>
      <c r="S20" s="196">
        <f t="shared" si="0"/>
        <v>0</v>
      </c>
      <c r="T20" s="4"/>
      <c r="U20" s="4"/>
      <c r="V20" s="4"/>
      <c r="W20" s="4"/>
      <c r="X20" s="4"/>
      <c r="Y20" s="4"/>
      <c r="Z20" s="4"/>
    </row>
    <row r="21" spans="1:26" ht="16.5" thickBot="1">
      <c r="A21" s="450"/>
      <c r="B21" s="156" t="s">
        <v>235</v>
      </c>
      <c r="C21" s="163" t="s">
        <v>236</v>
      </c>
      <c r="D21" s="158">
        <v>1500000</v>
      </c>
      <c r="E21" s="158">
        <v>1495000</v>
      </c>
      <c r="F21" s="158"/>
      <c r="G21" s="158">
        <v>1064812</v>
      </c>
      <c r="H21" s="158"/>
      <c r="I21" s="158"/>
      <c r="J21" s="158">
        <v>0</v>
      </c>
      <c r="K21" s="158">
        <v>5000</v>
      </c>
      <c r="L21" s="160">
        <f>4584000+2267425</f>
        <v>6851425</v>
      </c>
      <c r="M21" s="160">
        <f>4584000+2267425</f>
        <v>6851425</v>
      </c>
      <c r="N21" s="158"/>
      <c r="O21" s="158"/>
      <c r="P21" s="159"/>
      <c r="Q21" s="159"/>
      <c r="R21" s="196">
        <f t="shared" si="0"/>
        <v>8351425</v>
      </c>
      <c r="S21" s="196">
        <f t="shared" si="0"/>
        <v>9416237</v>
      </c>
      <c r="T21" s="4"/>
      <c r="U21" s="4"/>
      <c r="V21" s="4"/>
      <c r="W21" s="4"/>
      <c r="X21" s="4"/>
      <c r="Y21" s="4"/>
      <c r="Z21" s="4"/>
    </row>
    <row r="22" spans="1:26" ht="16.5" thickBot="1">
      <c r="A22" s="450"/>
      <c r="B22" s="156" t="s">
        <v>238</v>
      </c>
      <c r="C22" s="163" t="s">
        <v>239</v>
      </c>
      <c r="D22" s="158">
        <v>550000</v>
      </c>
      <c r="E22" s="158">
        <v>550000</v>
      </c>
      <c r="F22" s="158"/>
      <c r="G22" s="158"/>
      <c r="H22" s="158"/>
      <c r="I22" s="158"/>
      <c r="J22" s="158"/>
      <c r="K22" s="158"/>
      <c r="L22" s="160">
        <v>148074197</v>
      </c>
      <c r="M22" s="160">
        <v>148074197</v>
      </c>
      <c r="N22" s="158"/>
      <c r="O22" s="158"/>
      <c r="P22" s="159"/>
      <c r="Q22" s="159"/>
      <c r="R22" s="196">
        <f t="shared" si="0"/>
        <v>148624197</v>
      </c>
      <c r="S22" s="196">
        <f t="shared" si="0"/>
        <v>148624197</v>
      </c>
      <c r="T22" s="4"/>
      <c r="U22" s="4"/>
      <c r="V22" s="4"/>
      <c r="W22" s="4"/>
      <c r="X22" s="4"/>
      <c r="Y22" s="4"/>
      <c r="Z22" s="4"/>
    </row>
    <row r="23" spans="1:26" ht="16.5" thickBot="1">
      <c r="A23" s="450"/>
      <c r="B23" s="156" t="s">
        <v>263</v>
      </c>
      <c r="C23" s="157" t="s">
        <v>264</v>
      </c>
      <c r="D23" s="158"/>
      <c r="E23" s="158"/>
      <c r="F23" s="158"/>
      <c r="G23" s="158"/>
      <c r="H23" s="158"/>
      <c r="I23" s="158"/>
      <c r="J23" s="158"/>
      <c r="K23" s="158"/>
      <c r="L23" s="160"/>
      <c r="M23" s="160"/>
      <c r="N23" s="158"/>
      <c r="O23" s="158"/>
      <c r="P23" s="159"/>
      <c r="Q23" s="159"/>
      <c r="R23" s="196">
        <f t="shared" si="0"/>
        <v>0</v>
      </c>
      <c r="S23" s="196">
        <f t="shared" si="0"/>
        <v>0</v>
      </c>
      <c r="T23" s="4"/>
      <c r="U23" s="4"/>
      <c r="V23" s="4"/>
      <c r="W23" s="4"/>
      <c r="X23" s="4"/>
      <c r="Y23" s="4"/>
      <c r="Z23" s="4"/>
    </row>
    <row r="24" spans="1:26" ht="16.5" thickBot="1">
      <c r="A24" s="450"/>
      <c r="B24" s="156" t="s">
        <v>334</v>
      </c>
      <c r="C24" s="163" t="s">
        <v>335</v>
      </c>
      <c r="D24" s="158"/>
      <c r="E24" s="158"/>
      <c r="F24" s="158"/>
      <c r="G24" s="158"/>
      <c r="H24" s="158"/>
      <c r="I24" s="158"/>
      <c r="J24" s="158"/>
      <c r="K24" s="158"/>
      <c r="L24" s="160"/>
      <c r="M24" s="160"/>
      <c r="N24" s="158"/>
      <c r="O24" s="158"/>
      <c r="P24" s="159"/>
      <c r="Q24" s="159"/>
      <c r="R24" s="196">
        <f t="shared" si="0"/>
        <v>0</v>
      </c>
      <c r="S24" s="196">
        <f t="shared" si="0"/>
        <v>0</v>
      </c>
      <c r="T24" s="4"/>
      <c r="U24" s="4"/>
      <c r="V24" s="4"/>
      <c r="W24" s="4"/>
      <c r="X24" s="4"/>
      <c r="Y24" s="4"/>
      <c r="Z24" s="4"/>
    </row>
    <row r="25" spans="1:26" ht="16.5" thickBot="1">
      <c r="A25" s="450"/>
      <c r="B25" s="156" t="s">
        <v>240</v>
      </c>
      <c r="C25" s="157" t="s">
        <v>241</v>
      </c>
      <c r="D25" s="158"/>
      <c r="E25" s="158"/>
      <c r="F25" s="158">
        <v>14981900</v>
      </c>
      <c r="G25" s="158">
        <v>16629400</v>
      </c>
      <c r="H25" s="158"/>
      <c r="I25" s="158"/>
      <c r="J25" s="158"/>
      <c r="K25" s="158"/>
      <c r="L25" s="160"/>
      <c r="M25" s="160"/>
      <c r="N25" s="158"/>
      <c r="O25" s="158"/>
      <c r="P25" s="159"/>
      <c r="Q25" s="159"/>
      <c r="R25" s="196">
        <f t="shared" si="0"/>
        <v>14981900</v>
      </c>
      <c r="S25" s="196">
        <f t="shared" si="0"/>
        <v>16629400</v>
      </c>
      <c r="T25" s="4"/>
      <c r="U25" s="4"/>
      <c r="V25" s="4"/>
      <c r="W25" s="4"/>
      <c r="X25" s="4"/>
      <c r="Y25" s="4"/>
      <c r="Z25" s="4"/>
    </row>
    <row r="26" spans="1:26" ht="16.5" thickBot="1">
      <c r="A26" s="450"/>
      <c r="B26" s="165" t="s">
        <v>242</v>
      </c>
      <c r="C26" s="157" t="s">
        <v>243</v>
      </c>
      <c r="D26" s="158"/>
      <c r="E26" s="158"/>
      <c r="F26" s="158"/>
      <c r="G26" s="158"/>
      <c r="H26" s="158"/>
      <c r="I26" s="158"/>
      <c r="J26" s="158"/>
      <c r="K26" s="158"/>
      <c r="L26" s="160">
        <v>20000000</v>
      </c>
      <c r="M26" s="160">
        <v>20000000</v>
      </c>
      <c r="N26" s="158"/>
      <c r="O26" s="158"/>
      <c r="P26" s="159"/>
      <c r="Q26" s="159"/>
      <c r="R26" s="196">
        <f t="shared" si="0"/>
        <v>20000000</v>
      </c>
      <c r="S26" s="196">
        <f t="shared" si="0"/>
        <v>20000000</v>
      </c>
      <c r="T26" s="4"/>
      <c r="U26" s="4"/>
      <c r="V26" s="4"/>
      <c r="W26" s="4"/>
      <c r="X26" s="4"/>
      <c r="Y26" s="4"/>
      <c r="Z26" s="4"/>
    </row>
    <row r="27" spans="1:26" ht="16.5" thickBot="1">
      <c r="A27" s="450"/>
      <c r="B27" s="156" t="s">
        <v>244</v>
      </c>
      <c r="C27" s="157" t="s">
        <v>336</v>
      </c>
      <c r="D27" s="158"/>
      <c r="E27" s="158"/>
      <c r="F27" s="158"/>
      <c r="G27" s="158"/>
      <c r="H27" s="158">
        <f>38712761+39091566</f>
        <v>77804327</v>
      </c>
      <c r="I27" s="158">
        <f>38712761+39091566</f>
        <v>77804327</v>
      </c>
      <c r="J27" s="158"/>
      <c r="K27" s="158"/>
      <c r="L27" s="160">
        <f>996900+22741</f>
        <v>1019641</v>
      </c>
      <c r="M27" s="160">
        <v>4224049</v>
      </c>
      <c r="N27" s="158"/>
      <c r="O27" s="158"/>
      <c r="P27" s="159"/>
      <c r="Q27" s="159"/>
      <c r="R27" s="196">
        <f t="shared" si="0"/>
        <v>78823968</v>
      </c>
      <c r="S27" s="196">
        <f t="shared" si="0"/>
        <v>82028376</v>
      </c>
      <c r="T27" s="4"/>
      <c r="U27" s="4"/>
      <c r="V27" s="4"/>
      <c r="W27" s="4"/>
      <c r="X27" s="4"/>
      <c r="Y27" s="4"/>
      <c r="Z27" s="4"/>
    </row>
    <row r="28" spans="1:26" ht="16.5" thickBot="1">
      <c r="A28" s="450"/>
      <c r="B28" s="156" t="s">
        <v>248</v>
      </c>
      <c r="C28" s="157" t="s">
        <v>249</v>
      </c>
      <c r="D28" s="158"/>
      <c r="E28" s="158"/>
      <c r="F28" s="158">
        <v>6245115</v>
      </c>
      <c r="G28" s="158">
        <v>6245115</v>
      </c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96">
        <f t="shared" si="0"/>
        <v>6245115</v>
      </c>
      <c r="S28" s="196">
        <f t="shared" si="0"/>
        <v>6245115</v>
      </c>
      <c r="T28" s="4"/>
      <c r="U28" s="4"/>
      <c r="V28" s="4"/>
      <c r="W28" s="4"/>
      <c r="X28" s="4"/>
      <c r="Y28" s="4"/>
      <c r="Z28" s="4"/>
    </row>
    <row r="29" spans="1:26" ht="16.5" thickBot="1">
      <c r="A29" s="450"/>
      <c r="B29" s="170" t="s">
        <v>267</v>
      </c>
      <c r="C29" s="166" t="s">
        <v>268</v>
      </c>
      <c r="D29" s="158"/>
      <c r="E29" s="158"/>
      <c r="F29" s="158">
        <v>1000000</v>
      </c>
      <c r="G29" s="158">
        <v>1000000</v>
      </c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96">
        <f t="shared" si="0"/>
        <v>1000000</v>
      </c>
      <c r="S29" s="196">
        <f t="shared" si="0"/>
        <v>1000000</v>
      </c>
      <c r="T29" s="4"/>
      <c r="U29" s="4"/>
      <c r="V29" s="4"/>
      <c r="W29" s="4"/>
      <c r="X29" s="4"/>
      <c r="Y29" s="4"/>
      <c r="Z29" s="4"/>
    </row>
    <row r="30" spans="1:26" ht="16.5" thickBot="1">
      <c r="A30" s="450"/>
      <c r="B30" s="156" t="s">
        <v>250</v>
      </c>
      <c r="C30" s="157" t="s">
        <v>251</v>
      </c>
      <c r="D30" s="158">
        <v>1150000</v>
      </c>
      <c r="E30" s="158">
        <v>1150000</v>
      </c>
      <c r="F30" s="158"/>
      <c r="G30" s="158"/>
      <c r="H30" s="158"/>
      <c r="I30" s="158"/>
      <c r="J30" s="158"/>
      <c r="K30" s="158"/>
      <c r="L30" s="158">
        <v>7156084</v>
      </c>
      <c r="M30" s="158">
        <v>7156084</v>
      </c>
      <c r="N30" s="158"/>
      <c r="O30" s="158"/>
      <c r="P30" s="158"/>
      <c r="Q30" s="158"/>
      <c r="R30" s="196">
        <f t="shared" si="0"/>
        <v>8306084</v>
      </c>
      <c r="S30" s="196">
        <f t="shared" si="0"/>
        <v>8306084</v>
      </c>
      <c r="T30" s="4"/>
      <c r="U30" s="4"/>
      <c r="V30" s="4"/>
      <c r="W30" s="4"/>
      <c r="X30" s="4"/>
      <c r="Y30" s="4"/>
      <c r="Z30" s="4"/>
    </row>
    <row r="31" spans="1:26" ht="32.25" thickBot="1">
      <c r="A31" s="450"/>
      <c r="B31" s="156" t="s">
        <v>252</v>
      </c>
      <c r="C31" s="166" t="s">
        <v>337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96">
        <f t="shared" si="0"/>
        <v>0</v>
      </c>
      <c r="S31" s="196">
        <f t="shared" si="0"/>
        <v>0</v>
      </c>
      <c r="T31" s="4"/>
      <c r="U31" s="4"/>
      <c r="V31" s="4"/>
      <c r="W31" s="4"/>
      <c r="X31" s="4"/>
      <c r="Y31" s="4"/>
      <c r="Z31" s="4"/>
    </row>
    <row r="32" spans="1:26" ht="16.5" thickBot="1">
      <c r="A32" s="450"/>
      <c r="B32" s="156" t="s">
        <v>254</v>
      </c>
      <c r="C32" s="157" t="s">
        <v>255</v>
      </c>
      <c r="D32" s="158">
        <v>600000</v>
      </c>
      <c r="E32" s="158">
        <v>500000</v>
      </c>
      <c r="F32" s="158"/>
      <c r="G32" s="158"/>
      <c r="H32" s="158"/>
      <c r="I32" s="158"/>
      <c r="J32" s="158"/>
      <c r="K32" s="158">
        <v>100000</v>
      </c>
      <c r="L32" s="158"/>
      <c r="M32" s="158"/>
      <c r="N32" s="158"/>
      <c r="O32" s="158"/>
      <c r="P32" s="159"/>
      <c r="Q32" s="159"/>
      <c r="R32" s="196">
        <f t="shared" si="0"/>
        <v>600000</v>
      </c>
      <c r="S32" s="196">
        <f t="shared" si="0"/>
        <v>600000</v>
      </c>
      <c r="T32" s="4"/>
      <c r="U32" s="4"/>
      <c r="V32" s="4"/>
      <c r="W32" s="4"/>
      <c r="X32" s="4"/>
      <c r="Y32" s="4"/>
      <c r="Z32" s="4"/>
    </row>
    <row r="33" spans="1:26" ht="16.5" thickBot="1">
      <c r="A33" s="450"/>
      <c r="B33" s="156" t="s">
        <v>271</v>
      </c>
      <c r="C33" s="163" t="s">
        <v>272</v>
      </c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9"/>
      <c r="Q33" s="159"/>
      <c r="R33" s="196">
        <f t="shared" si="0"/>
        <v>0</v>
      </c>
      <c r="S33" s="196">
        <f t="shared" si="0"/>
        <v>0</v>
      </c>
      <c r="T33" s="4"/>
      <c r="U33" s="4"/>
      <c r="V33" s="4"/>
      <c r="W33" s="4"/>
      <c r="X33" s="4"/>
      <c r="Y33" s="4"/>
      <c r="Z33" s="4"/>
    </row>
    <row r="34" spans="1:26" ht="16.5" thickBot="1">
      <c r="A34" s="450"/>
      <c r="B34" s="156" t="s">
        <v>273</v>
      </c>
      <c r="C34" s="163" t="s">
        <v>274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9"/>
      <c r="Q34" s="159"/>
      <c r="R34" s="196">
        <f t="shared" si="0"/>
        <v>0</v>
      </c>
      <c r="S34" s="196">
        <f t="shared" si="0"/>
        <v>0</v>
      </c>
      <c r="T34" s="4"/>
      <c r="U34" s="4"/>
      <c r="V34" s="4"/>
      <c r="W34" s="4"/>
      <c r="X34" s="4"/>
      <c r="Y34" s="4"/>
      <c r="Z34" s="4"/>
    </row>
    <row r="35" spans="1:26" ht="16.5" thickBot="1">
      <c r="A35" s="450"/>
      <c r="B35" s="156" t="s">
        <v>256</v>
      </c>
      <c r="C35" s="163" t="s">
        <v>257</v>
      </c>
      <c r="D35" s="158"/>
      <c r="E35" s="158"/>
      <c r="F35" s="158"/>
      <c r="G35" s="158"/>
      <c r="H35" s="158"/>
      <c r="I35" s="158"/>
      <c r="J35" s="158"/>
      <c r="K35" s="158"/>
      <c r="L35" s="158">
        <v>2734000</v>
      </c>
      <c r="M35" s="158">
        <v>2734000</v>
      </c>
      <c r="N35" s="158"/>
      <c r="O35" s="158"/>
      <c r="P35" s="158"/>
      <c r="Q35" s="158"/>
      <c r="R35" s="196">
        <f t="shared" si="0"/>
        <v>2734000</v>
      </c>
      <c r="S35" s="196">
        <f t="shared" si="0"/>
        <v>2734000</v>
      </c>
      <c r="T35" s="4"/>
      <c r="U35" s="4"/>
      <c r="V35" s="4"/>
      <c r="W35" s="4"/>
      <c r="X35" s="4"/>
      <c r="Y35" s="4"/>
      <c r="Z35" s="4"/>
    </row>
    <row r="36" spans="1:26" ht="32.25" thickBot="1">
      <c r="A36" s="450"/>
      <c r="B36" s="156" t="s">
        <v>258</v>
      </c>
      <c r="C36" s="166" t="s">
        <v>338</v>
      </c>
      <c r="D36" s="158"/>
      <c r="E36" s="158"/>
      <c r="F36" s="158">
        <v>284885510</v>
      </c>
      <c r="G36" s="158">
        <v>319819411</v>
      </c>
      <c r="H36" s="160">
        <f>8845094+8945081+13223939</f>
        <v>31014114</v>
      </c>
      <c r="I36" s="160">
        <v>46014112</v>
      </c>
      <c r="J36" s="160"/>
      <c r="K36" s="160"/>
      <c r="L36" s="160">
        <v>23005204</v>
      </c>
      <c r="M36" s="160">
        <v>23005204</v>
      </c>
      <c r="N36" s="158"/>
      <c r="O36" s="158"/>
      <c r="P36" s="158"/>
      <c r="Q36" s="158"/>
      <c r="R36" s="196">
        <f t="shared" si="0"/>
        <v>338904828</v>
      </c>
      <c r="S36" s="196">
        <f t="shared" si="0"/>
        <v>388838727</v>
      </c>
      <c r="T36" s="4"/>
      <c r="U36" s="4"/>
      <c r="V36" s="4"/>
      <c r="W36" s="4"/>
      <c r="X36" s="4"/>
      <c r="Y36" s="4"/>
      <c r="Z36" s="4"/>
    </row>
    <row r="37" spans="1:26" ht="16.5" thickBot="1">
      <c r="A37" s="450"/>
      <c r="B37" s="156" t="s">
        <v>339</v>
      </c>
      <c r="C37" s="166" t="s">
        <v>340</v>
      </c>
      <c r="D37" s="158"/>
      <c r="E37" s="158"/>
      <c r="F37" s="158"/>
      <c r="G37" s="158"/>
      <c r="H37" s="158"/>
      <c r="I37" s="158"/>
      <c r="J37" s="158"/>
      <c r="K37" s="158"/>
      <c r="L37" s="160">
        <v>14740137</v>
      </c>
      <c r="M37" s="160">
        <v>14740137</v>
      </c>
      <c r="N37" s="158"/>
      <c r="O37" s="158"/>
      <c r="P37" s="158">
        <v>59200000</v>
      </c>
      <c r="Q37" s="158">
        <v>59200000</v>
      </c>
      <c r="R37" s="196">
        <f t="shared" si="0"/>
        <v>73940137</v>
      </c>
      <c r="S37" s="196">
        <f t="shared" si="0"/>
        <v>73940137</v>
      </c>
      <c r="T37" s="4"/>
      <c r="U37" s="4"/>
      <c r="V37" s="4"/>
      <c r="W37" s="4"/>
      <c r="X37" s="4"/>
      <c r="Y37" s="4"/>
      <c r="Z37" s="4"/>
    </row>
    <row r="38" spans="1:26" ht="16.5" thickBot="1">
      <c r="A38" s="450"/>
      <c r="B38" s="168" t="s">
        <v>341</v>
      </c>
      <c r="C38" s="168" t="s">
        <v>342</v>
      </c>
      <c r="D38" s="161">
        <f t="shared" ref="D38:P38" si="1">SUM(D6:D37)</f>
        <v>32165000</v>
      </c>
      <c r="E38" s="161">
        <f t="shared" ref="E38" si="2">SUM(E6:E37)</f>
        <v>32060000</v>
      </c>
      <c r="F38" s="161">
        <f t="shared" si="1"/>
        <v>335764084</v>
      </c>
      <c r="G38" s="161">
        <f t="shared" ref="G38" si="3">SUM(G6:G37)</f>
        <v>406688888</v>
      </c>
      <c r="H38" s="161">
        <f t="shared" si="1"/>
        <v>108818441</v>
      </c>
      <c r="I38" s="161">
        <f t="shared" ref="I38:M38" si="4">SUM(I6:I37)</f>
        <v>126818438</v>
      </c>
      <c r="J38" s="161">
        <f t="shared" si="4"/>
        <v>0</v>
      </c>
      <c r="K38" s="161">
        <f t="shared" si="4"/>
        <v>105000</v>
      </c>
      <c r="L38" s="161">
        <f t="shared" si="4"/>
        <v>415199185</v>
      </c>
      <c r="M38" s="161">
        <f t="shared" si="4"/>
        <v>418403593</v>
      </c>
      <c r="N38" s="161">
        <f t="shared" si="1"/>
        <v>0</v>
      </c>
      <c r="O38" s="161">
        <f t="shared" ref="O38" si="5">SUM(O6:O37)</f>
        <v>0</v>
      </c>
      <c r="P38" s="161">
        <f t="shared" si="1"/>
        <v>59200000</v>
      </c>
      <c r="Q38" s="161">
        <f t="shared" ref="Q38" si="6">SUM(Q6:Q37)</f>
        <v>59200000</v>
      </c>
      <c r="R38" s="196">
        <f t="shared" si="0"/>
        <v>951146710</v>
      </c>
      <c r="S38" s="196">
        <f t="shared" si="0"/>
        <v>1043275919</v>
      </c>
      <c r="T38" s="4"/>
      <c r="U38" s="25"/>
      <c r="V38" s="25"/>
      <c r="W38" s="4"/>
      <c r="X38" s="4"/>
      <c r="Y38" s="4"/>
      <c r="Z38" s="4"/>
    </row>
    <row r="39" spans="1:26" ht="37.9" customHeight="1" thickBot="1">
      <c r="A39" s="450" t="s">
        <v>156</v>
      </c>
      <c r="B39" s="197" t="s">
        <v>206</v>
      </c>
      <c r="C39" s="198" t="s">
        <v>207</v>
      </c>
      <c r="D39" s="158">
        <v>1200000</v>
      </c>
      <c r="E39" s="158">
        <v>1200000</v>
      </c>
      <c r="F39" s="158">
        <v>0</v>
      </c>
      <c r="G39" s="158">
        <v>947353</v>
      </c>
      <c r="H39" s="158"/>
      <c r="I39" s="199"/>
      <c r="J39" s="199"/>
      <c r="K39" s="199"/>
      <c r="L39" s="199"/>
      <c r="M39" s="199"/>
      <c r="N39" s="199"/>
      <c r="O39" s="199"/>
      <c r="P39" s="159">
        <v>70000</v>
      </c>
      <c r="Q39" s="159">
        <v>70000</v>
      </c>
      <c r="R39" s="196">
        <f>+P39+N39+L39+H39+F39+D39+J39</f>
        <v>1270000</v>
      </c>
      <c r="S39" s="196">
        <f>+Q39+O39+M39+I39+G39+E39+K39</f>
        <v>2217353</v>
      </c>
      <c r="T39" s="4"/>
      <c r="U39" s="4"/>
      <c r="V39" s="4"/>
      <c r="W39" s="4"/>
      <c r="X39" s="4"/>
      <c r="Y39" s="4"/>
      <c r="Z39" s="4"/>
    </row>
    <row r="40" spans="1:26" ht="37.9" customHeight="1" thickBot="1">
      <c r="A40" s="450"/>
      <c r="B40" s="200" t="s">
        <v>343</v>
      </c>
      <c r="C40" s="201" t="s">
        <v>278</v>
      </c>
      <c r="D40" s="158"/>
      <c r="E40" s="158"/>
      <c r="F40" s="158">
        <v>0</v>
      </c>
      <c r="G40" s="158">
        <v>1374233</v>
      </c>
      <c r="H40" s="158"/>
      <c r="I40" s="199"/>
      <c r="J40" s="199"/>
      <c r="K40" s="199"/>
      <c r="L40" s="199"/>
      <c r="M40" s="199"/>
      <c r="N40" s="199"/>
      <c r="O40" s="199"/>
      <c r="P40" s="159"/>
      <c r="Q40" s="159"/>
      <c r="R40" s="196">
        <f>+P40+N40+L40+H40+F40+D40+J40</f>
        <v>0</v>
      </c>
      <c r="S40" s="196">
        <f>+Q40+O40+M40+I40+G40+E40+K40</f>
        <v>1374233</v>
      </c>
      <c r="T40" s="4"/>
      <c r="U40" s="4"/>
      <c r="V40" s="4"/>
      <c r="W40" s="4"/>
      <c r="X40" s="4"/>
      <c r="Y40" s="4"/>
      <c r="Z40" s="4"/>
    </row>
    <row r="41" spans="1:26" ht="22.5" customHeight="1" thickBot="1">
      <c r="A41" s="450"/>
      <c r="B41" s="200" t="s">
        <v>244</v>
      </c>
      <c r="C41" s="201" t="s">
        <v>336</v>
      </c>
      <c r="D41" s="199"/>
      <c r="E41" s="158"/>
      <c r="F41" s="158">
        <v>947353</v>
      </c>
      <c r="G41" s="158">
        <v>0</v>
      </c>
      <c r="H41" s="199"/>
      <c r="I41" s="199"/>
      <c r="J41" s="199"/>
      <c r="K41" s="199"/>
      <c r="L41" s="158">
        <v>133733</v>
      </c>
      <c r="M41" s="158">
        <v>133733</v>
      </c>
      <c r="N41" s="158">
        <v>97123414</v>
      </c>
      <c r="O41" s="158">
        <v>109371414</v>
      </c>
      <c r="P41" s="202"/>
      <c r="Q41" s="202"/>
      <c r="R41" s="196">
        <f t="shared" si="0"/>
        <v>98204500</v>
      </c>
      <c r="S41" s="196">
        <f t="shared" si="0"/>
        <v>109505147</v>
      </c>
      <c r="T41" s="4"/>
      <c r="U41" s="4"/>
      <c r="V41" s="4"/>
      <c r="W41" s="4"/>
      <c r="X41" s="4"/>
      <c r="Y41" s="4"/>
      <c r="Z41" s="4"/>
    </row>
    <row r="42" spans="1:26" ht="22.5" customHeight="1" thickBot="1">
      <c r="A42" s="450"/>
      <c r="B42" s="200" t="s">
        <v>271</v>
      </c>
      <c r="C42" s="163" t="s">
        <v>272</v>
      </c>
      <c r="D42" s="158"/>
      <c r="E42" s="199"/>
      <c r="F42" s="158"/>
      <c r="G42" s="199"/>
      <c r="H42" s="158"/>
      <c r="I42" s="199"/>
      <c r="J42" s="199"/>
      <c r="K42" s="199"/>
      <c r="L42" s="160"/>
      <c r="M42" s="203"/>
      <c r="N42" s="158"/>
      <c r="O42" s="199"/>
      <c r="P42" s="159"/>
      <c r="Q42" s="202"/>
      <c r="R42" s="196">
        <f t="shared" si="0"/>
        <v>0</v>
      </c>
      <c r="S42" s="196">
        <f t="shared" si="0"/>
        <v>0</v>
      </c>
      <c r="T42" s="4"/>
      <c r="U42" s="4"/>
      <c r="V42" s="4"/>
      <c r="W42" s="4"/>
      <c r="X42" s="4"/>
      <c r="Y42" s="4"/>
      <c r="Z42" s="4"/>
    </row>
    <row r="43" spans="1:26" ht="39" customHeight="1" thickBot="1">
      <c r="A43" s="450"/>
      <c r="B43" s="204" t="s">
        <v>279</v>
      </c>
      <c r="C43" s="205" t="s">
        <v>274</v>
      </c>
      <c r="D43" s="158"/>
      <c r="E43" s="199"/>
      <c r="F43" s="158"/>
      <c r="G43" s="199"/>
      <c r="H43" s="158"/>
      <c r="I43" s="199"/>
      <c r="J43" s="199"/>
      <c r="K43" s="199"/>
      <c r="L43" s="160"/>
      <c r="M43" s="203"/>
      <c r="N43" s="158"/>
      <c r="O43" s="199"/>
      <c r="P43" s="159"/>
      <c r="Q43" s="202"/>
      <c r="R43" s="196">
        <f t="shared" si="0"/>
        <v>0</v>
      </c>
      <c r="S43" s="196">
        <f t="shared" si="0"/>
        <v>0</v>
      </c>
      <c r="T43" s="4"/>
      <c r="U43" s="4"/>
      <c r="V43" s="4"/>
      <c r="W43" s="4"/>
      <c r="X43" s="4"/>
      <c r="Y43" s="4"/>
      <c r="Z43" s="4"/>
    </row>
    <row r="44" spans="1:26" ht="16.5" thickBot="1">
      <c r="A44" s="450"/>
      <c r="B44" s="451" t="s">
        <v>280</v>
      </c>
      <c r="C44" s="452"/>
      <c r="D44" s="161">
        <f t="shared" ref="D44:F44" si="7">D39+D42+D43+D41+D40</f>
        <v>1200000</v>
      </c>
      <c r="E44" s="161">
        <f t="shared" si="7"/>
        <v>1200000</v>
      </c>
      <c r="F44" s="161">
        <f t="shared" si="7"/>
        <v>947353</v>
      </c>
      <c r="G44" s="161">
        <f>G39+G42+G43+G41+G40</f>
        <v>2321586</v>
      </c>
      <c r="H44" s="161">
        <f t="shared" ref="H44:Q44" si="8">H39+H42+H43+H41+H40</f>
        <v>0</v>
      </c>
      <c r="I44" s="161">
        <f t="shared" si="8"/>
        <v>0</v>
      </c>
      <c r="J44" s="161">
        <f t="shared" si="8"/>
        <v>0</v>
      </c>
      <c r="K44" s="161">
        <f t="shared" si="8"/>
        <v>0</v>
      </c>
      <c r="L44" s="161">
        <f t="shared" si="8"/>
        <v>133733</v>
      </c>
      <c r="M44" s="161">
        <f t="shared" si="8"/>
        <v>133733</v>
      </c>
      <c r="N44" s="161">
        <f t="shared" si="8"/>
        <v>97123414</v>
      </c>
      <c r="O44" s="161">
        <f t="shared" si="8"/>
        <v>109371414</v>
      </c>
      <c r="P44" s="161">
        <f t="shared" si="8"/>
        <v>70000</v>
      </c>
      <c r="Q44" s="161">
        <f t="shared" si="8"/>
        <v>70000</v>
      </c>
      <c r="R44" s="196">
        <f t="shared" si="0"/>
        <v>99474500</v>
      </c>
      <c r="S44" s="196">
        <f>+Q44+O44+M44+I44+G44+E44+K44</f>
        <v>113096733</v>
      </c>
      <c r="T44" s="4"/>
      <c r="U44" s="4"/>
      <c r="V44" s="4"/>
      <c r="W44" s="4"/>
      <c r="X44" s="4"/>
      <c r="Y44" s="4"/>
      <c r="Z44" s="4"/>
    </row>
    <row r="45" spans="1:26" ht="18.95" customHeight="1" thickBot="1">
      <c r="A45" s="466" t="s">
        <v>158</v>
      </c>
      <c r="B45" s="156" t="s">
        <v>244</v>
      </c>
      <c r="C45" s="157" t="s">
        <v>336</v>
      </c>
      <c r="D45" s="158"/>
      <c r="E45" s="199"/>
      <c r="F45" s="158"/>
      <c r="G45" s="199"/>
      <c r="H45" s="158"/>
      <c r="I45" s="199"/>
      <c r="J45" s="199"/>
      <c r="K45" s="199"/>
      <c r="L45" s="158">
        <v>364135</v>
      </c>
      <c r="M45" s="158">
        <v>364135</v>
      </c>
      <c r="N45" s="158">
        <v>15124465</v>
      </c>
      <c r="O45" s="158">
        <v>15124465</v>
      </c>
      <c r="P45" s="159"/>
      <c r="Q45" s="202"/>
      <c r="R45" s="196">
        <f t="shared" si="0"/>
        <v>15488600</v>
      </c>
      <c r="S45" s="196">
        <f t="shared" si="0"/>
        <v>15488600</v>
      </c>
      <c r="T45" s="4"/>
      <c r="U45" s="4"/>
      <c r="V45" s="4"/>
      <c r="W45" s="4"/>
      <c r="X45" s="4"/>
      <c r="Y45" s="4"/>
      <c r="Z45" s="4"/>
    </row>
    <row r="46" spans="1:26" ht="18.95" customHeight="1" thickBot="1">
      <c r="A46" s="467"/>
      <c r="B46" s="156" t="s">
        <v>256</v>
      </c>
      <c r="C46" s="157" t="s">
        <v>257</v>
      </c>
      <c r="D46" s="158">
        <v>1250000</v>
      </c>
      <c r="E46" s="158">
        <v>1250000</v>
      </c>
      <c r="F46" s="158"/>
      <c r="G46" s="199"/>
      <c r="H46" s="158"/>
      <c r="I46" s="199"/>
      <c r="J46" s="199"/>
      <c r="K46" s="199"/>
      <c r="L46" s="158"/>
      <c r="M46" s="199"/>
      <c r="N46" s="158"/>
      <c r="O46" s="199"/>
      <c r="P46" s="159"/>
      <c r="Q46" s="202"/>
      <c r="R46" s="196">
        <f t="shared" si="0"/>
        <v>1250000</v>
      </c>
      <c r="S46" s="196">
        <f t="shared" si="0"/>
        <v>1250000</v>
      </c>
      <c r="T46" s="4"/>
      <c r="U46" s="4"/>
      <c r="V46" s="4"/>
      <c r="W46" s="4"/>
      <c r="X46" s="4"/>
      <c r="Y46" s="4"/>
      <c r="Z46" s="4"/>
    </row>
    <row r="47" spans="1:26" ht="22.5" customHeight="1" thickBot="1">
      <c r="A47" s="468"/>
      <c r="B47" s="451" t="s">
        <v>287</v>
      </c>
      <c r="C47" s="452"/>
      <c r="D47" s="161">
        <f t="shared" ref="D47:E47" si="9">SUM(D45:D46)</f>
        <v>1250000</v>
      </c>
      <c r="E47" s="161">
        <f t="shared" si="9"/>
        <v>1250000</v>
      </c>
      <c r="F47" s="161">
        <f t="shared" ref="F47:Q47" si="10">SUM(F45:F46)</f>
        <v>0</v>
      </c>
      <c r="G47" s="161">
        <f t="shared" si="10"/>
        <v>0</v>
      </c>
      <c r="H47" s="161">
        <f t="shared" si="10"/>
        <v>0</v>
      </c>
      <c r="I47" s="161">
        <f t="shared" si="10"/>
        <v>0</v>
      </c>
      <c r="J47" s="161">
        <f t="shared" si="10"/>
        <v>0</v>
      </c>
      <c r="K47" s="161">
        <f t="shared" si="10"/>
        <v>0</v>
      </c>
      <c r="L47" s="161">
        <f t="shared" si="10"/>
        <v>364135</v>
      </c>
      <c r="M47" s="161">
        <f t="shared" si="10"/>
        <v>364135</v>
      </c>
      <c r="N47" s="161">
        <f t="shared" si="10"/>
        <v>15124465</v>
      </c>
      <c r="O47" s="161">
        <f t="shared" si="10"/>
        <v>15124465</v>
      </c>
      <c r="P47" s="161">
        <f t="shared" si="10"/>
        <v>0</v>
      </c>
      <c r="Q47" s="161">
        <f t="shared" si="10"/>
        <v>0</v>
      </c>
      <c r="R47" s="196">
        <f t="shared" si="0"/>
        <v>16738600</v>
      </c>
      <c r="S47" s="196">
        <f t="shared" si="0"/>
        <v>16738600</v>
      </c>
      <c r="T47" s="4"/>
      <c r="U47" s="4"/>
      <c r="V47" s="4"/>
      <c r="W47" s="4"/>
      <c r="X47" s="4"/>
      <c r="Y47" s="4"/>
      <c r="Z47" s="4"/>
    </row>
    <row r="48" spans="1:26" ht="18.95" customHeight="1" thickBot="1">
      <c r="A48" s="466" t="s">
        <v>160</v>
      </c>
      <c r="B48" s="156" t="s">
        <v>244</v>
      </c>
      <c r="C48" s="157" t="s">
        <v>336</v>
      </c>
      <c r="D48" s="158"/>
      <c r="E48" s="199"/>
      <c r="F48" s="158"/>
      <c r="G48" s="199"/>
      <c r="H48" s="158"/>
      <c r="I48" s="199"/>
      <c r="J48" s="199"/>
      <c r="K48" s="199"/>
      <c r="L48" s="158">
        <v>248208</v>
      </c>
      <c r="M48" s="158">
        <v>248208</v>
      </c>
      <c r="N48" s="158">
        <v>3439292</v>
      </c>
      <c r="O48" s="158">
        <v>3439292</v>
      </c>
      <c r="P48" s="159"/>
      <c r="Q48" s="202"/>
      <c r="R48" s="196">
        <f t="shared" si="0"/>
        <v>3687500</v>
      </c>
      <c r="S48" s="196">
        <f t="shared" si="0"/>
        <v>3687500</v>
      </c>
      <c r="T48" s="4"/>
      <c r="U48" s="4"/>
      <c r="V48" s="4"/>
      <c r="W48" s="4"/>
      <c r="X48" s="4"/>
      <c r="Y48" s="4"/>
      <c r="Z48" s="4"/>
    </row>
    <row r="49" spans="1:35" ht="15.75" customHeight="1" thickBot="1">
      <c r="A49" s="467"/>
      <c r="B49" s="164" t="s">
        <v>288</v>
      </c>
      <c r="C49" s="157" t="s">
        <v>289</v>
      </c>
      <c r="D49" s="158"/>
      <c r="E49" s="199"/>
      <c r="F49" s="158"/>
      <c r="G49" s="199"/>
      <c r="H49" s="158"/>
      <c r="I49" s="199"/>
      <c r="J49" s="199"/>
      <c r="K49" s="199"/>
      <c r="L49" s="158"/>
      <c r="M49" s="199"/>
      <c r="N49" s="158"/>
      <c r="O49" s="199"/>
      <c r="P49" s="159"/>
      <c r="Q49" s="202"/>
      <c r="R49" s="196">
        <f t="shared" si="0"/>
        <v>0</v>
      </c>
      <c r="S49" s="196">
        <f t="shared" si="0"/>
        <v>0</v>
      </c>
      <c r="T49" s="4"/>
      <c r="U49" s="4"/>
      <c r="V49" s="4"/>
      <c r="W49" s="4"/>
      <c r="X49" s="4"/>
      <c r="Y49" s="4"/>
      <c r="Z49" s="4"/>
    </row>
    <row r="50" spans="1:35" ht="15.75" customHeight="1" thickBot="1">
      <c r="A50" s="467"/>
      <c r="B50" s="164" t="s">
        <v>290</v>
      </c>
      <c r="C50" s="157" t="s">
        <v>291</v>
      </c>
      <c r="D50" s="158">
        <v>140000</v>
      </c>
      <c r="E50" s="158">
        <v>140000</v>
      </c>
      <c r="F50" s="158">
        <v>2800000</v>
      </c>
      <c r="G50" s="158">
        <v>2800000</v>
      </c>
      <c r="H50" s="158"/>
      <c r="I50" s="199"/>
      <c r="J50" s="199"/>
      <c r="K50" s="199"/>
      <c r="L50" s="158"/>
      <c r="M50" s="199"/>
      <c r="N50" s="158"/>
      <c r="O50" s="199"/>
      <c r="P50" s="159"/>
      <c r="Q50" s="202"/>
      <c r="R50" s="196">
        <f t="shared" si="0"/>
        <v>2940000</v>
      </c>
      <c r="S50" s="196">
        <f t="shared" si="0"/>
        <v>2940000</v>
      </c>
      <c r="T50" s="4"/>
      <c r="U50" s="4"/>
      <c r="V50" s="4"/>
      <c r="W50" s="4"/>
      <c r="X50" s="4"/>
      <c r="Y50" s="4"/>
      <c r="Z50" s="4"/>
    </row>
    <row r="51" spans="1:35" ht="21" customHeight="1" thickBot="1">
      <c r="A51" s="468"/>
      <c r="B51" s="451" t="s">
        <v>292</v>
      </c>
      <c r="C51" s="452"/>
      <c r="D51" s="161">
        <f t="shared" ref="D51:Q51" si="11">SUM(D48:D50)</f>
        <v>140000</v>
      </c>
      <c r="E51" s="161">
        <f t="shared" si="11"/>
        <v>140000</v>
      </c>
      <c r="F51" s="161">
        <f t="shared" si="11"/>
        <v>2800000</v>
      </c>
      <c r="G51" s="161">
        <f t="shared" si="11"/>
        <v>2800000</v>
      </c>
      <c r="H51" s="161">
        <f t="shared" si="11"/>
        <v>0</v>
      </c>
      <c r="I51" s="161">
        <f t="shared" si="11"/>
        <v>0</v>
      </c>
      <c r="J51" s="161">
        <f t="shared" si="11"/>
        <v>0</v>
      </c>
      <c r="K51" s="161">
        <f t="shared" si="11"/>
        <v>0</v>
      </c>
      <c r="L51" s="161">
        <f t="shared" si="11"/>
        <v>248208</v>
      </c>
      <c r="M51" s="161">
        <f t="shared" si="11"/>
        <v>248208</v>
      </c>
      <c r="N51" s="161">
        <f t="shared" si="11"/>
        <v>3439292</v>
      </c>
      <c r="O51" s="161">
        <f t="shared" si="11"/>
        <v>3439292</v>
      </c>
      <c r="P51" s="161">
        <f t="shared" si="11"/>
        <v>0</v>
      </c>
      <c r="Q51" s="161">
        <f t="shared" si="11"/>
        <v>0</v>
      </c>
      <c r="R51" s="196">
        <f t="shared" si="0"/>
        <v>6627500</v>
      </c>
      <c r="S51" s="196">
        <f t="shared" si="0"/>
        <v>6627500</v>
      </c>
      <c r="T51" s="4"/>
      <c r="U51" s="4"/>
      <c r="V51" s="4"/>
      <c r="W51" s="4"/>
      <c r="X51" s="4"/>
      <c r="Y51" s="4"/>
      <c r="Z51" s="4"/>
    </row>
    <row r="52" spans="1:35" ht="18.95" customHeight="1" thickBot="1">
      <c r="A52" s="444" t="s">
        <v>162</v>
      </c>
      <c r="B52" s="156" t="s">
        <v>244</v>
      </c>
      <c r="C52" s="157" t="s">
        <v>336</v>
      </c>
      <c r="D52" s="158"/>
      <c r="E52" s="199"/>
      <c r="F52" s="199"/>
      <c r="G52" s="199"/>
      <c r="H52" s="199"/>
      <c r="I52" s="199"/>
      <c r="J52" s="199"/>
      <c r="K52" s="199"/>
      <c r="L52" s="158">
        <v>1003637</v>
      </c>
      <c r="M52" s="158">
        <v>1003637</v>
      </c>
      <c r="N52" s="158">
        <v>88274163</v>
      </c>
      <c r="O52" s="158">
        <v>88274163</v>
      </c>
      <c r="P52" s="202"/>
      <c r="Q52" s="202"/>
      <c r="R52" s="196">
        <f t="shared" si="0"/>
        <v>89277800</v>
      </c>
      <c r="S52" s="196">
        <f t="shared" si="0"/>
        <v>89277800</v>
      </c>
      <c r="T52" s="4"/>
      <c r="U52" s="4"/>
      <c r="V52" s="4"/>
      <c r="W52" s="4"/>
      <c r="X52" s="4"/>
      <c r="Y52" s="4"/>
      <c r="Z52" s="4"/>
    </row>
    <row r="53" spans="1:35" ht="21" customHeight="1" thickBot="1">
      <c r="A53" s="445"/>
      <c r="B53" s="182" t="s">
        <v>293</v>
      </c>
      <c r="C53" s="183" t="s">
        <v>294</v>
      </c>
      <c r="D53" s="184">
        <v>20000</v>
      </c>
      <c r="E53" s="184">
        <v>50000</v>
      </c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196">
        <f t="shared" si="0"/>
        <v>20000</v>
      </c>
      <c r="S53" s="196">
        <f t="shared" si="0"/>
        <v>50000</v>
      </c>
      <c r="T53" s="4"/>
      <c r="U53" s="4"/>
      <c r="V53" s="4"/>
      <c r="W53" s="4"/>
      <c r="X53" s="4"/>
      <c r="Y53" s="4"/>
      <c r="Z53" s="4"/>
    </row>
    <row r="54" spans="1:35" ht="21" customHeight="1" thickBot="1">
      <c r="A54" s="445"/>
      <c r="B54" s="182" t="s">
        <v>295</v>
      </c>
      <c r="C54" s="183" t="s">
        <v>296</v>
      </c>
      <c r="D54" s="184">
        <v>20000</v>
      </c>
      <c r="E54" s="184">
        <v>20000</v>
      </c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196">
        <f t="shared" si="0"/>
        <v>20000</v>
      </c>
      <c r="S54" s="196">
        <f t="shared" si="0"/>
        <v>20000</v>
      </c>
      <c r="T54" s="4"/>
      <c r="U54" s="4"/>
      <c r="V54" s="4"/>
      <c r="W54" s="4"/>
      <c r="X54" s="4"/>
      <c r="Y54" s="4"/>
      <c r="Z54" s="4"/>
    </row>
    <row r="55" spans="1:35" ht="21" customHeight="1" thickBot="1">
      <c r="A55" s="445"/>
      <c r="B55" s="182" t="s">
        <v>267</v>
      </c>
      <c r="C55" s="183" t="s">
        <v>344</v>
      </c>
      <c r="D55" s="184">
        <v>0</v>
      </c>
      <c r="E55" s="207">
        <v>0</v>
      </c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196">
        <f t="shared" si="0"/>
        <v>0</v>
      </c>
      <c r="S55" s="196">
        <f t="shared" si="0"/>
        <v>0</v>
      </c>
      <c r="T55" s="4"/>
      <c r="U55" s="4"/>
      <c r="V55" s="4"/>
      <c r="W55" s="4"/>
      <c r="X55" s="4"/>
      <c r="Y55" s="4"/>
      <c r="Z55" s="4"/>
    </row>
    <row r="56" spans="1:35" ht="21" customHeight="1" thickBot="1">
      <c r="A56" s="445"/>
      <c r="B56" s="182" t="s">
        <v>297</v>
      </c>
      <c r="C56" s="183" t="s">
        <v>298</v>
      </c>
      <c r="D56" s="184">
        <v>0</v>
      </c>
      <c r="E56" s="184">
        <v>0</v>
      </c>
      <c r="F56" s="184">
        <v>0</v>
      </c>
      <c r="G56" s="184">
        <v>4030222</v>
      </c>
      <c r="H56" s="184"/>
      <c r="I56" s="184"/>
      <c r="J56" s="206"/>
      <c r="K56" s="206"/>
      <c r="L56" s="206"/>
      <c r="M56" s="206"/>
      <c r="N56" s="206"/>
      <c r="O56" s="206"/>
      <c r="P56" s="206"/>
      <c r="Q56" s="206"/>
      <c r="R56" s="196">
        <f t="shared" si="0"/>
        <v>0</v>
      </c>
      <c r="S56" s="196">
        <f t="shared" si="0"/>
        <v>4030222</v>
      </c>
      <c r="T56" s="4"/>
      <c r="U56" s="4"/>
      <c r="V56" s="4"/>
      <c r="W56" s="4"/>
      <c r="X56" s="4"/>
      <c r="Y56" s="4"/>
      <c r="Z56" s="4"/>
    </row>
    <row r="57" spans="1:35" ht="21" customHeight="1" thickBot="1">
      <c r="A57" s="445"/>
      <c r="B57" s="182" t="s">
        <v>302</v>
      </c>
      <c r="C57" s="183" t="s">
        <v>303</v>
      </c>
      <c r="D57" s="184">
        <v>11730000</v>
      </c>
      <c r="E57" s="184">
        <v>10850000</v>
      </c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196">
        <f t="shared" si="0"/>
        <v>11730000</v>
      </c>
      <c r="S57" s="196">
        <f t="shared" si="0"/>
        <v>10850000</v>
      </c>
      <c r="T57" s="4"/>
      <c r="U57" s="4"/>
      <c r="V57" s="4"/>
      <c r="W57" s="4"/>
      <c r="X57" s="4"/>
      <c r="Y57" s="4"/>
      <c r="Z57" s="4"/>
    </row>
    <row r="58" spans="1:35" ht="21" customHeight="1" thickBot="1">
      <c r="A58" s="445"/>
      <c r="B58" s="182" t="s">
        <v>304</v>
      </c>
      <c r="C58" s="183" t="s">
        <v>305</v>
      </c>
      <c r="D58" s="184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8"/>
      <c r="Q58" s="208"/>
      <c r="R58" s="196">
        <f t="shared" si="0"/>
        <v>0</v>
      </c>
      <c r="S58" s="196">
        <f t="shared" si="0"/>
        <v>0</v>
      </c>
      <c r="T58" s="4"/>
      <c r="U58" s="4"/>
      <c r="V58" s="4"/>
      <c r="W58" s="4"/>
      <c r="X58" s="4"/>
      <c r="Y58" s="4"/>
      <c r="Z58" s="4"/>
    </row>
    <row r="59" spans="1:35" ht="21" customHeight="1" thickBot="1">
      <c r="A59" s="445"/>
      <c r="B59" s="182" t="s">
        <v>306</v>
      </c>
      <c r="C59" s="183" t="s">
        <v>307</v>
      </c>
      <c r="D59" s="184">
        <v>3300000</v>
      </c>
      <c r="E59" s="184">
        <v>3200000</v>
      </c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8"/>
      <c r="Q59" s="208"/>
      <c r="R59" s="196">
        <f t="shared" si="0"/>
        <v>3300000</v>
      </c>
      <c r="S59" s="196">
        <f t="shared" si="0"/>
        <v>3200000</v>
      </c>
      <c r="T59" s="4"/>
      <c r="U59" s="4"/>
      <c r="V59" s="4"/>
      <c r="W59" s="4"/>
      <c r="X59" s="4"/>
      <c r="Y59" s="4"/>
      <c r="Z59" s="4"/>
    </row>
    <row r="60" spans="1:35" ht="21" customHeight="1" thickBot="1">
      <c r="A60" s="445"/>
      <c r="B60" s="182" t="s">
        <v>308</v>
      </c>
      <c r="C60" s="183" t="s">
        <v>309</v>
      </c>
      <c r="D60" s="184">
        <v>6200000</v>
      </c>
      <c r="E60" s="184">
        <v>7150000</v>
      </c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8"/>
      <c r="Q60" s="208"/>
      <c r="R60" s="196">
        <f t="shared" si="0"/>
        <v>6200000</v>
      </c>
      <c r="S60" s="196">
        <f t="shared" si="0"/>
        <v>7150000</v>
      </c>
      <c r="T60" s="4"/>
      <c r="U60" s="4"/>
      <c r="V60" s="4"/>
      <c r="W60" s="4"/>
      <c r="X60" s="4"/>
      <c r="Y60" s="4"/>
      <c r="Z60" s="4"/>
    </row>
    <row r="61" spans="1:35" ht="33" customHeight="1" thickBot="1">
      <c r="A61" s="446"/>
      <c r="B61" s="447" t="s">
        <v>311</v>
      </c>
      <c r="C61" s="448"/>
      <c r="D61" s="161">
        <f>SUM(D52:D60)</f>
        <v>21270000</v>
      </c>
      <c r="E61" s="161">
        <f>SUM(E52:E60)</f>
        <v>21270000</v>
      </c>
      <c r="F61" s="161">
        <f t="shared" ref="F61:Q61" si="12">SUM(F52:F60)</f>
        <v>0</v>
      </c>
      <c r="G61" s="161">
        <f t="shared" si="12"/>
        <v>4030222</v>
      </c>
      <c r="H61" s="161">
        <f t="shared" si="12"/>
        <v>0</v>
      </c>
      <c r="I61" s="161">
        <f t="shared" si="12"/>
        <v>0</v>
      </c>
      <c r="J61" s="161">
        <f t="shared" si="12"/>
        <v>0</v>
      </c>
      <c r="K61" s="161">
        <f t="shared" si="12"/>
        <v>0</v>
      </c>
      <c r="L61" s="161">
        <f t="shared" si="12"/>
        <v>1003637</v>
      </c>
      <c r="M61" s="161">
        <f t="shared" si="12"/>
        <v>1003637</v>
      </c>
      <c r="N61" s="161">
        <f t="shared" si="12"/>
        <v>88274163</v>
      </c>
      <c r="O61" s="161">
        <f t="shared" si="12"/>
        <v>88274163</v>
      </c>
      <c r="P61" s="161">
        <f t="shared" si="12"/>
        <v>0</v>
      </c>
      <c r="Q61" s="161">
        <f t="shared" si="12"/>
        <v>0</v>
      </c>
      <c r="R61" s="196">
        <f t="shared" si="0"/>
        <v>110547800</v>
      </c>
      <c r="S61" s="196">
        <f t="shared" si="0"/>
        <v>114578022</v>
      </c>
      <c r="T61" s="4"/>
      <c r="U61" s="4"/>
      <c r="V61" s="4"/>
      <c r="W61" s="4"/>
      <c r="X61" s="4"/>
      <c r="Y61" s="4"/>
      <c r="Z61" s="4"/>
    </row>
    <row r="62" spans="1:35" ht="26.25" customHeight="1" thickBot="1">
      <c r="A62" s="449" t="s">
        <v>312</v>
      </c>
      <c r="B62" s="449"/>
      <c r="C62" s="449"/>
      <c r="D62" s="161">
        <f>+D61+D51+D47+D44+D38</f>
        <v>56025000</v>
      </c>
      <c r="E62" s="161">
        <f t="shared" ref="E62" si="13">+E61+E51+E47+E44+E38</f>
        <v>55920000</v>
      </c>
      <c r="F62" s="161">
        <f>+F61+F51+F47+F44+F38</f>
        <v>339511437</v>
      </c>
      <c r="G62" s="161">
        <f t="shared" ref="G62" si="14">+G61+G51+G47+G44+G38</f>
        <v>415840696</v>
      </c>
      <c r="H62" s="161">
        <f>+H61+H51+H47+H44+H38</f>
        <v>108818441</v>
      </c>
      <c r="I62" s="161">
        <f t="shared" ref="I62:K62" si="15">+I61+I51+I47+I44+I38</f>
        <v>126818438</v>
      </c>
      <c r="J62" s="161">
        <f t="shared" si="15"/>
        <v>0</v>
      </c>
      <c r="K62" s="161">
        <f t="shared" si="15"/>
        <v>105000</v>
      </c>
      <c r="L62" s="161">
        <f>+L61+L51+L47+L44+L38</f>
        <v>416948898</v>
      </c>
      <c r="M62" s="161">
        <f t="shared" ref="M62" si="16">+M61+M51+M47+M44+M38</f>
        <v>420153306</v>
      </c>
      <c r="N62" s="161">
        <f>+N61+N51+N47+N44+N38</f>
        <v>203961334</v>
      </c>
      <c r="O62" s="161">
        <f t="shared" ref="O62" si="17">+O61+O51+O47+O44+O38</f>
        <v>216209334</v>
      </c>
      <c r="P62" s="161">
        <f>+P61+P51+P47+P44+P38</f>
        <v>59270000</v>
      </c>
      <c r="Q62" s="161">
        <f t="shared" ref="Q62" si="18">+Q61+Q51+Q47+Q44+Q38</f>
        <v>59270000</v>
      </c>
      <c r="R62" s="161">
        <f>+R61+R51+R47+R44+R38</f>
        <v>1184535110</v>
      </c>
      <c r="S62" s="161">
        <f>+S61+S51+S47+S44+S38</f>
        <v>1294316774</v>
      </c>
      <c r="T62" s="4"/>
      <c r="U62" s="4"/>
      <c r="V62" s="4"/>
      <c r="W62" s="4"/>
      <c r="X62" s="4"/>
      <c r="Y62" s="4"/>
      <c r="Z62" s="4"/>
    </row>
    <row r="63" spans="1:35">
      <c r="L63" s="188"/>
    </row>
    <row r="64" spans="1:35" s="149" customFormat="1">
      <c r="E64" s="209"/>
      <c r="G64" s="209"/>
      <c r="I64" s="209"/>
      <c r="J64" s="209"/>
      <c r="K64" s="209"/>
      <c r="L64" s="188"/>
      <c r="M64" s="209"/>
      <c r="O64" s="209"/>
      <c r="Q64" s="209"/>
      <c r="Y64" s="189"/>
      <c r="AA64" s="4"/>
      <c r="AB64" s="4"/>
      <c r="AC64" s="4"/>
      <c r="AD64" s="4"/>
      <c r="AE64" s="4"/>
      <c r="AF64" s="4"/>
      <c r="AG64" s="4"/>
      <c r="AH64" s="4"/>
      <c r="AI64" s="4"/>
    </row>
    <row r="65" spans="5:35" s="149" customFormat="1">
      <c r="E65" s="209"/>
      <c r="G65" s="209"/>
      <c r="I65" s="210"/>
      <c r="J65" s="210"/>
      <c r="K65" s="210"/>
      <c r="M65" s="209"/>
      <c r="O65" s="209"/>
      <c r="Q65" s="209"/>
      <c r="Y65" s="189"/>
      <c r="AA65" s="4"/>
      <c r="AB65" s="4"/>
      <c r="AC65" s="4"/>
      <c r="AD65" s="4"/>
      <c r="AE65" s="4"/>
      <c r="AF65" s="4"/>
      <c r="AG65" s="4"/>
      <c r="AH65" s="4"/>
      <c r="AI65" s="4"/>
    </row>
    <row r="66" spans="5:35" s="149" customFormat="1">
      <c r="E66" s="209"/>
      <c r="G66" s="209"/>
      <c r="I66" s="209"/>
      <c r="J66" s="209"/>
      <c r="K66" s="209"/>
      <c r="M66" s="209"/>
      <c r="O66" s="209"/>
      <c r="Q66" s="209"/>
      <c r="R66" s="188"/>
      <c r="S66" s="188"/>
      <c r="Y66" s="189"/>
      <c r="AA66" s="4"/>
      <c r="AB66" s="4"/>
      <c r="AC66" s="4"/>
      <c r="AD66" s="4"/>
      <c r="AE66" s="4"/>
      <c r="AF66" s="4"/>
      <c r="AG66" s="4"/>
      <c r="AH66" s="4"/>
      <c r="AI66" s="4"/>
    </row>
  </sheetData>
  <mergeCells count="16">
    <mergeCell ref="A1:S1"/>
    <mergeCell ref="A2:S2"/>
    <mergeCell ref="A4:A5"/>
    <mergeCell ref="B4:B5"/>
    <mergeCell ref="C4:C5"/>
    <mergeCell ref="D4:S4"/>
    <mergeCell ref="A52:A61"/>
    <mergeCell ref="B61:C61"/>
    <mergeCell ref="A62:C62"/>
    <mergeCell ref="A6:A38"/>
    <mergeCell ref="A39:A44"/>
    <mergeCell ref="B44:C44"/>
    <mergeCell ref="A45:A47"/>
    <mergeCell ref="B47:C47"/>
    <mergeCell ref="A48:A51"/>
    <mergeCell ref="B51:C51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6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I54"/>
  <sheetViews>
    <sheetView zoomScale="115" zoomScaleNormal="115" zoomScaleSheetLayoutView="90" workbookViewId="0">
      <selection activeCell="G3" sqref="G3"/>
    </sheetView>
  </sheetViews>
  <sheetFormatPr defaultColWidth="8.85546875" defaultRowHeight="12.75"/>
  <cols>
    <col min="1" max="1" width="4.42578125" style="4" customWidth="1"/>
    <col min="2" max="2" width="7.5703125" style="149" customWidth="1"/>
    <col min="3" max="3" width="93.140625" style="149" bestFit="1" customWidth="1"/>
    <col min="4" max="4" width="15.5703125" style="149" customWidth="1"/>
    <col min="5" max="5" width="17.28515625" style="149" customWidth="1"/>
    <col min="6" max="6" width="10.140625" style="4" bestFit="1" customWidth="1"/>
    <col min="7" max="10" width="8.85546875" style="4"/>
    <col min="11" max="11" width="20.42578125" style="4" customWidth="1"/>
    <col min="12" max="16384" width="8.85546875" style="4"/>
  </cols>
  <sheetData>
    <row r="1" spans="1:9" ht="15.75">
      <c r="A1" s="421" t="s">
        <v>551</v>
      </c>
      <c r="B1" s="421"/>
      <c r="C1" s="421"/>
      <c r="D1" s="421"/>
      <c r="E1" s="421"/>
    </row>
    <row r="2" spans="1:9" s="149" customFormat="1" ht="27.75" customHeight="1">
      <c r="A2" s="472" t="s">
        <v>345</v>
      </c>
      <c r="B2" s="472"/>
      <c r="C2" s="472"/>
      <c r="D2" s="472"/>
      <c r="E2" s="472"/>
      <c r="F2" s="211"/>
      <c r="G2" s="211"/>
      <c r="H2" s="211"/>
      <c r="I2" s="211"/>
    </row>
    <row r="3" spans="1:9" ht="29.25" customHeight="1">
      <c r="A3" s="473" t="s">
        <v>346</v>
      </c>
      <c r="B3" s="473"/>
      <c r="C3" s="473"/>
      <c r="D3" s="473"/>
      <c r="E3" s="473"/>
      <c r="F3" s="211"/>
      <c r="G3" s="211"/>
      <c r="H3" s="211"/>
      <c r="I3" s="211"/>
    </row>
    <row r="4" spans="1:9" ht="12.75" customHeight="1">
      <c r="B4" s="212"/>
      <c r="C4" s="213"/>
      <c r="D4" s="214" t="s">
        <v>347</v>
      </c>
      <c r="E4" s="214" t="s">
        <v>347</v>
      </c>
      <c r="F4" s="211"/>
      <c r="G4" s="211"/>
      <c r="H4" s="211"/>
      <c r="I4" s="211"/>
    </row>
    <row r="5" spans="1:9" ht="12.75" customHeight="1">
      <c r="A5" s="474" t="s">
        <v>348</v>
      </c>
      <c r="B5" s="474"/>
      <c r="C5" s="474"/>
      <c r="D5" s="215">
        <v>1426453</v>
      </c>
      <c r="E5" s="215">
        <v>1426453</v>
      </c>
      <c r="F5" s="211"/>
      <c r="G5" s="211"/>
      <c r="H5" s="211"/>
      <c r="I5" s="211"/>
    </row>
    <row r="6" spans="1:9" ht="12.75" customHeight="1">
      <c r="A6" s="216"/>
      <c r="B6" s="216"/>
      <c r="C6" s="216"/>
      <c r="D6" s="217"/>
      <c r="E6" s="217"/>
      <c r="F6" s="211"/>
      <c r="G6" s="211"/>
      <c r="H6" s="211"/>
      <c r="I6" s="211"/>
    </row>
    <row r="7" spans="1:9" ht="15.75" customHeight="1">
      <c r="A7" s="474" t="s">
        <v>349</v>
      </c>
      <c r="B7" s="474"/>
      <c r="C7" s="474"/>
      <c r="D7" s="218"/>
      <c r="E7" s="218"/>
      <c r="F7" s="211"/>
      <c r="G7" s="211"/>
      <c r="H7" s="211"/>
      <c r="I7" s="211"/>
    </row>
    <row r="8" spans="1:9" ht="12.75" customHeight="1">
      <c r="B8" s="212"/>
      <c r="C8" s="219"/>
      <c r="D8" s="217" t="s">
        <v>350</v>
      </c>
      <c r="E8" s="217" t="s">
        <v>350</v>
      </c>
      <c r="F8" s="211"/>
      <c r="G8" s="211"/>
      <c r="H8" s="211"/>
      <c r="I8" s="211"/>
    </row>
    <row r="9" spans="1:9" ht="12.75" customHeight="1">
      <c r="B9" s="212"/>
      <c r="C9" s="219"/>
      <c r="D9" s="215">
        <v>2450</v>
      </c>
      <c r="E9" s="215">
        <v>2450</v>
      </c>
      <c r="F9" s="211"/>
      <c r="G9" s="211"/>
      <c r="H9" s="211"/>
      <c r="I9" s="211"/>
    </row>
    <row r="10" spans="1:9" ht="12.75" customHeight="1">
      <c r="B10" s="212"/>
      <c r="C10" s="220" t="s">
        <v>351</v>
      </c>
      <c r="D10" s="221"/>
      <c r="E10" s="221"/>
      <c r="F10" s="211"/>
      <c r="G10" s="211"/>
      <c r="H10" s="211"/>
      <c r="I10" s="211"/>
    </row>
    <row r="11" spans="1:9" ht="41.25" customHeight="1">
      <c r="B11" s="222"/>
      <c r="C11" s="223" t="s">
        <v>352</v>
      </c>
      <c r="D11" s="224" t="s">
        <v>353</v>
      </c>
      <c r="E11" s="224" t="s">
        <v>354</v>
      </c>
      <c r="F11" s="211"/>
      <c r="G11" s="211"/>
      <c r="H11" s="211"/>
    </row>
    <row r="12" spans="1:9" ht="12.75" customHeight="1">
      <c r="B12" s="215" t="s">
        <v>355</v>
      </c>
      <c r="C12" s="225" t="s">
        <v>356</v>
      </c>
      <c r="D12" s="84" t="s">
        <v>357</v>
      </c>
      <c r="E12" s="226" t="s">
        <v>357</v>
      </c>
      <c r="F12" s="211"/>
      <c r="G12" s="211"/>
      <c r="H12" s="211"/>
    </row>
    <row r="13" spans="1:9" ht="12.75" customHeight="1">
      <c r="B13" s="84" t="s">
        <v>358</v>
      </c>
      <c r="C13" s="227" t="s">
        <v>359</v>
      </c>
      <c r="D13" s="228">
        <f>+'1.sz.mell.'!C5</f>
        <v>70119800</v>
      </c>
      <c r="E13" s="229">
        <f>+'1.sz.mell.'!D5</f>
        <v>72970800</v>
      </c>
      <c r="F13" s="211"/>
      <c r="G13" s="211"/>
      <c r="H13" s="211"/>
    </row>
    <row r="14" spans="1:9" ht="12.75" customHeight="1">
      <c r="B14" s="84" t="s">
        <v>360</v>
      </c>
      <c r="C14" s="227" t="s">
        <v>361</v>
      </c>
      <c r="D14" s="228">
        <f>+D15+D16+D17+D18</f>
        <v>21290513</v>
      </c>
      <c r="E14" s="229">
        <f>+E15+E16+E17+E18</f>
        <v>21290513</v>
      </c>
      <c r="F14" s="211"/>
      <c r="G14" s="211"/>
      <c r="H14" s="211"/>
    </row>
    <row r="15" spans="1:9" ht="12.75" customHeight="1">
      <c r="B15" s="84" t="s">
        <v>362</v>
      </c>
      <c r="C15" s="227" t="s">
        <v>363</v>
      </c>
      <c r="D15" s="228">
        <f>+'1.sz.mell.'!C6</f>
        <v>9024810</v>
      </c>
      <c r="E15" s="229">
        <f>+'1.sz.mell.'!D6</f>
        <v>9024810</v>
      </c>
      <c r="F15" s="211"/>
      <c r="G15" s="211"/>
      <c r="H15" s="211"/>
    </row>
    <row r="16" spans="1:9" ht="12.75" customHeight="1">
      <c r="B16" s="84" t="s">
        <v>364</v>
      </c>
      <c r="C16" s="227" t="s">
        <v>365</v>
      </c>
      <c r="D16" s="228">
        <f>+'1.sz.mell.'!C7</f>
        <v>6400000</v>
      </c>
      <c r="E16" s="229">
        <f>+'1.sz.mell.'!D7</f>
        <v>6400000</v>
      </c>
      <c r="F16" s="211"/>
      <c r="G16" s="211"/>
      <c r="H16" s="211"/>
    </row>
    <row r="17" spans="2:8" ht="12.75" customHeight="1">
      <c r="B17" s="84" t="s">
        <v>366</v>
      </c>
      <c r="C17" s="227" t="s">
        <v>367</v>
      </c>
      <c r="D17" s="228">
        <f>+'1.sz.mell.'!C8</f>
        <v>522123</v>
      </c>
      <c r="E17" s="229">
        <f>+'1.sz.mell.'!D8</f>
        <v>522123</v>
      </c>
      <c r="F17" s="211"/>
      <c r="G17" s="211"/>
      <c r="H17" s="211"/>
    </row>
    <row r="18" spans="2:8" ht="12.75" customHeight="1">
      <c r="B18" s="84" t="s">
        <v>368</v>
      </c>
      <c r="C18" s="227" t="s">
        <v>369</v>
      </c>
      <c r="D18" s="228">
        <f>+'1.sz.mell.'!C9</f>
        <v>5343580</v>
      </c>
      <c r="E18" s="229">
        <f>+'1.sz.mell.'!D9</f>
        <v>5343580</v>
      </c>
      <c r="F18" s="211"/>
      <c r="G18" s="211"/>
      <c r="H18" s="211"/>
    </row>
    <row r="19" spans="2:8" ht="12.75" customHeight="1">
      <c r="B19" s="84" t="s">
        <v>370</v>
      </c>
      <c r="C19" s="227" t="s">
        <v>371</v>
      </c>
      <c r="D19" s="228">
        <f>+'1.sz.mell.'!C10</f>
        <v>6615000</v>
      </c>
      <c r="E19" s="229">
        <f>+'1.sz.mell.'!D10</f>
        <v>6615000</v>
      </c>
      <c r="F19" s="211"/>
      <c r="G19" s="211"/>
      <c r="H19" s="211"/>
    </row>
    <row r="20" spans="2:8" ht="12.75" customHeight="1">
      <c r="B20" s="84" t="s">
        <v>372</v>
      </c>
      <c r="C20" s="227" t="s">
        <v>373</v>
      </c>
      <c r="D20" s="228">
        <f>+'1.sz.mell.'!C22</f>
        <v>76500</v>
      </c>
      <c r="E20" s="229">
        <f>+'1.sz.mell.'!D22</f>
        <v>76500</v>
      </c>
      <c r="F20" s="211"/>
      <c r="G20" s="211"/>
      <c r="H20" s="211"/>
    </row>
    <row r="21" spans="2:8" ht="12.75" customHeight="1">
      <c r="B21" s="84"/>
      <c r="C21" s="227" t="s">
        <v>374</v>
      </c>
      <c r="D21" s="228">
        <f>+'1.sz.mell.'!C11</f>
        <v>19659616</v>
      </c>
      <c r="E21" s="229">
        <f>+'1.sz.mell.'!D11</f>
        <v>19659616</v>
      </c>
      <c r="F21" s="211"/>
      <c r="G21" s="211"/>
      <c r="H21" s="211"/>
    </row>
    <row r="22" spans="2:8" ht="12.75" customHeight="1">
      <c r="B22" s="84"/>
      <c r="C22" s="230" t="s">
        <v>375</v>
      </c>
      <c r="D22" s="228">
        <f>+'1.sz.mell.'!C12</f>
        <v>972400</v>
      </c>
      <c r="E22" s="229">
        <f>+'1.sz.mell.'!D12</f>
        <v>972400</v>
      </c>
      <c r="F22" s="211"/>
      <c r="G22" s="211"/>
      <c r="H22" s="211"/>
    </row>
    <row r="23" spans="2:8" ht="12.75" customHeight="1">
      <c r="B23" s="84" t="s">
        <v>154</v>
      </c>
      <c r="C23" s="231" t="s">
        <v>376</v>
      </c>
      <c r="D23" s="232">
        <f>SUM(D13:D14,D19,D20,D21:D22,)</f>
        <v>118733829</v>
      </c>
      <c r="E23" s="233">
        <f>SUM(E13:E14,E19,E20,E21:E22,)</f>
        <v>121584829</v>
      </c>
      <c r="F23" s="211"/>
      <c r="G23" s="211"/>
      <c r="H23" s="211"/>
    </row>
    <row r="24" spans="2:8">
      <c r="B24" s="84"/>
      <c r="C24" s="227" t="s">
        <v>377</v>
      </c>
      <c r="D24" s="228">
        <v>30017633</v>
      </c>
      <c r="E24" s="229">
        <f>30017633+975000</f>
        <v>30992633</v>
      </c>
    </row>
    <row r="25" spans="2:8">
      <c r="B25" s="84"/>
      <c r="C25" s="227" t="s">
        <v>378</v>
      </c>
      <c r="D25" s="228">
        <v>15300250</v>
      </c>
      <c r="E25" s="229">
        <v>15300250</v>
      </c>
    </row>
    <row r="26" spans="2:8">
      <c r="B26" s="84"/>
      <c r="C26" s="227" t="s">
        <v>379</v>
      </c>
      <c r="D26" s="228">
        <v>0</v>
      </c>
      <c r="E26" s="229">
        <v>0</v>
      </c>
    </row>
    <row r="27" spans="2:8" ht="32.25" customHeight="1">
      <c r="B27" s="84"/>
      <c r="C27" s="234" t="s">
        <v>380</v>
      </c>
      <c r="D27" s="228">
        <v>1983500</v>
      </c>
      <c r="E27" s="229">
        <v>1983500</v>
      </c>
    </row>
    <row r="28" spans="2:8">
      <c r="B28" s="84"/>
      <c r="C28" s="227" t="s">
        <v>381</v>
      </c>
      <c r="D28" s="228">
        <v>7350000</v>
      </c>
      <c r="E28" s="229">
        <v>7350000</v>
      </c>
    </row>
    <row r="29" spans="2:8">
      <c r="B29" s="84"/>
      <c r="C29" s="221" t="s">
        <v>382</v>
      </c>
      <c r="D29" s="228">
        <v>3675000</v>
      </c>
      <c r="E29" s="229">
        <v>3675000</v>
      </c>
    </row>
    <row r="30" spans="2:8">
      <c r="B30" s="84"/>
      <c r="C30" s="227" t="s">
        <v>383</v>
      </c>
      <c r="D30" s="228">
        <v>6818000</v>
      </c>
      <c r="E30" s="229">
        <v>6818000</v>
      </c>
    </row>
    <row r="31" spans="2:8">
      <c r="B31" s="84"/>
      <c r="C31" s="227" t="s">
        <v>384</v>
      </c>
      <c r="D31" s="228">
        <v>3409000</v>
      </c>
      <c r="E31" s="229">
        <v>3409000</v>
      </c>
    </row>
    <row r="32" spans="2:8">
      <c r="B32" s="84" t="s">
        <v>156</v>
      </c>
      <c r="C32" s="235" t="s">
        <v>385</v>
      </c>
      <c r="D32" s="232">
        <f>SUM(D24:D31)</f>
        <v>68553383</v>
      </c>
      <c r="E32" s="233">
        <f>SUM(E24:E31)</f>
        <v>69528383</v>
      </c>
      <c r="F32" s="25"/>
    </row>
    <row r="33" spans="2:7">
      <c r="B33" s="84"/>
      <c r="C33" s="227" t="s">
        <v>386</v>
      </c>
      <c r="D33" s="228">
        <f>+'1.sz.mell.'!C14</f>
        <v>18536765</v>
      </c>
      <c r="E33" s="236">
        <f>+'1.sz.mell.'!D14</f>
        <v>20763765</v>
      </c>
    </row>
    <row r="34" spans="2:7">
      <c r="B34" s="84"/>
      <c r="C34" s="227" t="s">
        <v>387</v>
      </c>
      <c r="D34" s="228">
        <v>18506000</v>
      </c>
      <c r="E34" s="236">
        <v>18506000</v>
      </c>
    </row>
    <row r="35" spans="2:7">
      <c r="B35" s="84"/>
      <c r="C35" s="227" t="s">
        <v>388</v>
      </c>
      <c r="D35" s="228">
        <v>32507193</v>
      </c>
      <c r="E35" s="236">
        <f>32507193+1948000</f>
        <v>34455193</v>
      </c>
    </row>
    <row r="36" spans="2:7">
      <c r="B36" s="84"/>
      <c r="C36" s="227" t="s">
        <v>389</v>
      </c>
      <c r="D36" s="228">
        <v>1072740</v>
      </c>
      <c r="E36" s="236">
        <v>1072740</v>
      </c>
    </row>
    <row r="37" spans="2:7">
      <c r="B37" s="84"/>
      <c r="C37" s="227" t="s">
        <v>390</v>
      </c>
      <c r="D37" s="228">
        <v>3400000</v>
      </c>
      <c r="E37" s="236">
        <f>3400000+380000</f>
        <v>3780000</v>
      </c>
    </row>
    <row r="38" spans="2:7">
      <c r="B38" s="84"/>
      <c r="C38" s="227" t="s">
        <v>391</v>
      </c>
      <c r="D38" s="228">
        <v>4705600</v>
      </c>
      <c r="E38" s="236">
        <f>4705600</f>
        <v>4705600</v>
      </c>
    </row>
    <row r="39" spans="2:7">
      <c r="B39" s="84"/>
      <c r="C39" s="227" t="s">
        <v>392</v>
      </c>
      <c r="D39" s="228">
        <v>150000</v>
      </c>
      <c r="E39" s="236">
        <v>150000</v>
      </c>
    </row>
    <row r="40" spans="2:7">
      <c r="B40" s="84"/>
      <c r="C40" s="227" t="s">
        <v>393</v>
      </c>
      <c r="D40" s="228">
        <v>5280000</v>
      </c>
      <c r="E40" s="236">
        <v>5280000</v>
      </c>
    </row>
    <row r="41" spans="2:7">
      <c r="B41" s="84"/>
      <c r="C41" s="227" t="s">
        <v>394</v>
      </c>
      <c r="D41" s="228">
        <v>1853000</v>
      </c>
      <c r="E41" s="236">
        <f>1853000</f>
        <v>1853000</v>
      </c>
    </row>
    <row r="42" spans="2:7">
      <c r="B42" s="84"/>
      <c r="C42" s="227" t="s">
        <v>395</v>
      </c>
      <c r="D42" s="228">
        <v>7482500</v>
      </c>
      <c r="E42" s="236">
        <v>7482500</v>
      </c>
    </row>
    <row r="43" spans="2:7">
      <c r="B43" s="84"/>
      <c r="C43" s="227" t="s">
        <v>396</v>
      </c>
      <c r="D43" s="228">
        <v>1140000</v>
      </c>
      <c r="E43" s="236">
        <v>1140000</v>
      </c>
    </row>
    <row r="44" spans="2:7">
      <c r="B44" s="84" t="s">
        <v>397</v>
      </c>
      <c r="C44" s="231" t="s">
        <v>398</v>
      </c>
      <c r="D44" s="232">
        <f>SUM(D33:D43)</f>
        <v>94633798</v>
      </c>
      <c r="E44" s="237">
        <f>SUM(E33:E43)</f>
        <v>99188798</v>
      </c>
      <c r="F44" s="25"/>
      <c r="G44" s="25"/>
    </row>
    <row r="45" spans="2:7">
      <c r="B45" s="84"/>
      <c r="C45" s="227" t="s">
        <v>399</v>
      </c>
      <c r="D45" s="228">
        <v>2964500</v>
      </c>
      <c r="E45" s="229">
        <f>2964500+100000</f>
        <v>3064500</v>
      </c>
      <c r="F45" s="25"/>
    </row>
    <row r="46" spans="2:7">
      <c r="B46" s="84" t="s">
        <v>160</v>
      </c>
      <c r="C46" s="231" t="s">
        <v>400</v>
      </c>
      <c r="D46" s="232">
        <f>D45</f>
        <v>2964500</v>
      </c>
      <c r="E46" s="233">
        <f>E45</f>
        <v>3064500</v>
      </c>
      <c r="F46" s="25"/>
    </row>
    <row r="47" spans="2:7">
      <c r="B47" s="84"/>
      <c r="C47" s="231" t="s">
        <v>401</v>
      </c>
      <c r="D47" s="232">
        <f>+'1.sz.mell.'!C27+'1.sz.mell.'!C28+'1.sz.mell.'!C26+'1.sz.mell.'!C25</f>
        <v>28651559</v>
      </c>
      <c r="E47" s="237">
        <f>+'1.sz.mell.'!D26+'1.sz.mell.'!D27+'1.sz.mell.'!D28</f>
        <v>37584463</v>
      </c>
    </row>
    <row r="48" spans="2:7">
      <c r="B48" s="84"/>
      <c r="C48" s="231" t="s">
        <v>402</v>
      </c>
      <c r="D48" s="232">
        <f>+'1.sz.mell.'!C25+'1.sz.mell.'!C24</f>
        <v>0</v>
      </c>
      <c r="E48" s="232">
        <f>+'1.sz.mell.'!D23</f>
        <v>992732</v>
      </c>
    </row>
    <row r="49" spans="2:6">
      <c r="B49" s="84"/>
      <c r="C49" s="231" t="s">
        <v>403</v>
      </c>
      <c r="D49" s="232">
        <v>0</v>
      </c>
      <c r="E49" s="232">
        <f>+'1.sz.mell.'!D25+'1.sz.mell.'!D24</f>
        <v>16527265</v>
      </c>
      <c r="F49" s="25"/>
    </row>
    <row r="50" spans="2:6">
      <c r="B50" s="84" t="s">
        <v>162</v>
      </c>
      <c r="C50" s="231" t="s">
        <v>404</v>
      </c>
      <c r="D50" s="232">
        <f>+'1.sz.mell.'!C28+'1.sz.mell.'!C27+'1.sz.mell.'!C26++'1.sz.mell.'!C25+'1.sz.mell.'!C24</f>
        <v>28651559</v>
      </c>
      <c r="E50" s="232">
        <f>+'1.sz.mell.'!D28+'1.sz.mell.'!D27+'1.sz.mell.'!D26++'1.sz.mell.'!D25+'1.sz.mell.'!D24+'1.sz.mell.'!D23</f>
        <v>55104460</v>
      </c>
      <c r="F50" s="25"/>
    </row>
    <row r="51" spans="2:6" ht="25.5">
      <c r="B51" s="84"/>
      <c r="C51" s="234" t="s">
        <v>405</v>
      </c>
      <c r="D51" s="232">
        <f>SUM(D23,D32,D44,D46,D50)+D47</f>
        <v>342188628</v>
      </c>
      <c r="E51" s="232">
        <f>SUM(E23,E32,E44,E46,E50)</f>
        <v>348470970</v>
      </c>
    </row>
    <row r="53" spans="2:6">
      <c r="D53" s="188"/>
      <c r="E53" s="188"/>
    </row>
    <row r="54" spans="2:6">
      <c r="E54" s="188"/>
    </row>
  </sheetData>
  <mergeCells count="5">
    <mergeCell ref="A1:E1"/>
    <mergeCell ref="A2:E2"/>
    <mergeCell ref="A3:E3"/>
    <mergeCell ref="A5:C5"/>
    <mergeCell ref="A7:C7"/>
  </mergeCells>
  <printOptions horizontalCentered="1"/>
  <pageMargins left="0.15748031496062992" right="0.15748031496062992" top="0.31496062992125984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F30"/>
  <sheetViews>
    <sheetView zoomScaleNormal="100" workbookViewId="0">
      <selection activeCell="E3" sqref="E3"/>
    </sheetView>
  </sheetViews>
  <sheetFormatPr defaultRowHeight="12.75"/>
  <cols>
    <col min="1" max="1" width="10.28515625" style="30" customWidth="1"/>
    <col min="2" max="2" width="55" style="30" customWidth="1"/>
    <col min="3" max="3" width="23.28515625" style="30" customWidth="1"/>
    <col min="4" max="4" width="22.7109375" style="30" customWidth="1"/>
    <col min="5" max="5" width="17.28515625" style="30" customWidth="1"/>
    <col min="6" max="6" width="15.7109375" style="30" bestFit="1" customWidth="1"/>
    <col min="7" max="10" width="9.140625" style="30"/>
    <col min="11" max="11" width="20.42578125" style="30" customWidth="1"/>
    <col min="12" max="16384" width="9.140625" style="30"/>
  </cols>
  <sheetData>
    <row r="1" spans="1:6" ht="39" customHeight="1">
      <c r="A1" s="475" t="s">
        <v>552</v>
      </c>
      <c r="B1" s="475"/>
      <c r="C1" s="475"/>
      <c r="D1" s="475"/>
      <c r="E1" s="238"/>
      <c r="F1" s="238"/>
    </row>
    <row r="2" spans="1:6" ht="22.5" customHeight="1">
      <c r="A2" s="239"/>
      <c r="B2" s="239"/>
      <c r="C2" s="239"/>
      <c r="D2" s="239"/>
      <c r="E2" s="238"/>
      <c r="F2" s="238"/>
    </row>
    <row r="3" spans="1:6" ht="39" customHeight="1">
      <c r="A3" s="476" t="s">
        <v>406</v>
      </c>
      <c r="B3" s="476"/>
      <c r="C3" s="476"/>
      <c r="D3" s="476"/>
      <c r="E3" s="240"/>
      <c r="F3" s="240"/>
    </row>
    <row r="4" spans="1:6">
      <c r="B4" s="241"/>
      <c r="C4" s="241"/>
    </row>
    <row r="5" spans="1:6">
      <c r="B5" s="241"/>
      <c r="C5" s="241"/>
    </row>
    <row r="6" spans="1:6">
      <c r="B6" s="241"/>
    </row>
    <row r="7" spans="1:6" ht="13.5" thickBot="1">
      <c r="B7" s="241"/>
      <c r="C7" s="62" t="s">
        <v>1</v>
      </c>
    </row>
    <row r="8" spans="1:6" ht="26.25" customHeight="1" thickBot="1">
      <c r="B8" s="242" t="s">
        <v>356</v>
      </c>
      <c r="C8" s="242" t="s">
        <v>407</v>
      </c>
      <c r="D8" s="243" t="s">
        <v>408</v>
      </c>
      <c r="E8" s="244"/>
      <c r="F8" s="244"/>
    </row>
    <row r="9" spans="1:6" ht="18.75">
      <c r="B9" s="245" t="str">
        <f>+'1.sz.mell.'!B62</f>
        <v>Traktor beszerzés támogatás (ÁHT-n belül) (B21)</v>
      </c>
      <c r="C9" s="246">
        <f>+'1.sz.mell.'!C62</f>
        <v>8945081</v>
      </c>
      <c r="D9" s="246">
        <f>+'1.sz.mell.'!D62</f>
        <v>8945081</v>
      </c>
      <c r="E9" s="244"/>
      <c r="F9" s="244"/>
    </row>
    <row r="10" spans="1:6" ht="18.75">
      <c r="B10" s="245" t="str">
        <f>+'1.sz.mell.'!B63</f>
        <v>EFOP program támogatása (B25)</v>
      </c>
      <c r="C10" s="247">
        <f>+'1.sz.mell.'!C63</f>
        <v>77804327</v>
      </c>
      <c r="D10" s="247">
        <f>+'1.sz.mell.'!D63</f>
        <v>77804327</v>
      </c>
      <c r="E10" s="244"/>
      <c r="F10" s="244"/>
    </row>
    <row r="11" spans="1:6" ht="18.75">
      <c r="B11" s="245" t="s">
        <v>409</v>
      </c>
      <c r="C11" s="247">
        <v>39091566</v>
      </c>
      <c r="D11" s="247">
        <v>39091566</v>
      </c>
      <c r="E11" s="244"/>
      <c r="F11" s="244"/>
    </row>
    <row r="12" spans="1:6" ht="18.75">
      <c r="B12" s="245" t="s">
        <v>410</v>
      </c>
      <c r="C12" s="247">
        <v>38712761</v>
      </c>
      <c r="D12" s="247">
        <v>38712761</v>
      </c>
      <c r="E12" s="244"/>
      <c r="F12" s="244"/>
    </row>
    <row r="13" spans="1:6" ht="18.75">
      <c r="B13" s="245" t="str">
        <f>+'1.sz.mell.'!B64</f>
        <v>Szociális Alaszolg. Kp. konyha tető felújítás, eszköz beszerzés támogatása (B21)</v>
      </c>
      <c r="C13" s="247">
        <f>+'1.sz.mell.'!C64</f>
        <v>13223939</v>
      </c>
      <c r="D13" s="247">
        <f>+'1.sz.mell.'!D64</f>
        <v>13223939</v>
      </c>
      <c r="E13" s="244"/>
      <c r="F13" s="244"/>
    </row>
    <row r="14" spans="1:6" ht="18.75">
      <c r="B14" s="245" t="str">
        <f>+'1.sz.mell.'!B65</f>
        <v>Kamerarendszer kiépítésének támogatása (B21)</v>
      </c>
      <c r="C14" s="247">
        <f>+'1.sz.mell.'!C65</f>
        <v>8845094</v>
      </c>
      <c r="D14" s="247">
        <f>+'1.sz.mell.'!D65</f>
        <v>8845094</v>
      </c>
      <c r="E14" s="244"/>
      <c r="F14" s="244"/>
    </row>
    <row r="15" spans="1:6" ht="18.75">
      <c r="B15" s="245" t="s">
        <v>411</v>
      </c>
      <c r="C15" s="247">
        <v>0</v>
      </c>
      <c r="D15" s="247">
        <f>+'1.sz.mell.'!D67</f>
        <v>2999999</v>
      </c>
      <c r="E15" s="244"/>
      <c r="F15" s="244"/>
    </row>
    <row r="16" spans="1:6" ht="18.75">
      <c r="B16" s="245" t="s">
        <v>412</v>
      </c>
      <c r="C16" s="247">
        <v>0</v>
      </c>
      <c r="D16" s="247">
        <f>+'1.sz.mell.'!D66</f>
        <v>105000</v>
      </c>
      <c r="E16" s="244"/>
      <c r="F16" s="244"/>
    </row>
    <row r="17" spans="2:6" ht="37.5">
      <c r="B17" s="248" t="s">
        <v>413</v>
      </c>
      <c r="C17" s="247"/>
      <c r="D17" s="247">
        <f>+'1.sz.mell.'!D61</f>
        <v>14999998</v>
      </c>
      <c r="E17" s="244"/>
      <c r="F17" s="244"/>
    </row>
    <row r="18" spans="2:6" s="38" customFormat="1" ht="33" customHeight="1">
      <c r="B18" s="249" t="s">
        <v>414</v>
      </c>
      <c r="C18" s="250">
        <f>+C9+C10+C13+C14</f>
        <v>108818441</v>
      </c>
      <c r="D18" s="250">
        <f>+D9+D10+D15+D16+D13+D14+D17</f>
        <v>126923438</v>
      </c>
      <c r="E18" s="251"/>
      <c r="F18" s="251"/>
    </row>
    <row r="19" spans="2:6" s="255" customFormat="1" ht="39" customHeight="1">
      <c r="B19" s="252" t="s">
        <v>415</v>
      </c>
      <c r="C19" s="253">
        <f>+'2.sz.mell.'!E23</f>
        <v>201851422</v>
      </c>
      <c r="D19" s="253">
        <f>+'2.sz.mell.'!F23</f>
        <v>201851422</v>
      </c>
      <c r="E19" s="254"/>
      <c r="F19" s="240"/>
    </row>
    <row r="20" spans="2:6" ht="27.75" customHeight="1">
      <c r="B20" s="249" t="s">
        <v>414</v>
      </c>
      <c r="C20" s="250">
        <f>SUM(C19)</f>
        <v>201851422</v>
      </c>
      <c r="D20" s="250">
        <f>SUM(D19)</f>
        <v>201851422</v>
      </c>
      <c r="E20" s="244"/>
      <c r="F20" s="244"/>
    </row>
    <row r="21" spans="2:6" ht="26.25" customHeight="1">
      <c r="B21" s="256" t="s">
        <v>416</v>
      </c>
      <c r="C21" s="250">
        <f>SUM(C18,C20)</f>
        <v>310669863</v>
      </c>
      <c r="D21" s="250">
        <f>SUM(D18,D20)</f>
        <v>328774860</v>
      </c>
      <c r="E21" s="257"/>
      <c r="F21" s="244"/>
    </row>
    <row r="22" spans="2:6" ht="18.75">
      <c r="B22" s="244"/>
      <c r="C22" s="244"/>
      <c r="D22" s="244"/>
      <c r="E22" s="244"/>
      <c r="F22" s="244"/>
    </row>
    <row r="23" spans="2:6" ht="18.75">
      <c r="B23" s="244"/>
      <c r="C23" s="257"/>
      <c r="D23" s="257"/>
      <c r="E23" s="244"/>
      <c r="F23" s="244"/>
    </row>
    <row r="24" spans="2:6" ht="18.75">
      <c r="B24" s="244"/>
      <c r="C24" s="257"/>
      <c r="D24" s="244"/>
      <c r="E24" s="244"/>
      <c r="F24" s="244"/>
    </row>
    <row r="25" spans="2:6" ht="18.75">
      <c r="B25" s="244"/>
      <c r="C25" s="244"/>
      <c r="D25" s="257"/>
      <c r="E25" s="244"/>
      <c r="F25" s="244"/>
    </row>
    <row r="26" spans="2:6" ht="18.75">
      <c r="B26" s="244"/>
      <c r="C26" s="244"/>
      <c r="D26" s="244"/>
      <c r="E26" s="244"/>
      <c r="F26" s="244"/>
    </row>
    <row r="27" spans="2:6" ht="18.75">
      <c r="B27" s="244"/>
      <c r="C27" s="244"/>
      <c r="D27" s="244"/>
      <c r="E27" s="244"/>
      <c r="F27" s="244"/>
    </row>
    <row r="28" spans="2:6" ht="18.75">
      <c r="B28" s="244"/>
      <c r="C28" s="244"/>
      <c r="D28" s="244"/>
      <c r="E28" s="244"/>
      <c r="F28" s="244"/>
    </row>
    <row r="29" spans="2:6" ht="18.75">
      <c r="B29" s="244"/>
      <c r="C29" s="244"/>
      <c r="D29" s="244"/>
      <c r="E29" s="244"/>
      <c r="F29" s="244"/>
    </row>
    <row r="30" spans="2:6" ht="18.75">
      <c r="B30" s="244"/>
      <c r="C30" s="244"/>
      <c r="D30" s="244"/>
      <c r="E30" s="244"/>
      <c r="F30" s="244"/>
    </row>
  </sheetData>
  <mergeCells count="2">
    <mergeCell ref="A1:D1"/>
    <mergeCell ref="A3:D3"/>
  </mergeCells>
  <printOptions horizontalCentered="1"/>
  <pageMargins left="0.35433070866141736" right="0.35433070866141736" top="0.55118110236220474" bottom="0.98425196850393704" header="0.51181102362204722" footer="0.51181102362204722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G125"/>
  <sheetViews>
    <sheetView zoomScaleNormal="100" workbookViewId="0">
      <selection activeCell="H8" sqref="H8"/>
    </sheetView>
  </sheetViews>
  <sheetFormatPr defaultRowHeight="15.75"/>
  <cols>
    <col min="1" max="1" width="5.85546875" style="30" customWidth="1"/>
    <col min="2" max="2" width="57.140625" style="283" customWidth="1"/>
    <col min="3" max="3" width="30.85546875" style="283" customWidth="1"/>
    <col min="4" max="4" width="18.5703125" style="284" customWidth="1"/>
    <col min="5" max="5" width="17.28515625" style="284" customWidth="1"/>
    <col min="6" max="10" width="9.140625" style="30"/>
    <col min="11" max="11" width="20.42578125" style="30" customWidth="1"/>
    <col min="12" max="16384" width="9.140625" style="30"/>
  </cols>
  <sheetData>
    <row r="1" spans="1:7" ht="30" customHeight="1">
      <c r="A1" s="425" t="s">
        <v>553</v>
      </c>
      <c r="B1" s="425"/>
      <c r="C1" s="425"/>
      <c r="D1" s="425"/>
      <c r="E1" s="425"/>
    </row>
    <row r="2" spans="1:7" ht="30" customHeight="1">
      <c r="A2" s="258"/>
      <c r="B2" s="258"/>
      <c r="C2" s="258"/>
      <c r="D2" s="258"/>
      <c r="E2" s="258"/>
    </row>
    <row r="3" spans="1:7" ht="49.5" customHeight="1">
      <c r="A3" s="476" t="s">
        <v>417</v>
      </c>
      <c r="B3" s="476"/>
      <c r="C3" s="476"/>
      <c r="D3" s="476"/>
      <c r="E3" s="476"/>
    </row>
    <row r="4" spans="1:7">
      <c r="B4" s="259"/>
      <c r="C4" s="259"/>
      <c r="D4" s="260"/>
      <c r="E4" s="260"/>
    </row>
    <row r="5" spans="1:7" ht="19.5" customHeight="1" thickBot="1">
      <c r="B5" s="259"/>
      <c r="C5" s="259"/>
      <c r="D5" s="260" t="s">
        <v>1</v>
      </c>
      <c r="E5" s="260" t="s">
        <v>1</v>
      </c>
    </row>
    <row r="6" spans="1:7" s="38" customFormat="1" ht="57" customHeight="1" thickBot="1">
      <c r="B6" s="261" t="s">
        <v>418</v>
      </c>
      <c r="C6" s="262" t="s">
        <v>419</v>
      </c>
      <c r="D6" s="263" t="s">
        <v>420</v>
      </c>
      <c r="E6" s="263" t="s">
        <v>421</v>
      </c>
    </row>
    <row r="7" spans="1:7">
      <c r="B7" s="264" t="s">
        <v>422</v>
      </c>
      <c r="C7" s="264"/>
      <c r="D7" s="265">
        <f>SUM(D8:D10)</f>
        <v>154824197</v>
      </c>
      <c r="E7" s="265">
        <f>SUM(E8:E10)</f>
        <v>5268750</v>
      </c>
    </row>
    <row r="8" spans="1:7">
      <c r="B8" s="266" t="s">
        <v>423</v>
      </c>
      <c r="C8" s="267" t="s">
        <v>424</v>
      </c>
      <c r="D8" s="268">
        <v>148074197</v>
      </c>
      <c r="E8" s="268">
        <v>268750</v>
      </c>
    </row>
    <row r="9" spans="1:7">
      <c r="B9" s="266" t="s">
        <v>425</v>
      </c>
      <c r="C9" s="267" t="s">
        <v>424</v>
      </c>
      <c r="D9" s="268">
        <v>1750000</v>
      </c>
      <c r="E9" s="268">
        <v>0</v>
      </c>
    </row>
    <row r="10" spans="1:7">
      <c r="B10" s="269" t="s">
        <v>426</v>
      </c>
      <c r="C10" s="270" t="s">
        <v>424</v>
      </c>
      <c r="D10" s="271">
        <v>5000000</v>
      </c>
      <c r="E10" s="271">
        <v>5000000</v>
      </c>
    </row>
    <row r="11" spans="1:7">
      <c r="B11" s="272" t="s">
        <v>427</v>
      </c>
      <c r="C11" s="264"/>
      <c r="D11" s="273">
        <f>+SUM(D12:D28)</f>
        <v>121747555</v>
      </c>
      <c r="E11" s="273">
        <f>+SUM(E12:E34)</f>
        <v>146109190</v>
      </c>
    </row>
    <row r="12" spans="1:7">
      <c r="B12" s="269" t="s">
        <v>428</v>
      </c>
      <c r="C12" s="270" t="s">
        <v>429</v>
      </c>
      <c r="D12" s="274">
        <v>23529412</v>
      </c>
      <c r="E12" s="274">
        <v>23529412</v>
      </c>
    </row>
    <row r="13" spans="1:7">
      <c r="B13" s="275" t="s">
        <v>430</v>
      </c>
      <c r="C13" s="276" t="s">
        <v>424</v>
      </c>
      <c r="D13" s="274">
        <v>9827883</v>
      </c>
      <c r="E13" s="274">
        <v>9827883</v>
      </c>
    </row>
    <row r="14" spans="1:7">
      <c r="B14" s="275" t="s">
        <v>431</v>
      </c>
      <c r="C14" s="276" t="s">
        <v>424</v>
      </c>
      <c r="D14" s="274">
        <v>23346577</v>
      </c>
      <c r="E14" s="274">
        <v>22423445</v>
      </c>
    </row>
    <row r="15" spans="1:7">
      <c r="B15" s="275" t="s">
        <v>432</v>
      </c>
      <c r="C15" s="276" t="s">
        <v>429</v>
      </c>
      <c r="D15" s="274">
        <v>15385528</v>
      </c>
      <c r="E15" s="274">
        <v>15385528</v>
      </c>
    </row>
    <row r="16" spans="1:7">
      <c r="B16" s="275" t="s">
        <v>433</v>
      </c>
      <c r="C16" s="276" t="s">
        <v>424</v>
      </c>
      <c r="D16" s="274">
        <f>2734000+2380000</f>
        <v>5114000</v>
      </c>
      <c r="E16" s="274">
        <f>2734000+2380000</f>
        <v>5114000</v>
      </c>
      <c r="G16" s="31"/>
    </row>
    <row r="17" spans="2:5">
      <c r="B17" s="275" t="s">
        <v>434</v>
      </c>
      <c r="C17" s="276" t="s">
        <v>424</v>
      </c>
      <c r="D17" s="274">
        <v>33052208</v>
      </c>
      <c r="E17" s="274">
        <v>33052208</v>
      </c>
    </row>
    <row r="18" spans="2:5">
      <c r="B18" s="275" t="s">
        <v>435</v>
      </c>
      <c r="C18" s="276" t="s">
        <v>429</v>
      </c>
      <c r="D18" s="274">
        <v>1500000</v>
      </c>
      <c r="E18" s="274">
        <v>1500000</v>
      </c>
    </row>
    <row r="19" spans="2:5">
      <c r="B19" s="275" t="s">
        <v>436</v>
      </c>
      <c r="C19" s="276" t="s">
        <v>424</v>
      </c>
      <c r="D19" s="274">
        <v>250000</v>
      </c>
      <c r="E19" s="274">
        <v>250000</v>
      </c>
    </row>
    <row r="20" spans="2:5">
      <c r="B20" s="275" t="s">
        <v>437</v>
      </c>
      <c r="C20" s="276" t="s">
        <v>429</v>
      </c>
      <c r="D20" s="274">
        <v>150000</v>
      </c>
      <c r="E20" s="274">
        <v>150000</v>
      </c>
    </row>
    <row r="21" spans="2:5">
      <c r="B21" s="275" t="s">
        <v>438</v>
      </c>
      <c r="C21" s="276" t="s">
        <v>424</v>
      </c>
      <c r="D21" s="274">
        <v>130000</v>
      </c>
      <c r="E21" s="274">
        <v>130000</v>
      </c>
    </row>
    <row r="22" spans="2:5">
      <c r="B22" s="275" t="s">
        <v>439</v>
      </c>
      <c r="C22" s="276" t="s">
        <v>424</v>
      </c>
      <c r="D22" s="274">
        <v>2400000</v>
      </c>
      <c r="E22" s="274">
        <v>2400000</v>
      </c>
    </row>
    <row r="23" spans="2:5">
      <c r="B23" s="275" t="s">
        <v>440</v>
      </c>
      <c r="C23" s="276" t="s">
        <v>429</v>
      </c>
      <c r="D23" s="274">
        <f>4500000+162947</f>
        <v>4662947</v>
      </c>
      <c r="E23" s="274">
        <f>4500000+162947+550000</f>
        <v>5212947</v>
      </c>
    </row>
    <row r="24" spans="2:5">
      <c r="B24" s="275" t="s">
        <v>441</v>
      </c>
      <c r="C24" s="276" t="s">
        <v>424</v>
      </c>
      <c r="D24" s="274">
        <v>1000000</v>
      </c>
      <c r="E24" s="274">
        <v>1000000</v>
      </c>
    </row>
    <row r="25" spans="2:5">
      <c r="B25" s="275" t="s">
        <v>442</v>
      </c>
      <c r="C25" s="276" t="s">
        <v>424</v>
      </c>
      <c r="D25" s="274">
        <v>324500</v>
      </c>
      <c r="E25" s="274">
        <v>324500</v>
      </c>
    </row>
    <row r="26" spans="2:5">
      <c r="B26" s="275" t="s">
        <v>443</v>
      </c>
      <c r="C26" s="276" t="s">
        <v>424</v>
      </c>
      <c r="D26" s="274">
        <v>317500</v>
      </c>
      <c r="E26" s="274">
        <v>317500</v>
      </c>
    </row>
    <row r="27" spans="2:5">
      <c r="B27" s="275" t="s">
        <v>444</v>
      </c>
      <c r="C27" s="276" t="s">
        <v>424</v>
      </c>
      <c r="D27" s="274">
        <v>127000</v>
      </c>
      <c r="E27" s="274">
        <v>127000</v>
      </c>
    </row>
    <row r="28" spans="2:5" ht="31.5">
      <c r="B28" s="277" t="s">
        <v>445</v>
      </c>
      <c r="C28" s="278" t="s">
        <v>424</v>
      </c>
      <c r="D28" s="274">
        <v>630000</v>
      </c>
      <c r="E28" s="274">
        <v>630000</v>
      </c>
    </row>
    <row r="29" spans="2:5">
      <c r="B29" s="277" t="s">
        <v>446</v>
      </c>
      <c r="C29" s="278" t="s">
        <v>424</v>
      </c>
      <c r="D29" s="274">
        <v>0</v>
      </c>
      <c r="E29" s="274">
        <v>69900</v>
      </c>
    </row>
    <row r="30" spans="2:5">
      <c r="B30" s="277" t="s">
        <v>447</v>
      </c>
      <c r="C30" s="278" t="s">
        <v>429</v>
      </c>
      <c r="D30" s="274">
        <v>0</v>
      </c>
      <c r="E30" s="274">
        <v>414873</v>
      </c>
    </row>
    <row r="31" spans="2:5">
      <c r="B31" s="277" t="s">
        <v>448</v>
      </c>
      <c r="C31" s="278" t="s">
        <v>429</v>
      </c>
      <c r="D31" s="274">
        <v>0</v>
      </c>
      <c r="E31" s="274">
        <v>14999998</v>
      </c>
    </row>
    <row r="32" spans="2:5">
      <c r="B32" s="277" t="s">
        <v>449</v>
      </c>
      <c r="C32" s="278" t="s">
        <v>424</v>
      </c>
      <c r="D32" s="274">
        <v>0</v>
      </c>
      <c r="E32" s="274">
        <v>7999996</v>
      </c>
    </row>
    <row r="33" spans="2:5">
      <c r="B33" s="277" t="s">
        <v>450</v>
      </c>
      <c r="C33" s="278" t="s">
        <v>429</v>
      </c>
      <c r="D33" s="274">
        <v>0</v>
      </c>
      <c r="E33" s="274">
        <v>270000</v>
      </c>
    </row>
    <row r="34" spans="2:5" ht="31.5">
      <c r="B34" s="277" t="s">
        <v>451</v>
      </c>
      <c r="C34" s="278" t="s">
        <v>424</v>
      </c>
      <c r="D34" s="274">
        <v>0</v>
      </c>
      <c r="E34" s="274">
        <v>980000</v>
      </c>
    </row>
    <row r="35" spans="2:5" ht="15" customHeight="1">
      <c r="B35" s="279" t="s">
        <v>414</v>
      </c>
      <c r="C35" s="279"/>
      <c r="D35" s="280">
        <f>+D11+D7</f>
        <v>276571752</v>
      </c>
      <c r="E35" s="280">
        <f>+E11+E7</f>
        <v>151377940</v>
      </c>
    </row>
    <row r="36" spans="2:5" s="38" customFormat="1">
      <c r="B36" s="281"/>
      <c r="C36" s="281"/>
      <c r="D36" s="29"/>
      <c r="E36" s="29"/>
    </row>
    <row r="37" spans="2:5" ht="24.75" customHeight="1">
      <c r="B37" s="281"/>
      <c r="C37" s="281"/>
      <c r="D37" s="282"/>
      <c r="E37" s="282"/>
    </row>
    <row r="38" spans="2:5" ht="11.25" customHeight="1">
      <c r="B38" s="281"/>
      <c r="C38" s="281"/>
      <c r="D38" s="282"/>
      <c r="E38" s="282"/>
    </row>
    <row r="39" spans="2:5" s="38" customFormat="1">
      <c r="B39" s="281"/>
      <c r="C39" s="281"/>
      <c r="D39" s="282"/>
      <c r="E39" s="282"/>
    </row>
    <row r="40" spans="2:5" s="38" customFormat="1">
      <c r="B40" s="283"/>
      <c r="C40" s="283"/>
      <c r="D40" s="283"/>
      <c r="E40" s="283"/>
    </row>
    <row r="41" spans="2:5">
      <c r="D41" s="283"/>
      <c r="E41" s="283"/>
    </row>
    <row r="42" spans="2:5" s="38" customFormat="1">
      <c r="B42" s="283"/>
      <c r="C42" s="283"/>
      <c r="D42" s="283"/>
      <c r="E42" s="283"/>
    </row>
    <row r="43" spans="2:5">
      <c r="D43" s="283"/>
      <c r="E43" s="283"/>
    </row>
    <row r="44" spans="2:5">
      <c r="D44" s="283"/>
      <c r="E44" s="283"/>
    </row>
    <row r="45" spans="2:5">
      <c r="D45" s="283"/>
      <c r="E45" s="283"/>
    </row>
    <row r="46" spans="2:5">
      <c r="D46" s="283"/>
      <c r="E46" s="283"/>
    </row>
    <row r="47" spans="2:5">
      <c r="D47" s="283"/>
      <c r="E47" s="283"/>
    </row>
    <row r="48" spans="2:5">
      <c r="D48" s="283"/>
      <c r="E48" s="283"/>
    </row>
    <row r="49" spans="2:5">
      <c r="D49" s="283"/>
      <c r="E49" s="283"/>
    </row>
    <row r="50" spans="2:5">
      <c r="D50" s="283"/>
      <c r="E50" s="283"/>
    </row>
    <row r="51" spans="2:5">
      <c r="D51" s="283"/>
      <c r="E51" s="283"/>
    </row>
    <row r="52" spans="2:5">
      <c r="D52" s="283"/>
      <c r="E52" s="283"/>
    </row>
    <row r="57" spans="2:5" s="285" customFormat="1">
      <c r="B57" s="283"/>
      <c r="C57" s="283"/>
      <c r="D57" s="284"/>
      <c r="E57" s="284"/>
    </row>
    <row r="58" spans="2:5" s="38" customFormat="1">
      <c r="B58" s="283"/>
      <c r="C58" s="283"/>
      <c r="D58" s="284"/>
      <c r="E58" s="284"/>
    </row>
    <row r="59" spans="2:5" s="286" customFormat="1">
      <c r="B59" s="283"/>
      <c r="C59" s="283"/>
      <c r="D59" s="284"/>
      <c r="E59" s="284"/>
    </row>
    <row r="71" spans="2:5">
      <c r="B71" s="281"/>
      <c r="C71" s="281"/>
      <c r="D71" s="287"/>
      <c r="E71" s="287"/>
    </row>
    <row r="72" spans="2:5">
      <c r="D72" s="283"/>
      <c r="E72" s="283"/>
    </row>
    <row r="73" spans="2:5">
      <c r="D73" s="283"/>
      <c r="E73" s="283"/>
    </row>
    <row r="74" spans="2:5" s="38" customFormat="1">
      <c r="B74" s="281"/>
      <c r="C74" s="281"/>
      <c r="D74" s="281"/>
      <c r="E74" s="281"/>
    </row>
    <row r="75" spans="2:5">
      <c r="D75" s="283"/>
      <c r="E75" s="283"/>
    </row>
    <row r="76" spans="2:5">
      <c r="D76" s="283"/>
      <c r="E76" s="283"/>
    </row>
    <row r="77" spans="2:5" s="38" customFormat="1">
      <c r="B77" s="281"/>
      <c r="C77" s="281"/>
      <c r="D77" s="283"/>
      <c r="E77" s="283"/>
    </row>
    <row r="78" spans="2:5">
      <c r="D78" s="288"/>
      <c r="E78" s="288"/>
    </row>
    <row r="79" spans="2:5">
      <c r="D79" s="288"/>
      <c r="E79" s="288"/>
    </row>
    <row r="80" spans="2:5">
      <c r="D80" s="288"/>
      <c r="E80" s="288"/>
    </row>
    <row r="81" spans="2:5">
      <c r="D81" s="288"/>
      <c r="E81" s="288"/>
    </row>
    <row r="82" spans="2:5">
      <c r="D82" s="288"/>
      <c r="E82" s="288"/>
    </row>
    <row r="83" spans="2:5">
      <c r="D83" s="288"/>
      <c r="E83" s="288"/>
    </row>
    <row r="84" spans="2:5">
      <c r="D84" s="288"/>
      <c r="E84" s="288"/>
    </row>
    <row r="85" spans="2:5">
      <c r="D85" s="288"/>
      <c r="E85" s="288"/>
    </row>
    <row r="86" spans="2:5">
      <c r="B86" s="281"/>
      <c r="C86" s="281"/>
      <c r="D86" s="282"/>
      <c r="E86" s="282"/>
    </row>
    <row r="87" spans="2:5">
      <c r="B87" s="281"/>
      <c r="C87" s="281"/>
    </row>
    <row r="88" spans="2:5">
      <c r="D88" s="282"/>
      <c r="E88" s="282"/>
    </row>
    <row r="89" spans="2:5">
      <c r="B89" s="281"/>
      <c r="C89" s="281"/>
    </row>
    <row r="91" spans="2:5">
      <c r="D91" s="282"/>
      <c r="E91" s="282"/>
    </row>
    <row r="92" spans="2:5">
      <c r="B92" s="281"/>
      <c r="C92" s="281"/>
      <c r="D92" s="282"/>
      <c r="E92" s="282"/>
    </row>
    <row r="93" spans="2:5">
      <c r="B93" s="281"/>
      <c r="C93" s="281"/>
    </row>
    <row r="94" spans="2:5">
      <c r="D94" s="282"/>
      <c r="E94" s="282"/>
    </row>
    <row r="95" spans="2:5">
      <c r="B95" s="281"/>
      <c r="C95" s="281"/>
      <c r="D95" s="288"/>
      <c r="E95" s="288"/>
    </row>
    <row r="96" spans="2:5">
      <c r="B96" s="289"/>
      <c r="C96" s="289"/>
      <c r="D96" s="288"/>
      <c r="E96" s="288"/>
    </row>
    <row r="97" spans="2:5">
      <c r="B97" s="289"/>
      <c r="C97" s="289"/>
      <c r="D97" s="288"/>
      <c r="E97" s="288"/>
    </row>
    <row r="98" spans="2:5">
      <c r="B98" s="289"/>
      <c r="C98" s="289"/>
      <c r="D98" s="288"/>
      <c r="E98" s="288"/>
    </row>
    <row r="99" spans="2:5">
      <c r="B99" s="289"/>
      <c r="C99" s="289"/>
      <c r="D99" s="288"/>
      <c r="E99" s="288"/>
    </row>
    <row r="100" spans="2:5">
      <c r="B100" s="289"/>
      <c r="C100" s="289"/>
      <c r="D100" s="288"/>
      <c r="E100" s="288"/>
    </row>
    <row r="101" spans="2:5">
      <c r="B101" s="289"/>
      <c r="C101" s="289"/>
      <c r="D101" s="288"/>
      <c r="E101" s="288"/>
    </row>
    <row r="102" spans="2:5">
      <c r="B102" s="289"/>
      <c r="C102" s="289"/>
      <c r="D102" s="288"/>
      <c r="E102" s="288"/>
    </row>
    <row r="103" spans="2:5">
      <c r="B103" s="289"/>
      <c r="C103" s="289"/>
      <c r="D103" s="288"/>
      <c r="E103" s="288"/>
    </row>
    <row r="104" spans="2:5">
      <c r="B104" s="289"/>
      <c r="C104" s="289"/>
    </row>
    <row r="111" spans="2:5">
      <c r="D111" s="282"/>
      <c r="E111" s="282"/>
    </row>
    <row r="112" spans="2:5">
      <c r="B112" s="281"/>
      <c r="C112" s="281"/>
    </row>
    <row r="113" spans="2:5">
      <c r="D113" s="282"/>
      <c r="E113" s="282"/>
    </row>
    <row r="114" spans="2:5">
      <c r="B114" s="281"/>
      <c r="C114" s="281"/>
    </row>
    <row r="117" spans="2:5">
      <c r="D117" s="282"/>
      <c r="E117" s="282"/>
    </row>
    <row r="118" spans="2:5">
      <c r="D118" s="283"/>
      <c r="E118" s="283"/>
    </row>
    <row r="119" spans="2:5">
      <c r="D119" s="282"/>
      <c r="E119" s="282"/>
    </row>
    <row r="120" spans="2:5">
      <c r="B120" s="281"/>
      <c r="C120" s="281"/>
      <c r="D120" s="288"/>
      <c r="E120" s="288"/>
    </row>
    <row r="121" spans="2:5">
      <c r="B121" s="289"/>
      <c r="C121" s="289"/>
    </row>
    <row r="122" spans="2:5">
      <c r="D122" s="282"/>
      <c r="E122" s="282"/>
    </row>
    <row r="123" spans="2:5">
      <c r="B123" s="281"/>
      <c r="C123" s="281"/>
    </row>
    <row r="124" spans="2:5">
      <c r="D124" s="282"/>
      <c r="E124" s="282"/>
    </row>
    <row r="125" spans="2:5">
      <c r="B125" s="281"/>
      <c r="C125" s="281"/>
    </row>
  </sheetData>
  <mergeCells count="2">
    <mergeCell ref="A1:E1"/>
    <mergeCell ref="A3:E3"/>
  </mergeCells>
  <printOptions horizontalCentered="1"/>
  <pageMargins left="0.39370078740157483" right="0.39370078740157483" top="0.35433070866141736" bottom="0.6692913385826772" header="0.35433070866141736" footer="0.27559055118110237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L19"/>
  <sheetViews>
    <sheetView zoomScaleNormal="100" workbookViewId="0">
      <selection activeCell="K6" sqref="K6"/>
    </sheetView>
  </sheetViews>
  <sheetFormatPr defaultColWidth="8.85546875" defaultRowHeight="15.75"/>
  <cols>
    <col min="1" max="2" width="8.85546875" style="4"/>
    <col min="3" max="3" width="8.85546875" style="283"/>
    <col min="4" max="4" width="38.42578125" style="283" customWidth="1"/>
    <col min="5" max="5" width="17.28515625" style="290" customWidth="1"/>
    <col min="6" max="6" width="9.140625" style="283" hidden="1" customWidth="1"/>
    <col min="7" max="10" width="8.85546875" style="283"/>
    <col min="11" max="11" width="20.42578125" style="283" customWidth="1"/>
    <col min="12" max="12" width="8.85546875" style="283"/>
    <col min="13" max="16384" width="8.85546875" style="4"/>
  </cols>
  <sheetData>
    <row r="1" spans="1:10">
      <c r="A1" s="477" t="s">
        <v>554</v>
      </c>
      <c r="B1" s="477"/>
      <c r="C1" s="477"/>
      <c r="D1" s="477"/>
      <c r="E1" s="477"/>
      <c r="F1" s="477"/>
      <c r="G1" s="477"/>
      <c r="H1" s="477"/>
      <c r="I1" s="477"/>
    </row>
    <row r="3" spans="1:10" ht="16.5" thickBot="1"/>
    <row r="4" spans="1:10" ht="37.5" customHeight="1">
      <c r="A4" s="478" t="s">
        <v>452</v>
      </c>
      <c r="B4" s="479"/>
      <c r="C4" s="479"/>
      <c r="D4" s="479"/>
      <c r="E4" s="479"/>
      <c r="F4" s="479"/>
      <c r="G4" s="479"/>
      <c r="H4" s="479"/>
      <c r="I4" s="479"/>
      <c r="J4" s="291"/>
    </row>
    <row r="5" spans="1:10" ht="37.5" customHeight="1">
      <c r="A5" s="292"/>
      <c r="B5" s="293"/>
      <c r="C5" s="293"/>
      <c r="D5" s="293"/>
      <c r="E5" s="293"/>
      <c r="F5" s="293"/>
      <c r="G5" s="293"/>
      <c r="H5" s="293"/>
      <c r="I5" s="293"/>
      <c r="J5" s="294"/>
    </row>
    <row r="6" spans="1:10" ht="39.75" customHeight="1">
      <c r="A6" s="292"/>
      <c r="G6" s="480" t="s">
        <v>453</v>
      </c>
      <c r="H6" s="480"/>
      <c r="I6" s="480" t="s">
        <v>454</v>
      </c>
      <c r="J6" s="480"/>
    </row>
    <row r="7" spans="1:10" ht="20.25">
      <c r="A7" s="292"/>
      <c r="B7" s="295"/>
      <c r="C7" s="296" t="s">
        <v>215</v>
      </c>
      <c r="D7" s="296"/>
      <c r="E7" s="297"/>
      <c r="F7" s="296"/>
      <c r="G7" s="298">
        <f>+'4.a sz.mell.'!Z10</f>
        <v>27</v>
      </c>
      <c r="H7" s="296" t="s">
        <v>455</v>
      </c>
      <c r="I7" s="298">
        <f>+'4.a sz.mell.'!AA10</f>
        <v>15</v>
      </c>
      <c r="J7" s="296" t="s">
        <v>455</v>
      </c>
    </row>
    <row r="8" spans="1:10" ht="20.25">
      <c r="A8" s="292"/>
      <c r="B8" s="295"/>
      <c r="C8" s="296"/>
      <c r="D8" s="296"/>
      <c r="E8" s="297"/>
      <c r="F8" s="296"/>
      <c r="G8" s="296"/>
      <c r="I8" s="296"/>
    </row>
    <row r="9" spans="1:10" ht="20.25">
      <c r="A9" s="292"/>
      <c r="B9" s="295"/>
      <c r="C9" s="296"/>
      <c r="D9" s="296"/>
      <c r="E9" s="297"/>
      <c r="F9" s="296"/>
      <c r="G9" s="296"/>
      <c r="I9" s="296"/>
    </row>
    <row r="10" spans="1:10" ht="20.25">
      <c r="A10" s="292"/>
      <c r="B10" s="295"/>
      <c r="C10" s="296" t="s">
        <v>456</v>
      </c>
      <c r="D10" s="296"/>
      <c r="E10" s="297"/>
      <c r="F10" s="296"/>
      <c r="G10" s="298">
        <f>+'4.a sz.mell.'!Z12</f>
        <v>13</v>
      </c>
      <c r="H10" s="296" t="s">
        <v>455</v>
      </c>
      <c r="I10" s="298">
        <f>+'4.a sz.mell.'!AA11+'4.a sz.mell.'!AA12</f>
        <v>12</v>
      </c>
      <c r="J10" s="296" t="s">
        <v>455</v>
      </c>
    </row>
    <row r="11" spans="1:10" ht="20.25">
      <c r="A11" s="292"/>
      <c r="B11" s="295"/>
      <c r="C11" s="296"/>
      <c r="D11" s="296"/>
      <c r="E11" s="297"/>
      <c r="F11" s="296"/>
      <c r="G11" s="296"/>
      <c r="I11" s="296"/>
    </row>
    <row r="12" spans="1:10" ht="20.25">
      <c r="A12" s="292"/>
      <c r="B12" s="295"/>
      <c r="C12" s="296"/>
      <c r="D12" s="296"/>
      <c r="E12" s="297"/>
      <c r="F12" s="296"/>
      <c r="G12" s="296"/>
      <c r="I12" s="296"/>
    </row>
    <row r="13" spans="1:10" ht="20.25">
      <c r="A13" s="292"/>
      <c r="B13" s="295"/>
      <c r="C13" s="296"/>
      <c r="D13" s="296"/>
      <c r="E13" s="297"/>
      <c r="F13" s="296"/>
      <c r="G13" s="296"/>
      <c r="I13" s="296"/>
    </row>
    <row r="14" spans="1:10" ht="21" thickBot="1">
      <c r="A14" s="299"/>
      <c r="B14" s="300"/>
      <c r="C14" s="301"/>
      <c r="D14" s="301" t="s">
        <v>164</v>
      </c>
      <c r="E14" s="302"/>
      <c r="F14" s="301"/>
      <c r="G14" s="303">
        <f>+G7+G10</f>
        <v>40</v>
      </c>
      <c r="H14" s="301" t="s">
        <v>455</v>
      </c>
      <c r="I14" s="303">
        <f>+I7+I10</f>
        <v>27</v>
      </c>
      <c r="J14" s="301" t="s">
        <v>455</v>
      </c>
    </row>
    <row r="15" spans="1:10" ht="20.25">
      <c r="B15" s="295"/>
      <c r="C15" s="296"/>
      <c r="D15" s="296"/>
      <c r="E15" s="297"/>
      <c r="F15" s="296"/>
      <c r="G15" s="296"/>
    </row>
    <row r="16" spans="1:10" ht="13.5" customHeight="1"/>
    <row r="19" ht="18" customHeight="1"/>
  </sheetData>
  <mergeCells count="4">
    <mergeCell ref="A1:I1"/>
    <mergeCell ref="A4:I4"/>
    <mergeCell ref="G6:H6"/>
    <mergeCell ref="I6:J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1.sz.mell.</vt:lpstr>
      <vt:lpstr>2.sz.mell.</vt:lpstr>
      <vt:lpstr>3.sz.mell.</vt:lpstr>
      <vt:lpstr>4.a sz.mell.</vt:lpstr>
      <vt:lpstr>4 b.sz.mell.</vt:lpstr>
      <vt:lpstr>5.sz.mell.</vt:lpstr>
      <vt:lpstr>6.sz.mell.</vt:lpstr>
      <vt:lpstr>7.sz.mell.</vt:lpstr>
      <vt:lpstr>8.sz.mell.</vt:lpstr>
      <vt:lpstr>9.sz.mell.</vt:lpstr>
      <vt:lpstr>10.sz.mell.</vt:lpstr>
      <vt:lpstr>11. sz.mell.</vt:lpstr>
      <vt:lpstr>12.sz.mell.</vt:lpstr>
      <vt:lpstr>13.sz.m.</vt:lpstr>
      <vt:lpstr>Munka1</vt:lpstr>
      <vt:lpstr>'1.sz.mell.'!Nyomtatási_cím</vt:lpstr>
      <vt:lpstr>'2.sz.mell.'!Nyomtatási_cím</vt:lpstr>
      <vt:lpstr>'1.sz.mell.'!Nyomtatási_terület</vt:lpstr>
      <vt:lpstr>'10.sz.mell.'!Nyomtatási_terület</vt:lpstr>
      <vt:lpstr>'11. sz.mell.'!Nyomtatási_terület</vt:lpstr>
      <vt:lpstr>'12.sz.mell.'!Nyomtatási_terület</vt:lpstr>
      <vt:lpstr>'13.sz.m.'!Nyomtatási_terület</vt:lpstr>
      <vt:lpstr>'2.sz.mell.'!Nyomtatási_terület</vt:lpstr>
      <vt:lpstr>'3.sz.mell.'!Nyomtatási_terület</vt:lpstr>
      <vt:lpstr>'4 b.sz.mell.'!Nyomtatási_terület</vt:lpstr>
      <vt:lpstr>'4.a sz.mell.'!Nyomtatási_terület</vt:lpstr>
      <vt:lpstr>'5.sz.mell.'!Nyomtatási_terület</vt:lpstr>
      <vt:lpstr>'6.sz.mell.'!Nyomtatási_terület</vt:lpstr>
      <vt:lpstr>'7.sz.mell.'!Nyomtatási_terület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Pénzügy01</dc:creator>
  <cp:lastModifiedBy>User</cp:lastModifiedBy>
  <cp:lastPrinted>2019-09-19T08:35:55Z</cp:lastPrinted>
  <dcterms:created xsi:type="dcterms:W3CDTF">2019-09-18T07:30:39Z</dcterms:created>
  <dcterms:modified xsi:type="dcterms:W3CDTF">2019-09-19T08:36:07Z</dcterms:modified>
</cp:coreProperties>
</file>