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5955" tabRatio="816" activeTab="6"/>
  </bookViews>
  <sheets>
    <sheet name="ALAPADATOK" sheetId="1411" r:id="rId1"/>
    <sheet name="1.1.sz.mell. " sheetId="1357" r:id="rId2"/>
    <sheet name="1.2.sz.mell. " sheetId="1358" r:id="rId3"/>
    <sheet name="1.3.sz.mell." sheetId="1359" r:id="rId4"/>
    <sheet name="1.4.sz.mell. " sheetId="1360" state="hidden" r:id="rId5"/>
    <sheet name="1.5.sz.mell." sheetId="1399" r:id="rId6"/>
    <sheet name="2.1.sz.mell " sheetId="1361" r:id="rId7"/>
    <sheet name="2.2.sz.mell ." sheetId="1362" state="hidden" r:id="rId8"/>
    <sheet name="KV_ELLENŐRZÉS" sheetId="1413" state="hidden" r:id="rId9"/>
    <sheet name="3. sz mell." sheetId="1414" state="hidden" r:id="rId10"/>
    <sheet name="4.sz.mell." sheetId="1363" state="hidden" r:id="rId11"/>
    <sheet name="5.sz.mell." sheetId="1294" state="hidden" r:id="rId12"/>
    <sheet name="6.sz.mell." sheetId="1364" state="hidden" r:id="rId13"/>
    <sheet name="7.sz.mell." sheetId="1365" state="hidden" r:id="rId14"/>
    <sheet name="8. sz. mell." sheetId="1404" state="hidden" r:id="rId15"/>
    <sheet name="8.1. sz. mell." sheetId="1405" state="hidden" r:id="rId16"/>
    <sheet name="8.2. sz. mell." sheetId="1403" state="hidden" r:id="rId17"/>
    <sheet name="8.3. sz. mell." sheetId="1406" state="hidden" r:id="rId18"/>
    <sheet name="8.4. sz. mell." sheetId="1410" state="hidden" r:id="rId19"/>
    <sheet name="8.5. sz. mell." sheetId="1415" state="hidden" r:id="rId20"/>
    <sheet name="9.1. sz. mell." sheetId="1366" r:id="rId21"/>
    <sheet name="9.1.1. sz. mell. " sheetId="1367" r:id="rId22"/>
    <sheet name="9.1.2. sz. mell." sheetId="1368" state="hidden" r:id="rId23"/>
    <sheet name="9.2. sz. mell. " sheetId="1369" state="hidden" r:id="rId24"/>
    <sheet name="9.2.1. sz. mell" sheetId="1370" state="hidden" r:id="rId25"/>
    <sheet name="9.2.2. sz.  mell" sheetId="1371" state="hidden" r:id="rId26"/>
    <sheet name="9.2.3. sz. mell." sheetId="1372" state="hidden" r:id="rId27"/>
    <sheet name="9.3. sz. mell" sheetId="1382" state="hidden" r:id="rId28"/>
    <sheet name="9.3.1. sz. mell EOI" sheetId="1383" state="hidden" r:id="rId29"/>
    <sheet name="9.3.2.sz.mell EOI" sheetId="1384" state="hidden" r:id="rId30"/>
    <sheet name="9.4. sz. mell EKIK" sheetId="1385" state="hidden" r:id="rId31"/>
    <sheet name="9.4.1. sz. mell EKIK" sheetId="1386" state="hidden" r:id="rId32"/>
    <sheet name="9.4.2. sz. mell EKIK" sheetId="1387" state="hidden" r:id="rId33"/>
    <sheet name="9.5. sz. mell VK" sheetId="1388" state="hidden" r:id="rId34"/>
    <sheet name="9.5.1. sz. mell VK " sheetId="1389" state="hidden" r:id="rId35"/>
    <sheet name="9.5.2. sz. mell VK" sheetId="1390" state="hidden" r:id="rId36"/>
    <sheet name="9.6. sz. mell Kornisné Kp." sheetId="1391" r:id="rId37"/>
    <sheet name="9.6.1. sz. mell Kornisné Kp. " sheetId="1392" r:id="rId38"/>
    <sheet name="9.6.2. sz. mell Kornisné Kp." sheetId="1393" r:id="rId39"/>
    <sheet name="9.6.3. sz. mell Kornisné Kp " sheetId="1394" r:id="rId40"/>
    <sheet name="9.7. sz. mell TIB  " sheetId="1395" r:id="rId41"/>
    <sheet name="9.7.1. sz. mell TIB  " sheetId="1396" r:id="rId42"/>
    <sheet name="9.7.2. sz. mell TIB" sheetId="1397" state="hidden" r:id="rId43"/>
    <sheet name="int.összesítő" sheetId="1407" r:id="rId44"/>
    <sheet name="tartalék" sheetId="1377" state="hidden" r:id="rId45"/>
    <sheet name="1.sz tájékoztató t " sheetId="1378" r:id="rId46"/>
    <sheet name="2. sz tájékoztató t" sheetId="1401" state="hidden" r:id="rId47"/>
    <sheet name="3. sz tájékoztató t." sheetId="1354" state="hidden" r:id="rId48"/>
    <sheet name="4.sz tájékoztató t " sheetId="1379" r:id="rId49"/>
    <sheet name="5.sz. tájékoztató" sheetId="1408" r:id="rId50"/>
    <sheet name="6.sz tájékoztató t " sheetId="1321" state="hidden" r:id="rId51"/>
    <sheet name="feladatos Önk. " sheetId="1381" r:id="rId52"/>
    <sheet name="8.sz tájéloztató" sheetId="1355" state="hidden" r:id="rId53"/>
    <sheet name="9.sz tájékoztató " sheetId="1398" state="hidden" r:id="rId54"/>
  </sheets>
  <externalReferences>
    <externalReference r:id="rId55"/>
  </externalReferences>
  <definedNames>
    <definedName name="_xlnm.Print_Titles" localSheetId="20">'9.1. sz. mell.'!$2:$7</definedName>
    <definedName name="_xlnm.Print_Titles" localSheetId="21">'9.1.1. sz. mell. '!$2:$7</definedName>
    <definedName name="_xlnm.Print_Titles" localSheetId="22">'9.1.2. sz. mell.'!$2:$7</definedName>
    <definedName name="_xlnm.Print_Titles" localSheetId="23">'9.2. sz. mell. '!$2:$7</definedName>
    <definedName name="_xlnm.Print_Titles" localSheetId="24">'9.2.1. sz. mell'!$2:$7</definedName>
    <definedName name="_xlnm.Print_Titles" localSheetId="25">'9.2.2. sz.  mell'!$2:$7</definedName>
    <definedName name="_xlnm.Print_Titles" localSheetId="26">'9.2.3. sz. mell.'!$2:$7</definedName>
    <definedName name="_xlnm.Print_Titles" localSheetId="27">'9.3. sz. mell'!$2:$7</definedName>
    <definedName name="_xlnm.Print_Titles" localSheetId="28">'9.3.1. sz. mell EOI'!$2:$7</definedName>
    <definedName name="_xlnm.Print_Titles" localSheetId="30">'9.4. sz. mell EKIK'!$2:$7</definedName>
    <definedName name="_xlnm.Print_Titles" localSheetId="31">'9.4.1. sz. mell EKIK'!$2:$7</definedName>
    <definedName name="_xlnm.Print_Titles" localSheetId="32">'9.4.2. sz. mell EKIK'!$2:$7</definedName>
    <definedName name="_xlnm.Print_Titles" localSheetId="33">'9.5. sz. mell VK'!$2:$7</definedName>
    <definedName name="_xlnm.Print_Titles" localSheetId="34">'9.5.1. sz. mell VK '!$2:$7</definedName>
    <definedName name="_xlnm.Print_Titles" localSheetId="35">'9.5.2. sz. mell VK'!$2:$7</definedName>
    <definedName name="_xlnm.Print_Titles" localSheetId="36">'9.6. sz. mell Kornisné Kp.'!$2:$7</definedName>
    <definedName name="_xlnm.Print_Titles" localSheetId="37">'9.6.1. sz. mell Kornisné Kp. '!$2:$7</definedName>
    <definedName name="_xlnm.Print_Titles" localSheetId="38">'9.6.2. sz. mell Kornisné Kp.'!$2:$7</definedName>
    <definedName name="_xlnm.Print_Titles" localSheetId="39">'9.6.3. sz. mell Kornisné Kp '!$2:$7</definedName>
    <definedName name="_xlnm.Print_Titles" localSheetId="40">'9.7. sz. mell TIB  '!$2:$7</definedName>
    <definedName name="_xlnm.Print_Titles" localSheetId="41">'9.7.1. sz. mell TIB  '!$2:$7</definedName>
    <definedName name="_xlnm.Print_Area" localSheetId="1">'1.1.sz.mell. '!$A$1:$C$165</definedName>
    <definedName name="_xlnm.Print_Area" localSheetId="2">'1.2.sz.mell. '!$A$1:$C$165</definedName>
    <definedName name="_xlnm.Print_Area" localSheetId="3">'1.3.sz.mell.'!$A$1:$C$165</definedName>
    <definedName name="_xlnm.Print_Area" localSheetId="4">'1.4.sz.mell. '!$A$1:$C$165</definedName>
    <definedName name="_xlnm.Print_Area" localSheetId="5">'1.5.sz.mell.'!$A$1:$C$165</definedName>
    <definedName name="_xlnm.Print_Area" localSheetId="6">'2.1.sz.mell '!$A$1:$F$31</definedName>
    <definedName name="_xlnm.Print_Area" localSheetId="16">'8.2. sz. mell.'!$A$1:$E$45</definedName>
    <definedName name="_xlnm.Print_Area" localSheetId="20">'9.1. sz. mell.'!$A$1:$C$158</definedName>
    <definedName name="_xlnm.Print_Area" localSheetId="23">'9.2. sz. mell. '!$A$1:$H$62</definedName>
    <definedName name="_xlnm.Print_Area" localSheetId="53">'9.sz tájékoztató '!$A$1:$E$31</definedName>
    <definedName name="_xlnm.Print_Area" localSheetId="51">'feladatos Önk. '!$A$1:$O$57</definedName>
  </definedNames>
  <calcPr calcId="145621"/>
</workbook>
</file>

<file path=xl/calcChain.xml><?xml version="1.0" encoding="utf-8"?>
<calcChain xmlns="http://schemas.openxmlformats.org/spreadsheetml/2006/main">
  <c r="A1" i="1381" l="1"/>
  <c r="A1" i="1408"/>
  <c r="A1" i="1379"/>
  <c r="A1" i="1378"/>
  <c r="A1" i="1407"/>
  <c r="A1" i="1396"/>
  <c r="A1" i="1395"/>
  <c r="A1" i="1394"/>
  <c r="A1" i="1393"/>
  <c r="A1" i="1392"/>
  <c r="A1" i="1391"/>
  <c r="A1" i="1367"/>
  <c r="A1" i="1366"/>
  <c r="F1" i="1361"/>
  <c r="A1" i="1399"/>
  <c r="A1" i="1359"/>
  <c r="A1" i="1358"/>
  <c r="A1" i="1357"/>
  <c r="L58" i="1381" l="1"/>
  <c r="L15" i="1381"/>
  <c r="C14" i="1381"/>
  <c r="C36" i="1408"/>
  <c r="N19" i="1379"/>
  <c r="M19" i="1379"/>
  <c r="L19" i="1379"/>
  <c r="K19" i="1379"/>
  <c r="J19" i="1379"/>
  <c r="I19" i="1379"/>
  <c r="H19" i="1379"/>
  <c r="G19" i="1379"/>
  <c r="F19" i="1379"/>
  <c r="E19" i="1379"/>
  <c r="N18" i="1379"/>
  <c r="M18" i="1379"/>
  <c r="L18" i="1379"/>
  <c r="K18" i="1379"/>
  <c r="J18" i="1379"/>
  <c r="I18" i="1379"/>
  <c r="H18" i="1379"/>
  <c r="G18" i="1379"/>
  <c r="F18" i="1379"/>
  <c r="E18" i="1379"/>
  <c r="N7" i="1379"/>
  <c r="M7" i="1379"/>
  <c r="L7" i="1379"/>
  <c r="K7" i="1379"/>
  <c r="J7" i="1379"/>
  <c r="I7" i="1379"/>
  <c r="H7" i="1379"/>
  <c r="G7" i="1379"/>
  <c r="F7" i="1379"/>
  <c r="E7" i="1379"/>
  <c r="C12" i="1367"/>
  <c r="C12" i="1366"/>
  <c r="C101" i="1399" l="1"/>
  <c r="C100" i="1399"/>
  <c r="C101" i="1360"/>
  <c r="C100" i="1360"/>
  <c r="F101" i="1359"/>
  <c r="F100" i="1359"/>
  <c r="F101" i="1358"/>
  <c r="F100" i="1358"/>
  <c r="D14" i="1358"/>
  <c r="F101" i="1357"/>
  <c r="F100" i="1357"/>
  <c r="D14" i="1357"/>
  <c r="C49" i="1394" l="1"/>
  <c r="C48" i="1394"/>
  <c r="C42" i="1393"/>
  <c r="C49" i="1393"/>
  <c r="C48" i="1393"/>
  <c r="C42" i="1392"/>
  <c r="C49" i="1392"/>
  <c r="C48" i="1392"/>
  <c r="C42" i="1391"/>
  <c r="C49" i="1391"/>
  <c r="C48" i="1391"/>
  <c r="C53" i="1396"/>
  <c r="C49" i="1396"/>
  <c r="C48" i="1396"/>
  <c r="C47" i="1396"/>
  <c r="C59" i="1396" s="1"/>
  <c r="C42" i="1396"/>
  <c r="C39" i="1396"/>
  <c r="C32" i="1396"/>
  <c r="C27" i="1396"/>
  <c r="C21" i="1396"/>
  <c r="C9" i="1396"/>
  <c r="C38" i="1396" s="1"/>
  <c r="C43" i="1396" s="1"/>
  <c r="C42" i="1395"/>
  <c r="C49" i="1395"/>
  <c r="C48" i="1395"/>
  <c r="F14" i="1407"/>
  <c r="E14" i="1407"/>
  <c r="F13" i="1407"/>
  <c r="E13" i="1407"/>
  <c r="A1" i="1384" l="1"/>
  <c r="A1" i="1415" l="1"/>
  <c r="K21" i="1381" l="1"/>
  <c r="J21" i="1381"/>
  <c r="F54" i="1381"/>
  <c r="N23" i="1379"/>
  <c r="N20" i="1379"/>
  <c r="N15" i="1379"/>
  <c r="I26" i="1401"/>
  <c r="I25" i="1401"/>
  <c r="I24" i="1401"/>
  <c r="I23" i="1401"/>
  <c r="I22" i="1401"/>
  <c r="I21" i="1401"/>
  <c r="I20" i="1401"/>
  <c r="I19" i="1401"/>
  <c r="I18" i="1401"/>
  <c r="I17" i="1401"/>
  <c r="I16" i="1401"/>
  <c r="I15" i="1401"/>
  <c r="I14" i="1401"/>
  <c r="I13" i="1401"/>
  <c r="I12" i="1401"/>
  <c r="I11" i="1401"/>
  <c r="I27" i="1401"/>
  <c r="C116" i="1367"/>
  <c r="C97" i="1367"/>
  <c r="C68" i="1367"/>
  <c r="C116" i="1366"/>
  <c r="C97" i="1366"/>
  <c r="C68" i="1366"/>
  <c r="B31" i="1364"/>
  <c r="B14" i="1364"/>
  <c r="B15" i="1364" l="1"/>
  <c r="F15" i="1364"/>
  <c r="D121" i="1358" l="1"/>
  <c r="D102" i="1358"/>
  <c r="D70" i="1358"/>
  <c r="D121" i="1357"/>
  <c r="D102" i="1357"/>
  <c r="D70" i="1357"/>
  <c r="D1" i="1398" l="1"/>
  <c r="A1" i="1355"/>
  <c r="C38" i="1408"/>
  <c r="C16" i="1408"/>
  <c r="C19" i="1408" s="1"/>
  <c r="E35" i="1355"/>
  <c r="D35" i="1355"/>
  <c r="J50" i="1381"/>
  <c r="J44" i="1381"/>
  <c r="J43" i="1381"/>
  <c r="O38" i="1381"/>
  <c r="H38" i="1381"/>
  <c r="J34" i="1381"/>
  <c r="J33" i="1381"/>
  <c r="J22" i="1381"/>
  <c r="O51" i="1381"/>
  <c r="H51" i="1381"/>
  <c r="J20" i="1381"/>
  <c r="J17" i="1381"/>
  <c r="J13" i="1381"/>
  <c r="J12" i="1381"/>
  <c r="G15" i="1381"/>
  <c r="C43" i="1381"/>
  <c r="C34" i="1381"/>
  <c r="C28" i="1381"/>
  <c r="C13" i="1381"/>
  <c r="D12" i="1381"/>
  <c r="C42" i="1381"/>
  <c r="C40" i="1381"/>
  <c r="C39" i="1381"/>
  <c r="C10" i="1381"/>
  <c r="O31" i="1381"/>
  <c r="H31" i="1381"/>
  <c r="O29" i="1381"/>
  <c r="H29" i="1381"/>
  <c r="E26" i="1398"/>
  <c r="E27" i="1398"/>
  <c r="E31" i="1398" s="1"/>
  <c r="C61" i="1369"/>
  <c r="G158" i="1366"/>
  <c r="H158" i="1366" s="1"/>
  <c r="D158" i="1366"/>
  <c r="F158" i="1366" s="1"/>
  <c r="H20" i="1379"/>
  <c r="G20" i="1379"/>
  <c r="C15" i="1379"/>
  <c r="I11" i="1379"/>
  <c r="K9" i="1379"/>
  <c r="D22" i="1378"/>
  <c r="D123" i="1378"/>
  <c r="D118" i="1378" s="1"/>
  <c r="D83" i="1378"/>
  <c r="C83" i="1378"/>
  <c r="D79" i="1378"/>
  <c r="C79" i="1378"/>
  <c r="D76" i="1378"/>
  <c r="D71" i="1378"/>
  <c r="C76" i="1378"/>
  <c r="C71" i="1378"/>
  <c r="D31" i="1378"/>
  <c r="D30" i="1378" s="1"/>
  <c r="D67" i="1378"/>
  <c r="C67" i="1378"/>
  <c r="C90" i="1378" s="1"/>
  <c r="C33" i="1378"/>
  <c r="C32" i="1378"/>
  <c r="C31" i="1378" s="1"/>
  <c r="C30" i="1378" s="1"/>
  <c r="C34" i="1378"/>
  <c r="D38" i="1378"/>
  <c r="D50" i="1378"/>
  <c r="D56" i="1378"/>
  <c r="D61" i="1378"/>
  <c r="C61" i="1378"/>
  <c r="C56" i="1378"/>
  <c r="C50" i="1378"/>
  <c r="C38" i="1378"/>
  <c r="D23" i="1378"/>
  <c r="C23" i="1378"/>
  <c r="D16" i="1378"/>
  <c r="C16" i="1378"/>
  <c r="D9" i="1378"/>
  <c r="C9" i="1378"/>
  <c r="C123" i="1378"/>
  <c r="C118" i="1378" s="1"/>
  <c r="D149" i="1378"/>
  <c r="E149" i="1378"/>
  <c r="F149" i="1378"/>
  <c r="G149" i="1378"/>
  <c r="C149" i="1378"/>
  <c r="D144" i="1378"/>
  <c r="D157" i="1378" s="1"/>
  <c r="E144" i="1378"/>
  <c r="F144" i="1378"/>
  <c r="G144" i="1378"/>
  <c r="J144" i="1378"/>
  <c r="K144" i="1378"/>
  <c r="C144" i="1378"/>
  <c r="E137" i="1378"/>
  <c r="F137" i="1378"/>
  <c r="G137" i="1378"/>
  <c r="D137" i="1378"/>
  <c r="C137" i="1378"/>
  <c r="D133" i="1378"/>
  <c r="C133" i="1378"/>
  <c r="C157" i="1378" s="1"/>
  <c r="D102" i="1378"/>
  <c r="D97" i="1378" s="1"/>
  <c r="E102" i="1378"/>
  <c r="F102" i="1378"/>
  <c r="G102" i="1378"/>
  <c r="C102" i="1378"/>
  <c r="C97" i="1378" s="1"/>
  <c r="G67" i="1364"/>
  <c r="G66" i="1364"/>
  <c r="G65" i="1364"/>
  <c r="G62" i="1364"/>
  <c r="G61" i="1364"/>
  <c r="G60" i="1364"/>
  <c r="G59" i="1364"/>
  <c r="G58" i="1364"/>
  <c r="G57" i="1364"/>
  <c r="G56" i="1364"/>
  <c r="G55" i="1364"/>
  <c r="G53" i="1364"/>
  <c r="G52" i="1364"/>
  <c r="G51" i="1364"/>
  <c r="G50" i="1364"/>
  <c r="G48" i="1364"/>
  <c r="G47" i="1364"/>
  <c r="G46" i="1364"/>
  <c r="G45" i="1364"/>
  <c r="G44" i="1364"/>
  <c r="G42" i="1364"/>
  <c r="G41" i="1364"/>
  <c r="G40" i="1364"/>
  <c r="G38" i="1364"/>
  <c r="G37" i="1364"/>
  <c r="G36" i="1364"/>
  <c r="G35" i="1364"/>
  <c r="G32" i="1364"/>
  <c r="G31" i="1364"/>
  <c r="G30" i="1364"/>
  <c r="G29" i="1364"/>
  <c r="G28" i="1364"/>
  <c r="G27" i="1364"/>
  <c r="G26" i="1364"/>
  <c r="G24" i="1364"/>
  <c r="G23" i="1364"/>
  <c r="G22" i="1364"/>
  <c r="G21" i="1364"/>
  <c r="G20" i="1364"/>
  <c r="G19" i="1364"/>
  <c r="G18" i="1364"/>
  <c r="G17" i="1364"/>
  <c r="G15" i="1364"/>
  <c r="G14" i="1364"/>
  <c r="G13" i="1364"/>
  <c r="G12" i="1364"/>
  <c r="G11" i="1364"/>
  <c r="G9" i="1364"/>
  <c r="G8" i="1364"/>
  <c r="C9" i="1363"/>
  <c r="C11" i="1363"/>
  <c r="C128" i="1367"/>
  <c r="C111" i="1367"/>
  <c r="C14" i="1367"/>
  <c r="C128" i="1366"/>
  <c r="C111" i="1366"/>
  <c r="C14" i="1366"/>
  <c r="D133" i="1358"/>
  <c r="D133" i="1357"/>
  <c r="D116" i="1358"/>
  <c r="D16" i="1358"/>
  <c r="D116" i="1357"/>
  <c r="D16" i="1357"/>
  <c r="C132" i="1378" l="1"/>
  <c r="E158" i="1366"/>
  <c r="D90" i="1378"/>
  <c r="D132" i="1378"/>
  <c r="D158" i="1378" s="1"/>
  <c r="C66" i="1378"/>
  <c r="C91" i="1378" s="1"/>
  <c r="D66" i="1378"/>
  <c r="C158" i="1378"/>
  <c r="D11" i="1321"/>
  <c r="D10" i="1321"/>
  <c r="D24" i="1321"/>
  <c r="A1" i="1321"/>
  <c r="A1" i="1354"/>
  <c r="A1" i="1401"/>
  <c r="A1" i="1377"/>
  <c r="A1" i="1397"/>
  <c r="A1" i="1390"/>
  <c r="A1" i="1389"/>
  <c r="A1" i="1388"/>
  <c r="A1" i="1387"/>
  <c r="A1" i="1386"/>
  <c r="A1" i="1385"/>
  <c r="A1" i="1383"/>
  <c r="A1" i="1382"/>
  <c r="A1" i="1372"/>
  <c r="A1" i="1371"/>
  <c r="A1" i="1370"/>
  <c r="A1" i="1369"/>
  <c r="A1" i="1368"/>
  <c r="A1" i="1360"/>
  <c r="A1" i="1294"/>
  <c r="A1" i="1410"/>
  <c r="A1" i="1406"/>
  <c r="A1" i="1403"/>
  <c r="A1" i="1405"/>
  <c r="E92" i="1368"/>
  <c r="E93" i="1368"/>
  <c r="D95" i="1368"/>
  <c r="E95" i="1368" s="1"/>
  <c r="D96" i="1368"/>
  <c r="E96" i="1368" s="1"/>
  <c r="D97" i="1368"/>
  <c r="E97" i="1368" s="1"/>
  <c r="D98" i="1368"/>
  <c r="E98" i="1368" s="1"/>
  <c r="D100" i="1368"/>
  <c r="E100" i="1368" s="1"/>
  <c r="D101" i="1368"/>
  <c r="E101" i="1368" s="1"/>
  <c r="D102" i="1368"/>
  <c r="E102" i="1368" s="1"/>
  <c r="D103" i="1368"/>
  <c r="E103" i="1368" s="1"/>
  <c r="D104" i="1368"/>
  <c r="E104" i="1368" s="1"/>
  <c r="D105" i="1368"/>
  <c r="E105" i="1368" s="1"/>
  <c r="D106" i="1368"/>
  <c r="E106" i="1368" s="1"/>
  <c r="D107" i="1368"/>
  <c r="E107" i="1368" s="1"/>
  <c r="D108" i="1368"/>
  <c r="E108" i="1368" s="1"/>
  <c r="D109" i="1368"/>
  <c r="E109" i="1368" s="1"/>
  <c r="D110" i="1368"/>
  <c r="E110" i="1368" s="1"/>
  <c r="D111" i="1368"/>
  <c r="E111" i="1368" s="1"/>
  <c r="D112" i="1368"/>
  <c r="E112" i="1368" s="1"/>
  <c r="D113" i="1368"/>
  <c r="E113" i="1368" s="1"/>
  <c r="D114" i="1368"/>
  <c r="E114" i="1368" s="1"/>
  <c r="D118" i="1368"/>
  <c r="E118" i="1368" s="1"/>
  <c r="D119" i="1368"/>
  <c r="E119" i="1368" s="1"/>
  <c r="D120" i="1368"/>
  <c r="E120" i="1368" s="1"/>
  <c r="D121" i="1368"/>
  <c r="E121" i="1368" s="1"/>
  <c r="D122" i="1368"/>
  <c r="E122" i="1368" s="1"/>
  <c r="D123" i="1368"/>
  <c r="E123" i="1368" s="1"/>
  <c r="D124" i="1368"/>
  <c r="E124" i="1368" s="1"/>
  <c r="D125" i="1368"/>
  <c r="E125" i="1368" s="1"/>
  <c r="D126" i="1368"/>
  <c r="E126" i="1368" s="1"/>
  <c r="D127" i="1368"/>
  <c r="E127" i="1368" s="1"/>
  <c r="D128" i="1368"/>
  <c r="E128" i="1368" s="1"/>
  <c r="D131" i="1368"/>
  <c r="E131" i="1368" s="1"/>
  <c r="D132" i="1368"/>
  <c r="E132" i="1368" s="1"/>
  <c r="D133" i="1368"/>
  <c r="E133" i="1368" s="1"/>
  <c r="D135" i="1368"/>
  <c r="E135" i="1368" s="1"/>
  <c r="D136" i="1368"/>
  <c r="E136" i="1368" s="1"/>
  <c r="D137" i="1368"/>
  <c r="E137" i="1368" s="1"/>
  <c r="D138" i="1368"/>
  <c r="E138" i="1368" s="1"/>
  <c r="D139" i="1368"/>
  <c r="E139" i="1368" s="1"/>
  <c r="D140" i="1368"/>
  <c r="E140" i="1368" s="1"/>
  <c r="D142" i="1368"/>
  <c r="E142" i="1368" s="1"/>
  <c r="D143" i="1368"/>
  <c r="E143" i="1368" s="1"/>
  <c r="D144" i="1368"/>
  <c r="E144" i="1368" s="1"/>
  <c r="D145" i="1368"/>
  <c r="E145" i="1368" s="1"/>
  <c r="D147" i="1368"/>
  <c r="E147" i="1368" s="1"/>
  <c r="D148" i="1368"/>
  <c r="E148" i="1368" s="1"/>
  <c r="D149" i="1368"/>
  <c r="E149" i="1368" s="1"/>
  <c r="D150" i="1368"/>
  <c r="E150" i="1368" s="1"/>
  <c r="D151" i="1368"/>
  <c r="E151" i="1368" s="1"/>
  <c r="D152" i="1368"/>
  <c r="E152" i="1368" s="1"/>
  <c r="D153" i="1368"/>
  <c r="E153" i="1368" s="1"/>
  <c r="D10" i="1368"/>
  <c r="E10" i="1368" s="1"/>
  <c r="D11" i="1368"/>
  <c r="E11" i="1368" s="1"/>
  <c r="D12" i="1368"/>
  <c r="E12" i="1368" s="1"/>
  <c r="D13" i="1368"/>
  <c r="E13" i="1368" s="1"/>
  <c r="D14" i="1368"/>
  <c r="E14" i="1368" s="1"/>
  <c r="D15" i="1368"/>
  <c r="E15" i="1368" s="1"/>
  <c r="D17" i="1368"/>
  <c r="E17" i="1368" s="1"/>
  <c r="D18" i="1368"/>
  <c r="E18" i="1368" s="1"/>
  <c r="D19" i="1368"/>
  <c r="E19" i="1368" s="1"/>
  <c r="D20" i="1368"/>
  <c r="E20" i="1368" s="1"/>
  <c r="D21" i="1368"/>
  <c r="E21" i="1368" s="1"/>
  <c r="D22" i="1368"/>
  <c r="E22" i="1368" s="1"/>
  <c r="D24" i="1368"/>
  <c r="E24" i="1368" s="1"/>
  <c r="D25" i="1368"/>
  <c r="E25" i="1368" s="1"/>
  <c r="D26" i="1368"/>
  <c r="E26" i="1368" s="1"/>
  <c r="D27" i="1368"/>
  <c r="E27" i="1368" s="1"/>
  <c r="D28" i="1368"/>
  <c r="E28" i="1368" s="1"/>
  <c r="D29" i="1368"/>
  <c r="E29" i="1368" s="1"/>
  <c r="D32" i="1368"/>
  <c r="E32" i="1368" s="1"/>
  <c r="D33" i="1368"/>
  <c r="E33" i="1368" s="1"/>
  <c r="D34" i="1368"/>
  <c r="E34" i="1368" s="1"/>
  <c r="D35" i="1368"/>
  <c r="E35" i="1368" s="1"/>
  <c r="D36" i="1368"/>
  <c r="E36" i="1368" s="1"/>
  <c r="D37" i="1368"/>
  <c r="E37" i="1368" s="1"/>
  <c r="D39" i="1368"/>
  <c r="E39" i="1368" s="1"/>
  <c r="D41" i="1368"/>
  <c r="E41" i="1368" s="1"/>
  <c r="D42" i="1368"/>
  <c r="E42" i="1368" s="1"/>
  <c r="D43" i="1368"/>
  <c r="E43" i="1368" s="1"/>
  <c r="D44" i="1368"/>
  <c r="E44" i="1368" s="1"/>
  <c r="D45" i="1368"/>
  <c r="E45" i="1368" s="1"/>
  <c r="D46" i="1368"/>
  <c r="E46" i="1368" s="1"/>
  <c r="D47" i="1368"/>
  <c r="E47" i="1368" s="1"/>
  <c r="D48" i="1368"/>
  <c r="E48" i="1368" s="1"/>
  <c r="D49" i="1368"/>
  <c r="E49" i="1368" s="1"/>
  <c r="D51" i="1368"/>
  <c r="E51" i="1368" s="1"/>
  <c r="D52" i="1368"/>
  <c r="E52" i="1368" s="1"/>
  <c r="D53" i="1368"/>
  <c r="E53" i="1368" s="1"/>
  <c r="D54" i="1368"/>
  <c r="E54" i="1368" s="1"/>
  <c r="D55" i="1368"/>
  <c r="E55" i="1368" s="1"/>
  <c r="D57" i="1368"/>
  <c r="E57" i="1368" s="1"/>
  <c r="D58" i="1368"/>
  <c r="E58" i="1368" s="1"/>
  <c r="D59" i="1368"/>
  <c r="E59" i="1368" s="1"/>
  <c r="D60" i="1368"/>
  <c r="E60" i="1368" s="1"/>
  <c r="D62" i="1368"/>
  <c r="E62" i="1368" s="1"/>
  <c r="D63" i="1368"/>
  <c r="E63" i="1368" s="1"/>
  <c r="D64" i="1368"/>
  <c r="E64" i="1368" s="1"/>
  <c r="D65" i="1368"/>
  <c r="E65" i="1368" s="1"/>
  <c r="D68" i="1368"/>
  <c r="E68" i="1368" s="1"/>
  <c r="D69" i="1368"/>
  <c r="E69" i="1368" s="1"/>
  <c r="D70" i="1368"/>
  <c r="E70" i="1368" s="1"/>
  <c r="D72" i="1368"/>
  <c r="E72" i="1368" s="1"/>
  <c r="D73" i="1368"/>
  <c r="E73" i="1368" s="1"/>
  <c r="D74" i="1368"/>
  <c r="E74" i="1368" s="1"/>
  <c r="D75" i="1368"/>
  <c r="E75" i="1368" s="1"/>
  <c r="D77" i="1368"/>
  <c r="E77" i="1368" s="1"/>
  <c r="D78" i="1368"/>
  <c r="E78" i="1368" s="1"/>
  <c r="D80" i="1368"/>
  <c r="E80" i="1368" s="1"/>
  <c r="D81" i="1368"/>
  <c r="E81" i="1368" s="1"/>
  <c r="D82" i="1368"/>
  <c r="E82" i="1368" s="1"/>
  <c r="D84" i="1368"/>
  <c r="E84" i="1368" s="1"/>
  <c r="D85" i="1368"/>
  <c r="E85" i="1368" s="1"/>
  <c r="D86" i="1368"/>
  <c r="E86" i="1368" s="1"/>
  <c r="D87" i="1368"/>
  <c r="E87" i="1368" s="1"/>
  <c r="D88" i="1368"/>
  <c r="E88" i="1368" s="1"/>
  <c r="D89" i="1368"/>
  <c r="E89" i="1368" s="1"/>
  <c r="E92" i="1367"/>
  <c r="E93" i="1367"/>
  <c r="D97" i="1367"/>
  <c r="E97" i="1367" s="1"/>
  <c r="D98" i="1367"/>
  <c r="E98" i="1367" s="1"/>
  <c r="D100" i="1367"/>
  <c r="E100" i="1367" s="1"/>
  <c r="D101" i="1367"/>
  <c r="E101" i="1367" s="1"/>
  <c r="D102" i="1367"/>
  <c r="E102" i="1367" s="1"/>
  <c r="D103" i="1367"/>
  <c r="E103" i="1367" s="1"/>
  <c r="D104" i="1367"/>
  <c r="E104" i="1367" s="1"/>
  <c r="D105" i="1367"/>
  <c r="E105" i="1367" s="1"/>
  <c r="D106" i="1367"/>
  <c r="E106" i="1367" s="1"/>
  <c r="D107" i="1367"/>
  <c r="E107" i="1367" s="1"/>
  <c r="D108" i="1367"/>
  <c r="E108" i="1367" s="1"/>
  <c r="D109" i="1367"/>
  <c r="E109" i="1367" s="1"/>
  <c r="D110" i="1367"/>
  <c r="E110" i="1367" s="1"/>
  <c r="D111" i="1367"/>
  <c r="E111" i="1367" s="1"/>
  <c r="D113" i="1367"/>
  <c r="E113" i="1367" s="1"/>
  <c r="D121" i="1367"/>
  <c r="E121" i="1367" s="1"/>
  <c r="D122" i="1367"/>
  <c r="E122" i="1367" s="1"/>
  <c r="D123" i="1367"/>
  <c r="E123" i="1367" s="1"/>
  <c r="D124" i="1367"/>
  <c r="E124" i="1367" s="1"/>
  <c r="D125" i="1367"/>
  <c r="E125" i="1367" s="1"/>
  <c r="D126" i="1367"/>
  <c r="E126" i="1367" s="1"/>
  <c r="D127" i="1367"/>
  <c r="E127" i="1367" s="1"/>
  <c r="D128" i="1367"/>
  <c r="E128" i="1367" s="1"/>
  <c r="D131" i="1367"/>
  <c r="E131" i="1367" s="1"/>
  <c r="D132" i="1367"/>
  <c r="E132" i="1367" s="1"/>
  <c r="D133" i="1367"/>
  <c r="E133" i="1367" s="1"/>
  <c r="D135" i="1367"/>
  <c r="E135" i="1367" s="1"/>
  <c r="D136" i="1367"/>
  <c r="E136" i="1367" s="1"/>
  <c r="D137" i="1367"/>
  <c r="E137" i="1367" s="1"/>
  <c r="D138" i="1367"/>
  <c r="E138" i="1367" s="1"/>
  <c r="D139" i="1367"/>
  <c r="E139" i="1367" s="1"/>
  <c r="D140" i="1367"/>
  <c r="E140" i="1367" s="1"/>
  <c r="D142" i="1367"/>
  <c r="E142" i="1367" s="1"/>
  <c r="D143" i="1367"/>
  <c r="E143" i="1367" s="1"/>
  <c r="D144" i="1367"/>
  <c r="E144" i="1367" s="1"/>
  <c r="D145" i="1367"/>
  <c r="E145" i="1367" s="1"/>
  <c r="D147" i="1367"/>
  <c r="E147" i="1367" s="1"/>
  <c r="D148" i="1367"/>
  <c r="E148" i="1367" s="1"/>
  <c r="D149" i="1367"/>
  <c r="E149" i="1367" s="1"/>
  <c r="D150" i="1367"/>
  <c r="E150" i="1367" s="1"/>
  <c r="D151" i="1367"/>
  <c r="E151" i="1367" s="1"/>
  <c r="D152" i="1367"/>
  <c r="E152" i="1367" s="1"/>
  <c r="D153" i="1367"/>
  <c r="E153" i="1367" s="1"/>
  <c r="D10" i="1367"/>
  <c r="E10" i="1367" s="1"/>
  <c r="D11" i="1367"/>
  <c r="E11" i="1367" s="1"/>
  <c r="D12" i="1367"/>
  <c r="E12" i="1367" s="1"/>
  <c r="D13" i="1367"/>
  <c r="E13" i="1367" s="1"/>
  <c r="D15" i="1367"/>
  <c r="E15" i="1367" s="1"/>
  <c r="D17" i="1367"/>
  <c r="E17" i="1367" s="1"/>
  <c r="D18" i="1367"/>
  <c r="E18" i="1367" s="1"/>
  <c r="D19" i="1367"/>
  <c r="E19" i="1367" s="1"/>
  <c r="D20" i="1367"/>
  <c r="E20" i="1367" s="1"/>
  <c r="D24" i="1367"/>
  <c r="E24" i="1367" s="1"/>
  <c r="D25" i="1367"/>
  <c r="E25" i="1367" s="1"/>
  <c r="D26" i="1367"/>
  <c r="E26" i="1367" s="1"/>
  <c r="D27" i="1367"/>
  <c r="E27" i="1367" s="1"/>
  <c r="D28" i="1367"/>
  <c r="E28" i="1367" s="1"/>
  <c r="D29" i="1367"/>
  <c r="E29" i="1367" s="1"/>
  <c r="D34" i="1367"/>
  <c r="E34" i="1367" s="1"/>
  <c r="D37" i="1367"/>
  <c r="E37" i="1367" s="1"/>
  <c r="D42" i="1367"/>
  <c r="E42" i="1367" s="1"/>
  <c r="D43" i="1367"/>
  <c r="E43" i="1367" s="1"/>
  <c r="D44" i="1367"/>
  <c r="E44" i="1367" s="1"/>
  <c r="D45" i="1367"/>
  <c r="E45" i="1367" s="1"/>
  <c r="D46" i="1367"/>
  <c r="E46" i="1367" s="1"/>
  <c r="D47" i="1367"/>
  <c r="E47" i="1367" s="1"/>
  <c r="D48" i="1367"/>
  <c r="E48" i="1367" s="1"/>
  <c r="D51" i="1367"/>
  <c r="E51" i="1367" s="1"/>
  <c r="D52" i="1367"/>
  <c r="E52" i="1367" s="1"/>
  <c r="D53" i="1367"/>
  <c r="E53" i="1367" s="1"/>
  <c r="D54" i="1367"/>
  <c r="E54" i="1367" s="1"/>
  <c r="D55" i="1367"/>
  <c r="E55" i="1367" s="1"/>
  <c r="D57" i="1367"/>
  <c r="E57" i="1367" s="1"/>
  <c r="D58" i="1367"/>
  <c r="E58" i="1367" s="1"/>
  <c r="D60" i="1367"/>
  <c r="E60" i="1367" s="1"/>
  <c r="D62" i="1367"/>
  <c r="E62" i="1367" s="1"/>
  <c r="D63" i="1367"/>
  <c r="E63" i="1367" s="1"/>
  <c r="D64" i="1367"/>
  <c r="E64" i="1367" s="1"/>
  <c r="D65" i="1367"/>
  <c r="E65" i="1367" s="1"/>
  <c r="D68" i="1367"/>
  <c r="E68" i="1367" s="1"/>
  <c r="D69" i="1367"/>
  <c r="E69" i="1367" s="1"/>
  <c r="D70" i="1367"/>
  <c r="E70" i="1367" s="1"/>
  <c r="D72" i="1367"/>
  <c r="E72" i="1367" s="1"/>
  <c r="D73" i="1367"/>
  <c r="E73" i="1367" s="1"/>
  <c r="D74" i="1367"/>
  <c r="E74" i="1367" s="1"/>
  <c r="D75" i="1367"/>
  <c r="E75" i="1367" s="1"/>
  <c r="D78" i="1367"/>
  <c r="E78" i="1367" s="1"/>
  <c r="D80" i="1367"/>
  <c r="E80" i="1367" s="1"/>
  <c r="D81" i="1367"/>
  <c r="E81" i="1367" s="1"/>
  <c r="D82" i="1367"/>
  <c r="E82" i="1367" s="1"/>
  <c r="D84" i="1367"/>
  <c r="E84" i="1367" s="1"/>
  <c r="D85" i="1367"/>
  <c r="E85" i="1367" s="1"/>
  <c r="D86" i="1367"/>
  <c r="E86" i="1367" s="1"/>
  <c r="D87" i="1367"/>
  <c r="E87" i="1367" s="1"/>
  <c r="D88" i="1367"/>
  <c r="E88" i="1367" s="1"/>
  <c r="D89" i="1367"/>
  <c r="E89" i="1367" s="1"/>
  <c r="G98" i="1366"/>
  <c r="G100" i="1366"/>
  <c r="G101" i="1366"/>
  <c r="H101" i="1366" s="1"/>
  <c r="G102" i="1366"/>
  <c r="G103" i="1366"/>
  <c r="H103" i="1366" s="1"/>
  <c r="G104" i="1366"/>
  <c r="H104" i="1366" s="1"/>
  <c r="G105" i="1366"/>
  <c r="H105" i="1366" s="1"/>
  <c r="G106" i="1366"/>
  <c r="H106" i="1366" s="1"/>
  <c r="G107" i="1366"/>
  <c r="H107" i="1366" s="1"/>
  <c r="G108" i="1366"/>
  <c r="H108" i="1366" s="1"/>
  <c r="G109" i="1366"/>
  <c r="H109" i="1366" s="1"/>
  <c r="G110" i="1366"/>
  <c r="H110" i="1366" s="1"/>
  <c r="G111" i="1366"/>
  <c r="H111" i="1366" s="1"/>
  <c r="G113" i="1366"/>
  <c r="H113" i="1366" s="1"/>
  <c r="G121" i="1366"/>
  <c r="G122" i="1366"/>
  <c r="G123" i="1366"/>
  <c r="G124" i="1366"/>
  <c r="H124" i="1366" s="1"/>
  <c r="G125" i="1366"/>
  <c r="H125" i="1366" s="1"/>
  <c r="G126" i="1366"/>
  <c r="H126" i="1366" s="1"/>
  <c r="G127" i="1366"/>
  <c r="H127" i="1366" s="1"/>
  <c r="G128" i="1366"/>
  <c r="H128" i="1366" s="1"/>
  <c r="G131" i="1366"/>
  <c r="H131" i="1366" s="1"/>
  <c r="G132" i="1366"/>
  <c r="G133" i="1366"/>
  <c r="G135" i="1366"/>
  <c r="H135" i="1366" s="1"/>
  <c r="G136" i="1366"/>
  <c r="H136" i="1366" s="1"/>
  <c r="G137" i="1366"/>
  <c r="G138" i="1366"/>
  <c r="H138" i="1366" s="1"/>
  <c r="G139" i="1366"/>
  <c r="H139" i="1366" s="1"/>
  <c r="G140" i="1366"/>
  <c r="H140" i="1366" s="1"/>
  <c r="G142" i="1366"/>
  <c r="H142" i="1366" s="1"/>
  <c r="G143" i="1366"/>
  <c r="H143" i="1366" s="1"/>
  <c r="G144" i="1366"/>
  <c r="G145" i="1366"/>
  <c r="H145" i="1366" s="1"/>
  <c r="G147" i="1366"/>
  <c r="H147" i="1366" s="1"/>
  <c r="G148" i="1366"/>
  <c r="H148" i="1366" s="1"/>
  <c r="G149" i="1366"/>
  <c r="G150" i="1366"/>
  <c r="H150" i="1366" s="1"/>
  <c r="G151" i="1366"/>
  <c r="H151" i="1366" s="1"/>
  <c r="G152" i="1366"/>
  <c r="H152" i="1366" s="1"/>
  <c r="G153" i="1366"/>
  <c r="H153" i="1366" s="1"/>
  <c r="G156" i="1366"/>
  <c r="H156" i="1366" s="1"/>
  <c r="G157" i="1366"/>
  <c r="G93" i="1366"/>
  <c r="H93" i="1366" s="1"/>
  <c r="G92" i="1366"/>
  <c r="H92" i="1366" s="1"/>
  <c r="G89" i="1366"/>
  <c r="H89" i="1366" s="1"/>
  <c r="G88" i="1366"/>
  <c r="H88" i="1366" s="1"/>
  <c r="G87" i="1366"/>
  <c r="H87" i="1366" s="1"/>
  <c r="G86" i="1366"/>
  <c r="H86" i="1366" s="1"/>
  <c r="G85" i="1366"/>
  <c r="H85" i="1366" s="1"/>
  <c r="G84" i="1366"/>
  <c r="H84" i="1366" s="1"/>
  <c r="G82" i="1366"/>
  <c r="H82" i="1366" s="1"/>
  <c r="G81" i="1366"/>
  <c r="H81" i="1366" s="1"/>
  <c r="G80" i="1366"/>
  <c r="H80" i="1366" s="1"/>
  <c r="G78" i="1366"/>
  <c r="H78" i="1366" s="1"/>
  <c r="G77" i="1366"/>
  <c r="H77" i="1366" s="1"/>
  <c r="G75" i="1366"/>
  <c r="H75" i="1366" s="1"/>
  <c r="G74" i="1366"/>
  <c r="H74" i="1366" s="1"/>
  <c r="G73" i="1366"/>
  <c r="H73" i="1366" s="1"/>
  <c r="G72" i="1366"/>
  <c r="H72" i="1366" s="1"/>
  <c r="G70" i="1366"/>
  <c r="H70" i="1366" s="1"/>
  <c r="G69" i="1366"/>
  <c r="H69" i="1366" s="1"/>
  <c r="G68" i="1366"/>
  <c r="H68" i="1366" s="1"/>
  <c r="G65" i="1366"/>
  <c r="H65" i="1366" s="1"/>
  <c r="G64" i="1366"/>
  <c r="H64" i="1366" s="1"/>
  <c r="G63" i="1366"/>
  <c r="H63" i="1366" s="1"/>
  <c r="G62" i="1366"/>
  <c r="H62" i="1366" s="1"/>
  <c r="G60" i="1366"/>
  <c r="H60" i="1366" s="1"/>
  <c r="G57" i="1366"/>
  <c r="H57" i="1366" s="1"/>
  <c r="G55" i="1366"/>
  <c r="H55" i="1366" s="1"/>
  <c r="G54" i="1366"/>
  <c r="H54" i="1366" s="1"/>
  <c r="G53" i="1366"/>
  <c r="H53" i="1366" s="1"/>
  <c r="G52" i="1366"/>
  <c r="H52" i="1366" s="1"/>
  <c r="G51" i="1366"/>
  <c r="H51" i="1366" s="1"/>
  <c r="G49" i="1366"/>
  <c r="H49" i="1366" s="1"/>
  <c r="G48" i="1366"/>
  <c r="H48" i="1366" s="1"/>
  <c r="G47" i="1366"/>
  <c r="H47" i="1366" s="1"/>
  <c r="G46" i="1366"/>
  <c r="H46" i="1366" s="1"/>
  <c r="G45" i="1366"/>
  <c r="H45" i="1366" s="1"/>
  <c r="G44" i="1366"/>
  <c r="H44" i="1366" s="1"/>
  <c r="G43" i="1366"/>
  <c r="H43" i="1366" s="1"/>
  <c r="G42" i="1366"/>
  <c r="H42" i="1366" s="1"/>
  <c r="G41" i="1366"/>
  <c r="H41" i="1366" s="1"/>
  <c r="G40" i="1366"/>
  <c r="H40" i="1366" s="1"/>
  <c r="G39" i="1366"/>
  <c r="H39" i="1366" s="1"/>
  <c r="G37" i="1366"/>
  <c r="H37" i="1366" s="1"/>
  <c r="G34" i="1366"/>
  <c r="H34" i="1366" s="1"/>
  <c r="G28" i="1366"/>
  <c r="H28" i="1366" s="1"/>
  <c r="G27" i="1366"/>
  <c r="H27" i="1366" s="1"/>
  <c r="G26" i="1366"/>
  <c r="H26" i="1366" s="1"/>
  <c r="G25" i="1366"/>
  <c r="H25" i="1366" s="1"/>
  <c r="G24" i="1366"/>
  <c r="H24" i="1366" s="1"/>
  <c r="G20" i="1366"/>
  <c r="H20" i="1366" s="1"/>
  <c r="G19" i="1366"/>
  <c r="H19" i="1366" s="1"/>
  <c r="G18" i="1366"/>
  <c r="H18" i="1366" s="1"/>
  <c r="G17" i="1366"/>
  <c r="H17" i="1366" s="1"/>
  <c r="G15" i="1366"/>
  <c r="H15" i="1366" s="1"/>
  <c r="G13" i="1366"/>
  <c r="H13" i="1366" s="1"/>
  <c r="G12" i="1366"/>
  <c r="H12" i="1366" s="1"/>
  <c r="G11" i="1366"/>
  <c r="H11" i="1366" s="1"/>
  <c r="G10" i="1366"/>
  <c r="H10" i="1366" s="1"/>
  <c r="C119" i="1366"/>
  <c r="C119" i="1367"/>
  <c r="D122" i="1358"/>
  <c r="D117" i="1367" s="1"/>
  <c r="D122" i="1357"/>
  <c r="G117" i="1366" s="1"/>
  <c r="C117" i="1366"/>
  <c r="C117" i="1367"/>
  <c r="C117" i="1368"/>
  <c r="C58" i="1366"/>
  <c r="C32" i="1366"/>
  <c r="C22" i="1367"/>
  <c r="C22" i="1366"/>
  <c r="D91" i="1378" l="1"/>
  <c r="D28" i="1321"/>
  <c r="E117" i="1367"/>
  <c r="A1" i="1404"/>
  <c r="D101" i="1358"/>
  <c r="D96" i="1367" s="1"/>
  <c r="E96" i="1367" s="1"/>
  <c r="D100" i="1358"/>
  <c r="D95" i="1367" s="1"/>
  <c r="E95" i="1367" s="1"/>
  <c r="D124" i="1358"/>
  <c r="D119" i="1367" s="1"/>
  <c r="E119" i="1367" s="1"/>
  <c r="D123" i="1358"/>
  <c r="D118" i="1367" s="1"/>
  <c r="E118" i="1367" s="1"/>
  <c r="D24" i="1358"/>
  <c r="D22" i="1367" s="1"/>
  <c r="E22" i="1367" s="1"/>
  <c r="D23" i="1358"/>
  <c r="D21" i="1367" s="1"/>
  <c r="E21" i="1367" s="1"/>
  <c r="D14" i="1367"/>
  <c r="E14" i="1367" s="1"/>
  <c r="D24" i="1357"/>
  <c r="G22" i="1366" s="1"/>
  <c r="H22" i="1366" s="1"/>
  <c r="D23" i="1357"/>
  <c r="G21" i="1366" s="1"/>
  <c r="H21" i="1366" s="1"/>
  <c r="G14" i="1366"/>
  <c r="H14" i="1366" s="1"/>
  <c r="D124" i="1357"/>
  <c r="D123" i="1357"/>
  <c r="D101" i="1357"/>
  <c r="D100" i="1357"/>
  <c r="G96" i="1366" l="1"/>
  <c r="H96" i="1366" s="1"/>
  <c r="H98" i="1366"/>
  <c r="G95" i="1366"/>
  <c r="H95" i="1366" s="1"/>
  <c r="H122" i="1366"/>
  <c r="G119" i="1366"/>
  <c r="H121" i="1366"/>
  <c r="G118" i="1366"/>
  <c r="D23" i="1410"/>
  <c r="C23" i="1410"/>
  <c r="B23" i="1410"/>
  <c r="D13" i="1410"/>
  <c r="C13" i="1410"/>
  <c r="B13" i="1410"/>
  <c r="E22" i="1410"/>
  <c r="E21" i="1410"/>
  <c r="E20" i="1410"/>
  <c r="E19" i="1410"/>
  <c r="E18" i="1410"/>
  <c r="E17" i="1410"/>
  <c r="E16" i="1410"/>
  <c r="E12" i="1410"/>
  <c r="E11" i="1410"/>
  <c r="E10" i="1410"/>
  <c r="E9" i="1410"/>
  <c r="E8" i="1410"/>
  <c r="E7" i="1410"/>
  <c r="E6" i="1410"/>
  <c r="C15" i="1410"/>
  <c r="D15" i="1410"/>
  <c r="B15" i="1410"/>
  <c r="D37" i="1406"/>
  <c r="C37" i="1406"/>
  <c r="B37" i="1406"/>
  <c r="B10" i="1364"/>
  <c r="G10" i="1364" s="1"/>
  <c r="B18" i="1406"/>
  <c r="E18" i="1406" s="1"/>
  <c r="B17" i="1406"/>
  <c r="E17" i="1406" s="1"/>
  <c r="D15" i="1406"/>
  <c r="C15" i="1406"/>
  <c r="B15" i="1406"/>
  <c r="D23" i="1406"/>
  <c r="C23" i="1406"/>
  <c r="D13" i="1406"/>
  <c r="C13" i="1406"/>
  <c r="B13" i="1406"/>
  <c r="E22" i="1406"/>
  <c r="E21" i="1406"/>
  <c r="E20" i="1406"/>
  <c r="E19" i="1406"/>
  <c r="E16" i="1406"/>
  <c r="E12" i="1406"/>
  <c r="E11" i="1406"/>
  <c r="E10" i="1406"/>
  <c r="E9" i="1406"/>
  <c r="E8" i="1406"/>
  <c r="E7" i="1406"/>
  <c r="E6" i="1406"/>
  <c r="D119" i="1358"/>
  <c r="D114" i="1367" s="1"/>
  <c r="E114" i="1367" s="1"/>
  <c r="D119" i="1357"/>
  <c r="F25" i="1364"/>
  <c r="G25" i="1364" s="1"/>
  <c r="D116" i="1367"/>
  <c r="E116" i="1367" s="1"/>
  <c r="C45" i="1403"/>
  <c r="B40" i="1403"/>
  <c r="E40" i="1403" s="1"/>
  <c r="B41" i="1403"/>
  <c r="H119" i="1366" l="1"/>
  <c r="G116" i="1366"/>
  <c r="H116" i="1366" s="1"/>
  <c r="H117" i="1366"/>
  <c r="G114" i="1366"/>
  <c r="H114" i="1366" s="1"/>
  <c r="E23" i="1410"/>
  <c r="E13" i="1410"/>
  <c r="B23" i="1406"/>
  <c r="E23" i="1406"/>
  <c r="E13" i="1406"/>
  <c r="B39" i="1403"/>
  <c r="E39" i="1403" s="1"/>
  <c r="D37" i="1403"/>
  <c r="C37" i="1403"/>
  <c r="B37" i="1403"/>
  <c r="D35" i="1403"/>
  <c r="C35" i="1403"/>
  <c r="B35" i="1403"/>
  <c r="D45" i="1403"/>
  <c r="E44" i="1403"/>
  <c r="E43" i="1403"/>
  <c r="E42" i="1403"/>
  <c r="E41" i="1403"/>
  <c r="E38" i="1403"/>
  <c r="E34" i="1403"/>
  <c r="E33" i="1403"/>
  <c r="E32" i="1403"/>
  <c r="E31" i="1403"/>
  <c r="E30" i="1403"/>
  <c r="E29" i="1403"/>
  <c r="E28" i="1403"/>
  <c r="D23" i="1403"/>
  <c r="B23" i="1403"/>
  <c r="E22" i="1403"/>
  <c r="E21" i="1403"/>
  <c r="E20" i="1403"/>
  <c r="E19" i="1403"/>
  <c r="C18" i="1403"/>
  <c r="E18" i="1403" s="1"/>
  <c r="E17" i="1403"/>
  <c r="C16" i="1403"/>
  <c r="C23" i="1403" s="1"/>
  <c r="D13" i="1403"/>
  <c r="B13" i="1403"/>
  <c r="E12" i="1403"/>
  <c r="E11" i="1403"/>
  <c r="E10" i="1403"/>
  <c r="E9" i="1403"/>
  <c r="C8" i="1403"/>
  <c r="C13" i="1403" s="1"/>
  <c r="E7" i="1403"/>
  <c r="E6" i="1403"/>
  <c r="D37" i="1405"/>
  <c r="C37" i="1405"/>
  <c r="B37" i="1405"/>
  <c r="D45" i="1405"/>
  <c r="B45" i="1405"/>
  <c r="E44" i="1405"/>
  <c r="E43" i="1405"/>
  <c r="E42" i="1405"/>
  <c r="E41" i="1405"/>
  <c r="C40" i="1405"/>
  <c r="E40" i="1405" s="1"/>
  <c r="C39" i="1405"/>
  <c r="E39" i="1405" s="1"/>
  <c r="C38" i="1405"/>
  <c r="D35" i="1405"/>
  <c r="B35" i="1405"/>
  <c r="E34" i="1405"/>
  <c r="E33" i="1405"/>
  <c r="E32" i="1405"/>
  <c r="E31" i="1405"/>
  <c r="C30" i="1405"/>
  <c r="C35" i="1405" s="1"/>
  <c r="E29" i="1405"/>
  <c r="E28" i="1405"/>
  <c r="E8" i="1405"/>
  <c r="E22" i="1405"/>
  <c r="E21" i="1405"/>
  <c r="E20" i="1405"/>
  <c r="E19" i="1405"/>
  <c r="E18" i="1405"/>
  <c r="E17" i="1405"/>
  <c r="E16" i="1405"/>
  <c r="E12" i="1405"/>
  <c r="E11" i="1405"/>
  <c r="E10" i="1405"/>
  <c r="E9" i="1405"/>
  <c r="E7" i="1405"/>
  <c r="E6" i="1405"/>
  <c r="D15" i="1405"/>
  <c r="C15" i="1405"/>
  <c r="B15" i="1405"/>
  <c r="D23" i="1405"/>
  <c r="C23" i="1405"/>
  <c r="B23" i="1405"/>
  <c r="D13" i="1405"/>
  <c r="C13" i="1405"/>
  <c r="E44" i="1404"/>
  <c r="E43" i="1404"/>
  <c r="E42" i="1404"/>
  <c r="E41" i="1404"/>
  <c r="E40" i="1404"/>
  <c r="E38" i="1404"/>
  <c r="B39" i="1404"/>
  <c r="E39" i="1404" s="1"/>
  <c r="D37" i="1404"/>
  <c r="C37" i="1404"/>
  <c r="B37" i="1404"/>
  <c r="D45" i="1404"/>
  <c r="C45" i="1404"/>
  <c r="B45" i="1404"/>
  <c r="E35" i="1404"/>
  <c r="D35" i="1404"/>
  <c r="C35" i="1404"/>
  <c r="B35" i="1404"/>
  <c r="B33" i="1364"/>
  <c r="G33" i="1364" s="1"/>
  <c r="F33" i="1364"/>
  <c r="F16" i="1364"/>
  <c r="G16" i="1364" s="1"/>
  <c r="D122" i="1359"/>
  <c r="D117" i="1368" s="1"/>
  <c r="E117" i="1368" s="1"/>
  <c r="D121" i="1359"/>
  <c r="D116" i="1368" s="1"/>
  <c r="E116" i="1368" s="1"/>
  <c r="B17" i="1404"/>
  <c r="E17" i="1404" s="1"/>
  <c r="E12" i="1404"/>
  <c r="E11" i="1404"/>
  <c r="E10" i="1404"/>
  <c r="E9" i="1404"/>
  <c r="E7" i="1404"/>
  <c r="E6" i="1404"/>
  <c r="B8" i="1404"/>
  <c r="E8" i="1404" s="1"/>
  <c r="E22" i="1404"/>
  <c r="E21" i="1404"/>
  <c r="E20" i="1404"/>
  <c r="E19" i="1404"/>
  <c r="E18" i="1404"/>
  <c r="E16" i="1404"/>
  <c r="D23" i="1404"/>
  <c r="C23" i="1404"/>
  <c r="D13" i="1404"/>
  <c r="C13" i="1404"/>
  <c r="B13" i="1405" l="1"/>
  <c r="B13" i="1404"/>
  <c r="E13" i="1404"/>
  <c r="E45" i="1404"/>
  <c r="E46" i="1404" s="1"/>
  <c r="E35" i="1403"/>
  <c r="E13" i="1405"/>
  <c r="B23" i="1404"/>
  <c r="C45" i="1405"/>
  <c r="B45" i="1403"/>
  <c r="G45" i="1403" s="1"/>
  <c r="E45" i="1403"/>
  <c r="E8" i="1403"/>
  <c r="E13" i="1403" s="1"/>
  <c r="E16" i="1403"/>
  <c r="E23" i="1403" s="1"/>
  <c r="E30" i="1405"/>
  <c r="E35" i="1405" s="1"/>
  <c r="E38" i="1405"/>
  <c r="E45" i="1405" s="1"/>
  <c r="E23" i="1405"/>
  <c r="E23" i="1404"/>
  <c r="A1" i="1414"/>
  <c r="D26" i="1414"/>
  <c r="C26" i="1414"/>
  <c r="G24" i="1414"/>
  <c r="G26" i="1414" s="1"/>
  <c r="F24" i="1414"/>
  <c r="E24" i="1414"/>
  <c r="E26" i="1414" s="1"/>
  <c r="H23" i="1414"/>
  <c r="H22" i="1414"/>
  <c r="H21" i="1414"/>
  <c r="H20" i="1414"/>
  <c r="H19" i="1414"/>
  <c r="H18" i="1414"/>
  <c r="H17" i="1414"/>
  <c r="H16" i="1414"/>
  <c r="H15" i="1414"/>
  <c r="H14" i="1414"/>
  <c r="H13" i="1414"/>
  <c r="H12" i="1414"/>
  <c r="H11" i="1414"/>
  <c r="H10" i="1414"/>
  <c r="H9" i="1414"/>
  <c r="H8" i="1414"/>
  <c r="F26" i="1414" l="1"/>
  <c r="H24" i="1414"/>
  <c r="H25" i="1414"/>
  <c r="H26" i="1414" l="1"/>
  <c r="F54" i="1364" l="1"/>
  <c r="D54" i="1364"/>
  <c r="F64" i="1364"/>
  <c r="D64" i="1364"/>
  <c r="B64" i="1364"/>
  <c r="G64" i="1364" s="1"/>
  <c r="F49" i="1364"/>
  <c r="D49" i="1364"/>
  <c r="B49" i="1364"/>
  <c r="F43" i="1364"/>
  <c r="D43" i="1364"/>
  <c r="B43" i="1364"/>
  <c r="G43" i="1364" s="1"/>
  <c r="F7" i="1364"/>
  <c r="B7" i="1364"/>
  <c r="F39" i="1364"/>
  <c r="B39" i="1364"/>
  <c r="G39" i="1364" s="1"/>
  <c r="A1" i="1364"/>
  <c r="A1" i="1365"/>
  <c r="F17" i="1365"/>
  <c r="E15" i="1365"/>
  <c r="B15" i="1365"/>
  <c r="A1" i="1363"/>
  <c r="A11" i="1413"/>
  <c r="A4" i="1413"/>
  <c r="G49" i="1364" l="1"/>
  <c r="D68" i="1364"/>
  <c r="F1" i="1362"/>
  <c r="D79" i="1358"/>
  <c r="D77" i="1367" s="1"/>
  <c r="E77" i="1367" s="1"/>
  <c r="F24" i="1358"/>
  <c r="F23" i="1358"/>
  <c r="E104" i="1359"/>
  <c r="F104" i="1359"/>
  <c r="E104" i="1358"/>
  <c r="F104" i="1358"/>
  <c r="F123" i="1358"/>
  <c r="F121" i="1358"/>
  <c r="F102" i="1358"/>
  <c r="F79" i="1358"/>
  <c r="F47" i="1358"/>
  <c r="F46" i="1358"/>
  <c r="F45" i="1358"/>
  <c r="F43" i="1358"/>
  <c r="F42" i="1358"/>
  <c r="F122" i="1359"/>
  <c r="F121" i="1359"/>
  <c r="F102" i="1359"/>
  <c r="F79" i="1359"/>
  <c r="F31" i="1359"/>
  <c r="F30" i="1359"/>
  <c r="F24" i="1359"/>
  <c r="F23" i="1359"/>
  <c r="F46" i="1359"/>
  <c r="F45" i="1359"/>
  <c r="F43" i="1359"/>
  <c r="F42" i="1359"/>
  <c r="A4" i="1399"/>
  <c r="A3" i="1399"/>
  <c r="F123" i="1357"/>
  <c r="F121" i="1357"/>
  <c r="F122" i="1357"/>
  <c r="F102" i="1357"/>
  <c r="F79" i="1357"/>
  <c r="F31" i="1357"/>
  <c r="F30" i="1357"/>
  <c r="F24" i="1357"/>
  <c r="F23" i="1357"/>
  <c r="F51" i="1357"/>
  <c r="F47" i="1357"/>
  <c r="F46" i="1357"/>
  <c r="F45" i="1357"/>
  <c r="F43" i="1357"/>
  <c r="F41" i="1357"/>
  <c r="F42" i="1357"/>
  <c r="D61" i="1358"/>
  <c r="D59" i="1367" s="1"/>
  <c r="E59" i="1367" s="1"/>
  <c r="D51" i="1358"/>
  <c r="D49" i="1367" s="1"/>
  <c r="E49" i="1367" s="1"/>
  <c r="D43" i="1358"/>
  <c r="D41" i="1367" s="1"/>
  <c r="E41" i="1367" s="1"/>
  <c r="D42" i="1359"/>
  <c r="D40" i="1368" s="1"/>
  <c r="E40" i="1368" s="1"/>
  <c r="D42" i="1358"/>
  <c r="D40" i="1367" s="1"/>
  <c r="E40" i="1367" s="1"/>
  <c r="D41" i="1358"/>
  <c r="D39" i="1367" s="1"/>
  <c r="E39" i="1367" s="1"/>
  <c r="D37" i="1358"/>
  <c r="D35" i="1367" s="1"/>
  <c r="E35" i="1367" s="1"/>
  <c r="D38" i="1358"/>
  <c r="D36" i="1367" s="1"/>
  <c r="E36" i="1367" s="1"/>
  <c r="D35" i="1358"/>
  <c r="D33" i="1367" s="1"/>
  <c r="E33" i="1367" s="1"/>
  <c r="D34" i="1358"/>
  <c r="D32" i="1367" s="1"/>
  <c r="E32" i="1367" s="1"/>
  <c r="D60" i="1357"/>
  <c r="G58" i="1366" s="1"/>
  <c r="H58" i="1366" s="1"/>
  <c r="D61" i="1357"/>
  <c r="G59" i="1366" s="1"/>
  <c r="H59" i="1366" s="1"/>
  <c r="D31" i="1357"/>
  <c r="G29" i="1366" s="1"/>
  <c r="H29" i="1366" s="1"/>
  <c r="D37" i="1357"/>
  <c r="G35" i="1366" s="1"/>
  <c r="H35" i="1366" s="1"/>
  <c r="D38" i="1357"/>
  <c r="G36" i="1366" s="1"/>
  <c r="H36" i="1366" s="1"/>
  <c r="D35" i="1357"/>
  <c r="G33" i="1366" s="1"/>
  <c r="H33" i="1366" s="1"/>
  <c r="D34" i="1357"/>
  <c r="G32" i="1366" s="1"/>
  <c r="H32" i="1366" s="1"/>
  <c r="C55" i="1360"/>
  <c r="C51" i="1360"/>
  <c r="C46" i="1360"/>
  <c r="C43" i="1360"/>
  <c r="C42" i="1360"/>
  <c r="A4" i="1360"/>
  <c r="A3" i="1360"/>
  <c r="A4" i="1359"/>
  <c r="A3" i="1359"/>
  <c r="E42" i="1358"/>
  <c r="E46" i="1358"/>
  <c r="E79" i="1357"/>
  <c r="E42" i="1357"/>
  <c r="E51" i="1357"/>
  <c r="E46" i="1357"/>
  <c r="E43" i="1357"/>
  <c r="H100" i="1366" l="1"/>
  <c r="G97" i="1366"/>
  <c r="D104" i="1359"/>
  <c r="D99" i="1368" s="1"/>
  <c r="A4" i="1358"/>
  <c r="A3" i="1358"/>
  <c r="A4" i="1357"/>
  <c r="A3" i="1357"/>
  <c r="C53" i="1389" l="1"/>
  <c r="C47" i="1389"/>
  <c r="C39" i="1389"/>
  <c r="C32" i="1389"/>
  <c r="C27" i="1389"/>
  <c r="C21" i="1389"/>
  <c r="C9" i="1389"/>
  <c r="B63" i="1364"/>
  <c r="D23" i="1365"/>
  <c r="B23" i="1365"/>
  <c r="E21" i="1365"/>
  <c r="E23" i="1365" s="1"/>
  <c r="B54" i="1364" l="1"/>
  <c r="G54" i="1364" s="1"/>
  <c r="G63" i="1364"/>
  <c r="C38" i="1389"/>
  <c r="C43" i="1389" s="1"/>
  <c r="C59" i="1389"/>
  <c r="C39" i="1391" l="1"/>
  <c r="C53" i="1386" l="1"/>
  <c r="C47" i="1386"/>
  <c r="C39" i="1386"/>
  <c r="C32" i="1386"/>
  <c r="C27" i="1386"/>
  <c r="C21" i="1386"/>
  <c r="C9" i="1386"/>
  <c r="E61" i="1388"/>
  <c r="F61" i="1388" s="1"/>
  <c r="C38" i="1386" l="1"/>
  <c r="C43" i="1386" s="1"/>
  <c r="C59" i="1386"/>
  <c r="C53" i="1383"/>
  <c r="C47" i="1383"/>
  <c r="C39" i="1383"/>
  <c r="C32" i="1383"/>
  <c r="C27" i="1383"/>
  <c r="C21" i="1383"/>
  <c r="C9" i="1383"/>
  <c r="C59" i="1383" l="1"/>
  <c r="C38" i="1383"/>
  <c r="C43" i="1383" s="1"/>
  <c r="C25" i="1408"/>
  <c r="C46" i="1408" s="1"/>
  <c r="D95" i="1378" l="1"/>
  <c r="E95" i="1378"/>
  <c r="F95" i="1378"/>
  <c r="G95" i="1378"/>
  <c r="H95" i="1378"/>
  <c r="C95" i="1378"/>
  <c r="J16" i="1407"/>
  <c r="I16" i="1407"/>
  <c r="H16" i="1407"/>
  <c r="G16" i="1407"/>
  <c r="F16" i="1407"/>
  <c r="E16" i="1407"/>
  <c r="B16" i="1407"/>
  <c r="K15" i="1407"/>
  <c r="C15" i="1407" s="1"/>
  <c r="D15" i="1407" s="1"/>
  <c r="K14" i="1407"/>
  <c r="C14" i="1407" s="1"/>
  <c r="D14" i="1407" s="1"/>
  <c r="K13" i="1407"/>
  <c r="C13" i="1407" s="1"/>
  <c r="D13" i="1407" s="1"/>
  <c r="K12" i="1407"/>
  <c r="C12" i="1407" s="1"/>
  <c r="D12" i="1407" s="1"/>
  <c r="K11" i="1407"/>
  <c r="C11" i="1407" s="1"/>
  <c r="D11" i="1407" s="1"/>
  <c r="K10" i="1407"/>
  <c r="C10" i="1407" s="1"/>
  <c r="D10" i="1407" s="1"/>
  <c r="D16" i="1407" l="1"/>
  <c r="C16" i="1407"/>
  <c r="L59" i="1381" s="1"/>
  <c r="K16" i="1407"/>
  <c r="C120" i="1367"/>
  <c r="C31" i="1367"/>
  <c r="F104" i="1357" l="1"/>
  <c r="F117" i="1357"/>
  <c r="F125" i="1357"/>
  <c r="D125" i="1357"/>
  <c r="H123" i="1366" l="1"/>
  <c r="G120" i="1366"/>
  <c r="C137" i="1357"/>
  <c r="C136" i="1357"/>
  <c r="E19" i="1361" l="1"/>
  <c r="H135" i="1378"/>
  <c r="E20" i="1362"/>
  <c r="H134" i="1378"/>
  <c r="F34" i="1364"/>
  <c r="F68" i="1364" s="1"/>
  <c r="F69" i="1364" s="1"/>
  <c r="B34" i="1364"/>
  <c r="F16" i="1365"/>
  <c r="F15" i="1365"/>
  <c r="F14" i="1365"/>
  <c r="F13" i="1365"/>
  <c r="F12" i="1365"/>
  <c r="F11" i="1365"/>
  <c r="F10" i="1365"/>
  <c r="F9" i="1365"/>
  <c r="F8" i="1365"/>
  <c r="B68" i="1364" l="1"/>
  <c r="G34" i="1364"/>
  <c r="D7" i="1364"/>
  <c r="D69" i="1364" s="1"/>
  <c r="O11" i="1379"/>
  <c r="O18" i="1379"/>
  <c r="O19" i="1379"/>
  <c r="O20" i="1379"/>
  <c r="O21" i="1379"/>
  <c r="O22" i="1379"/>
  <c r="O23" i="1379"/>
  <c r="O24" i="1379"/>
  <c r="O25" i="1379"/>
  <c r="O26" i="1379"/>
  <c r="O7" i="1379"/>
  <c r="O8" i="1379"/>
  <c r="O9" i="1379"/>
  <c r="O10" i="1379"/>
  <c r="O12" i="1379"/>
  <c r="O13" i="1379"/>
  <c r="O14" i="1379"/>
  <c r="K149" i="1378"/>
  <c r="J149" i="1378"/>
  <c r="I149" i="1378"/>
  <c r="I146" i="1378"/>
  <c r="I144" i="1378" s="1"/>
  <c r="K137" i="1378"/>
  <c r="J137" i="1378"/>
  <c r="I137" i="1378"/>
  <c r="I134" i="1378"/>
  <c r="I133" i="1378" s="1"/>
  <c r="K133" i="1378"/>
  <c r="K157" i="1378" s="1"/>
  <c r="J133" i="1378"/>
  <c r="I131" i="1378"/>
  <c r="J123" i="1378"/>
  <c r="I123" i="1378"/>
  <c r="I122" i="1378"/>
  <c r="I121" i="1378"/>
  <c r="I120" i="1378"/>
  <c r="K119" i="1378"/>
  <c r="K118" i="1378" s="1"/>
  <c r="J119" i="1378"/>
  <c r="J118" i="1378" s="1"/>
  <c r="I119" i="1378"/>
  <c r="I118" i="1378" s="1"/>
  <c r="I117" i="1378"/>
  <c r="J115" i="1378"/>
  <c r="I115" i="1378"/>
  <c r="I114" i="1378"/>
  <c r="I109" i="1378"/>
  <c r="J102" i="1378"/>
  <c r="I101" i="1378"/>
  <c r="K100" i="1378"/>
  <c r="J100" i="1378"/>
  <c r="I100" i="1378"/>
  <c r="K99" i="1378"/>
  <c r="J99" i="1378"/>
  <c r="I99" i="1378"/>
  <c r="K98" i="1378"/>
  <c r="J98" i="1378"/>
  <c r="I98" i="1378"/>
  <c r="K83" i="1378"/>
  <c r="J83" i="1378"/>
  <c r="I83" i="1378"/>
  <c r="K79" i="1378"/>
  <c r="J79" i="1378"/>
  <c r="I79" i="1378"/>
  <c r="K77" i="1378"/>
  <c r="K76" i="1378" s="1"/>
  <c r="J77" i="1378"/>
  <c r="J76" i="1378" s="1"/>
  <c r="I77" i="1378"/>
  <c r="I76" i="1378" s="1"/>
  <c r="K71" i="1378"/>
  <c r="J71" i="1378"/>
  <c r="I71" i="1378"/>
  <c r="I68" i="1378"/>
  <c r="I67" i="1378" s="1"/>
  <c r="K67" i="1378"/>
  <c r="J67" i="1378"/>
  <c r="K61" i="1378"/>
  <c r="J61" i="1378"/>
  <c r="I61" i="1378"/>
  <c r="I59" i="1378"/>
  <c r="I58" i="1378"/>
  <c r="K56" i="1378"/>
  <c r="J56" i="1378"/>
  <c r="J53" i="1378"/>
  <c r="J50" i="1378" s="1"/>
  <c r="I52" i="1378"/>
  <c r="K50" i="1378"/>
  <c r="J49" i="1378"/>
  <c r="I49" i="1378"/>
  <c r="I48" i="1378"/>
  <c r="K45" i="1378"/>
  <c r="K44" i="1378"/>
  <c r="J44" i="1378"/>
  <c r="I44" i="1378"/>
  <c r="K43" i="1378"/>
  <c r="I42" i="1378"/>
  <c r="K41" i="1378"/>
  <c r="J41" i="1378"/>
  <c r="I41" i="1378"/>
  <c r="K40" i="1378"/>
  <c r="J40" i="1378"/>
  <c r="I40" i="1378"/>
  <c r="I39" i="1378"/>
  <c r="I37" i="1378"/>
  <c r="I35" i="1378"/>
  <c r="I33" i="1378"/>
  <c r="I32" i="1378"/>
  <c r="K31" i="1378"/>
  <c r="J31" i="1378"/>
  <c r="J30" i="1378" s="1"/>
  <c r="K30" i="1378"/>
  <c r="I29" i="1378"/>
  <c r="I28" i="1378"/>
  <c r="I23" i="1378" s="1"/>
  <c r="K23" i="1378"/>
  <c r="J23" i="1378"/>
  <c r="I22" i="1378"/>
  <c r="I21" i="1378"/>
  <c r="I16" i="1378" s="1"/>
  <c r="K16" i="1378"/>
  <c r="J16" i="1378"/>
  <c r="I14" i="1378"/>
  <c r="I13" i="1378"/>
  <c r="I12" i="1378"/>
  <c r="K9" i="1378"/>
  <c r="J9" i="1378"/>
  <c r="C146" i="1368"/>
  <c r="C141" i="1368"/>
  <c r="C134" i="1368"/>
  <c r="C130" i="1368"/>
  <c r="C115" i="1368"/>
  <c r="C99" i="1368"/>
  <c r="C83" i="1368"/>
  <c r="C79" i="1368"/>
  <c r="C76" i="1368"/>
  <c r="C71" i="1368"/>
  <c r="C67" i="1368"/>
  <c r="C61" i="1368"/>
  <c r="C56" i="1368"/>
  <c r="C50" i="1368"/>
  <c r="C38" i="1368"/>
  <c r="C31" i="1368"/>
  <c r="C23" i="1368"/>
  <c r="C16" i="1368"/>
  <c r="C9" i="1368"/>
  <c r="C146" i="1367"/>
  <c r="C141" i="1367"/>
  <c r="C134" i="1367"/>
  <c r="C130" i="1367"/>
  <c r="C115" i="1367"/>
  <c r="C112" i="1367"/>
  <c r="C99" i="1367"/>
  <c r="C83" i="1367"/>
  <c r="C79" i="1367"/>
  <c r="C76" i="1367"/>
  <c r="C71" i="1367"/>
  <c r="C67" i="1367"/>
  <c r="C61" i="1367"/>
  <c r="C56" i="1367"/>
  <c r="C50" i="1367"/>
  <c r="C38" i="1367"/>
  <c r="C23" i="1367"/>
  <c r="C16" i="1367"/>
  <c r="C9" i="1367"/>
  <c r="C146" i="1366"/>
  <c r="C141" i="1366"/>
  <c r="C134" i="1366"/>
  <c r="C130" i="1366"/>
  <c r="M59" i="1381" s="1"/>
  <c r="C120" i="1366"/>
  <c r="C112" i="1366"/>
  <c r="N59" i="1381" s="1"/>
  <c r="C99" i="1366"/>
  <c r="C83" i="1366"/>
  <c r="C79" i="1366"/>
  <c r="C76" i="1366"/>
  <c r="G59" i="1381" s="1"/>
  <c r="C71" i="1366"/>
  <c r="C67" i="1366"/>
  <c r="F59" i="1381" s="1"/>
  <c r="C61" i="1366"/>
  <c r="C56" i="1366"/>
  <c r="C50" i="1366"/>
  <c r="C38" i="1366"/>
  <c r="C31" i="1366"/>
  <c r="C30" i="1366" s="1"/>
  <c r="E59" i="1381" s="1"/>
  <c r="C23" i="1366"/>
  <c r="C16" i="1366"/>
  <c r="C9" i="1366"/>
  <c r="D10" i="1366"/>
  <c r="D11" i="1366"/>
  <c r="D12" i="1366"/>
  <c r="D13" i="1366"/>
  <c r="D14" i="1366"/>
  <c r="D15" i="1366"/>
  <c r="D17" i="1366"/>
  <c r="D18" i="1366"/>
  <c r="D19" i="1366"/>
  <c r="D20" i="1366"/>
  <c r="D21" i="1366"/>
  <c r="D22" i="1366"/>
  <c r="D24" i="1366"/>
  <c r="D25" i="1366"/>
  <c r="D26" i="1366"/>
  <c r="D27" i="1366"/>
  <c r="D28" i="1366"/>
  <c r="D29" i="1366"/>
  <c r="D32" i="1366"/>
  <c r="D33" i="1366"/>
  <c r="D34" i="1366"/>
  <c r="D35" i="1366"/>
  <c r="D36" i="1366"/>
  <c r="D37" i="1366"/>
  <c r="D38" i="1366"/>
  <c r="D39" i="1366"/>
  <c r="D40" i="1366"/>
  <c r="D41" i="1366"/>
  <c r="D42" i="1366"/>
  <c r="D43" i="1366"/>
  <c r="D44" i="1366"/>
  <c r="D45" i="1366"/>
  <c r="D46" i="1366"/>
  <c r="D47" i="1366"/>
  <c r="D48" i="1366"/>
  <c r="D49" i="1366"/>
  <c r="D51" i="1366"/>
  <c r="D52" i="1366"/>
  <c r="D53" i="1366"/>
  <c r="D54" i="1366"/>
  <c r="D55" i="1366"/>
  <c r="D57" i="1366"/>
  <c r="D58" i="1366"/>
  <c r="D59" i="1366"/>
  <c r="D60" i="1366"/>
  <c r="D62" i="1366"/>
  <c r="D63" i="1366"/>
  <c r="D64" i="1366"/>
  <c r="D65" i="1366"/>
  <c r="D68" i="1366"/>
  <c r="D69" i="1366"/>
  <c r="D70" i="1366"/>
  <c r="D72" i="1366"/>
  <c r="D73" i="1366"/>
  <c r="D74" i="1366"/>
  <c r="D75" i="1366"/>
  <c r="D77" i="1366"/>
  <c r="D78" i="1366"/>
  <c r="D80" i="1366"/>
  <c r="D81" i="1366"/>
  <c r="D82" i="1366"/>
  <c r="D84" i="1366"/>
  <c r="D85" i="1366"/>
  <c r="D86" i="1366"/>
  <c r="D87" i="1366"/>
  <c r="D88" i="1366"/>
  <c r="D89" i="1366"/>
  <c r="C59" i="1381" l="1"/>
  <c r="D59" i="1381"/>
  <c r="H59" i="1381"/>
  <c r="B69" i="1364"/>
  <c r="G69" i="1364" s="1"/>
  <c r="G68" i="1364"/>
  <c r="C30" i="1368"/>
  <c r="C94" i="1368"/>
  <c r="E99" i="1368"/>
  <c r="D50" i="1366"/>
  <c r="D71" i="1366"/>
  <c r="D56" i="1366"/>
  <c r="D67" i="1366"/>
  <c r="D76" i="1366"/>
  <c r="D83" i="1366"/>
  <c r="C115" i="1366"/>
  <c r="K59" i="1381" s="1"/>
  <c r="H120" i="1366"/>
  <c r="I9" i="1378"/>
  <c r="I38" i="1378"/>
  <c r="K38" i="1378"/>
  <c r="I90" i="1378"/>
  <c r="K97" i="1378"/>
  <c r="K132" i="1378" s="1"/>
  <c r="K158" i="1378" s="1"/>
  <c r="J97" i="1378"/>
  <c r="J132" i="1378" s="1"/>
  <c r="C154" i="1368"/>
  <c r="I31" i="1378"/>
  <c r="I30" i="1378" s="1"/>
  <c r="K66" i="1378"/>
  <c r="C94" i="1366"/>
  <c r="J59" i="1381" s="1"/>
  <c r="D61" i="1366"/>
  <c r="D79" i="1366"/>
  <c r="C90" i="1367"/>
  <c r="C154" i="1367"/>
  <c r="J38" i="1378"/>
  <c r="J66" i="1378" s="1"/>
  <c r="I56" i="1378"/>
  <c r="J90" i="1378"/>
  <c r="I157" i="1378"/>
  <c r="C154" i="1366"/>
  <c r="D23" i="1366"/>
  <c r="C90" i="1368"/>
  <c r="K90" i="1378"/>
  <c r="K91" i="1378" s="1"/>
  <c r="J157" i="1378"/>
  <c r="C129" i="1368"/>
  <c r="C66" i="1368"/>
  <c r="C94" i="1367"/>
  <c r="D16" i="1366"/>
  <c r="I102" i="1378"/>
  <c r="I50" i="1378"/>
  <c r="D9" i="1366"/>
  <c r="C30" i="1367"/>
  <c r="D31" i="1366"/>
  <c r="C66" i="1366"/>
  <c r="C90" i="1366"/>
  <c r="O59" i="1381" l="1"/>
  <c r="O58" i="1381" s="1"/>
  <c r="C155" i="1368"/>
  <c r="D30" i="1366"/>
  <c r="C129" i="1367"/>
  <c r="C129" i="1366"/>
  <c r="C155" i="1366" s="1"/>
  <c r="C155" i="1367"/>
  <c r="J91" i="1378"/>
  <c r="I66" i="1378"/>
  <c r="I91" i="1378" s="1"/>
  <c r="D90" i="1366"/>
  <c r="C91" i="1368"/>
  <c r="J158" i="1378"/>
  <c r="C91" i="1366"/>
  <c r="I97" i="1378"/>
  <c r="C66" i="1367"/>
  <c r="I132" i="1378" l="1"/>
  <c r="C91" i="1367"/>
  <c r="D66" i="1366"/>
  <c r="F33" i="1355"/>
  <c r="F37" i="1355" s="1"/>
  <c r="F39" i="1355" s="1"/>
  <c r="E33" i="1355"/>
  <c r="E37" i="1355" s="1"/>
  <c r="E39" i="1355" s="1"/>
  <c r="D33" i="1355"/>
  <c r="D37" i="1355" s="1"/>
  <c r="D39" i="1355" s="1"/>
  <c r="E13" i="1355"/>
  <c r="E12" i="1355" s="1"/>
  <c r="E24" i="1355" s="1"/>
  <c r="E26" i="1355" s="1"/>
  <c r="F13" i="1355"/>
  <c r="F12" i="1355" s="1"/>
  <c r="F24" i="1355" s="1"/>
  <c r="F26" i="1355" s="1"/>
  <c r="D13" i="1355"/>
  <c r="D12" i="1355" s="1"/>
  <c r="D24" i="1355" s="1"/>
  <c r="D26" i="1355" s="1"/>
  <c r="D91" i="1366" l="1"/>
  <c r="I158" i="1378"/>
  <c r="D40" i="1355"/>
  <c r="F40" i="1355"/>
  <c r="E40" i="1355"/>
  <c r="O23" i="1381"/>
  <c r="O24" i="1381"/>
  <c r="O22" i="1381"/>
  <c r="O21" i="1381"/>
  <c r="O20" i="1381"/>
  <c r="O19" i="1381"/>
  <c r="H24" i="1381"/>
  <c r="H23" i="1381"/>
  <c r="H22" i="1381"/>
  <c r="H21" i="1381"/>
  <c r="H20" i="1381"/>
  <c r="H19" i="1381"/>
  <c r="G55" i="1381"/>
  <c r="F55" i="1381"/>
  <c r="E55" i="1381"/>
  <c r="N55" i="1381"/>
  <c r="M55" i="1381"/>
  <c r="L55" i="1381"/>
  <c r="D55" i="1381" l="1"/>
  <c r="K55" i="1381"/>
  <c r="C55" i="1381"/>
  <c r="J55" i="1381" l="1"/>
  <c r="L56" i="1381"/>
  <c r="O56" i="1381" s="1"/>
  <c r="O50" i="1381"/>
  <c r="O49" i="1381"/>
  <c r="O48" i="1381"/>
  <c r="O47" i="1381"/>
  <c r="O46" i="1381"/>
  <c r="O44" i="1381"/>
  <c r="O43" i="1381"/>
  <c r="O42" i="1381"/>
  <c r="O40" i="1381"/>
  <c r="O39" i="1381"/>
  <c r="O37" i="1381"/>
  <c r="O36" i="1381"/>
  <c r="O34" i="1381"/>
  <c r="O33" i="1381"/>
  <c r="O32" i="1381"/>
  <c r="O28" i="1381"/>
  <c r="O27" i="1381"/>
  <c r="O26" i="1381"/>
  <c r="O17" i="1381"/>
  <c r="O15" i="1381"/>
  <c r="O14" i="1381"/>
  <c r="O13" i="1381"/>
  <c r="O12" i="1381"/>
  <c r="O11" i="1381"/>
  <c r="H54" i="1381"/>
  <c r="H53" i="1381"/>
  <c r="H50" i="1381"/>
  <c r="H49" i="1381"/>
  <c r="H48" i="1381"/>
  <c r="H47" i="1381"/>
  <c r="H46" i="1381"/>
  <c r="H44" i="1381"/>
  <c r="H43" i="1381"/>
  <c r="H42" i="1381"/>
  <c r="H40" i="1381"/>
  <c r="H39" i="1381"/>
  <c r="H37" i="1381"/>
  <c r="H36" i="1381"/>
  <c r="H34" i="1381"/>
  <c r="H33" i="1381"/>
  <c r="H32" i="1381"/>
  <c r="H28" i="1381"/>
  <c r="H27" i="1381"/>
  <c r="H26" i="1381"/>
  <c r="H17" i="1381"/>
  <c r="H15" i="1381"/>
  <c r="H14" i="1381"/>
  <c r="H13" i="1381"/>
  <c r="H12" i="1381"/>
  <c r="H11" i="1381"/>
  <c r="H10" i="1381"/>
  <c r="O10" i="1381"/>
  <c r="H55" i="1381" l="1"/>
  <c r="D92" i="1366"/>
  <c r="D93" i="1366"/>
  <c r="D101" i="1366"/>
  <c r="D102" i="1366"/>
  <c r="D103" i="1366"/>
  <c r="D104" i="1366"/>
  <c r="D105" i="1366"/>
  <c r="D107" i="1366"/>
  <c r="D108" i="1366"/>
  <c r="D109" i="1366"/>
  <c r="D110" i="1366"/>
  <c r="D113" i="1366"/>
  <c r="D114" i="1366"/>
  <c r="D121" i="1366"/>
  <c r="D122" i="1366"/>
  <c r="D123" i="1366"/>
  <c r="D124" i="1366"/>
  <c r="D125" i="1366"/>
  <c r="D126" i="1366"/>
  <c r="D127" i="1366"/>
  <c r="D133" i="1366"/>
  <c r="D135" i="1366"/>
  <c r="D136" i="1366"/>
  <c r="D137" i="1366"/>
  <c r="D138" i="1366"/>
  <c r="D139" i="1366"/>
  <c r="D140" i="1366"/>
  <c r="D142" i="1366"/>
  <c r="D144" i="1366"/>
  <c r="D145" i="1366"/>
  <c r="D147" i="1366"/>
  <c r="D148" i="1366"/>
  <c r="D149" i="1366"/>
  <c r="D150" i="1366"/>
  <c r="D151" i="1366"/>
  <c r="D152" i="1366"/>
  <c r="D153" i="1366"/>
  <c r="D156" i="1366"/>
  <c r="E156" i="1366" s="1"/>
  <c r="D157" i="1366"/>
  <c r="E157" i="1366" s="1"/>
  <c r="D143" i="1366"/>
  <c r="D132" i="1366"/>
  <c r="D120" i="1366"/>
  <c r="D119" i="1366"/>
  <c r="D118" i="1366"/>
  <c r="D112" i="1366"/>
  <c r="D106" i="1366"/>
  <c r="D100" i="1366"/>
  <c r="D98" i="1366"/>
  <c r="D96" i="1366" l="1"/>
  <c r="D111" i="1366"/>
  <c r="D117" i="1366"/>
  <c r="D131" i="1366"/>
  <c r="D141" i="1366"/>
  <c r="D128" i="1366"/>
  <c r="D115" i="1366"/>
  <c r="D95" i="1366"/>
  <c r="D97" i="1366"/>
  <c r="D154" i="1366"/>
  <c r="D134" i="1366"/>
  <c r="D146" i="1366"/>
  <c r="D130" i="1366"/>
  <c r="D116" i="1366"/>
  <c r="D99" i="1366" l="1"/>
  <c r="D94" i="1366" l="1"/>
  <c r="E18" i="1362"/>
  <c r="E29" i="1362" s="1"/>
  <c r="D155" i="1366" l="1"/>
  <c r="D129" i="1366"/>
  <c r="H94" i="1357" l="1"/>
  <c r="H95" i="1357"/>
  <c r="H96" i="1357"/>
  <c r="H98" i="1357"/>
  <c r="C151" i="1399"/>
  <c r="C146" i="1399"/>
  <c r="C139" i="1399"/>
  <c r="C135" i="1399"/>
  <c r="C125" i="1399"/>
  <c r="C117" i="1399"/>
  <c r="C104" i="1399"/>
  <c r="C97" i="1399"/>
  <c r="C85" i="1399"/>
  <c r="C81" i="1399"/>
  <c r="C78" i="1399"/>
  <c r="C73" i="1399"/>
  <c r="C69" i="1399"/>
  <c r="C63" i="1399"/>
  <c r="C58" i="1399"/>
  <c r="C52" i="1399"/>
  <c r="C33" i="1399"/>
  <c r="C32" i="1399" s="1"/>
  <c r="C25" i="1399"/>
  <c r="C18" i="1399"/>
  <c r="C11" i="1399"/>
  <c r="D32" i="1377"/>
  <c r="C159" i="1399" l="1"/>
  <c r="C92" i="1399"/>
  <c r="C120" i="1399"/>
  <c r="C99" i="1399"/>
  <c r="C40" i="1399"/>
  <c r="C68" i="1399" s="1"/>
  <c r="C165" i="1399" l="1"/>
  <c r="C134" i="1399"/>
  <c r="C160" i="1399" s="1"/>
  <c r="C93" i="1399"/>
  <c r="C52" i="1397"/>
  <c r="C46" i="1397"/>
  <c r="C38" i="1397"/>
  <c r="C31" i="1397"/>
  <c r="E31" i="1395" s="1"/>
  <c r="F31" i="1395" s="1"/>
  <c r="C27" i="1397"/>
  <c r="E27" i="1395" s="1"/>
  <c r="C21" i="1397"/>
  <c r="C9" i="1397"/>
  <c r="E9" i="1395" s="1"/>
  <c r="E21" i="1395"/>
  <c r="E61" i="1395"/>
  <c r="F61" i="1395" s="1"/>
  <c r="E60" i="1395"/>
  <c r="F60" i="1395" s="1"/>
  <c r="E57" i="1395"/>
  <c r="F57" i="1395" s="1"/>
  <c r="E56" i="1395"/>
  <c r="F56" i="1395" s="1"/>
  <c r="E55" i="1395"/>
  <c r="F55" i="1395" s="1"/>
  <c r="E54" i="1395"/>
  <c r="F54" i="1395" s="1"/>
  <c r="E53" i="1395"/>
  <c r="C53" i="1395"/>
  <c r="E52" i="1395"/>
  <c r="F52" i="1395" s="1"/>
  <c r="E51" i="1395"/>
  <c r="F51" i="1395" s="1"/>
  <c r="E50" i="1395"/>
  <c r="F50" i="1395" s="1"/>
  <c r="E49" i="1395"/>
  <c r="F49" i="1395" s="1"/>
  <c r="E48" i="1395"/>
  <c r="F48" i="1395" s="1"/>
  <c r="C47" i="1395"/>
  <c r="C59" i="1395" s="1"/>
  <c r="E45" i="1395"/>
  <c r="F45" i="1395" s="1"/>
  <c r="E44" i="1395"/>
  <c r="F44" i="1395" s="1"/>
  <c r="E41" i="1395"/>
  <c r="F41" i="1395" s="1"/>
  <c r="E40" i="1395"/>
  <c r="F40" i="1395" s="1"/>
  <c r="E39" i="1395"/>
  <c r="C39" i="1395"/>
  <c r="E36" i="1395"/>
  <c r="F36" i="1395" s="1"/>
  <c r="E35" i="1395"/>
  <c r="F35" i="1395" s="1"/>
  <c r="E34" i="1395"/>
  <c r="F34" i="1395" s="1"/>
  <c r="E33" i="1395"/>
  <c r="F33" i="1395" s="1"/>
  <c r="E32" i="1395"/>
  <c r="C32" i="1395"/>
  <c r="E30" i="1395"/>
  <c r="F30" i="1395" s="1"/>
  <c r="E29" i="1395"/>
  <c r="F29" i="1395" s="1"/>
  <c r="E28" i="1395"/>
  <c r="F28" i="1395" s="1"/>
  <c r="C27" i="1395"/>
  <c r="E26" i="1395"/>
  <c r="F26" i="1395" s="1"/>
  <c r="E25" i="1395"/>
  <c r="F25" i="1395" s="1"/>
  <c r="E24" i="1395"/>
  <c r="F24" i="1395" s="1"/>
  <c r="E23" i="1395"/>
  <c r="F23" i="1395" s="1"/>
  <c r="E22" i="1395"/>
  <c r="F22" i="1395" s="1"/>
  <c r="C21" i="1395"/>
  <c r="E20" i="1395"/>
  <c r="F20" i="1395" s="1"/>
  <c r="E19" i="1395"/>
  <c r="F19" i="1395" s="1"/>
  <c r="E18" i="1395"/>
  <c r="F18" i="1395" s="1"/>
  <c r="E17" i="1395"/>
  <c r="F17" i="1395" s="1"/>
  <c r="E16" i="1395"/>
  <c r="F16" i="1395" s="1"/>
  <c r="E15" i="1395"/>
  <c r="F15" i="1395" s="1"/>
  <c r="E14" i="1395"/>
  <c r="F14" i="1395" s="1"/>
  <c r="E13" i="1395"/>
  <c r="F13" i="1395" s="1"/>
  <c r="E12" i="1395"/>
  <c r="F12" i="1395" s="1"/>
  <c r="E11" i="1395"/>
  <c r="F11" i="1395" s="1"/>
  <c r="E10" i="1395"/>
  <c r="F10" i="1395" s="1"/>
  <c r="C9" i="1395"/>
  <c r="C53" i="1394"/>
  <c r="C47" i="1394"/>
  <c r="C39" i="1394"/>
  <c r="C32" i="1394"/>
  <c r="C27" i="1394"/>
  <c r="C21" i="1394"/>
  <c r="C9" i="1394"/>
  <c r="C53" i="1393"/>
  <c r="C47" i="1393"/>
  <c r="C39" i="1393"/>
  <c r="C32" i="1393"/>
  <c r="C27" i="1393"/>
  <c r="C21" i="1393"/>
  <c r="C9" i="1393"/>
  <c r="C53" i="1392"/>
  <c r="C47" i="1392"/>
  <c r="C39" i="1392"/>
  <c r="C32" i="1392"/>
  <c r="C27" i="1392"/>
  <c r="C21" i="1392"/>
  <c r="C9" i="1392"/>
  <c r="E64" i="1391"/>
  <c r="F64" i="1391" s="1"/>
  <c r="E63" i="1391"/>
  <c r="F63" i="1391" s="1"/>
  <c r="E61" i="1391"/>
  <c r="F61" i="1391" s="1"/>
  <c r="E60" i="1391"/>
  <c r="F60" i="1391" s="1"/>
  <c r="E58" i="1391"/>
  <c r="F58" i="1391" s="1"/>
  <c r="E57" i="1391"/>
  <c r="F57" i="1391" s="1"/>
  <c r="E56" i="1391"/>
  <c r="F56" i="1391" s="1"/>
  <c r="E55" i="1391"/>
  <c r="F55" i="1391" s="1"/>
  <c r="E54" i="1391"/>
  <c r="F54" i="1391" s="1"/>
  <c r="C53" i="1391"/>
  <c r="E52" i="1391"/>
  <c r="F52" i="1391" s="1"/>
  <c r="E51" i="1391"/>
  <c r="F51" i="1391" s="1"/>
  <c r="E50" i="1391"/>
  <c r="F50" i="1391" s="1"/>
  <c r="E49" i="1391"/>
  <c r="F49" i="1391" s="1"/>
  <c r="E48" i="1391"/>
  <c r="F48" i="1391" s="1"/>
  <c r="C47" i="1391"/>
  <c r="C59" i="1391" s="1"/>
  <c r="E46" i="1391"/>
  <c r="F46" i="1391" s="1"/>
  <c r="E45" i="1391"/>
  <c r="F45" i="1391" s="1"/>
  <c r="E44" i="1391"/>
  <c r="F44" i="1391" s="1"/>
  <c r="E42" i="1391"/>
  <c r="F42" i="1391" s="1"/>
  <c r="E41" i="1391"/>
  <c r="F41" i="1391" s="1"/>
  <c r="E40" i="1391"/>
  <c r="F40" i="1391" s="1"/>
  <c r="E37" i="1391"/>
  <c r="F37" i="1391" s="1"/>
  <c r="E36" i="1391"/>
  <c r="F36" i="1391" s="1"/>
  <c r="E35" i="1391"/>
  <c r="F35" i="1391" s="1"/>
  <c r="E34" i="1391"/>
  <c r="F34" i="1391" s="1"/>
  <c r="E33" i="1391"/>
  <c r="F33" i="1391" s="1"/>
  <c r="C32" i="1391"/>
  <c r="E31" i="1391"/>
  <c r="F31" i="1391" s="1"/>
  <c r="E30" i="1391"/>
  <c r="F30" i="1391" s="1"/>
  <c r="E29" i="1391"/>
  <c r="F29" i="1391" s="1"/>
  <c r="E28" i="1391"/>
  <c r="F28" i="1391" s="1"/>
  <c r="C27" i="1391"/>
  <c r="E26" i="1391"/>
  <c r="F26" i="1391" s="1"/>
  <c r="E25" i="1391"/>
  <c r="F25" i="1391" s="1"/>
  <c r="E24" i="1391"/>
  <c r="F24" i="1391" s="1"/>
  <c r="E23" i="1391"/>
  <c r="F23" i="1391" s="1"/>
  <c r="E22" i="1391"/>
  <c r="F22" i="1391" s="1"/>
  <c r="C21" i="1391"/>
  <c r="E20" i="1391"/>
  <c r="F20" i="1391" s="1"/>
  <c r="E19" i="1391"/>
  <c r="F19" i="1391" s="1"/>
  <c r="E18" i="1391"/>
  <c r="F18" i="1391" s="1"/>
  <c r="E17" i="1391"/>
  <c r="F17" i="1391" s="1"/>
  <c r="E16" i="1391"/>
  <c r="F16" i="1391" s="1"/>
  <c r="E15" i="1391"/>
  <c r="F15" i="1391" s="1"/>
  <c r="E14" i="1391"/>
  <c r="F14" i="1391" s="1"/>
  <c r="E13" i="1391"/>
  <c r="F13" i="1391" s="1"/>
  <c r="E12" i="1391"/>
  <c r="F12" i="1391" s="1"/>
  <c r="E11" i="1391"/>
  <c r="F11" i="1391" s="1"/>
  <c r="E10" i="1391"/>
  <c r="F10" i="1391" s="1"/>
  <c r="C9" i="1391"/>
  <c r="C53" i="1390"/>
  <c r="E53" i="1388" s="1"/>
  <c r="C47" i="1390"/>
  <c r="C39" i="1390"/>
  <c r="E39" i="1388" s="1"/>
  <c r="C32" i="1390"/>
  <c r="C27" i="1390"/>
  <c r="E27" i="1388" s="1"/>
  <c r="C21" i="1390"/>
  <c r="C9" i="1390"/>
  <c r="E60" i="1388"/>
  <c r="F60" i="1388" s="1"/>
  <c r="E58" i="1388"/>
  <c r="F58" i="1388" s="1"/>
  <c r="E57" i="1388"/>
  <c r="F57" i="1388" s="1"/>
  <c r="E56" i="1388"/>
  <c r="F56" i="1388" s="1"/>
  <c r="E55" i="1388"/>
  <c r="F55" i="1388" s="1"/>
  <c r="E54" i="1388"/>
  <c r="F54" i="1388" s="1"/>
  <c r="C53" i="1388"/>
  <c r="E52" i="1388"/>
  <c r="F52" i="1388" s="1"/>
  <c r="E51" i="1388"/>
  <c r="F51" i="1388" s="1"/>
  <c r="E50" i="1388"/>
  <c r="F50" i="1388" s="1"/>
  <c r="E49" i="1388"/>
  <c r="F49" i="1388" s="1"/>
  <c r="E48" i="1388"/>
  <c r="F48" i="1388" s="1"/>
  <c r="C47" i="1388"/>
  <c r="E46" i="1388"/>
  <c r="F46" i="1388" s="1"/>
  <c r="E45" i="1388"/>
  <c r="F45" i="1388" s="1"/>
  <c r="E44" i="1388"/>
  <c r="F44" i="1388" s="1"/>
  <c r="E42" i="1388"/>
  <c r="F42" i="1388" s="1"/>
  <c r="E41" i="1388"/>
  <c r="F41" i="1388" s="1"/>
  <c r="E40" i="1388"/>
  <c r="F40" i="1388" s="1"/>
  <c r="C39" i="1388"/>
  <c r="E37" i="1388"/>
  <c r="F37" i="1388" s="1"/>
  <c r="E36" i="1388"/>
  <c r="F36" i="1388" s="1"/>
  <c r="E35" i="1388"/>
  <c r="F35" i="1388" s="1"/>
  <c r="E34" i="1388"/>
  <c r="F34" i="1388" s="1"/>
  <c r="E33" i="1388"/>
  <c r="F33" i="1388" s="1"/>
  <c r="C32" i="1388"/>
  <c r="E31" i="1388"/>
  <c r="F31" i="1388" s="1"/>
  <c r="E30" i="1388"/>
  <c r="F30" i="1388" s="1"/>
  <c r="E29" i="1388"/>
  <c r="F29" i="1388" s="1"/>
  <c r="E28" i="1388"/>
  <c r="F28" i="1388" s="1"/>
  <c r="C27" i="1388"/>
  <c r="E26" i="1388"/>
  <c r="F26" i="1388" s="1"/>
  <c r="E25" i="1388"/>
  <c r="F25" i="1388" s="1"/>
  <c r="E24" i="1388"/>
  <c r="F24" i="1388" s="1"/>
  <c r="E23" i="1388"/>
  <c r="F23" i="1388" s="1"/>
  <c r="E22" i="1388"/>
  <c r="F22" i="1388" s="1"/>
  <c r="C21" i="1388"/>
  <c r="E20" i="1388"/>
  <c r="F20" i="1388" s="1"/>
  <c r="E19" i="1388"/>
  <c r="F19" i="1388" s="1"/>
  <c r="E18" i="1388"/>
  <c r="F18" i="1388" s="1"/>
  <c r="E17" i="1388"/>
  <c r="F17" i="1388" s="1"/>
  <c r="E16" i="1388"/>
  <c r="F16" i="1388" s="1"/>
  <c r="E15" i="1388"/>
  <c r="F15" i="1388" s="1"/>
  <c r="E14" i="1388"/>
  <c r="F14" i="1388" s="1"/>
  <c r="E13" i="1388"/>
  <c r="F13" i="1388" s="1"/>
  <c r="E12" i="1388"/>
  <c r="F12" i="1388" s="1"/>
  <c r="E11" i="1388"/>
  <c r="F11" i="1388" s="1"/>
  <c r="E10" i="1388"/>
  <c r="F10" i="1388" s="1"/>
  <c r="C9" i="1388"/>
  <c r="C53" i="1387"/>
  <c r="C47" i="1387"/>
  <c r="E47" i="1385" s="1"/>
  <c r="C39" i="1387"/>
  <c r="E39" i="1385" s="1"/>
  <c r="C32" i="1387"/>
  <c r="C27" i="1387"/>
  <c r="C21" i="1387"/>
  <c r="E21" i="1385" s="1"/>
  <c r="C9" i="1387"/>
  <c r="E9" i="1385" s="1"/>
  <c r="E32" i="1385"/>
  <c r="E61" i="1385"/>
  <c r="F61" i="1385" s="1"/>
  <c r="E60" i="1385"/>
  <c r="F60" i="1385" s="1"/>
  <c r="E58" i="1385"/>
  <c r="F58" i="1385" s="1"/>
  <c r="E57" i="1385"/>
  <c r="F57" i="1385" s="1"/>
  <c r="E56" i="1385"/>
  <c r="F56" i="1385" s="1"/>
  <c r="E55" i="1385"/>
  <c r="F55" i="1385" s="1"/>
  <c r="E54" i="1385"/>
  <c r="F54" i="1385" s="1"/>
  <c r="C53" i="1385"/>
  <c r="E52" i="1385"/>
  <c r="F52" i="1385" s="1"/>
  <c r="E51" i="1385"/>
  <c r="F51" i="1385" s="1"/>
  <c r="E50" i="1385"/>
  <c r="F50" i="1385" s="1"/>
  <c r="E49" i="1385"/>
  <c r="F49" i="1385" s="1"/>
  <c r="E48" i="1385"/>
  <c r="F48" i="1385" s="1"/>
  <c r="C47" i="1385"/>
  <c r="E46" i="1385"/>
  <c r="F46" i="1385" s="1"/>
  <c r="E45" i="1385"/>
  <c r="F45" i="1385" s="1"/>
  <c r="E44" i="1385"/>
  <c r="F44" i="1385" s="1"/>
  <c r="E42" i="1385"/>
  <c r="F42" i="1385" s="1"/>
  <c r="E41" i="1385"/>
  <c r="F41" i="1385" s="1"/>
  <c r="E40" i="1385"/>
  <c r="F40" i="1385" s="1"/>
  <c r="C39" i="1385"/>
  <c r="E37" i="1385"/>
  <c r="F37" i="1385" s="1"/>
  <c r="E36" i="1385"/>
  <c r="F36" i="1385" s="1"/>
  <c r="E35" i="1385"/>
  <c r="F35" i="1385" s="1"/>
  <c r="E34" i="1385"/>
  <c r="F34" i="1385" s="1"/>
  <c r="E33" i="1385"/>
  <c r="F33" i="1385" s="1"/>
  <c r="C32" i="1385"/>
  <c r="E31" i="1385"/>
  <c r="F31" i="1385" s="1"/>
  <c r="E30" i="1385"/>
  <c r="F30" i="1385" s="1"/>
  <c r="E29" i="1385"/>
  <c r="F29" i="1385" s="1"/>
  <c r="E28" i="1385"/>
  <c r="F28" i="1385" s="1"/>
  <c r="C27" i="1385"/>
  <c r="E26" i="1385"/>
  <c r="F26" i="1385" s="1"/>
  <c r="E25" i="1385"/>
  <c r="F25" i="1385" s="1"/>
  <c r="E24" i="1385"/>
  <c r="F24" i="1385" s="1"/>
  <c r="E23" i="1385"/>
  <c r="F23" i="1385" s="1"/>
  <c r="E22" i="1385"/>
  <c r="F22" i="1385" s="1"/>
  <c r="C21" i="1385"/>
  <c r="E20" i="1385"/>
  <c r="F20" i="1385" s="1"/>
  <c r="E19" i="1385"/>
  <c r="F19" i="1385" s="1"/>
  <c r="E18" i="1385"/>
  <c r="F18" i="1385" s="1"/>
  <c r="E17" i="1385"/>
  <c r="F17" i="1385" s="1"/>
  <c r="E16" i="1385"/>
  <c r="F16" i="1385" s="1"/>
  <c r="E15" i="1385"/>
  <c r="F15" i="1385" s="1"/>
  <c r="E14" i="1385"/>
  <c r="F14" i="1385" s="1"/>
  <c r="E13" i="1385"/>
  <c r="F13" i="1385" s="1"/>
  <c r="E12" i="1385"/>
  <c r="F12" i="1385" s="1"/>
  <c r="E11" i="1385"/>
  <c r="F11" i="1385" s="1"/>
  <c r="E10" i="1385"/>
  <c r="F10" i="1385" s="1"/>
  <c r="C9" i="1385"/>
  <c r="C53" i="1384"/>
  <c r="E53" i="1382" s="1"/>
  <c r="C47" i="1384"/>
  <c r="E47" i="1382" s="1"/>
  <c r="C39" i="1384"/>
  <c r="E39" i="1382" s="1"/>
  <c r="C32" i="1384"/>
  <c r="E32" i="1382" s="1"/>
  <c r="C27" i="1384"/>
  <c r="E27" i="1382" s="1"/>
  <c r="C21" i="1384"/>
  <c r="E21" i="1382" s="1"/>
  <c r="C9" i="1384"/>
  <c r="E61" i="1382"/>
  <c r="F61" i="1382" s="1"/>
  <c r="E60" i="1382"/>
  <c r="F60" i="1382" s="1"/>
  <c r="E58" i="1382"/>
  <c r="F58" i="1382" s="1"/>
  <c r="E57" i="1382"/>
  <c r="F57" i="1382" s="1"/>
  <c r="E56" i="1382"/>
  <c r="F56" i="1382" s="1"/>
  <c r="E55" i="1382"/>
  <c r="F55" i="1382" s="1"/>
  <c r="E54" i="1382"/>
  <c r="F54" i="1382" s="1"/>
  <c r="C53" i="1382"/>
  <c r="E52" i="1382"/>
  <c r="F52" i="1382" s="1"/>
  <c r="E51" i="1382"/>
  <c r="F51" i="1382" s="1"/>
  <c r="E50" i="1382"/>
  <c r="F50" i="1382" s="1"/>
  <c r="E49" i="1382"/>
  <c r="F49" i="1382" s="1"/>
  <c r="E48" i="1382"/>
  <c r="F48" i="1382" s="1"/>
  <c r="C47" i="1382"/>
  <c r="E46" i="1382"/>
  <c r="F46" i="1382" s="1"/>
  <c r="E45" i="1382"/>
  <c r="F45" i="1382" s="1"/>
  <c r="E44" i="1382"/>
  <c r="F44" i="1382" s="1"/>
  <c r="E42" i="1382"/>
  <c r="F42" i="1382" s="1"/>
  <c r="E41" i="1382"/>
  <c r="F41" i="1382" s="1"/>
  <c r="E40" i="1382"/>
  <c r="F40" i="1382" s="1"/>
  <c r="C39" i="1382"/>
  <c r="E37" i="1382"/>
  <c r="F37" i="1382" s="1"/>
  <c r="E36" i="1382"/>
  <c r="F36" i="1382" s="1"/>
  <c r="E35" i="1382"/>
  <c r="F35" i="1382" s="1"/>
  <c r="E34" i="1382"/>
  <c r="F34" i="1382" s="1"/>
  <c r="E33" i="1382"/>
  <c r="F33" i="1382" s="1"/>
  <c r="C32" i="1382"/>
  <c r="E31" i="1382"/>
  <c r="F31" i="1382" s="1"/>
  <c r="E30" i="1382"/>
  <c r="F30" i="1382" s="1"/>
  <c r="E29" i="1382"/>
  <c r="F29" i="1382" s="1"/>
  <c r="E28" i="1382"/>
  <c r="F28" i="1382" s="1"/>
  <c r="C27" i="1382"/>
  <c r="E26" i="1382"/>
  <c r="F26" i="1382" s="1"/>
  <c r="E25" i="1382"/>
  <c r="F25" i="1382" s="1"/>
  <c r="E24" i="1382"/>
  <c r="F24" i="1382" s="1"/>
  <c r="E23" i="1382"/>
  <c r="F23" i="1382" s="1"/>
  <c r="E22" i="1382"/>
  <c r="F22" i="1382" s="1"/>
  <c r="C21" i="1382"/>
  <c r="E20" i="1382"/>
  <c r="F20" i="1382" s="1"/>
  <c r="E19" i="1382"/>
  <c r="F19" i="1382" s="1"/>
  <c r="E18" i="1382"/>
  <c r="F18" i="1382" s="1"/>
  <c r="E17" i="1382"/>
  <c r="F17" i="1382" s="1"/>
  <c r="E16" i="1382"/>
  <c r="F16" i="1382" s="1"/>
  <c r="E15" i="1382"/>
  <c r="F15" i="1382" s="1"/>
  <c r="E14" i="1382"/>
  <c r="F14" i="1382" s="1"/>
  <c r="E13" i="1382"/>
  <c r="F13" i="1382" s="1"/>
  <c r="E12" i="1382"/>
  <c r="F12" i="1382" s="1"/>
  <c r="E11" i="1382"/>
  <c r="F11" i="1382" s="1"/>
  <c r="E10" i="1382"/>
  <c r="F10" i="1382" s="1"/>
  <c r="C9" i="1382"/>
  <c r="F151" i="1359"/>
  <c r="F146" i="1359"/>
  <c r="F139" i="1359"/>
  <c r="F135" i="1359"/>
  <c r="F120" i="1359"/>
  <c r="F99" i="1359"/>
  <c r="F85" i="1359"/>
  <c r="F81" i="1359"/>
  <c r="F78" i="1359"/>
  <c r="F73" i="1359"/>
  <c r="F69" i="1359"/>
  <c r="F63" i="1359"/>
  <c r="F58" i="1359"/>
  <c r="F52" i="1359"/>
  <c r="F33" i="1359"/>
  <c r="F32" i="1359" s="1"/>
  <c r="F25" i="1359"/>
  <c r="F18" i="1359"/>
  <c r="F11" i="1359"/>
  <c r="F151" i="1358"/>
  <c r="F146" i="1358"/>
  <c r="F139" i="1358"/>
  <c r="F135" i="1358"/>
  <c r="F120" i="1358"/>
  <c r="F99" i="1358"/>
  <c r="F85" i="1358"/>
  <c r="F81" i="1358"/>
  <c r="F78" i="1358"/>
  <c r="F73" i="1358"/>
  <c r="F69" i="1358"/>
  <c r="F63" i="1358"/>
  <c r="F58" i="1358"/>
  <c r="F52" i="1358"/>
  <c r="F33" i="1358"/>
  <c r="F32" i="1358" s="1"/>
  <c r="F25" i="1358"/>
  <c r="F18" i="1358"/>
  <c r="F11" i="1358"/>
  <c r="F151" i="1357"/>
  <c r="F146" i="1357"/>
  <c r="F139" i="1357"/>
  <c r="F135" i="1357"/>
  <c r="F120" i="1357"/>
  <c r="F85" i="1357"/>
  <c r="F81" i="1357"/>
  <c r="F78" i="1357"/>
  <c r="F73" i="1357"/>
  <c r="F69" i="1357"/>
  <c r="F63" i="1357"/>
  <c r="F58" i="1357"/>
  <c r="F52" i="1357"/>
  <c r="F40" i="1357"/>
  <c r="F33" i="1357"/>
  <c r="F32" i="1357" s="1"/>
  <c r="F25" i="1357"/>
  <c r="F18" i="1357"/>
  <c r="F11" i="1357"/>
  <c r="C59" i="1390" l="1"/>
  <c r="E59" i="1388" s="1"/>
  <c r="C38" i="1391"/>
  <c r="C43" i="1391" s="1"/>
  <c r="C38" i="1384"/>
  <c r="C43" i="1384" s="1"/>
  <c r="C58" i="1397"/>
  <c r="E58" i="1395" s="1"/>
  <c r="F58" i="1395" s="1"/>
  <c r="F134" i="1359"/>
  <c r="E9" i="1391"/>
  <c r="F9" i="1391" s="1"/>
  <c r="E21" i="1388"/>
  <c r="F21" i="1388" s="1"/>
  <c r="E27" i="1385"/>
  <c r="F27" i="1385" s="1"/>
  <c r="E53" i="1385"/>
  <c r="F53" i="1385" s="1"/>
  <c r="E59" i="1395"/>
  <c r="F59" i="1395" s="1"/>
  <c r="E53" i="1391"/>
  <c r="F53" i="1391" s="1"/>
  <c r="C164" i="1399"/>
  <c r="F134" i="1358"/>
  <c r="F92" i="1357"/>
  <c r="E43" i="1382"/>
  <c r="F68" i="1357"/>
  <c r="F99" i="1357"/>
  <c r="F134" i="1357" s="1"/>
  <c r="F159" i="1357"/>
  <c r="F40" i="1358"/>
  <c r="F68" i="1358" s="1"/>
  <c r="F92" i="1358"/>
  <c r="F92" i="1359"/>
  <c r="E9" i="1382"/>
  <c r="F9" i="1382" s="1"/>
  <c r="F32" i="1382"/>
  <c r="C38" i="1387"/>
  <c r="C43" i="1387" s="1"/>
  <c r="E9" i="1388"/>
  <c r="F9" i="1388" s="1"/>
  <c r="C38" i="1394"/>
  <c r="C43" i="1394" s="1"/>
  <c r="C38" i="1385"/>
  <c r="C43" i="1385" s="1"/>
  <c r="C59" i="1385"/>
  <c r="C59" i="1387"/>
  <c r="E59" i="1385" s="1"/>
  <c r="E32" i="1391"/>
  <c r="F32" i="1391" s="1"/>
  <c r="C38" i="1393"/>
  <c r="C43" i="1393" s="1"/>
  <c r="C59" i="1394"/>
  <c r="E46" i="1395"/>
  <c r="F46" i="1395" s="1"/>
  <c r="F159" i="1358"/>
  <c r="F40" i="1359"/>
  <c r="F68" i="1359" s="1"/>
  <c r="F159" i="1359"/>
  <c r="C38" i="1382"/>
  <c r="C43" i="1382" s="1"/>
  <c r="C59" i="1382"/>
  <c r="E21" i="1391"/>
  <c r="F21" i="1391" s="1"/>
  <c r="C59" i="1392"/>
  <c r="C38" i="1395"/>
  <c r="C43" i="1395" s="1"/>
  <c r="E47" i="1395"/>
  <c r="F47" i="1395" s="1"/>
  <c r="F27" i="1382"/>
  <c r="F21" i="1382"/>
  <c r="F39" i="1382"/>
  <c r="F53" i="1382"/>
  <c r="C59" i="1384"/>
  <c r="E59" i="1382" s="1"/>
  <c r="F21" i="1385"/>
  <c r="F39" i="1385"/>
  <c r="E43" i="1385"/>
  <c r="F32" i="1385"/>
  <c r="C38" i="1388"/>
  <c r="C43" i="1388" s="1"/>
  <c r="E32" i="1388"/>
  <c r="F32" i="1388" s="1"/>
  <c r="F27" i="1388"/>
  <c r="F39" i="1388"/>
  <c r="E47" i="1388"/>
  <c r="F47" i="1388" s="1"/>
  <c r="F53" i="1388"/>
  <c r="C38" i="1390"/>
  <c r="F27" i="1395"/>
  <c r="F32" i="1395"/>
  <c r="C37" i="1397"/>
  <c r="C42" i="1397" s="1"/>
  <c r="E42" i="1395" s="1"/>
  <c r="F42" i="1395" s="1"/>
  <c r="F21" i="1395"/>
  <c r="E43" i="1395"/>
  <c r="F39" i="1395"/>
  <c r="F53" i="1395"/>
  <c r="E27" i="1391"/>
  <c r="F27" i="1391" s="1"/>
  <c r="E39" i="1391"/>
  <c r="F39" i="1391" s="1"/>
  <c r="C59" i="1393"/>
  <c r="C38" i="1392"/>
  <c r="C43" i="1392" s="1"/>
  <c r="F47" i="1382"/>
  <c r="F9" i="1385"/>
  <c r="C59" i="1388"/>
  <c r="F47" i="1385"/>
  <c r="E47" i="1391"/>
  <c r="F47" i="1391" s="1"/>
  <c r="F9" i="1395"/>
  <c r="F59" i="1382" l="1"/>
  <c r="F160" i="1358"/>
  <c r="F160" i="1359"/>
  <c r="F93" i="1359"/>
  <c r="E38" i="1395"/>
  <c r="F38" i="1395" s="1"/>
  <c r="F59" i="1385"/>
  <c r="E38" i="1385"/>
  <c r="F38" i="1385" s="1"/>
  <c r="F93" i="1358"/>
  <c r="E38" i="1382"/>
  <c r="F38" i="1382" s="1"/>
  <c r="E59" i="1391"/>
  <c r="F59" i="1391" s="1"/>
  <c r="F160" i="1357"/>
  <c r="F93" i="1357"/>
  <c r="E37" i="1395"/>
  <c r="F37" i="1395" s="1"/>
  <c r="E38" i="1391"/>
  <c r="F38" i="1391" s="1"/>
  <c r="F59" i="1388"/>
  <c r="E43" i="1391"/>
  <c r="F43" i="1391" s="1"/>
  <c r="C43" i="1390"/>
  <c r="E43" i="1388" s="1"/>
  <c r="F43" i="1388" s="1"/>
  <c r="E38" i="1388"/>
  <c r="F38" i="1388" s="1"/>
  <c r="F43" i="1395"/>
  <c r="F43" i="1382"/>
  <c r="F43" i="1385"/>
  <c r="C103" i="1359" l="1"/>
  <c r="C105" i="1359"/>
  <c r="C106" i="1359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C119" i="1359"/>
  <c r="C104" i="1359"/>
  <c r="C116" i="1358"/>
  <c r="D125" i="1358"/>
  <c r="C124" i="1358"/>
  <c r="C126" i="1358"/>
  <c r="C127" i="1358"/>
  <c r="C128" i="1358"/>
  <c r="C129" i="1358"/>
  <c r="C130" i="1358"/>
  <c r="C131" i="1358"/>
  <c r="C132" i="1358"/>
  <c r="D117" i="1358"/>
  <c r="D112" i="1367" s="1"/>
  <c r="E112" i="1367" s="1"/>
  <c r="C105" i="1358"/>
  <c r="C106" i="1358"/>
  <c r="C107" i="1358"/>
  <c r="C108" i="1358"/>
  <c r="C109" i="1358"/>
  <c r="C110" i="1358"/>
  <c r="C111" i="1358"/>
  <c r="C112" i="1358"/>
  <c r="C113" i="1358"/>
  <c r="C114" i="1358"/>
  <c r="C115" i="1358"/>
  <c r="C117" i="1358"/>
  <c r="C118" i="1358"/>
  <c r="C119" i="1358"/>
  <c r="H119" i="1357" s="1"/>
  <c r="E117" i="1357"/>
  <c r="D117" i="1357"/>
  <c r="C35" i="1357"/>
  <c r="H33" i="1378" s="1"/>
  <c r="C38" i="1357"/>
  <c r="H36" i="1378" s="1"/>
  <c r="C37" i="1357"/>
  <c r="H35" i="1378" s="1"/>
  <c r="C36" i="1357"/>
  <c r="H34" i="1378" s="1"/>
  <c r="C34" i="1357"/>
  <c r="H32" i="1378" s="1"/>
  <c r="C125" i="1358" l="1"/>
  <c r="D120" i="1367"/>
  <c r="E120" i="1367" s="1"/>
  <c r="G112" i="1366"/>
  <c r="H112" i="1366" s="1"/>
  <c r="H115" i="1357"/>
  <c r="H111" i="1357"/>
  <c r="H107" i="1357"/>
  <c r="H112" i="1357"/>
  <c r="H108" i="1357"/>
  <c r="H116" i="1357"/>
  <c r="H114" i="1357"/>
  <c r="H110" i="1357"/>
  <c r="H106" i="1357"/>
  <c r="C133" i="1358"/>
  <c r="D33" i="1357"/>
  <c r="G31" i="1366" s="1"/>
  <c r="H31" i="1366" s="1"/>
  <c r="H118" i="1357"/>
  <c r="H113" i="1357"/>
  <c r="H109" i="1357"/>
  <c r="H105" i="1357"/>
  <c r="D104" i="1358"/>
  <c r="C104" i="1358" l="1"/>
  <c r="D99" i="1367"/>
  <c r="E99" i="1367" s="1"/>
  <c r="C126" i="1357"/>
  <c r="H124" i="1378" s="1"/>
  <c r="C127" i="1357"/>
  <c r="H125" i="1378" s="1"/>
  <c r="C128" i="1357"/>
  <c r="H126" i="1378" s="1"/>
  <c r="C129" i="1357"/>
  <c r="H127" i="1378" s="1"/>
  <c r="C130" i="1357"/>
  <c r="H128" i="1378" s="1"/>
  <c r="C131" i="1357"/>
  <c r="H129" i="1378" s="1"/>
  <c r="C132" i="1357"/>
  <c r="H130" i="1378" s="1"/>
  <c r="C133" i="1357"/>
  <c r="H131" i="1378" s="1"/>
  <c r="E125" i="1357"/>
  <c r="C125" i="1357" s="1"/>
  <c r="E9" i="1362" l="1"/>
  <c r="P25" i="1379"/>
  <c r="H123" i="1378"/>
  <c r="E104" i="1357"/>
  <c r="D104" i="1357"/>
  <c r="C103" i="1357"/>
  <c r="C105" i="1357"/>
  <c r="H103" i="1378" s="1"/>
  <c r="C106" i="1357"/>
  <c r="H104" i="1378" s="1"/>
  <c r="C107" i="1357"/>
  <c r="H105" i="1378" s="1"/>
  <c r="C108" i="1357"/>
  <c r="H106" i="1378" s="1"/>
  <c r="C109" i="1357"/>
  <c r="H107" i="1378" s="1"/>
  <c r="C110" i="1357"/>
  <c r="H108" i="1378" s="1"/>
  <c r="C111" i="1357"/>
  <c r="H109" i="1378" s="1"/>
  <c r="C112" i="1357"/>
  <c r="H110" i="1378" s="1"/>
  <c r="C113" i="1357"/>
  <c r="H111" i="1378" s="1"/>
  <c r="C114" i="1357"/>
  <c r="H112" i="1378" s="1"/>
  <c r="C115" i="1357"/>
  <c r="H113" i="1378" s="1"/>
  <c r="C116" i="1357"/>
  <c r="H114" i="1378" s="1"/>
  <c r="C117" i="1357"/>
  <c r="C118" i="1357"/>
  <c r="H116" i="1378" s="1"/>
  <c r="C119" i="1357"/>
  <c r="H117" i="1378" s="1"/>
  <c r="E10" i="1361" l="1"/>
  <c r="P26" i="1379"/>
  <c r="H115" i="1378"/>
  <c r="E8" i="1361"/>
  <c r="P21" i="1379"/>
  <c r="H101" i="1378"/>
  <c r="H102" i="1378"/>
  <c r="H102" i="1366"/>
  <c r="G99" i="1366"/>
  <c r="H99" i="1366" s="1"/>
  <c r="C104" i="1357"/>
  <c r="D10" i="1369"/>
  <c r="D11" i="1369"/>
  <c r="D12" i="1369"/>
  <c r="D13" i="1369"/>
  <c r="D14" i="1369"/>
  <c r="D15" i="1369"/>
  <c r="D16" i="1369"/>
  <c r="D17" i="1369"/>
  <c r="D18" i="1369"/>
  <c r="D19" i="1369"/>
  <c r="D20" i="1369"/>
  <c r="D22" i="1369"/>
  <c r="D23" i="1369"/>
  <c r="D24" i="1369"/>
  <c r="D25" i="1369"/>
  <c r="D26" i="1369"/>
  <c r="D28" i="1369"/>
  <c r="D29" i="1369"/>
  <c r="D30" i="1369"/>
  <c r="D31" i="1369"/>
  <c r="D33" i="1369"/>
  <c r="D34" i="1369"/>
  <c r="D35" i="1369"/>
  <c r="D36" i="1369"/>
  <c r="D37" i="1369"/>
  <c r="D40" i="1369"/>
  <c r="D41" i="1369"/>
  <c r="D44" i="1369"/>
  <c r="D45" i="1369"/>
  <c r="D46" i="1369"/>
  <c r="D48" i="1369"/>
  <c r="D49" i="1369"/>
  <c r="D50" i="1369"/>
  <c r="D51" i="1369"/>
  <c r="D52" i="1369"/>
  <c r="D54" i="1369"/>
  <c r="D55" i="1369"/>
  <c r="D56" i="1369"/>
  <c r="D57" i="1369"/>
  <c r="D58" i="1369"/>
  <c r="D60" i="1369"/>
  <c r="D61" i="1369"/>
  <c r="C102" i="1357"/>
  <c r="E9" i="1361" l="1"/>
  <c r="P22" i="1379"/>
  <c r="E7" i="1361"/>
  <c r="P20" i="1379"/>
  <c r="H100" i="1378"/>
  <c r="F30" i="1355"/>
  <c r="F29" i="1355"/>
  <c r="C13" i="1355"/>
  <c r="E12" i="1378"/>
  <c r="E13" i="1378"/>
  <c r="E14" i="1378"/>
  <c r="C53" i="1372"/>
  <c r="C47" i="1372"/>
  <c r="C32" i="1372"/>
  <c r="C27" i="1372"/>
  <c r="C21" i="1372"/>
  <c r="C9" i="1372"/>
  <c r="C53" i="1371"/>
  <c r="C47" i="1371"/>
  <c r="C39" i="1371"/>
  <c r="C32" i="1371"/>
  <c r="C27" i="1371"/>
  <c r="C21" i="1371"/>
  <c r="C9" i="1371"/>
  <c r="C53" i="1370"/>
  <c r="C47" i="1370"/>
  <c r="C32" i="1370"/>
  <c r="C27" i="1370"/>
  <c r="C21" i="1370"/>
  <c r="C9" i="1370"/>
  <c r="C125" i="1360"/>
  <c r="C117" i="1360"/>
  <c r="H117" i="1357" s="1"/>
  <c r="C104" i="1360"/>
  <c r="H104" i="1357" s="1"/>
  <c r="C59" i="1371" l="1"/>
  <c r="D53" i="1369"/>
  <c r="C38" i="1371"/>
  <c r="C43" i="1371" s="1"/>
  <c r="D21" i="1369"/>
  <c r="D32" i="1369"/>
  <c r="D27" i="1369"/>
  <c r="C38" i="1372"/>
  <c r="C59" i="1372"/>
  <c r="C39" i="1372" s="1"/>
  <c r="C38" i="1370"/>
  <c r="D9" i="1369"/>
  <c r="C59" i="1370"/>
  <c r="D47" i="1369"/>
  <c r="E3" i="1361"/>
  <c r="E28" i="1361"/>
  <c r="D14" i="1413" s="1"/>
  <c r="C33" i="1360"/>
  <c r="E33" i="1359"/>
  <c r="D33" i="1359"/>
  <c r="D31" i="1368" s="1"/>
  <c r="E31" i="1368" s="1"/>
  <c r="E33" i="1358"/>
  <c r="D33" i="1358"/>
  <c r="D31" i="1367" s="1"/>
  <c r="E31" i="1367" s="1"/>
  <c r="E33" i="1357"/>
  <c r="C33" i="1357" s="1"/>
  <c r="H31" i="1378" s="1"/>
  <c r="C12" i="1358"/>
  <c r="C13" i="1358"/>
  <c r="C14" i="1358"/>
  <c r="C15" i="1358"/>
  <c r="C16" i="1358"/>
  <c r="C23" i="1358"/>
  <c r="C24" i="1358"/>
  <c r="C26" i="1358"/>
  <c r="C27" i="1358"/>
  <c r="C28" i="1358"/>
  <c r="C29" i="1358"/>
  <c r="C30" i="1358"/>
  <c r="C31" i="1358"/>
  <c r="C12" i="1357"/>
  <c r="H10" i="1378" s="1"/>
  <c r="C33" i="1359" l="1"/>
  <c r="D59" i="1369"/>
  <c r="C43" i="1372"/>
  <c r="D38" i="1369"/>
  <c r="O54" i="1381"/>
  <c r="O53" i="1381"/>
  <c r="N57" i="1381"/>
  <c r="N58" i="1381" s="1"/>
  <c r="M57" i="1381"/>
  <c r="M58" i="1381" s="1"/>
  <c r="G57" i="1381"/>
  <c r="G58" i="1381" s="1"/>
  <c r="F57" i="1381"/>
  <c r="F58" i="1381" s="1"/>
  <c r="L57" i="1381"/>
  <c r="E57" i="1381"/>
  <c r="E58" i="1381" s="1"/>
  <c r="J57" i="1381"/>
  <c r="J58" i="1381" s="1"/>
  <c r="C57" i="1381"/>
  <c r="C58" i="1381" s="1"/>
  <c r="I13" i="1381"/>
  <c r="I55" i="1381" s="1"/>
  <c r="I57" i="1381" s="1"/>
  <c r="I58" i="1381" s="1"/>
  <c r="D57" i="1381"/>
  <c r="D58" i="1381" s="1"/>
  <c r="C28" i="1379"/>
  <c r="O27" i="1379"/>
  <c r="Q26" i="1379"/>
  <c r="Q25" i="1379"/>
  <c r="Q22" i="1379"/>
  <c r="Q21" i="1379"/>
  <c r="H28" i="1379"/>
  <c r="G28" i="1379"/>
  <c r="Q20" i="1379"/>
  <c r="N28" i="1379"/>
  <c r="M28" i="1379"/>
  <c r="L28" i="1379"/>
  <c r="K28" i="1379"/>
  <c r="J28" i="1379"/>
  <c r="I28" i="1379"/>
  <c r="F28" i="1379"/>
  <c r="E28" i="1379"/>
  <c r="D28" i="1379"/>
  <c r="Q17" i="1379"/>
  <c r="D16" i="1379"/>
  <c r="C16" i="1379"/>
  <c r="G16" i="1379"/>
  <c r="H16" i="1379"/>
  <c r="N16" i="1379"/>
  <c r="M16" i="1379"/>
  <c r="L16" i="1379"/>
  <c r="K16" i="1379"/>
  <c r="J16" i="1379"/>
  <c r="I16" i="1379"/>
  <c r="E16" i="1379"/>
  <c r="H94" i="1378"/>
  <c r="G83" i="1378"/>
  <c r="F83" i="1378"/>
  <c r="E83" i="1378"/>
  <c r="G79" i="1378"/>
  <c r="F79" i="1378"/>
  <c r="E79" i="1378"/>
  <c r="G76" i="1378"/>
  <c r="F76" i="1378"/>
  <c r="E76" i="1378"/>
  <c r="G71" i="1378"/>
  <c r="F71" i="1378"/>
  <c r="E71" i="1378"/>
  <c r="G67" i="1378"/>
  <c r="F67" i="1378"/>
  <c r="E67" i="1378"/>
  <c r="G61" i="1378"/>
  <c r="F61" i="1378"/>
  <c r="E61" i="1378"/>
  <c r="E59" i="1378"/>
  <c r="E58" i="1378"/>
  <c r="G56" i="1378"/>
  <c r="F56" i="1378"/>
  <c r="E52" i="1378"/>
  <c r="E50" i="1378" s="1"/>
  <c r="G50" i="1378"/>
  <c r="F50" i="1378"/>
  <c r="E49" i="1378"/>
  <c r="E48" i="1378"/>
  <c r="E44" i="1378"/>
  <c r="G43" i="1378"/>
  <c r="G38" i="1378" s="1"/>
  <c r="E42" i="1378"/>
  <c r="E41" i="1378"/>
  <c r="E40" i="1378"/>
  <c r="E39" i="1378"/>
  <c r="F38" i="1378"/>
  <c r="E35" i="1378"/>
  <c r="E33" i="1378"/>
  <c r="E32" i="1378"/>
  <c r="G30" i="1378"/>
  <c r="F30" i="1378"/>
  <c r="E28" i="1378"/>
  <c r="E23" i="1378" s="1"/>
  <c r="G23" i="1378"/>
  <c r="F23" i="1378"/>
  <c r="E21" i="1378"/>
  <c r="E16" i="1378" s="1"/>
  <c r="G16" i="1378"/>
  <c r="F16" i="1378"/>
  <c r="G9" i="1378"/>
  <c r="F9" i="1378"/>
  <c r="E9" i="1378"/>
  <c r="D34" i="1377"/>
  <c r="E61" i="1369"/>
  <c r="E58" i="1369"/>
  <c r="E57" i="1369"/>
  <c r="E56" i="1369"/>
  <c r="E55" i="1369"/>
  <c r="C53" i="1369"/>
  <c r="C47" i="1369"/>
  <c r="E41" i="1369"/>
  <c r="C39" i="1369"/>
  <c r="E37" i="1369"/>
  <c r="E36" i="1369"/>
  <c r="E35" i="1369"/>
  <c r="E34" i="1369"/>
  <c r="E33" i="1369"/>
  <c r="C32" i="1369"/>
  <c r="E32" i="1369" s="1"/>
  <c r="E31" i="1369"/>
  <c r="E30" i="1369"/>
  <c r="E29" i="1369"/>
  <c r="E28" i="1369"/>
  <c r="C27" i="1369"/>
  <c r="E27" i="1369" s="1"/>
  <c r="E26" i="1369"/>
  <c r="E25" i="1369"/>
  <c r="E24" i="1369"/>
  <c r="E23" i="1369"/>
  <c r="E22" i="1369"/>
  <c r="C21" i="1369"/>
  <c r="E21" i="1369" s="1"/>
  <c r="E19" i="1369"/>
  <c r="E18" i="1369"/>
  <c r="E17" i="1369"/>
  <c r="E16" i="1369"/>
  <c r="E14" i="1369"/>
  <c r="E13" i="1369"/>
  <c r="E12" i="1369"/>
  <c r="E11" i="1369"/>
  <c r="E10" i="1369"/>
  <c r="F157" i="1366"/>
  <c r="F156" i="1366"/>
  <c r="F153" i="1366"/>
  <c r="E152" i="1366"/>
  <c r="F151" i="1366"/>
  <c r="E150" i="1366"/>
  <c r="F149" i="1366"/>
  <c r="E148" i="1366"/>
  <c r="F147" i="1366"/>
  <c r="F146" i="1366"/>
  <c r="E145" i="1366"/>
  <c r="F144" i="1366"/>
  <c r="F143" i="1366"/>
  <c r="E142" i="1366"/>
  <c r="F140" i="1366"/>
  <c r="E139" i="1366"/>
  <c r="F138" i="1366"/>
  <c r="E137" i="1366"/>
  <c r="F136" i="1366"/>
  <c r="E135" i="1366"/>
  <c r="F133" i="1366"/>
  <c r="E132" i="1366"/>
  <c r="F131" i="1366"/>
  <c r="F127" i="1366"/>
  <c r="E126" i="1366"/>
  <c r="F125" i="1366"/>
  <c r="F124" i="1366"/>
  <c r="F123" i="1366"/>
  <c r="F122" i="1366"/>
  <c r="F121" i="1366"/>
  <c r="E110" i="1366"/>
  <c r="F109" i="1366"/>
  <c r="E108" i="1366"/>
  <c r="F107" i="1366"/>
  <c r="E105" i="1366"/>
  <c r="F104" i="1366"/>
  <c r="E103" i="1366"/>
  <c r="F101" i="1366"/>
  <c r="F93" i="1366"/>
  <c r="F92" i="1366"/>
  <c r="F89" i="1366"/>
  <c r="F88" i="1366"/>
  <c r="F87" i="1366"/>
  <c r="F86" i="1366"/>
  <c r="E85" i="1366"/>
  <c r="F85" i="1366"/>
  <c r="F84" i="1366"/>
  <c r="E83" i="1366"/>
  <c r="F82" i="1366"/>
  <c r="F81" i="1366"/>
  <c r="F80" i="1366"/>
  <c r="F79" i="1366"/>
  <c r="F78" i="1366"/>
  <c r="E77" i="1366"/>
  <c r="E76" i="1366"/>
  <c r="F75" i="1366"/>
  <c r="F74" i="1366"/>
  <c r="F73" i="1366"/>
  <c r="F72" i="1366"/>
  <c r="F70" i="1366"/>
  <c r="E69" i="1366"/>
  <c r="F68" i="1366"/>
  <c r="F65" i="1366"/>
  <c r="E64" i="1366"/>
  <c r="F64" i="1366"/>
  <c r="F63" i="1366"/>
  <c r="F62" i="1366"/>
  <c r="F61" i="1366"/>
  <c r="F60" i="1366"/>
  <c r="F59" i="1366"/>
  <c r="F58" i="1366"/>
  <c r="F57" i="1366"/>
  <c r="E56" i="1366"/>
  <c r="F55" i="1366"/>
  <c r="F54" i="1366"/>
  <c r="F53" i="1366"/>
  <c r="F52" i="1366"/>
  <c r="F51" i="1366"/>
  <c r="E50" i="1366"/>
  <c r="F49" i="1366"/>
  <c r="E49" i="1366"/>
  <c r="F48" i="1366"/>
  <c r="F47" i="1366"/>
  <c r="F46" i="1366"/>
  <c r="F45" i="1366"/>
  <c r="F44" i="1366"/>
  <c r="E44" i="1366"/>
  <c r="F43" i="1366"/>
  <c r="F42" i="1366"/>
  <c r="F41" i="1366"/>
  <c r="E41" i="1366"/>
  <c r="F40" i="1366"/>
  <c r="E40" i="1366"/>
  <c r="F39" i="1366"/>
  <c r="E39" i="1366"/>
  <c r="F38" i="1366"/>
  <c r="F37" i="1366"/>
  <c r="F36" i="1366"/>
  <c r="F35" i="1366"/>
  <c r="F34" i="1366"/>
  <c r="F27" i="1366"/>
  <c r="F26" i="1366"/>
  <c r="E25" i="1366"/>
  <c r="F25" i="1366"/>
  <c r="F24" i="1366"/>
  <c r="F23" i="1366"/>
  <c r="F22" i="1366"/>
  <c r="E21" i="1366"/>
  <c r="F20" i="1366"/>
  <c r="F19" i="1366"/>
  <c r="F18" i="1366"/>
  <c r="F17" i="1366"/>
  <c r="F15" i="1366"/>
  <c r="F14" i="1366"/>
  <c r="E14" i="1366"/>
  <c r="F13" i="1366"/>
  <c r="E13" i="1366"/>
  <c r="F12" i="1366"/>
  <c r="E12" i="1366"/>
  <c r="F11" i="1366"/>
  <c r="E11" i="1366"/>
  <c r="F10" i="1366"/>
  <c r="C14" i="1363"/>
  <c r="C17" i="1362"/>
  <c r="C151" i="1360"/>
  <c r="C146" i="1360"/>
  <c r="C139" i="1360"/>
  <c r="C135" i="1360"/>
  <c r="C120" i="1360"/>
  <c r="C99" i="1360"/>
  <c r="C97" i="1360"/>
  <c r="C85" i="1360"/>
  <c r="C81" i="1360"/>
  <c r="C78" i="1360"/>
  <c r="C73" i="1360"/>
  <c r="C69" i="1360"/>
  <c r="C63" i="1360"/>
  <c r="C58" i="1360"/>
  <c r="C52" i="1360"/>
  <c r="C40" i="1360"/>
  <c r="C32" i="1360"/>
  <c r="C25" i="1360"/>
  <c r="C18" i="1360"/>
  <c r="C11" i="1360"/>
  <c r="C158" i="1359"/>
  <c r="C157" i="1359"/>
  <c r="C156" i="1359"/>
  <c r="C155" i="1359"/>
  <c r="C154" i="1359"/>
  <c r="C153" i="1359"/>
  <c r="C152" i="1359"/>
  <c r="E151" i="1359"/>
  <c r="D151" i="1359"/>
  <c r="D146" i="1368" s="1"/>
  <c r="E146" i="1368" s="1"/>
  <c r="C150" i="1359"/>
  <c r="C149" i="1359"/>
  <c r="C148" i="1359"/>
  <c r="C147" i="1359"/>
  <c r="E146" i="1359"/>
  <c r="D146" i="1359"/>
  <c r="D141" i="1368" s="1"/>
  <c r="E141" i="1368" s="1"/>
  <c r="C145" i="1359"/>
  <c r="C144" i="1359"/>
  <c r="C143" i="1359"/>
  <c r="C142" i="1359"/>
  <c r="C141" i="1359"/>
  <c r="C140" i="1359"/>
  <c r="E139" i="1359"/>
  <c r="D139" i="1359"/>
  <c r="D134" i="1368" s="1"/>
  <c r="E134" i="1368" s="1"/>
  <c r="C138" i="1359"/>
  <c r="C137" i="1359"/>
  <c r="C136" i="1359"/>
  <c r="E135" i="1359"/>
  <c r="D135" i="1359"/>
  <c r="D130" i="1368" s="1"/>
  <c r="E130" i="1368" s="1"/>
  <c r="C133" i="1359"/>
  <c r="H133" i="1357" s="1"/>
  <c r="C132" i="1359"/>
  <c r="H132" i="1357" s="1"/>
  <c r="C131" i="1359"/>
  <c r="H131" i="1357" s="1"/>
  <c r="C130" i="1359"/>
  <c r="H130" i="1357" s="1"/>
  <c r="C129" i="1359"/>
  <c r="H129" i="1357" s="1"/>
  <c r="C128" i="1359"/>
  <c r="H128" i="1357" s="1"/>
  <c r="C127" i="1359"/>
  <c r="H127" i="1357" s="1"/>
  <c r="C126" i="1359"/>
  <c r="H126" i="1357" s="1"/>
  <c r="C124" i="1359"/>
  <c r="H124" i="1357" s="1"/>
  <c r="C123" i="1359"/>
  <c r="C122" i="1359"/>
  <c r="C121" i="1359"/>
  <c r="E120" i="1359"/>
  <c r="D120" i="1359"/>
  <c r="D115" i="1368" s="1"/>
  <c r="E115" i="1368" s="1"/>
  <c r="C102" i="1359"/>
  <c r="C101" i="1359"/>
  <c r="C100" i="1359"/>
  <c r="E99" i="1359"/>
  <c r="D99" i="1359"/>
  <c r="D94" i="1368" s="1"/>
  <c r="E94" i="1368" s="1"/>
  <c r="C97" i="1359"/>
  <c r="C91" i="1359"/>
  <c r="C90" i="1359"/>
  <c r="C89" i="1359"/>
  <c r="C88" i="1359"/>
  <c r="C87" i="1359"/>
  <c r="C86" i="1359"/>
  <c r="E85" i="1359"/>
  <c r="D85" i="1359"/>
  <c r="D83" i="1368" s="1"/>
  <c r="E83" i="1368" s="1"/>
  <c r="C84" i="1359"/>
  <c r="C83" i="1359"/>
  <c r="C82" i="1359"/>
  <c r="E81" i="1359"/>
  <c r="D81" i="1359"/>
  <c r="D79" i="1368" s="1"/>
  <c r="E79" i="1368" s="1"/>
  <c r="C80" i="1359"/>
  <c r="C79" i="1359"/>
  <c r="E78" i="1359"/>
  <c r="D78" i="1359"/>
  <c r="D76" i="1368" s="1"/>
  <c r="E76" i="1368" s="1"/>
  <c r="C77" i="1359"/>
  <c r="C76" i="1359"/>
  <c r="C75" i="1359"/>
  <c r="C74" i="1359"/>
  <c r="E73" i="1359"/>
  <c r="D73" i="1359"/>
  <c r="D71" i="1368" s="1"/>
  <c r="E71" i="1368" s="1"/>
  <c r="C72" i="1359"/>
  <c r="C71" i="1359"/>
  <c r="C70" i="1359"/>
  <c r="E69" i="1359"/>
  <c r="D69" i="1359"/>
  <c r="D67" i="1368" s="1"/>
  <c r="E67" i="1368" s="1"/>
  <c r="C67" i="1359"/>
  <c r="C66" i="1359"/>
  <c r="C65" i="1359"/>
  <c r="C64" i="1359"/>
  <c r="E63" i="1359"/>
  <c r="D63" i="1359"/>
  <c r="D61" i="1368" s="1"/>
  <c r="E61" i="1368" s="1"/>
  <c r="C62" i="1359"/>
  <c r="C61" i="1359"/>
  <c r="C60" i="1359"/>
  <c r="C59" i="1359"/>
  <c r="E58" i="1359"/>
  <c r="D58" i="1359"/>
  <c r="D56" i="1368" s="1"/>
  <c r="E56" i="1368" s="1"/>
  <c r="C57" i="1359"/>
  <c r="C56" i="1359"/>
  <c r="C55" i="1359"/>
  <c r="C54" i="1359"/>
  <c r="C53" i="1359"/>
  <c r="E52" i="1359"/>
  <c r="D52" i="1359"/>
  <c r="D50" i="1368" s="1"/>
  <c r="E50" i="1368" s="1"/>
  <c r="C51" i="1359"/>
  <c r="C50" i="1359"/>
  <c r="C49" i="1359"/>
  <c r="C48" i="1359"/>
  <c r="C47" i="1359"/>
  <c r="C46" i="1359"/>
  <c r="C45" i="1359"/>
  <c r="C44" i="1359"/>
  <c r="C43" i="1359"/>
  <c r="C42" i="1359"/>
  <c r="C41" i="1359"/>
  <c r="E40" i="1359"/>
  <c r="D40" i="1359"/>
  <c r="D38" i="1368" s="1"/>
  <c r="E38" i="1368" s="1"/>
  <c r="C39" i="1359"/>
  <c r="C38" i="1359"/>
  <c r="C37" i="1359"/>
  <c r="C36" i="1359"/>
  <c r="C35" i="1359"/>
  <c r="C34" i="1359"/>
  <c r="E32" i="1359"/>
  <c r="D32" i="1359"/>
  <c r="D30" i="1368" s="1"/>
  <c r="E30" i="1368" s="1"/>
  <c r="C31" i="1359"/>
  <c r="H31" i="1357" s="1"/>
  <c r="C30" i="1359"/>
  <c r="H30" i="1357" s="1"/>
  <c r="C29" i="1359"/>
  <c r="H29" i="1357" s="1"/>
  <c r="C28" i="1359"/>
  <c r="H28" i="1357" s="1"/>
  <c r="C27" i="1359"/>
  <c r="H27" i="1357" s="1"/>
  <c r="C26" i="1359"/>
  <c r="H26" i="1357" s="1"/>
  <c r="E25" i="1359"/>
  <c r="D25" i="1359"/>
  <c r="D23" i="1368" s="1"/>
  <c r="E23" i="1368" s="1"/>
  <c r="C24" i="1359"/>
  <c r="H24" i="1357" s="1"/>
  <c r="C23" i="1359"/>
  <c r="H23" i="1357" s="1"/>
  <c r="C22" i="1359"/>
  <c r="C21" i="1359"/>
  <c r="C20" i="1359"/>
  <c r="C19" i="1359"/>
  <c r="E18" i="1359"/>
  <c r="D18" i="1359"/>
  <c r="D16" i="1368" s="1"/>
  <c r="E16" i="1368" s="1"/>
  <c r="C17" i="1359"/>
  <c r="C16" i="1359"/>
  <c r="H16" i="1357" s="1"/>
  <c r="C15" i="1359"/>
  <c r="H15" i="1357" s="1"/>
  <c r="C14" i="1359"/>
  <c r="H14" i="1357" s="1"/>
  <c r="C13" i="1359"/>
  <c r="H13" i="1357" s="1"/>
  <c r="C12" i="1359"/>
  <c r="H12" i="1357" s="1"/>
  <c r="I12" i="1357" s="1"/>
  <c r="E11" i="1359"/>
  <c r="D11" i="1359"/>
  <c r="D9" i="1368" s="1"/>
  <c r="E9" i="1368" s="1"/>
  <c r="C158" i="1358"/>
  <c r="H158" i="1357" s="1"/>
  <c r="C157" i="1358"/>
  <c r="H157" i="1357" s="1"/>
  <c r="C156" i="1358"/>
  <c r="H156" i="1357" s="1"/>
  <c r="C155" i="1358"/>
  <c r="C154" i="1358"/>
  <c r="H154" i="1357" s="1"/>
  <c r="C153" i="1358"/>
  <c r="H153" i="1357" s="1"/>
  <c r="C152" i="1358"/>
  <c r="H152" i="1357" s="1"/>
  <c r="E151" i="1358"/>
  <c r="D151" i="1358"/>
  <c r="D146" i="1367" s="1"/>
  <c r="E146" i="1367" s="1"/>
  <c r="C150" i="1358"/>
  <c r="H150" i="1357" s="1"/>
  <c r="C149" i="1358"/>
  <c r="C148" i="1358"/>
  <c r="H148" i="1357" s="1"/>
  <c r="C147" i="1358"/>
  <c r="H147" i="1357" s="1"/>
  <c r="E146" i="1358"/>
  <c r="D146" i="1358"/>
  <c r="D141" i="1367" s="1"/>
  <c r="E141" i="1367" s="1"/>
  <c r="C145" i="1358"/>
  <c r="H145" i="1357" s="1"/>
  <c r="C144" i="1358"/>
  <c r="H144" i="1357" s="1"/>
  <c r="C143" i="1358"/>
  <c r="H143" i="1357" s="1"/>
  <c r="C142" i="1358"/>
  <c r="H142" i="1357" s="1"/>
  <c r="C141" i="1358"/>
  <c r="H141" i="1357" s="1"/>
  <c r="C140" i="1358"/>
  <c r="H140" i="1357" s="1"/>
  <c r="E139" i="1358"/>
  <c r="D139" i="1358"/>
  <c r="D134" i="1367" s="1"/>
  <c r="E134" i="1367" s="1"/>
  <c r="C138" i="1358"/>
  <c r="H138" i="1357" s="1"/>
  <c r="C137" i="1358"/>
  <c r="H137" i="1357" s="1"/>
  <c r="C136" i="1358"/>
  <c r="H136" i="1357" s="1"/>
  <c r="E135" i="1358"/>
  <c r="D135" i="1358"/>
  <c r="D130" i="1367" s="1"/>
  <c r="E130" i="1367" s="1"/>
  <c r="C123" i="1358"/>
  <c r="C122" i="1358"/>
  <c r="C121" i="1358"/>
  <c r="E120" i="1358"/>
  <c r="D120" i="1358"/>
  <c r="D115" i="1367" s="1"/>
  <c r="E115" i="1367" s="1"/>
  <c r="C103" i="1358"/>
  <c r="H103" i="1357" s="1"/>
  <c r="C102" i="1358"/>
  <c r="C101" i="1358"/>
  <c r="H101" i="1357" s="1"/>
  <c r="C100" i="1358"/>
  <c r="H100" i="1357" s="1"/>
  <c r="E99" i="1358"/>
  <c r="E134" i="1358" s="1"/>
  <c r="C97" i="1358"/>
  <c r="C91" i="1358"/>
  <c r="C90" i="1358"/>
  <c r="C89" i="1358"/>
  <c r="C88" i="1358"/>
  <c r="C87" i="1358"/>
  <c r="C86" i="1358"/>
  <c r="E85" i="1358"/>
  <c r="D85" i="1358"/>
  <c r="D83" i="1367" s="1"/>
  <c r="E83" i="1367" s="1"/>
  <c r="C84" i="1358"/>
  <c r="C83" i="1358"/>
  <c r="C82" i="1358"/>
  <c r="E81" i="1358"/>
  <c r="D81" i="1358"/>
  <c r="D79" i="1367" s="1"/>
  <c r="E79" i="1367" s="1"/>
  <c r="C80" i="1358"/>
  <c r="C79" i="1358"/>
  <c r="E78" i="1358"/>
  <c r="D78" i="1358"/>
  <c r="D76" i="1367" s="1"/>
  <c r="E76" i="1367" s="1"/>
  <c r="C77" i="1358"/>
  <c r="C76" i="1358"/>
  <c r="C75" i="1358"/>
  <c r="C74" i="1358"/>
  <c r="E73" i="1358"/>
  <c r="D73" i="1358"/>
  <c r="D71" i="1367" s="1"/>
  <c r="E71" i="1367" s="1"/>
  <c r="C72" i="1358"/>
  <c r="C71" i="1358"/>
  <c r="C70" i="1358"/>
  <c r="E69" i="1358"/>
  <c r="D69" i="1358"/>
  <c r="D67" i="1367" s="1"/>
  <c r="E67" i="1367" s="1"/>
  <c r="C67" i="1358"/>
  <c r="C66" i="1358"/>
  <c r="C65" i="1358"/>
  <c r="C64" i="1358"/>
  <c r="E63" i="1358"/>
  <c r="D63" i="1358"/>
  <c r="D61" i="1367" s="1"/>
  <c r="E61" i="1367" s="1"/>
  <c r="C62" i="1358"/>
  <c r="C61" i="1358"/>
  <c r="C60" i="1358"/>
  <c r="C59" i="1358"/>
  <c r="E58" i="1358"/>
  <c r="D58" i="1358"/>
  <c r="D56" i="1367" s="1"/>
  <c r="E56" i="1367" s="1"/>
  <c r="C57" i="1358"/>
  <c r="C56" i="1358"/>
  <c r="C55" i="1358"/>
  <c r="C54" i="1358"/>
  <c r="C53" i="1358"/>
  <c r="E52" i="1358"/>
  <c r="D52" i="1358"/>
  <c r="D50" i="1367" s="1"/>
  <c r="E50" i="1367" s="1"/>
  <c r="C51" i="1358"/>
  <c r="C50" i="1358"/>
  <c r="C49" i="1358"/>
  <c r="C48" i="1358"/>
  <c r="C47" i="1358"/>
  <c r="C46" i="1358"/>
  <c r="C45" i="1358"/>
  <c r="C44" i="1358"/>
  <c r="C43" i="1358"/>
  <c r="C42" i="1358"/>
  <c r="C41" i="1358"/>
  <c r="E40" i="1358"/>
  <c r="C39" i="1358"/>
  <c r="H39" i="1357" s="1"/>
  <c r="C38" i="1358"/>
  <c r="C37" i="1358"/>
  <c r="H37" i="1357" s="1"/>
  <c r="C36" i="1358"/>
  <c r="H36" i="1357" s="1"/>
  <c r="C35" i="1358"/>
  <c r="H35" i="1357" s="1"/>
  <c r="C34" i="1358"/>
  <c r="C33" i="1358"/>
  <c r="E32" i="1358"/>
  <c r="D32" i="1358"/>
  <c r="D30" i="1367" s="1"/>
  <c r="E30" i="1367" s="1"/>
  <c r="E25" i="1358"/>
  <c r="C22" i="1358"/>
  <c r="H22" i="1357" s="1"/>
  <c r="C21" i="1358"/>
  <c r="H21" i="1357" s="1"/>
  <c r="C20" i="1358"/>
  <c r="H20" i="1357" s="1"/>
  <c r="C19" i="1358"/>
  <c r="E18" i="1358"/>
  <c r="D18" i="1358"/>
  <c r="D16" i="1367" s="1"/>
  <c r="E16" i="1367" s="1"/>
  <c r="C17" i="1358"/>
  <c r="H17" i="1357" s="1"/>
  <c r="E11" i="1358"/>
  <c r="C158" i="1357"/>
  <c r="H156" i="1378" s="1"/>
  <c r="C157" i="1357"/>
  <c r="H155" i="1378" s="1"/>
  <c r="C156" i="1357"/>
  <c r="H154" i="1378" s="1"/>
  <c r="C155" i="1357"/>
  <c r="H153" i="1378" s="1"/>
  <c r="C154" i="1357"/>
  <c r="H152" i="1378" s="1"/>
  <c r="C153" i="1357"/>
  <c r="H151" i="1378" s="1"/>
  <c r="C152" i="1357"/>
  <c r="H150" i="1378" s="1"/>
  <c r="H149" i="1378" s="1"/>
  <c r="E151" i="1357"/>
  <c r="D151" i="1357"/>
  <c r="C150" i="1357"/>
  <c r="H148" i="1378" s="1"/>
  <c r="C149" i="1357"/>
  <c r="H147" i="1378" s="1"/>
  <c r="C148" i="1357"/>
  <c r="H146" i="1378" s="1"/>
  <c r="C147" i="1357"/>
  <c r="H145" i="1378" s="1"/>
  <c r="H144" i="1378" s="1"/>
  <c r="E146" i="1357"/>
  <c r="D146" i="1357"/>
  <c r="C145" i="1357"/>
  <c r="H143" i="1378" s="1"/>
  <c r="C144" i="1357"/>
  <c r="H142" i="1378" s="1"/>
  <c r="C143" i="1357"/>
  <c r="H141" i="1378" s="1"/>
  <c r="C142" i="1357"/>
  <c r="H140" i="1378" s="1"/>
  <c r="C141" i="1357"/>
  <c r="H139" i="1378" s="1"/>
  <c r="C140" i="1357"/>
  <c r="H138" i="1378" s="1"/>
  <c r="H137" i="1378" s="1"/>
  <c r="E139" i="1357"/>
  <c r="D139" i="1357"/>
  <c r="C138" i="1357"/>
  <c r="H136" i="1378" s="1"/>
  <c r="E135" i="1357"/>
  <c r="D135" i="1357"/>
  <c r="C124" i="1357"/>
  <c r="C123" i="1357"/>
  <c r="C122" i="1357"/>
  <c r="C121" i="1357"/>
  <c r="E120" i="1357"/>
  <c r="D120" i="1357"/>
  <c r="C101" i="1357"/>
  <c r="C100" i="1357"/>
  <c r="E99" i="1357"/>
  <c r="D99" i="1357"/>
  <c r="C97" i="1357"/>
  <c r="C91" i="1357"/>
  <c r="H89" i="1378" s="1"/>
  <c r="C90" i="1357"/>
  <c r="H88" i="1378" s="1"/>
  <c r="C89" i="1357"/>
  <c r="H87" i="1378" s="1"/>
  <c r="C88" i="1357"/>
  <c r="H86" i="1378" s="1"/>
  <c r="C87" i="1357"/>
  <c r="H85" i="1378" s="1"/>
  <c r="C86" i="1357"/>
  <c r="H84" i="1378" s="1"/>
  <c r="E85" i="1357"/>
  <c r="D85" i="1357"/>
  <c r="G83" i="1366" s="1"/>
  <c r="H83" i="1366" s="1"/>
  <c r="C84" i="1357"/>
  <c r="H82" i="1378" s="1"/>
  <c r="C83" i="1357"/>
  <c r="H81" i="1378" s="1"/>
  <c r="C82" i="1357"/>
  <c r="H80" i="1378" s="1"/>
  <c r="E81" i="1357"/>
  <c r="D81" i="1357"/>
  <c r="G79" i="1366" s="1"/>
  <c r="H79" i="1366" s="1"/>
  <c r="C80" i="1357"/>
  <c r="H78" i="1378" s="1"/>
  <c r="C79" i="1357"/>
  <c r="E78" i="1357"/>
  <c r="D78" i="1357"/>
  <c r="G76" i="1366" s="1"/>
  <c r="H76" i="1366" s="1"/>
  <c r="C77" i="1357"/>
  <c r="H75" i="1378" s="1"/>
  <c r="C76" i="1357"/>
  <c r="H74" i="1378" s="1"/>
  <c r="C75" i="1357"/>
  <c r="H73" i="1378" s="1"/>
  <c r="C74" i="1357"/>
  <c r="H72" i="1378" s="1"/>
  <c r="E73" i="1357"/>
  <c r="D73" i="1357"/>
  <c r="G71" i="1366" s="1"/>
  <c r="H71" i="1366" s="1"/>
  <c r="C72" i="1357"/>
  <c r="H70" i="1378" s="1"/>
  <c r="C71" i="1357"/>
  <c r="C70" i="1357"/>
  <c r="E69" i="1357"/>
  <c r="D69" i="1357"/>
  <c r="G67" i="1366" s="1"/>
  <c r="H67" i="1366" s="1"/>
  <c r="C67" i="1357"/>
  <c r="H65" i="1378" s="1"/>
  <c r="C66" i="1357"/>
  <c r="H64" i="1378" s="1"/>
  <c r="C65" i="1357"/>
  <c r="H63" i="1378" s="1"/>
  <c r="C64" i="1357"/>
  <c r="H62" i="1378" s="1"/>
  <c r="E63" i="1357"/>
  <c r="D63" i="1357"/>
  <c r="G61" i="1366" s="1"/>
  <c r="H61" i="1366" s="1"/>
  <c r="C62" i="1357"/>
  <c r="C61" i="1357"/>
  <c r="H59" i="1378" s="1"/>
  <c r="C59" i="1357"/>
  <c r="H57" i="1378" s="1"/>
  <c r="E58" i="1357"/>
  <c r="C57" i="1357"/>
  <c r="H55" i="1378" s="1"/>
  <c r="C56" i="1357"/>
  <c r="H54" i="1378" s="1"/>
  <c r="C55" i="1357"/>
  <c r="H53" i="1378" s="1"/>
  <c r="C54" i="1357"/>
  <c r="H52" i="1378" s="1"/>
  <c r="C53" i="1357"/>
  <c r="H51" i="1378" s="1"/>
  <c r="E52" i="1357"/>
  <c r="D52" i="1357"/>
  <c r="G50" i="1366" s="1"/>
  <c r="H50" i="1366" s="1"/>
  <c r="C51" i="1357"/>
  <c r="H49" i="1378" s="1"/>
  <c r="C50" i="1357"/>
  <c r="H48" i="1378" s="1"/>
  <c r="C49" i="1357"/>
  <c r="H47" i="1378" s="1"/>
  <c r="C48" i="1357"/>
  <c r="H46" i="1378" s="1"/>
  <c r="C47" i="1357"/>
  <c r="H45" i="1378" s="1"/>
  <c r="C46" i="1357"/>
  <c r="H44" i="1378" s="1"/>
  <c r="C45" i="1357"/>
  <c r="H43" i="1378" s="1"/>
  <c r="C44" i="1357"/>
  <c r="H42" i="1378" s="1"/>
  <c r="C43" i="1357"/>
  <c r="H41" i="1378" s="1"/>
  <c r="C42" i="1357"/>
  <c r="H40" i="1378" s="1"/>
  <c r="C41" i="1357"/>
  <c r="H39" i="1378" s="1"/>
  <c r="E40" i="1357"/>
  <c r="D40" i="1357"/>
  <c r="G38" i="1366" s="1"/>
  <c r="H38" i="1366" s="1"/>
  <c r="C39" i="1357"/>
  <c r="H37" i="1378" s="1"/>
  <c r="E32" i="1357"/>
  <c r="D32" i="1357"/>
  <c r="G30" i="1366" s="1"/>
  <c r="H30" i="1366" s="1"/>
  <c r="C31" i="1357"/>
  <c r="C30" i="1357"/>
  <c r="H28" i="1378" s="1"/>
  <c r="C29" i="1357"/>
  <c r="H27" i="1378" s="1"/>
  <c r="C28" i="1357"/>
  <c r="H26" i="1378" s="1"/>
  <c r="C27" i="1357"/>
  <c r="H25" i="1378" s="1"/>
  <c r="C26" i="1357"/>
  <c r="H24" i="1378" s="1"/>
  <c r="E25" i="1357"/>
  <c r="D25" i="1357"/>
  <c r="G23" i="1366" s="1"/>
  <c r="H23" i="1366" s="1"/>
  <c r="C24" i="1357"/>
  <c r="C23" i="1357"/>
  <c r="H21" i="1378" s="1"/>
  <c r="C22" i="1357"/>
  <c r="H20" i="1378" s="1"/>
  <c r="C21" i="1357"/>
  <c r="H19" i="1378" s="1"/>
  <c r="C20" i="1357"/>
  <c r="H18" i="1378" s="1"/>
  <c r="C19" i="1357"/>
  <c r="H17" i="1378" s="1"/>
  <c r="E18" i="1357"/>
  <c r="D18" i="1357"/>
  <c r="G16" i="1366" s="1"/>
  <c r="H16" i="1366" s="1"/>
  <c r="C17" i="1357"/>
  <c r="H15" i="1378" s="1"/>
  <c r="C16" i="1357"/>
  <c r="H14" i="1378" s="1"/>
  <c r="C15" i="1357"/>
  <c r="H13" i="1378" s="1"/>
  <c r="C14" i="1357"/>
  <c r="H12" i="1378" s="1"/>
  <c r="C13" i="1357"/>
  <c r="H11" i="1378" s="1"/>
  <c r="E11" i="1357"/>
  <c r="D11" i="1357"/>
  <c r="G9" i="1366" s="1"/>
  <c r="H9" i="1366" s="1"/>
  <c r="C7" i="1361" l="1"/>
  <c r="H22" i="1378"/>
  <c r="C6" i="1362"/>
  <c r="H29" i="1378"/>
  <c r="E6" i="1361"/>
  <c r="E17" i="1361" s="1"/>
  <c r="E29" i="1361" s="1"/>
  <c r="P19" i="1379"/>
  <c r="Q19" i="1379" s="1"/>
  <c r="H99" i="1378"/>
  <c r="E6" i="1362"/>
  <c r="H120" i="1378"/>
  <c r="E8" i="1362"/>
  <c r="H122" i="1378"/>
  <c r="C11" i="1361"/>
  <c r="H60" i="1378"/>
  <c r="C24" i="1361"/>
  <c r="C23" i="1361" s="1"/>
  <c r="H69" i="1378"/>
  <c r="C19" i="1361"/>
  <c r="C18" i="1361" s="1"/>
  <c r="H77" i="1378"/>
  <c r="E5" i="1361"/>
  <c r="P18" i="1379"/>
  <c r="Q18" i="1379" s="1"/>
  <c r="H98" i="1378"/>
  <c r="P24" i="1379"/>
  <c r="Q24" i="1379" s="1"/>
  <c r="H121" i="1378"/>
  <c r="P23" i="1379"/>
  <c r="H119" i="1378"/>
  <c r="C24" i="1362"/>
  <c r="C23" i="1362" s="1"/>
  <c r="C29" i="1362" s="1"/>
  <c r="H68" i="1378"/>
  <c r="H137" i="1366"/>
  <c r="G134" i="1366"/>
  <c r="H134" i="1366" s="1"/>
  <c r="H144" i="1366"/>
  <c r="G141" i="1366"/>
  <c r="H141" i="1366" s="1"/>
  <c r="H149" i="1366"/>
  <c r="G146" i="1366"/>
  <c r="H146" i="1366" s="1"/>
  <c r="H118" i="1366"/>
  <c r="G115" i="1366"/>
  <c r="H115" i="1366" s="1"/>
  <c r="H133" i="1366"/>
  <c r="G130" i="1366"/>
  <c r="H130" i="1366" s="1"/>
  <c r="H97" i="1366"/>
  <c r="G94" i="1366"/>
  <c r="H94" i="1366" s="1"/>
  <c r="C85" i="1357"/>
  <c r="H83" i="1378" s="1"/>
  <c r="C139" i="1357"/>
  <c r="H47" i="1357"/>
  <c r="I47" i="1357" s="1"/>
  <c r="H49" i="1357"/>
  <c r="I49" i="1357" s="1"/>
  <c r="H54" i="1357"/>
  <c r="I54" i="1357" s="1"/>
  <c r="H56" i="1357"/>
  <c r="I56" i="1357" s="1"/>
  <c r="H59" i="1357"/>
  <c r="H66" i="1357"/>
  <c r="I66" i="1357" s="1"/>
  <c r="H70" i="1357"/>
  <c r="H72" i="1357"/>
  <c r="H75" i="1357"/>
  <c r="I75" i="1357" s="1"/>
  <c r="H77" i="1357"/>
  <c r="I77" i="1357" s="1"/>
  <c r="H80" i="1357"/>
  <c r="I80" i="1357" s="1"/>
  <c r="H83" i="1357"/>
  <c r="I83" i="1357" s="1"/>
  <c r="H88" i="1357"/>
  <c r="E92" i="1357"/>
  <c r="H42" i="1357"/>
  <c r="I42" i="1357" s="1"/>
  <c r="H44" i="1357"/>
  <c r="I44" i="1357" s="1"/>
  <c r="H46" i="1357"/>
  <c r="I46" i="1357" s="1"/>
  <c r="H48" i="1357"/>
  <c r="I48" i="1357" s="1"/>
  <c r="H50" i="1357"/>
  <c r="I50" i="1357" s="1"/>
  <c r="H53" i="1357"/>
  <c r="I53" i="1357" s="1"/>
  <c r="H57" i="1357"/>
  <c r="I57" i="1357" s="1"/>
  <c r="H60" i="1357"/>
  <c r="H65" i="1357"/>
  <c r="I65" i="1357" s="1"/>
  <c r="H67" i="1357"/>
  <c r="I67" i="1357" s="1"/>
  <c r="H76" i="1357"/>
  <c r="I76" i="1357" s="1"/>
  <c r="H79" i="1357"/>
  <c r="H82" i="1357"/>
  <c r="I82" i="1357" s="1"/>
  <c r="H87" i="1357"/>
  <c r="I87" i="1357" s="1"/>
  <c r="H89" i="1357"/>
  <c r="I89" i="1357" s="1"/>
  <c r="H91" i="1357"/>
  <c r="I91" i="1357" s="1"/>
  <c r="H122" i="1357"/>
  <c r="I122" i="1357" s="1"/>
  <c r="C69" i="1359"/>
  <c r="C85" i="1359"/>
  <c r="E134" i="1359"/>
  <c r="C159" i="1360"/>
  <c r="C25" i="1357"/>
  <c r="C73" i="1357"/>
  <c r="H71" i="1378" s="1"/>
  <c r="E24" i="1365"/>
  <c r="E7" i="1362"/>
  <c r="C120" i="1359"/>
  <c r="C151" i="1359"/>
  <c r="E31" i="1378"/>
  <c r="E30" i="1378" s="1"/>
  <c r="C63" i="1357"/>
  <c r="C151" i="1357"/>
  <c r="C63" i="1358"/>
  <c r="E5" i="1362"/>
  <c r="F70" i="1364"/>
  <c r="F71" i="1364" s="1"/>
  <c r="H45" i="1357"/>
  <c r="I45" i="1357" s="1"/>
  <c r="H121" i="1357"/>
  <c r="I121" i="1357" s="1"/>
  <c r="H61" i="1357"/>
  <c r="I61" i="1357" s="1"/>
  <c r="D92" i="1357"/>
  <c r="C52" i="1359"/>
  <c r="H51" i="1357"/>
  <c r="I51" i="1357" s="1"/>
  <c r="H43" i="1357"/>
  <c r="I43" i="1357" s="1"/>
  <c r="C85" i="1358"/>
  <c r="C18" i="1359"/>
  <c r="C25" i="1359"/>
  <c r="C40" i="1359"/>
  <c r="C63" i="1359"/>
  <c r="E92" i="1359"/>
  <c r="C73" i="1359"/>
  <c r="C78" i="1359"/>
  <c r="C81" i="1359"/>
  <c r="C146" i="1359"/>
  <c r="E38" i="1378"/>
  <c r="E56" i="1378"/>
  <c r="H97" i="1357"/>
  <c r="D159" i="1357"/>
  <c r="C135" i="1357"/>
  <c r="H133" i="1378" s="1"/>
  <c r="C18" i="1357"/>
  <c r="E29" i="1379"/>
  <c r="H41" i="1357"/>
  <c r="I41" i="1357" s="1"/>
  <c r="H102" i="1357"/>
  <c r="I102" i="1357" s="1"/>
  <c r="O55" i="1381"/>
  <c r="O57" i="1381" s="1"/>
  <c r="C11" i="1357"/>
  <c r="I59" i="1357"/>
  <c r="I79" i="1357"/>
  <c r="E159" i="1357"/>
  <c r="H19" i="1357"/>
  <c r="I19" i="1357" s="1"/>
  <c r="H34" i="1357"/>
  <c r="I34" i="1357" s="1"/>
  <c r="H38" i="1357"/>
  <c r="I38" i="1357" s="1"/>
  <c r="H71" i="1357"/>
  <c r="I71" i="1357" s="1"/>
  <c r="H74" i="1357"/>
  <c r="I74" i="1357" s="1"/>
  <c r="C81" i="1358"/>
  <c r="H84" i="1357"/>
  <c r="I84" i="1357" s="1"/>
  <c r="H86" i="1357"/>
  <c r="I86" i="1357" s="1"/>
  <c r="H90" i="1357"/>
  <c r="I90" i="1357" s="1"/>
  <c r="C120" i="1358"/>
  <c r="H120" i="1357" s="1"/>
  <c r="H123" i="1357"/>
  <c r="I123" i="1357" s="1"/>
  <c r="C151" i="1358"/>
  <c r="D92" i="1359"/>
  <c r="D90" i="1368" s="1"/>
  <c r="E90" i="1368" s="1"/>
  <c r="C92" i="1360"/>
  <c r="C165" i="1360" s="1"/>
  <c r="F66" i="1378"/>
  <c r="E90" i="1378"/>
  <c r="H33" i="1357"/>
  <c r="I33" i="1357" s="1"/>
  <c r="C146" i="1357"/>
  <c r="C58" i="1358"/>
  <c r="H64" i="1357"/>
  <c r="I64" i="1357" s="1"/>
  <c r="D92" i="1358"/>
  <c r="D90" i="1367" s="1"/>
  <c r="E90" i="1367" s="1"/>
  <c r="H155" i="1357"/>
  <c r="I155" i="1357" s="1"/>
  <c r="D159" i="1359"/>
  <c r="D154" i="1368" s="1"/>
  <c r="E154" i="1368" s="1"/>
  <c r="G66" i="1378"/>
  <c r="F90" i="1378"/>
  <c r="C81" i="1357"/>
  <c r="H79" i="1378" s="1"/>
  <c r="C18" i="1358"/>
  <c r="C52" i="1358"/>
  <c r="H52" i="1357" s="1"/>
  <c r="H55" i="1357"/>
  <c r="I55" i="1357" s="1"/>
  <c r="H62" i="1357"/>
  <c r="I62" i="1357" s="1"/>
  <c r="C73" i="1358"/>
  <c r="E159" i="1358"/>
  <c r="E160" i="1358" s="1"/>
  <c r="C139" i="1358"/>
  <c r="C146" i="1358"/>
  <c r="H146" i="1357" s="1"/>
  <c r="I146" i="1357" s="1"/>
  <c r="H149" i="1357"/>
  <c r="I149" i="1357" s="1"/>
  <c r="C58" i="1359"/>
  <c r="E159" i="1359"/>
  <c r="C139" i="1359"/>
  <c r="G90" i="1378"/>
  <c r="L29" i="1379"/>
  <c r="J29" i="1379"/>
  <c r="H29" i="1379"/>
  <c r="D29" i="1379"/>
  <c r="N29" i="1379"/>
  <c r="C125" i="1359"/>
  <c r="H125" i="1357" s="1"/>
  <c r="I125" i="1357" s="1"/>
  <c r="I13" i="1357"/>
  <c r="I136" i="1357"/>
  <c r="I14" i="1357"/>
  <c r="D134" i="1359"/>
  <c r="D134" i="1357"/>
  <c r="C78" i="1357"/>
  <c r="H76" i="1378" s="1"/>
  <c r="C52" i="1357"/>
  <c r="E68" i="1357"/>
  <c r="C40" i="1357"/>
  <c r="E134" i="1357"/>
  <c r="C120" i="1357"/>
  <c r="H118" i="1378" s="1"/>
  <c r="I29" i="1379"/>
  <c r="K29" i="1379"/>
  <c r="M29" i="1379"/>
  <c r="G29" i="1379"/>
  <c r="C59" i="1369"/>
  <c r="E59" i="1369" s="1"/>
  <c r="C134" i="1360"/>
  <c r="F50" i="1366"/>
  <c r="I15" i="1357"/>
  <c r="I16" i="1357"/>
  <c r="I17" i="1357"/>
  <c r="I20" i="1357"/>
  <c r="I21" i="1357"/>
  <c r="I22" i="1357"/>
  <c r="I23" i="1357"/>
  <c r="I30" i="1357"/>
  <c r="I31" i="1357"/>
  <c r="I35" i="1357"/>
  <c r="I70" i="1357"/>
  <c r="I72" i="1357"/>
  <c r="I88" i="1357"/>
  <c r="I100" i="1357"/>
  <c r="I101" i="1357"/>
  <c r="I103" i="1357"/>
  <c r="I104" i="1357"/>
  <c r="I105" i="1357"/>
  <c r="I116" i="1357"/>
  <c r="I117" i="1357"/>
  <c r="I133" i="1357"/>
  <c r="I140" i="1357"/>
  <c r="I141" i="1357"/>
  <c r="I142" i="1357"/>
  <c r="I143" i="1357"/>
  <c r="I144" i="1357"/>
  <c r="I145" i="1357"/>
  <c r="I158" i="1357"/>
  <c r="E16" i="1366"/>
  <c r="E18" i="1366"/>
  <c r="E28" i="1366"/>
  <c r="E29" i="1366"/>
  <c r="E30" i="1366"/>
  <c r="E31" i="1366"/>
  <c r="E32" i="1366"/>
  <c r="E33" i="1366"/>
  <c r="E53" i="1366"/>
  <c r="E61" i="1366"/>
  <c r="E89" i="1366"/>
  <c r="F102" i="1366"/>
  <c r="F128" i="1366"/>
  <c r="E146" i="1366"/>
  <c r="E54" i="1369"/>
  <c r="E68" i="1359"/>
  <c r="E93" i="1359" s="1"/>
  <c r="C32" i="1359"/>
  <c r="C32" i="1358"/>
  <c r="C32" i="1357"/>
  <c r="D68" i="1359"/>
  <c r="D159" i="1358"/>
  <c r="D154" i="1367" s="1"/>
  <c r="E154" i="1367" s="1"/>
  <c r="C78" i="1358"/>
  <c r="H78" i="1357" s="1"/>
  <c r="E92" i="1358"/>
  <c r="E68" i="1358"/>
  <c r="C99" i="1357"/>
  <c r="H97" i="1378" s="1"/>
  <c r="C69" i="1357"/>
  <c r="H67" i="1378" s="1"/>
  <c r="I24" i="1357"/>
  <c r="I26" i="1357"/>
  <c r="I27" i="1357"/>
  <c r="I28" i="1357"/>
  <c r="I29" i="1357"/>
  <c r="I36" i="1357"/>
  <c r="I37" i="1357"/>
  <c r="I39" i="1357"/>
  <c r="I106" i="1357"/>
  <c r="I107" i="1357"/>
  <c r="I108" i="1357"/>
  <c r="I109" i="1357"/>
  <c r="I110" i="1357"/>
  <c r="I111" i="1357"/>
  <c r="I112" i="1357"/>
  <c r="I113" i="1357"/>
  <c r="I114" i="1357"/>
  <c r="I115" i="1357"/>
  <c r="I118" i="1357"/>
  <c r="I119" i="1357"/>
  <c r="I124" i="1357"/>
  <c r="I126" i="1357"/>
  <c r="I127" i="1357"/>
  <c r="I128" i="1357"/>
  <c r="I129" i="1357"/>
  <c r="I130" i="1357"/>
  <c r="I131" i="1357"/>
  <c r="I132" i="1357"/>
  <c r="I137" i="1357"/>
  <c r="I138" i="1357"/>
  <c r="I147" i="1357"/>
  <c r="I148" i="1357"/>
  <c r="I150" i="1357"/>
  <c r="I152" i="1357"/>
  <c r="I153" i="1357"/>
  <c r="I154" i="1357"/>
  <c r="I156" i="1357"/>
  <c r="I157" i="1357"/>
  <c r="E42" i="1366"/>
  <c r="E47" i="1366"/>
  <c r="E59" i="1366"/>
  <c r="E73" i="1366"/>
  <c r="E80" i="1366"/>
  <c r="E124" i="1366"/>
  <c r="E140" i="1366"/>
  <c r="E144" i="1366"/>
  <c r="E149" i="1366"/>
  <c r="E153" i="1366"/>
  <c r="E9" i="1366"/>
  <c r="E15" i="1366"/>
  <c r="E20" i="1366"/>
  <c r="E23" i="1366"/>
  <c r="E24" i="1366"/>
  <c r="E27" i="1366"/>
  <c r="E35" i="1366"/>
  <c r="E36" i="1366"/>
  <c r="E37" i="1366"/>
  <c r="E38" i="1366"/>
  <c r="E45" i="1366"/>
  <c r="E51" i="1366"/>
  <c r="E55" i="1366"/>
  <c r="E58" i="1366"/>
  <c r="E62" i="1366"/>
  <c r="F69" i="1366"/>
  <c r="E70" i="1366"/>
  <c r="E75" i="1366"/>
  <c r="E79" i="1366"/>
  <c r="E82" i="1366"/>
  <c r="E87" i="1366"/>
  <c r="E94" i="1366"/>
  <c r="E95" i="1366"/>
  <c r="E96" i="1366"/>
  <c r="E97" i="1366"/>
  <c r="E98" i="1366"/>
  <c r="E99" i="1366"/>
  <c r="E100" i="1366"/>
  <c r="E106" i="1366"/>
  <c r="E111" i="1366"/>
  <c r="E112" i="1366"/>
  <c r="E113" i="1366"/>
  <c r="E114" i="1366"/>
  <c r="E115" i="1366"/>
  <c r="E116" i="1366"/>
  <c r="E117" i="1366"/>
  <c r="E118" i="1366"/>
  <c r="E119" i="1366"/>
  <c r="E120" i="1366"/>
  <c r="E122" i="1366"/>
  <c r="F130" i="1366"/>
  <c r="F134" i="1366"/>
  <c r="E138" i="1366"/>
  <c r="F141" i="1366"/>
  <c r="E143" i="1366"/>
  <c r="E147" i="1366"/>
  <c r="E151" i="1366"/>
  <c r="E15" i="1369"/>
  <c r="E20" i="1369"/>
  <c r="E48" i="1369"/>
  <c r="E49" i="1369"/>
  <c r="E50" i="1369"/>
  <c r="E51" i="1369"/>
  <c r="E52" i="1369"/>
  <c r="E53" i="1369"/>
  <c r="K57" i="1381"/>
  <c r="K58" i="1381" s="1"/>
  <c r="C29" i="1379"/>
  <c r="O28" i="1379"/>
  <c r="F16" i="1379"/>
  <c r="F29" i="1379" s="1"/>
  <c r="O15" i="1379"/>
  <c r="C9" i="1369"/>
  <c r="E40" i="1369"/>
  <c r="E47" i="1369"/>
  <c r="F9" i="1366"/>
  <c r="E10" i="1366"/>
  <c r="F16" i="1366"/>
  <c r="E17" i="1366"/>
  <c r="E19" i="1366"/>
  <c r="F21" i="1366"/>
  <c r="E22" i="1366"/>
  <c r="E26" i="1366"/>
  <c r="F28" i="1366"/>
  <c r="F29" i="1366"/>
  <c r="F30" i="1366"/>
  <c r="F31" i="1366"/>
  <c r="F32" i="1366"/>
  <c r="F33" i="1366"/>
  <c r="E34" i="1366"/>
  <c r="E43" i="1366"/>
  <c r="E46" i="1366"/>
  <c r="E48" i="1366"/>
  <c r="E52" i="1366"/>
  <c r="E54" i="1366"/>
  <c r="F56" i="1366"/>
  <c r="E57" i="1366"/>
  <c r="E60" i="1366"/>
  <c r="E63" i="1366"/>
  <c r="E65" i="1366"/>
  <c r="E71" i="1366"/>
  <c r="F71" i="1366"/>
  <c r="E68" i="1366"/>
  <c r="E72" i="1366"/>
  <c r="E74" i="1366"/>
  <c r="F76" i="1366"/>
  <c r="F77" i="1366"/>
  <c r="E78" i="1366"/>
  <c r="E81" i="1366"/>
  <c r="F83" i="1366"/>
  <c r="E84" i="1366"/>
  <c r="E86" i="1366"/>
  <c r="E88" i="1366"/>
  <c r="F94" i="1366"/>
  <c r="F95" i="1366"/>
  <c r="F96" i="1366"/>
  <c r="F97" i="1366"/>
  <c r="F98" i="1366"/>
  <c r="F99" i="1366"/>
  <c r="F100" i="1366"/>
  <c r="E101" i="1366"/>
  <c r="E102" i="1366"/>
  <c r="F103" i="1366"/>
  <c r="E104" i="1366"/>
  <c r="F105" i="1366"/>
  <c r="F106" i="1366"/>
  <c r="E107" i="1366"/>
  <c r="F108" i="1366"/>
  <c r="E109" i="1366"/>
  <c r="F110" i="1366"/>
  <c r="F111" i="1366"/>
  <c r="F112" i="1366"/>
  <c r="F113" i="1366"/>
  <c r="F114" i="1366"/>
  <c r="F115" i="1366"/>
  <c r="F116" i="1366"/>
  <c r="F117" i="1366"/>
  <c r="F118" i="1366"/>
  <c r="F119" i="1366"/>
  <c r="F120" i="1366"/>
  <c r="E121" i="1366"/>
  <c r="E123" i="1366"/>
  <c r="E125" i="1366"/>
  <c r="F126" i="1366"/>
  <c r="E127" i="1366"/>
  <c r="E128" i="1366"/>
  <c r="E130" i="1366"/>
  <c r="E131" i="1366"/>
  <c r="F132" i="1366"/>
  <c r="E133" i="1366"/>
  <c r="E134" i="1366"/>
  <c r="F135" i="1366"/>
  <c r="E136" i="1366"/>
  <c r="F137" i="1366"/>
  <c r="F139" i="1366"/>
  <c r="E141" i="1366"/>
  <c r="F142" i="1366"/>
  <c r="F145" i="1366"/>
  <c r="F148" i="1366"/>
  <c r="F150" i="1366"/>
  <c r="F152" i="1366"/>
  <c r="C68" i="1360"/>
  <c r="C11" i="1359"/>
  <c r="C135" i="1359"/>
  <c r="C99" i="1359"/>
  <c r="C135" i="1358"/>
  <c r="D11" i="1358"/>
  <c r="D9" i="1367" s="1"/>
  <c r="E9" i="1367" s="1"/>
  <c r="D25" i="1358"/>
  <c r="D40" i="1358"/>
  <c r="C69" i="1358"/>
  <c r="C60" i="1357"/>
  <c r="H58" i="1378" s="1"/>
  <c r="D58" i="1357"/>
  <c r="C33" i="1355"/>
  <c r="C37" i="1355" s="1"/>
  <c r="C39" i="1355" s="1"/>
  <c r="E30" i="1355"/>
  <c r="D30" i="1355"/>
  <c r="C30" i="1355"/>
  <c r="C12" i="1355"/>
  <c r="C24" i="1355" s="1"/>
  <c r="C26" i="1355" s="1"/>
  <c r="D11" i="1354"/>
  <c r="D32" i="1354" s="1"/>
  <c r="C11" i="1354"/>
  <c r="C32" i="1354" s="1"/>
  <c r="C5" i="1361" l="1"/>
  <c r="P7" i="1379"/>
  <c r="Q7" i="1379" s="1"/>
  <c r="H9" i="1378"/>
  <c r="C8" i="1361"/>
  <c r="P10" i="1379"/>
  <c r="Q10" i="1379" s="1"/>
  <c r="H30" i="1378"/>
  <c r="C9" i="1361"/>
  <c r="P11" i="1379"/>
  <c r="Q11" i="1379" s="1"/>
  <c r="H38" i="1378"/>
  <c r="C7" i="1362"/>
  <c r="P12" i="1379"/>
  <c r="Q12" i="1379" s="1"/>
  <c r="H50" i="1378"/>
  <c r="C6" i="1361"/>
  <c r="P8" i="1379"/>
  <c r="Q8" i="1379" s="1"/>
  <c r="H16" i="1378"/>
  <c r="C8" i="1362"/>
  <c r="P14" i="1379"/>
  <c r="Q14" i="1379" s="1"/>
  <c r="H61" i="1378"/>
  <c r="C5" i="1362"/>
  <c r="P9" i="1379"/>
  <c r="Q9" i="1379" s="1"/>
  <c r="H23" i="1378"/>
  <c r="C28" i="1361"/>
  <c r="Q23" i="1379"/>
  <c r="D160" i="1359"/>
  <c r="D155" i="1368" s="1"/>
  <c r="E155" i="1368" s="1"/>
  <c r="D129" i="1368"/>
  <c r="E129" i="1368" s="1"/>
  <c r="C68" i="1359"/>
  <c r="D66" i="1368"/>
  <c r="E66" i="1368" s="1"/>
  <c r="C25" i="1358"/>
  <c r="D23" i="1367"/>
  <c r="E23" i="1367" s="1"/>
  <c r="C40" i="1358"/>
  <c r="D38" i="1367"/>
  <c r="E38" i="1367" s="1"/>
  <c r="H132" i="1366"/>
  <c r="G129" i="1366"/>
  <c r="H129" i="1366" s="1"/>
  <c r="H157" i="1366"/>
  <c r="G154" i="1366"/>
  <c r="H154" i="1366" s="1"/>
  <c r="C58" i="1357"/>
  <c r="G56" i="1366"/>
  <c r="H56" i="1366" s="1"/>
  <c r="C92" i="1357"/>
  <c r="G90" i="1366"/>
  <c r="H90" i="1366" s="1"/>
  <c r="E160" i="1357"/>
  <c r="H63" i="1357"/>
  <c r="I63" i="1357" s="1"/>
  <c r="E160" i="1359"/>
  <c r="C160" i="1359" s="1"/>
  <c r="H73" i="1357"/>
  <c r="I73" i="1357" s="1"/>
  <c r="C92" i="1359"/>
  <c r="E66" i="1378"/>
  <c r="E91" i="1378" s="1"/>
  <c r="H85" i="1357"/>
  <c r="I85" i="1357" s="1"/>
  <c r="I60" i="1357"/>
  <c r="H69" i="1357"/>
  <c r="I69" i="1357" s="1"/>
  <c r="C134" i="1359"/>
  <c r="C164" i="1359" s="1"/>
  <c r="E93" i="1357"/>
  <c r="H151" i="1357"/>
  <c r="I151" i="1357" s="1"/>
  <c r="H81" i="1357"/>
  <c r="I81" i="1357" s="1"/>
  <c r="E16" i="1362"/>
  <c r="C16" i="1362"/>
  <c r="D7" i="1413"/>
  <c r="H18" i="1357"/>
  <c r="I18" i="1357" s="1"/>
  <c r="H40" i="1357"/>
  <c r="I40" i="1357" s="1"/>
  <c r="C159" i="1358"/>
  <c r="H32" i="1357"/>
  <c r="I32" i="1357" s="1"/>
  <c r="I52" i="1357"/>
  <c r="C159" i="1357"/>
  <c r="O16" i="1379"/>
  <c r="C92" i="1358"/>
  <c r="D160" i="1357"/>
  <c r="H135" i="1357"/>
  <c r="I135" i="1357" s="1"/>
  <c r="E93" i="1358"/>
  <c r="G91" i="1378"/>
  <c r="F91" i="1378"/>
  <c r="H25" i="1357"/>
  <c r="I25" i="1357" s="1"/>
  <c r="C159" i="1359"/>
  <c r="H58" i="1357"/>
  <c r="H139" i="1357"/>
  <c r="I139" i="1357" s="1"/>
  <c r="I78" i="1357"/>
  <c r="I120" i="1357"/>
  <c r="D93" i="1359"/>
  <c r="C134" i="1357"/>
  <c r="C160" i="1360"/>
  <c r="H57" i="1381"/>
  <c r="H58" i="1381" s="1"/>
  <c r="C38" i="1369"/>
  <c r="E9" i="1369"/>
  <c r="F129" i="1366"/>
  <c r="E129" i="1366"/>
  <c r="F66" i="1366"/>
  <c r="E66" i="1366"/>
  <c r="F154" i="1366"/>
  <c r="E154" i="1366"/>
  <c r="F67" i="1366"/>
  <c r="E67" i="1366"/>
  <c r="C93" i="1360"/>
  <c r="C164" i="1360"/>
  <c r="D68" i="1358"/>
  <c r="D66" i="1367" s="1"/>
  <c r="E66" i="1367" s="1"/>
  <c r="C11" i="1358"/>
  <c r="D99" i="1358"/>
  <c r="D94" i="1367" s="1"/>
  <c r="E94" i="1367" s="1"/>
  <c r="D68" i="1357"/>
  <c r="G66" i="1366" s="1"/>
  <c r="H66" i="1366" s="1"/>
  <c r="C10" i="1361" l="1"/>
  <c r="C17" i="1361" s="1"/>
  <c r="P13" i="1379"/>
  <c r="Q13" i="1379" s="1"/>
  <c r="H56" i="1378"/>
  <c r="B14" i="1413"/>
  <c r="E14" i="1413" s="1"/>
  <c r="H157" i="1378"/>
  <c r="P27" i="1379"/>
  <c r="B13" i="1413"/>
  <c r="H132" i="1378"/>
  <c r="B7" i="1413"/>
  <c r="E7" i="1413" s="1"/>
  <c r="P15" i="1379"/>
  <c r="H90" i="1378"/>
  <c r="C93" i="1359"/>
  <c r="D91" i="1368"/>
  <c r="E91" i="1368" s="1"/>
  <c r="G155" i="1366"/>
  <c r="H155" i="1366" s="1"/>
  <c r="I58" i="1357"/>
  <c r="C160" i="1357"/>
  <c r="C165" i="1357"/>
  <c r="H92" i="1357"/>
  <c r="I92" i="1357" s="1"/>
  <c r="E30" i="1361"/>
  <c r="H159" i="1357"/>
  <c r="I159" i="1357" s="1"/>
  <c r="D6" i="1413"/>
  <c r="D13" i="1413"/>
  <c r="E30" i="1362"/>
  <c r="D15" i="1413" s="1"/>
  <c r="E31" i="1362"/>
  <c r="C31" i="1362"/>
  <c r="C30" i="1362"/>
  <c r="C165" i="1358"/>
  <c r="C165" i="1359"/>
  <c r="H11" i="1357"/>
  <c r="I11" i="1357" s="1"/>
  <c r="P55" i="1381"/>
  <c r="O29" i="1379"/>
  <c r="C43" i="1369"/>
  <c r="E38" i="1369"/>
  <c r="E91" i="1366"/>
  <c r="F91" i="1366"/>
  <c r="F155" i="1366"/>
  <c r="E155" i="1366"/>
  <c r="E90" i="1366"/>
  <c r="F90" i="1366"/>
  <c r="D134" i="1358"/>
  <c r="D129" i="1367" s="1"/>
  <c r="E129" i="1367" s="1"/>
  <c r="C99" i="1358"/>
  <c r="D93" i="1358"/>
  <c r="C68" i="1358"/>
  <c r="H68" i="1357" s="1"/>
  <c r="C68" i="1357"/>
  <c r="D93" i="1357"/>
  <c r="G91" i="1366" s="1"/>
  <c r="H91" i="1366" s="1"/>
  <c r="Q27" i="1379" l="1"/>
  <c r="P28" i="1379"/>
  <c r="Q28" i="1379" s="1"/>
  <c r="B6" i="1413"/>
  <c r="E6" i="1413" s="1"/>
  <c r="H66" i="1378"/>
  <c r="C29" i="1361"/>
  <c r="C30" i="1361"/>
  <c r="E13" i="1413"/>
  <c r="B15" i="1413"/>
  <c r="H158" i="1378"/>
  <c r="E15" i="1413"/>
  <c r="P16" i="1379"/>
  <c r="Q16" i="1379" s="1"/>
  <c r="Q15" i="1379"/>
  <c r="C93" i="1358"/>
  <c r="H93" i="1357" s="1"/>
  <c r="D91" i="1367"/>
  <c r="E91" i="1367" s="1"/>
  <c r="D8" i="1413"/>
  <c r="E32" i="1362"/>
  <c r="C32" i="1362"/>
  <c r="H99" i="1357"/>
  <c r="I99" i="1357" s="1"/>
  <c r="C93" i="1357"/>
  <c r="H91" i="1378" s="1"/>
  <c r="D160" i="1358"/>
  <c r="C134" i="1358"/>
  <c r="H134" i="1357" s="1"/>
  <c r="C164" i="1357"/>
  <c r="I68" i="1357"/>
  <c r="E31" i="1361" l="1"/>
  <c r="C31" i="1361"/>
  <c r="C160" i="1358"/>
  <c r="H160" i="1357" s="1"/>
  <c r="I160" i="1357" s="1"/>
  <c r="D155" i="1367"/>
  <c r="E155" i="1367" s="1"/>
  <c r="I93" i="1357"/>
  <c r="B8" i="1413"/>
  <c r="E8" i="1413" s="1"/>
  <c r="C164" i="1358"/>
  <c r="I134" i="1357"/>
  <c r="C16" i="1294"/>
  <c r="D42" i="1369" l="1"/>
  <c r="E42" i="1369" s="1"/>
  <c r="C39" i="1370"/>
  <c r="D39" i="1369" s="1"/>
  <c r="E39" i="1369" s="1"/>
  <c r="C43" i="1370" l="1"/>
  <c r="D43" i="1369" s="1"/>
  <c r="E43" i="1369" s="1"/>
</calcChain>
</file>

<file path=xl/sharedStrings.xml><?xml version="1.0" encoding="utf-8"?>
<sst xmlns="http://schemas.openxmlformats.org/spreadsheetml/2006/main" count="6401" uniqueCount="1011">
  <si>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</si>
  <si>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</si>
  <si>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</si>
  <si>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</si>
  <si>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</si>
  <si>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</si>
  <si>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</si>
  <si>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</si>
  <si>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</si>
  <si>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</si>
  <si>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</si>
  <si>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</si>
  <si>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</si>
  <si>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</si>
  <si>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</si>
  <si>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</si>
  <si>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</si>
  <si>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</si>
  <si>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</si>
  <si>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</si>
  <si>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</si>
  <si>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</si>
  <si>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</si>
  <si>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</si>
  <si>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</si>
  <si>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</si>
  <si>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</si>
  <si>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</si>
  <si>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</si>
  <si>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</si>
  <si>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</si>
  <si>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</si>
  <si>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</si>
  <si>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</si>
  <si>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</si>
  <si>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</si>
  <si>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</si>
  <si>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</si>
  <si>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</si>
  <si>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</si>
  <si>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</si>
  <si>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</si>
  <si>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</si>
  <si>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</si>
  <si>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</si>
  <si>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</si>
  <si>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</si>
  <si>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</si>
  <si>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</si>
  <si>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</si>
  <si>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</si>
  <si>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</si>
  <si>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</si>
  <si>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</si>
  <si>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</si>
  <si>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</si>
  <si>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</si>
  <si>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</si>
  <si>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</si>
  <si>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</si>
  <si>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</si>
  <si>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</si>
  <si>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</si>
  <si>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</si>
  <si>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</si>
  <si>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</si>
  <si>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</si>
  <si>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</si>
  <si>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</si>
  <si>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</si>
  <si>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</si>
  <si>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</si>
  <si>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</si>
  <si>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</si>
  <si>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</si>
  <si>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</si>
  <si>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</si>
  <si>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</si>
  <si>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</si>
  <si>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</si>
  <si>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</si>
  <si>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</si>
  <si>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</si>
  <si>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</si>
  <si>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</si>
  <si>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</si>
  <si>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</si>
  <si>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</si>
  <si>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</si>
  <si>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</si>
  <si>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</si>
  <si>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</si>
  <si>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</si>
  <si>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</si>
  <si>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</si>
  <si>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</si>
  <si>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</si>
  <si>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</si>
  <si>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</si>
  <si>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</si>
  <si>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</si>
  <si>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</si>
  <si>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</si>
  <si>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</si>
  <si>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</si>
  <si>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</si>
  <si>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</si>
  <si>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</si>
  <si>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</si>
  <si>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</si>
  <si>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</si>
  <si>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</si>
  <si>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</si>
  <si>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</si>
  <si>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</si>
  <si>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</si>
  <si>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</si>
  <si>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</si>
  <si>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</si>
  <si>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</si>
  <si>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</si>
  <si>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</si>
  <si>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</si>
  <si>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</si>
  <si>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</si>
  <si>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</si>
  <si>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</si>
  <si>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</si>
  <si>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</si>
  <si>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</si>
  <si>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</si>
  <si>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</si>
  <si>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</si>
  <si>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</si>
  <si>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</si>
  <si>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</si>
  <si>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</si>
  <si>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</si>
  <si>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</si>
  <si>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</si>
  <si>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</si>
  <si>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</si>
  <si>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</si>
  <si>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</si>
  <si>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</si>
  <si>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</si>
  <si>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</si>
  <si>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</si>
  <si>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</si>
  <si>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</si>
  <si>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</si>
  <si>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</si>
  <si>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</si>
  <si>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</si>
  <si>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</si>
  <si>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</si>
  <si>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</si>
  <si>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</si>
  <si>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</si>
  <si>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</si>
  <si>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</si>
  <si>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</si>
  <si>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</si>
  <si>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</si>
  <si>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</si>
  <si>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</si>
  <si>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</si>
  <si>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</si>
  <si>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</si>
  <si>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</si>
  <si>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</si>
  <si>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</si>
  <si>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</si>
  <si>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</si>
  <si>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</si>
  <si>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</si>
  <si>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</si>
  <si>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</si>
  <si>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</si>
  <si>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</si>
  <si>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</si>
  <si>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</si>
  <si>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</si>
  <si>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</si>
  <si>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</si>
  <si>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</si>
  <si>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</si>
  <si>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</si>
  <si>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</si>
  <si>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</si>
  <si>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</si>
  <si>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</si>
  <si>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</si>
  <si>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</si>
  <si>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</si>
  <si>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</si>
  <si>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</si>
  <si>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</si>
  <si>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</si>
  <si>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</si>
  <si>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</si>
  <si>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</si>
  <si>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</si>
  <si>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</si>
  <si>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</si>
  <si>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</si>
  <si>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</si>
  <si>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</si>
  <si>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</si>
  <si>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</si>
  <si>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</si>
  <si>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</si>
  <si>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</si>
  <si>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</si>
  <si>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</si>
  <si>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</si>
  <si>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</si>
  <si>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</si>
  <si>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</si>
  <si>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</si>
  <si>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</si>
  <si>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</si>
  <si>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</si>
  <si>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</si>
  <si>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</si>
  <si>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</si>
  <si>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</si>
  <si>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</si>
  <si>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</si>
  <si>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</si>
  <si>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</si>
  <si>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</si>
  <si>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</si>
  <si>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</si>
  <si>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</si>
  <si>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</si>
  <si>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</si>
  <si>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</si>
  <si>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</si>
  <si>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</si>
  <si>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</si>
  <si>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</si>
  <si>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</si>
  <si>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</si>
  <si>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</si>
  <si>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</si>
  <si>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</si>
  <si>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</si>
  <si>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</si>
  <si>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</si>
  <si>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</si>
  <si>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</si>
  <si>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</si>
  <si>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</si>
  <si>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</si>
  <si>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</si>
  <si>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</si>
  <si>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</si>
  <si>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</si>
  <si>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</si>
  <si>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</si>
  <si>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</si>
  <si>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</si>
  <si>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</si>
  <si>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</si>
  <si>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</si>
  <si>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</si>
  <si>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</si>
  <si>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</si>
  <si>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</si>
  <si>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</si>
  <si>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</si>
  <si>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</si>
  <si>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</si>
  <si>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</si>
  <si>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</si>
  <si>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</si>
  <si>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</si>
  <si>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</si>
  <si>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</si>
  <si>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</si>
  <si>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</si>
  <si>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</si>
  <si>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</si>
  <si>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</si>
  <si>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</si>
  <si>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</si>
  <si>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</si>
  <si>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</si>
  <si>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</si>
  <si>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</si>
  <si>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</si>
  <si>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</si>
  <si>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</si>
  <si>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</si>
  <si>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</si>
  <si>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</si>
  <si>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</si>
  <si>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</si>
  <si>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</si>
  <si>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</si>
  <si>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</si>
  <si>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</si>
  <si>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</si>
  <si>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</si>
  <si>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</si>
  <si>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</si>
  <si>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</si>
  <si>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</si>
  <si>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</si>
  <si>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</si>
  <si>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</si>
  <si>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</si>
  <si>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</si>
  <si>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</si>
  <si>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</si>
  <si>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</si>
  <si>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</si>
  <si>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</si>
  <si>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</si>
  <si>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</si>
  <si>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</si>
  <si>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</si>
  <si>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</si>
  <si>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</si>
  <si>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</si>
  <si>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</si>
  <si>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</si>
  <si>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</si>
  <si>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</si>
  <si>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</si>
  <si>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</si>
  <si>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</si>
  <si>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</si>
  <si>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</si>
  <si>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</si>
  <si>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</si>
  <si>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</si>
  <si>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</si>
  <si>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</si>
  <si>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</si>
  <si>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</si>
  <si>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</si>
  <si>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</si>
  <si>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</si>
  <si>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</si>
  <si>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</si>
  <si>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</si>
  <si>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</si>
  <si>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</si>
  <si>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</si>
  <si>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</si>
  <si>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</si>
  <si>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</si>
  <si>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</si>
  <si>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</si>
  <si>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</si>
  <si>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</si>
  <si>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</si>
  <si>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</si>
  <si>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</si>
  <si>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</si>
  <si>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</si>
  <si>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</si>
  <si>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</si>
  <si>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</si>
  <si>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</si>
  <si>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</si>
  <si>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</si>
  <si>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</si>
  <si>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</si>
  <si>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</si>
  <si>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</si>
  <si>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</si>
  <si>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</si>
  <si>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</si>
  <si>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</si>
  <si>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</si>
  <si>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</si>
  <si>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</si>
  <si>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</si>
  <si>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</si>
  <si>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</si>
  <si>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</si>
  <si>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</si>
  <si>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</si>
  <si>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</si>
  <si>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</si>
  <si>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</si>
  <si>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</si>
  <si>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</si>
  <si>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</si>
  <si>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</si>
  <si>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</si>
  <si>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</si>
  <si>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</si>
  <si>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</si>
  <si>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</si>
  <si>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</si>
  <si>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</si>
  <si>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</si>
  <si>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</si>
  <si>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</si>
  <si>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</si>
  <si>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</si>
  <si>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</si>
  <si>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</si>
  <si>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</si>
  <si>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</si>
  <si>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</si>
  <si>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</si>
  <si>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</si>
  <si>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</si>
  <si>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</si>
  <si>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</si>
  <si>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</si>
  <si>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</si>
  <si>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</si>
  <si>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</si>
  <si>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</si>
  <si>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</si>
  <si>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</si>
  <si>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</si>
  <si>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</si>
  <si>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</si>
  <si>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</si>
  <si>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</si>
  <si>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</si>
  <si>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</si>
  <si>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</si>
  <si>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</si>
  <si>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</si>
  <si>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</si>
  <si>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</si>
  <si>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</si>
  <si>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</si>
  <si>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</si>
  <si>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</si>
  <si>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</si>
  <si>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</si>
  <si>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</si>
  <si>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</si>
  <si>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</si>
  <si>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</si>
  <si>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</si>
  <si>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</si>
  <si>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</si>
  <si>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</si>
  <si>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</si>
  <si>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</si>
  <si>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</si>
  <si>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</si>
  <si>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</si>
  <si>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</si>
  <si>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</si>
  <si>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</si>
  <si>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</si>
  <si>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</si>
  <si>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</si>
  <si>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</si>
  <si>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</si>
  <si>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</si>
  <si>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</si>
  <si>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</si>
  <si>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</si>
  <si>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</si>
  <si>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</si>
  <si>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</si>
  <si>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</si>
  <si>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</si>
  <si>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</si>
  <si>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</si>
  <si>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</si>
  <si>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</si>
  <si>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</si>
  <si>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</si>
  <si>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</si>
  <si>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</si>
  <si>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</si>
  <si>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</si>
  <si>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</si>
  <si>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</si>
  <si>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</si>
  <si>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</si>
  <si>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</si>
  <si>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</si>
  <si>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</si>
  <si>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</si>
  <si>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</si>
  <si>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</si>
  <si>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</si>
  <si>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</si>
  <si>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</si>
  <si>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</si>
  <si>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</si>
  <si>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</si>
  <si>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</si>
  <si>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</si>
  <si>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</si>
  <si>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</si>
  <si>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</si>
  <si>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</si>
  <si>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</si>
  <si>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</si>
  <si>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</si>
  <si>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</si>
  <si>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</si>
  <si>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</si>
  <si>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</si>
  <si>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</si>
  <si>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</si>
  <si>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</si>
  <si>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</si>
  <si>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</si>
  <si>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</si>
  <si>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</si>
  <si>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</si>
  <si>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</si>
  <si>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</si>
  <si>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</si>
  <si>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</si>
  <si>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</si>
  <si>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</si>
  <si>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</si>
  <si>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</si>
  <si>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</si>
  <si>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</si>
  <si>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</si>
  <si>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</si>
  <si>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</si>
  <si>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</si>
  <si>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</si>
  <si>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</si>
  <si>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</si>
  <si>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</si>
  <si>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</si>
  <si>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</si>
  <si>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</si>
  <si>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</si>
  <si>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</si>
  <si>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</si>
  <si>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</si>
  <si>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</si>
  <si>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</si>
  <si>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</si>
  <si>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</si>
  <si>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</si>
  <si>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</si>
  <si>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</si>
  <si>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</si>
  <si>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</si>
  <si>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</si>
  <si>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</si>
  <si>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</si>
  <si>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</si>
  <si>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</si>
  <si>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</si>
  <si>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</si>
  <si>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</si>
  <si>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</si>
  <si>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</si>
  <si>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</si>
  <si>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</si>
  <si>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</si>
  <si>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</si>
  <si>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</si>
  <si>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</si>
  <si>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</si>
  <si>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</si>
  <si>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</si>
  <si>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</si>
  <si>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</si>
  <si>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</si>
  <si>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</si>
  <si>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</si>
  <si>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</si>
  <si>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</si>
  <si>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</si>
  <si>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</si>
  <si>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</si>
  <si>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</si>
  <si>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</si>
  <si>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</si>
  <si>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</si>
  <si>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</si>
  <si>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</si>
  <si>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</si>
  <si>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</si>
  <si>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</si>
  <si>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</si>
  <si>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</si>
  <si>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</si>
  <si>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</si>
  <si>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</si>
  <si>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</si>
  <si>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</si>
  <si>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</si>
  <si>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</si>
  <si>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</si>
  <si>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</si>
  <si>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</si>
  <si>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</si>
  <si>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</si>
  <si>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</si>
  <si>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</si>
  <si>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</si>
  <si>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</si>
  <si>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</si>
  <si>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</si>
  <si>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</si>
  <si>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</si>
  <si>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</si>
  <si>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</si>
  <si>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</si>
  <si>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</si>
  <si>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</si>
  <si>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</si>
  <si>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</si>
  <si>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</si>
  <si>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</si>
  <si>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</si>
  <si>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</si>
  <si>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</si>
  <si>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</si>
  <si>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</si>
  <si>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</si>
  <si>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</si>
  <si>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</si>
  <si>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</si>
  <si>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</si>
  <si>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</si>
  <si>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</si>
  <si>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</si>
  <si>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</si>
  <si>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</si>
  <si>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</si>
  <si>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</si>
  <si>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</si>
  <si>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</si>
  <si>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</si>
  <si>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</si>
  <si>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</si>
  <si>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</si>
  <si>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</si>
  <si>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</si>
  <si>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</si>
  <si>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</si>
  <si>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</si>
  <si>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</si>
  <si>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</si>
  <si>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</si>
  <si>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</si>
  <si>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</si>
  <si>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</si>
  <si>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</si>
  <si>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</si>
  <si>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</si>
  <si>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2019.évi előirányzat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</si>
  <si>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</si>
  <si>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</si>
  <si>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</si>
  <si>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</si>
  <si>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</si>
  <si>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</si>
  <si>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</si>
  <si>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</si>
  <si>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</si>
  <si>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</si>
  <si>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</si>
  <si>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</si>
  <si>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</si>
  <si>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</si>
  <si>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</si>
  <si>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</si>
  <si>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</si>
  <si>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</si>
  <si>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</si>
  <si>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</si>
  <si>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</si>
  <si>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</si>
  <si>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</si>
  <si>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</si>
  <si>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</si>
  <si>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</si>
  <si>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</si>
  <si>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</si>
  <si>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</si>
  <si>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</si>
  <si>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</si>
  <si>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Kossuth utca, Ifjúság utca gyalogátkelő kialakítás</t>
  </si>
  <si>
    <t>TSE 2db TAO pályázata önerejéhez biztosított felhalmozási támogatás - 2018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</si>
  <si>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</si>
  <si>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</si>
  <si>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</si>
  <si>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</si>
  <si>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</si>
  <si>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</si>
  <si>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</si>
  <si>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</si>
  <si>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</si>
  <si>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</si>
  <si>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</si>
  <si>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</si>
  <si>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</si>
  <si>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</si>
  <si>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</si>
  <si>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</si>
  <si>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</si>
  <si>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</si>
  <si>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</si>
  <si>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</si>
  <si>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</si>
  <si>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</si>
  <si>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</si>
  <si>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</si>
  <si>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</si>
  <si>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</si>
  <si>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</si>
  <si>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</si>
  <si>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</si>
  <si>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</si>
  <si>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</si>
  <si>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</si>
  <si>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</si>
  <si>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</si>
  <si>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</si>
  <si>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</si>
  <si>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</si>
  <si>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</si>
  <si>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</si>
  <si>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</si>
  <si>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</si>
  <si>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</si>
  <si>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</si>
  <si>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</si>
  <si>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</si>
  <si>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</si>
  <si>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</si>
  <si>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</si>
  <si>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</si>
  <si>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</si>
  <si>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</si>
  <si>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</si>
  <si>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</si>
  <si>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</si>
  <si>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</si>
  <si>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</si>
  <si>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</si>
  <si>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</si>
  <si>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</si>
  <si>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</si>
  <si>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</si>
  <si>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</si>
  <si>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</si>
  <si>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</si>
  <si>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</si>
  <si>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</si>
  <si>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</si>
  <si>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</si>
  <si>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</si>
  <si>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</si>
  <si>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</si>
  <si>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</si>
  <si>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</si>
  <si>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</si>
  <si>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</si>
  <si>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</si>
  <si>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</si>
  <si>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</si>
  <si>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</si>
  <si>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</si>
  <si>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</si>
  <si>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</si>
  <si>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</si>
  <si>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</si>
  <si>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</si>
  <si>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</si>
  <si>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</si>
  <si>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</si>
  <si>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</si>
  <si>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</si>
  <si>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</si>
  <si>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</si>
  <si>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</si>
  <si>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</si>
  <si>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</si>
  <si>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</si>
  <si>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</si>
  <si>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</si>
  <si>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</si>
  <si>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</si>
  <si>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</si>
  <si>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</si>
  <si>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</si>
  <si>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</si>
  <si>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</si>
  <si>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</si>
  <si>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</si>
  <si>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</si>
  <si>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</si>
  <si>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</si>
  <si>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</si>
  <si>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</si>
  <si>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</si>
  <si>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</si>
  <si>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</si>
  <si>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</si>
  <si>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</si>
  <si>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</si>
  <si>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</si>
  <si>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</si>
  <si>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</si>
  <si>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eszközbeszerzés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</si>
  <si>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</si>
  <si>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</si>
  <si>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</si>
  <si>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</si>
  <si>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</si>
  <si>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</si>
  <si>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</si>
  <si>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</si>
  <si>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</si>
  <si>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</si>
  <si>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</si>
  <si>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</si>
  <si>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</si>
  <si>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</si>
  <si>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</si>
  <si>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</si>
  <si>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</si>
  <si>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</si>
  <si>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</si>
  <si>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</si>
  <si>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</si>
  <si>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</si>
  <si>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</si>
  <si>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</si>
  <si>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</si>
  <si>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</si>
  <si>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</si>
  <si>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</si>
  <si>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</si>
  <si>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</si>
  <si>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</si>
  <si>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</si>
  <si>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</si>
  <si>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</si>
  <si>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</si>
  <si>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</si>
  <si>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</si>
  <si>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</si>
  <si>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</si>
  <si>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</si>
  <si>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</si>
  <si>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</si>
  <si>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</si>
  <si>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</si>
  <si>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</si>
  <si>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</si>
  <si>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</si>
  <si>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</si>
  <si>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</si>
  <si>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</si>
  <si>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</si>
  <si>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</si>
  <si>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</si>
  <si>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</si>
  <si>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</si>
  <si>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</si>
  <si>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</si>
  <si>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</si>
  <si>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</si>
  <si>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</si>
  <si>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</si>
  <si>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</si>
  <si>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</si>
  <si>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</si>
  <si>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</si>
  <si>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</si>
  <si>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</si>
  <si>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</si>
  <si>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</si>
  <si>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</si>
  <si>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</si>
  <si>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</si>
  <si>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</si>
  <si>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</si>
  <si>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</si>
  <si>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</si>
  <si>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</si>
  <si>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</si>
  <si>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</si>
  <si>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</si>
  <si>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önkormányzati határozathoz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</si>
  <si>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</si>
  <si>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</si>
  <si>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</si>
  <si>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</si>
  <si>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</si>
  <si>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</si>
  <si>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</si>
  <si>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</si>
  <si>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</si>
  <si>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</si>
  <si>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</si>
  <si>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</si>
  <si>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</si>
  <si>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</si>
  <si>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</si>
  <si>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</si>
  <si>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</si>
  <si>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</si>
  <si>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</si>
  <si>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</si>
  <si>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</si>
  <si>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</si>
  <si>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</si>
  <si>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</si>
  <si>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</si>
  <si>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</si>
  <si>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</si>
  <si>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</si>
  <si>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</si>
  <si>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</si>
  <si>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</si>
  <si>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</si>
  <si>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</si>
  <si>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</si>
  <si>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</si>
  <si>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</si>
  <si>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</si>
  <si>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</si>
  <si>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Járdaépítés</t>
  </si>
  <si>
    <t>TSE 2db TAO pályázata önerejéhez biztosított felhalmozási támogatás - 2019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</si>
  <si>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</si>
  <si>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</si>
  <si>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</si>
  <si>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</si>
  <si>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</si>
  <si>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</si>
  <si>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Városi Fúvószenekar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</si>
  <si>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</si>
  <si>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</si>
  <si>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</si>
  <si>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</si>
  <si>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</si>
  <si>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</si>
  <si>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</si>
  <si>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</si>
  <si>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</si>
  <si>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</si>
  <si>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</si>
  <si>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</si>
  <si>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</si>
  <si>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</si>
  <si>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</si>
  <si>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</si>
  <si>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</si>
  <si>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</si>
  <si>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</si>
  <si>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</si>
  <si>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</si>
  <si>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</si>
  <si>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</si>
  <si>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</si>
  <si>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</si>
  <si>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</si>
  <si>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</si>
  <si>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</si>
  <si>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</si>
  <si>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</si>
  <si>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</si>
  <si>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</si>
  <si>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</si>
  <si>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</si>
  <si>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</si>
  <si>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</si>
  <si>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</si>
  <si>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</si>
  <si>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</si>
  <si>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</si>
  <si>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</si>
  <si>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</si>
  <si>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</si>
  <si>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</si>
  <si>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</si>
  <si>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</si>
  <si>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</si>
  <si>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</si>
  <si>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</si>
  <si>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</si>
  <si>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</si>
  <si>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</si>
  <si>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</si>
  <si>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</si>
  <si>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Települési önkormányzatok szociális, gyermekjóléti és gyermekétkeztetési feladatainak támogatása        III. = (III.1.+….+III.12.)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</si>
  <si>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</si>
  <si>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</si>
  <si>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</si>
  <si>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</si>
  <si>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</si>
  <si>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</si>
  <si>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</si>
  <si>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</si>
  <si>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</si>
  <si>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</si>
  <si>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</si>
  <si>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</si>
  <si>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</si>
  <si>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</si>
  <si>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II.27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</si>
</sst>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color theme="1"/>
      <name val="Times New Roman CE"/>
      <charset val="238"/>
    </font>
    <font>
      <i/>
      <sz val="12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2" borderId="0" applyNumberFormat="0" applyBorder="0" applyAlignment="0" applyProtection="0"/>
    <xf numFmtId="0" fontId="44" fillId="6" borderId="0" applyNumberFormat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47" fillId="0" borderId="0"/>
    <xf numFmtId="0" fontId="6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5" fillId="0" borderId="0"/>
    <xf numFmtId="0" fontId="47" fillId="0" borderId="0"/>
    <xf numFmtId="0" fontId="15" fillId="0" borderId="0"/>
    <xf numFmtId="0" fontId="51" fillId="0" borderId="0"/>
    <xf numFmtId="0" fontId="47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42">
    <xf numFmtId="0" fontId="0" fillId="0" borderId="0" xfId="0"/>
    <xf numFmtId="165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0" borderId="0" xfId="21" applyFont="1" applyFill="1" applyBorder="1" applyAlignment="1" applyProtection="1">
      <alignment horizontal="center" vertical="center" wrapText="1"/>
    </xf>
    <xf numFmtId="0" fontId="10" fillId="0" borderId="0" xfId="21" applyFont="1" applyFill="1" applyBorder="1" applyAlignment="1" applyProtection="1">
      <alignment vertical="center" wrapText="1"/>
    </xf>
    <xf numFmtId="0" fontId="25" fillId="0" borderId="1" xfId="21" applyFont="1" applyFill="1" applyBorder="1" applyAlignment="1" applyProtection="1">
      <alignment horizontal="left" vertical="center" wrapText="1" indent="1"/>
    </xf>
    <xf numFmtId="0" fontId="25" fillId="0" borderId="2" xfId="21" applyFont="1" applyFill="1" applyBorder="1" applyAlignment="1" applyProtection="1">
      <alignment horizontal="left" vertical="center" wrapText="1" indent="1"/>
    </xf>
    <xf numFmtId="0" fontId="25" fillId="0" borderId="3" xfId="21" applyFont="1" applyFill="1" applyBorder="1" applyAlignment="1" applyProtection="1">
      <alignment horizontal="left" vertical="center" wrapText="1" indent="1"/>
    </xf>
    <xf numFmtId="0" fontId="25" fillId="0" borderId="4" xfId="21" applyFont="1" applyFill="1" applyBorder="1" applyAlignment="1" applyProtection="1">
      <alignment horizontal="left" vertical="center" wrapText="1" indent="1"/>
    </xf>
    <xf numFmtId="0" fontId="25" fillId="0" borderId="5" xfId="21" applyFont="1" applyFill="1" applyBorder="1" applyAlignment="1" applyProtection="1">
      <alignment horizontal="left" vertical="center" wrapText="1" indent="1"/>
    </xf>
    <xf numFmtId="0" fontId="25" fillId="0" borderId="6" xfId="21" applyFont="1" applyFill="1" applyBorder="1" applyAlignment="1" applyProtection="1">
      <alignment horizontal="left" vertical="center" wrapText="1" indent="1"/>
    </xf>
    <xf numFmtId="49" fontId="25" fillId="0" borderId="7" xfId="21" applyNumberFormat="1" applyFont="1" applyFill="1" applyBorder="1" applyAlignment="1" applyProtection="1">
      <alignment horizontal="left" vertical="center" wrapText="1" indent="1"/>
    </xf>
    <xf numFmtId="49" fontId="25" fillId="0" borderId="8" xfId="21" applyNumberFormat="1" applyFont="1" applyFill="1" applyBorder="1" applyAlignment="1" applyProtection="1">
      <alignment horizontal="left" vertical="center" wrapText="1" indent="1"/>
    </xf>
    <xf numFmtId="49" fontId="25" fillId="0" borderId="9" xfId="21" applyNumberFormat="1" applyFont="1" applyFill="1" applyBorder="1" applyAlignment="1" applyProtection="1">
      <alignment horizontal="left" vertical="center" wrapText="1" indent="1"/>
    </xf>
    <xf numFmtId="49" fontId="25" fillId="0" borderId="10" xfId="21" applyNumberFormat="1" applyFont="1" applyFill="1" applyBorder="1" applyAlignment="1" applyProtection="1">
      <alignment horizontal="left" vertical="center" wrapText="1" indent="1"/>
    </xf>
    <xf numFmtId="49" fontId="25" fillId="0" borderId="11" xfId="21" applyNumberFormat="1" applyFont="1" applyFill="1" applyBorder="1" applyAlignment="1" applyProtection="1">
      <alignment horizontal="left" vertical="center" wrapText="1" indent="1"/>
    </xf>
    <xf numFmtId="49" fontId="25" fillId="0" borderId="12" xfId="21" applyNumberFormat="1" applyFont="1" applyFill="1" applyBorder="1" applyAlignment="1" applyProtection="1">
      <alignment horizontal="left" vertical="center" wrapText="1" indent="1"/>
    </xf>
    <xf numFmtId="0" fontId="25" fillId="0" borderId="0" xfId="21" applyFont="1" applyFill="1" applyBorder="1" applyAlignment="1" applyProtection="1">
      <alignment horizontal="left" vertical="center" wrapText="1" indent="1"/>
    </xf>
    <xf numFmtId="0" fontId="23" fillId="0" borderId="13" xfId="21" applyFont="1" applyFill="1" applyBorder="1" applyAlignment="1" applyProtection="1">
      <alignment horizontal="left" vertical="center" wrapText="1" indent="1"/>
    </xf>
    <xf numFmtId="0" fontId="23" fillId="0" borderId="14" xfId="21" applyFont="1" applyFill="1" applyBorder="1" applyAlignment="1" applyProtection="1">
      <alignment horizontal="left" vertical="center" wrapText="1" indent="1"/>
    </xf>
    <xf numFmtId="0" fontId="23" fillId="0" borderId="15" xfId="21" applyFont="1" applyFill="1" applyBorder="1" applyAlignment="1" applyProtection="1">
      <alignment horizontal="left" vertical="center" wrapText="1" indent="1"/>
    </xf>
    <xf numFmtId="0" fontId="11" fillId="0" borderId="13" xfId="21" applyFont="1" applyFill="1" applyBorder="1" applyAlignment="1" applyProtection="1">
      <alignment horizontal="center" vertical="center" wrapText="1"/>
    </xf>
    <xf numFmtId="0" fontId="11" fillId="0" borderId="14" xfId="21" applyFont="1" applyFill="1" applyBorder="1" applyAlignment="1" applyProtection="1">
      <alignment horizontal="center" vertical="center" wrapText="1"/>
    </xf>
    <xf numFmtId="0" fontId="23" fillId="0" borderId="14" xfId="21" applyFont="1" applyFill="1" applyBorder="1" applyAlignment="1" applyProtection="1">
      <alignment vertical="center" wrapText="1"/>
    </xf>
    <xf numFmtId="0" fontId="23" fillId="0" borderId="16" xfId="21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32" fillId="0" borderId="6" xfId="0" applyFont="1" applyBorder="1" applyAlignment="1" applyProtection="1">
      <alignment horizontal="left" vertical="center" indent="1"/>
      <protection locked="0"/>
    </xf>
    <xf numFmtId="0" fontId="23" fillId="0" borderId="13" xfId="21" applyFont="1" applyFill="1" applyBorder="1" applyAlignment="1" applyProtection="1">
      <alignment horizontal="center" vertical="center" wrapText="1"/>
    </xf>
    <xf numFmtId="0" fontId="23" fillId="0" borderId="14" xfId="21" applyFont="1" applyFill="1" applyBorder="1" applyAlignment="1" applyProtection="1">
      <alignment horizontal="center" vertical="center" wrapText="1"/>
    </xf>
    <xf numFmtId="0" fontId="23" fillId="0" borderId="19" xfId="21" applyFont="1" applyFill="1" applyBorder="1" applyAlignment="1" applyProtection="1">
      <alignment horizontal="center" vertical="center" wrapText="1"/>
    </xf>
    <xf numFmtId="0" fontId="11" fillId="0" borderId="14" xfId="23" applyFont="1" applyFill="1" applyBorder="1" applyAlignment="1" applyProtection="1">
      <alignment horizontal="left" vertical="center" indent="1"/>
    </xf>
    <xf numFmtId="0" fontId="11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vertical="center" wrapText="1"/>
    </xf>
    <xf numFmtId="165" fontId="3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23" applyFill="1" applyProtection="1"/>
    <xf numFmtId="0" fontId="25" fillId="0" borderId="13" xfId="23" applyFont="1" applyFill="1" applyBorder="1" applyAlignment="1" applyProtection="1">
      <alignment horizontal="left" vertical="center" indent="1"/>
    </xf>
    <xf numFmtId="0" fontId="15" fillId="0" borderId="0" xfId="23" applyFill="1" applyAlignment="1" applyProtection="1">
      <alignment vertical="center"/>
    </xf>
    <xf numFmtId="0" fontId="25" fillId="0" borderId="7" xfId="23" applyFont="1" applyFill="1" applyBorder="1" applyAlignment="1" applyProtection="1">
      <alignment horizontal="left" vertical="center" indent="1"/>
    </xf>
    <xf numFmtId="0" fontId="25" fillId="0" borderId="8" xfId="23" applyFont="1" applyFill="1" applyBorder="1" applyAlignment="1" applyProtection="1">
      <alignment horizontal="left" vertical="center" indent="1"/>
    </xf>
    <xf numFmtId="165" fontId="25" fillId="0" borderId="2" xfId="23" applyNumberFormat="1" applyFont="1" applyFill="1" applyBorder="1" applyAlignment="1" applyProtection="1">
      <alignment vertical="center"/>
      <protection locked="0"/>
    </xf>
    <xf numFmtId="0" fontId="15" fillId="0" borderId="0" xfId="23" applyFill="1" applyAlignment="1" applyProtection="1">
      <alignment vertical="center"/>
      <protection locked="0"/>
    </xf>
    <xf numFmtId="165" fontId="23" fillId="0" borderId="14" xfId="23" applyNumberFormat="1" applyFont="1" applyFill="1" applyBorder="1" applyAlignment="1" applyProtection="1">
      <alignment vertical="center"/>
    </xf>
    <xf numFmtId="0" fontId="23" fillId="0" borderId="13" xfId="23" applyFont="1" applyFill="1" applyBorder="1" applyAlignment="1" applyProtection="1">
      <alignment horizontal="left" vertical="center" indent="1"/>
    </xf>
    <xf numFmtId="165" fontId="23" fillId="0" borderId="14" xfId="23" applyNumberFormat="1" applyFont="1" applyFill="1" applyBorder="1" applyProtection="1"/>
    <xf numFmtId="0" fontId="15" fillId="0" borderId="0" xfId="23" applyFill="1" applyProtection="1">
      <protection locked="0"/>
    </xf>
    <xf numFmtId="0" fontId="18" fillId="0" borderId="0" xfId="23" applyFont="1" applyFill="1" applyProtection="1"/>
    <xf numFmtId="0" fontId="37" fillId="0" borderId="0" xfId="23" applyFont="1" applyFill="1" applyProtection="1">
      <protection locked="0"/>
    </xf>
    <xf numFmtId="0" fontId="27" fillId="0" borderId="0" xfId="23" applyFont="1" applyFill="1" applyProtection="1">
      <protection locked="0"/>
    </xf>
    <xf numFmtId="3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21" applyFont="1" applyFill="1" applyBorder="1" applyAlignment="1" applyProtection="1">
      <alignment horizontal="lef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0" fontId="9" fillId="0" borderId="24" xfId="0" applyFont="1" applyFill="1" applyBorder="1" applyAlignment="1" applyProtection="1">
      <alignment horizontal="right"/>
    </xf>
    <xf numFmtId="0" fontId="32" fillId="0" borderId="25" xfId="21" applyFont="1" applyFill="1" applyBorder="1" applyAlignment="1" applyProtection="1">
      <alignment horizontal="left" vertical="center" wrapText="1" indent="1"/>
    </xf>
    <xf numFmtId="0" fontId="25" fillId="0" borderId="2" xfId="21" applyFont="1" applyFill="1" applyBorder="1" applyAlignment="1" applyProtection="1">
      <alignment horizontal="left" indent="6"/>
    </xf>
    <xf numFmtId="0" fontId="25" fillId="0" borderId="2" xfId="21" applyFont="1" applyFill="1" applyBorder="1" applyAlignment="1" applyProtection="1">
      <alignment horizontal="left" vertical="center" wrapText="1" indent="6"/>
    </xf>
    <xf numFmtId="0" fontId="25" fillId="0" borderId="6" xfId="21" applyFont="1" applyFill="1" applyBorder="1" applyAlignment="1" applyProtection="1">
      <alignment horizontal="left" vertical="center" wrapText="1" indent="6"/>
    </xf>
    <xf numFmtId="0" fontId="25" fillId="0" borderId="21" xfId="21" applyFont="1" applyFill="1" applyBorder="1" applyAlignment="1" applyProtection="1">
      <alignment horizontal="left" vertical="center" wrapText="1" indent="6"/>
    </xf>
    <xf numFmtId="0" fontId="5" fillId="0" borderId="0" xfId="21" applyFont="1" applyFill="1"/>
    <xf numFmtId="165" fontId="8" fillId="0" borderId="0" xfId="21" applyNumberFormat="1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 applyProtection="1">
      <alignment horizontal="center" vertical="center" wrapText="1"/>
    </xf>
    <xf numFmtId="0" fontId="31" fillId="0" borderId="4" xfId="21" applyFont="1" applyFill="1" applyBorder="1" applyAlignment="1" applyProtection="1">
      <alignment horizontal="center" vertical="center" wrapText="1"/>
    </xf>
    <xf numFmtId="0" fontId="31" fillId="0" borderId="17" xfId="21" applyFont="1" applyFill="1" applyBorder="1" applyAlignment="1" applyProtection="1">
      <alignment horizontal="center" vertical="center" wrapText="1"/>
    </xf>
    <xf numFmtId="0" fontId="32" fillId="0" borderId="11" xfId="21" applyFont="1" applyFill="1" applyBorder="1" applyAlignment="1" applyProtection="1">
      <alignment horizontal="center" vertical="center"/>
    </xf>
    <xf numFmtId="0" fontId="32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2" fillId="0" borderId="8" xfId="0" applyFont="1" applyBorder="1" applyAlignment="1" applyProtection="1">
      <alignment horizontal="right" vertical="center" indent="1"/>
    </xf>
    <xf numFmtId="165" fontId="18" fillId="8" borderId="27" xfId="0" applyNumberFormat="1" applyFont="1" applyFill="1" applyBorder="1" applyAlignment="1" applyProtection="1">
      <alignment horizontal="left" vertical="center" wrapText="1" indent="2"/>
    </xf>
    <xf numFmtId="165" fontId="6" fillId="0" borderId="0" xfId="0" applyNumberFormat="1" applyFont="1" applyFill="1" applyAlignment="1" applyProtection="1">
      <alignment horizontal="left" vertical="center" wrapText="1"/>
    </xf>
    <xf numFmtId="165" fontId="6" fillId="0" borderId="0" xfId="0" applyNumberFormat="1" applyFont="1" applyFill="1" applyAlignment="1" applyProtection="1">
      <alignment vertical="center" wrapText="1"/>
    </xf>
    <xf numFmtId="165" fontId="22" fillId="0" borderId="0" xfId="0" applyNumberFormat="1" applyFont="1" applyFill="1" applyAlignment="1" applyProtection="1">
      <alignment vertical="center" wrapText="1"/>
    </xf>
    <xf numFmtId="0" fontId="11" fillId="0" borderId="29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vertical="center" wrapText="1"/>
    </xf>
    <xf numFmtId="165" fontId="11" fillId="0" borderId="32" xfId="0" applyNumberFormat="1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 indent="1"/>
    </xf>
    <xf numFmtId="0" fontId="30" fillId="0" borderId="13" xfId="0" applyFont="1" applyBorder="1" applyAlignment="1" applyProtection="1">
      <alignment horizontal="center" vertical="center" wrapText="1"/>
    </xf>
    <xf numFmtId="0" fontId="40" fillId="0" borderId="33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" xfId="23" applyFont="1" applyFill="1" applyBorder="1" applyAlignment="1" applyProtection="1">
      <alignment horizontal="left" vertical="center" indent="1"/>
    </xf>
    <xf numFmtId="0" fontId="25" fillId="0" borderId="3" xfId="23" applyFont="1" applyFill="1" applyBorder="1" applyAlignment="1" applyProtection="1">
      <alignment horizontal="left" vertical="center" wrapText="1" indent="1"/>
    </xf>
    <xf numFmtId="0" fontId="25" fillId="0" borderId="2" xfId="23" applyFont="1" applyFill="1" applyBorder="1" applyAlignment="1" applyProtection="1">
      <alignment horizontal="left" vertical="center" wrapText="1" indent="1"/>
    </xf>
    <xf numFmtId="0" fontId="11" fillId="0" borderId="14" xfId="23" applyFont="1" applyFill="1" applyBorder="1" applyAlignment="1" applyProtection="1">
      <alignment horizontal="left" indent="1"/>
    </xf>
    <xf numFmtId="0" fontId="30" fillId="0" borderId="14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vertical="center" wrapText="1" indent="1"/>
    </xf>
    <xf numFmtId="0" fontId="30" fillId="0" borderId="39" xfId="0" applyFont="1" applyBorder="1" applyAlignment="1" applyProtection="1">
      <alignment horizontal="left" vertical="center" wrapText="1" indent="1"/>
    </xf>
    <xf numFmtId="165" fontId="23" fillId="0" borderId="28" xfId="21" applyNumberFormat="1" applyFont="1" applyFill="1" applyBorder="1" applyAlignment="1" applyProtection="1">
      <alignment horizontal="right" vertical="center" wrapText="1" indent="1"/>
    </xf>
    <xf numFmtId="165" fontId="23" fillId="0" borderId="19" xfId="21" applyNumberFormat="1" applyFont="1" applyFill="1" applyBorder="1" applyAlignment="1" applyProtection="1">
      <alignment horizontal="right" vertical="center" wrapText="1" indent="1"/>
    </xf>
    <xf numFmtId="165" fontId="2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21" applyNumberFormat="1" applyFont="1" applyFill="1" applyBorder="1" applyAlignment="1" applyProtection="1">
      <alignment horizontal="right" vertical="center" wrapText="1" indent="1"/>
    </xf>
    <xf numFmtId="165" fontId="10" fillId="0" borderId="0" xfId="21" applyNumberFormat="1" applyFont="1" applyFill="1" applyBorder="1" applyAlignment="1" applyProtection="1">
      <alignment horizontal="right" vertical="center" wrapText="1" indent="1"/>
    </xf>
    <xf numFmtId="165" fontId="25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9" xfId="0" applyNumberFormat="1" applyFont="1" applyBorder="1" applyAlignment="1" applyProtection="1">
      <alignment horizontal="right" vertical="center" wrapText="1" indent="1"/>
    </xf>
    <xf numFmtId="0" fontId="9" fillId="0" borderId="24" xfId="0" applyFont="1" applyFill="1" applyBorder="1" applyAlignment="1" applyProtection="1">
      <alignment horizontal="right" vertical="center"/>
    </xf>
    <xf numFmtId="165" fontId="31" fillId="0" borderId="14" xfId="0" applyNumberFormat="1" applyFont="1" applyFill="1" applyBorder="1" applyAlignment="1" applyProtection="1">
      <alignment horizontal="right" vertical="center" wrapText="1" indent="1"/>
    </xf>
    <xf numFmtId="165" fontId="3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Fill="1" applyBorder="1" applyAlignment="1" applyProtection="1">
      <alignment horizontal="right" vertical="center" wrapText="1" indent="1"/>
    </xf>
    <xf numFmtId="165" fontId="3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Fill="1" applyBorder="1" applyAlignment="1" applyProtection="1">
      <alignment horizontal="centerContinuous" vertical="center" wrapText="1"/>
    </xf>
    <xf numFmtId="165" fontId="11" fillId="0" borderId="14" xfId="0" applyNumberFormat="1" applyFont="1" applyFill="1" applyBorder="1" applyAlignment="1" applyProtection="1">
      <alignment horizontal="centerContinuous" vertical="center" wrapText="1"/>
    </xf>
    <xf numFmtId="165" fontId="11" fillId="0" borderId="19" xfId="0" applyNumberFormat="1" applyFont="1" applyFill="1" applyBorder="1" applyAlignment="1" applyProtection="1">
      <alignment horizontal="centerContinuous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31" fillId="0" borderId="27" xfId="0" applyNumberFormat="1" applyFont="1" applyFill="1" applyBorder="1" applyAlignment="1" applyProtection="1">
      <alignment horizontal="center" vertical="center" wrapText="1"/>
    </xf>
    <xf numFmtId="165" fontId="31" fillId="0" borderId="13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19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34" fillId="0" borderId="27" xfId="0" applyNumberFormat="1" applyFont="1" applyFill="1" applyBorder="1" applyAlignment="1" applyProtection="1">
      <alignment horizontal="left" vertical="center" wrapText="1" indent="1"/>
    </xf>
    <xf numFmtId="165" fontId="32" fillId="0" borderId="7" xfId="0" applyNumberFormat="1" applyFont="1" applyFill="1" applyBorder="1" applyAlignment="1" applyProtection="1">
      <alignment horizontal="left" vertical="center" wrapText="1" indent="1"/>
    </xf>
    <xf numFmtId="165" fontId="32" fillId="0" borderId="8" xfId="0" applyNumberFormat="1" applyFont="1" applyFill="1" applyBorder="1" applyAlignment="1" applyProtection="1">
      <alignment horizontal="left" vertical="center" wrapText="1" indent="1"/>
    </xf>
    <xf numFmtId="165" fontId="36" fillId="0" borderId="2" xfId="0" applyNumberFormat="1" applyFont="1" applyFill="1" applyBorder="1" applyAlignment="1" applyProtection="1">
      <alignment horizontal="right" vertical="center" wrapText="1" indent="1"/>
    </xf>
    <xf numFmtId="165" fontId="34" fillId="0" borderId="13" xfId="0" applyNumberFormat="1" applyFont="1" applyFill="1" applyBorder="1" applyAlignment="1" applyProtection="1">
      <alignment horizontal="left" vertical="center" wrapText="1" indent="1"/>
    </xf>
    <xf numFmtId="165" fontId="34" fillId="0" borderId="44" xfId="0" applyNumberFormat="1" applyFont="1" applyFill="1" applyBorder="1" applyAlignment="1" applyProtection="1">
      <alignment horizontal="right" vertical="center" wrapText="1" indent="1"/>
    </xf>
    <xf numFmtId="165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6" fillId="0" borderId="7" xfId="0" applyNumberFormat="1" applyFont="1" applyFill="1" applyBorder="1" applyAlignment="1" applyProtection="1">
      <alignment horizontal="left" vertical="center" wrapText="1" indent="1"/>
    </xf>
    <xf numFmtId="165" fontId="32" fillId="0" borderId="8" xfId="0" applyNumberFormat="1" applyFont="1" applyFill="1" applyBorder="1" applyAlignment="1" applyProtection="1">
      <alignment horizontal="left" vertical="center" wrapText="1" indent="2"/>
    </xf>
    <xf numFmtId="165" fontId="32" fillId="0" borderId="2" xfId="0" applyNumberFormat="1" applyFont="1" applyFill="1" applyBorder="1" applyAlignment="1" applyProtection="1">
      <alignment horizontal="left" vertical="center" wrapText="1" indent="2"/>
    </xf>
    <xf numFmtId="165" fontId="36" fillId="0" borderId="2" xfId="0" applyNumberFormat="1" applyFont="1" applyFill="1" applyBorder="1" applyAlignment="1" applyProtection="1">
      <alignment horizontal="left" vertical="center" wrapText="1" indent="1"/>
    </xf>
    <xf numFmtId="165" fontId="32" fillId="0" borderId="9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2"/>
    </xf>
    <xf numFmtId="165" fontId="25" fillId="0" borderId="10" xfId="0" applyNumberFormat="1" applyFont="1" applyFill="1" applyBorder="1" applyAlignment="1" applyProtection="1">
      <alignment horizontal="left" vertical="center" wrapText="1" indent="2"/>
    </xf>
    <xf numFmtId="165" fontId="36" fillId="0" borderId="3" xfId="0" applyNumberFormat="1" applyFont="1" applyFill="1" applyBorder="1" applyAlignment="1" applyProtection="1">
      <alignment horizontal="right" vertical="center" wrapText="1" inden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17" xfId="0" quotePrefix="1" applyFont="1" applyFill="1" applyBorder="1" applyAlignment="1" applyProtection="1">
      <alignment horizontal="right" vertical="center" indent="1"/>
    </xf>
    <xf numFmtId="0" fontId="11" fillId="0" borderId="28" xfId="0" applyFont="1" applyFill="1" applyBorder="1" applyAlignment="1" applyProtection="1">
      <alignment horizontal="right" vertical="center" wrapText="1" indent="1"/>
    </xf>
    <xf numFmtId="165" fontId="11" fillId="0" borderId="32" xfId="0" applyNumberFormat="1" applyFont="1" applyFill="1" applyBorder="1" applyAlignment="1" applyProtection="1">
      <alignment horizontal="right" vertical="center" wrapText="1" indent="1"/>
    </xf>
    <xf numFmtId="165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5" fontId="23" fillId="0" borderId="44" xfId="0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1" fillId="0" borderId="17" xfId="0" applyNumberFormat="1" applyFont="1" applyFill="1" applyBorder="1" applyAlignment="1" applyProtection="1">
      <alignment horizontal="right" vertical="center"/>
    </xf>
    <xf numFmtId="49" fontId="11" fillId="0" borderId="45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28" fillId="0" borderId="25" xfId="0" applyFont="1" applyBorder="1" applyAlignment="1" applyProtection="1">
      <alignment horizontal="left" vertical="center" wrapText="1" indent="1"/>
    </xf>
    <xf numFmtId="0" fontId="15" fillId="0" borderId="0" xfId="21" applyFont="1" applyFill="1" applyProtection="1"/>
    <xf numFmtId="0" fontId="15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6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23" fillId="0" borderId="15" xfId="21" applyFont="1" applyFill="1" applyBorder="1" applyAlignment="1" applyProtection="1">
      <alignment horizontal="center" vertical="center" wrapText="1"/>
    </xf>
    <xf numFmtId="0" fontId="23" fillId="0" borderId="16" xfId="21" applyFont="1" applyFill="1" applyBorder="1" applyAlignment="1" applyProtection="1">
      <alignment horizontal="center" vertical="center" wrapText="1"/>
    </xf>
    <xf numFmtId="0" fontId="23" fillId="0" borderId="28" xfId="21" applyFont="1" applyFill="1" applyBorder="1" applyAlignment="1" applyProtection="1">
      <alignment horizontal="center" vertical="center" wrapText="1"/>
    </xf>
    <xf numFmtId="165" fontId="25" fillId="0" borderId="20" xfId="21" applyNumberFormat="1" applyFont="1" applyFill="1" applyBorder="1" applyAlignment="1" applyProtection="1">
      <alignment horizontal="right" vertical="center" wrapText="1" indent="1"/>
    </xf>
    <xf numFmtId="0" fontId="25" fillId="0" borderId="3" xfId="21" applyFont="1" applyFill="1" applyBorder="1" applyAlignment="1" applyProtection="1">
      <alignment horizontal="left" vertical="center" wrapText="1" indent="6"/>
    </xf>
    <xf numFmtId="0" fontId="15" fillId="0" borderId="0" xfId="21" applyFill="1" applyProtection="1"/>
    <xf numFmtId="0" fontId="25" fillId="0" borderId="0" xfId="21" applyFont="1" applyFill="1" applyProtection="1"/>
    <xf numFmtId="0" fontId="18" fillId="0" borderId="0" xfId="21" applyFont="1" applyFill="1" applyProtection="1"/>
    <xf numFmtId="0" fontId="29" fillId="0" borderId="3" xfId="0" applyFont="1" applyBorder="1" applyAlignment="1" applyProtection="1">
      <alignment horizontal="left" wrapText="1" indent="1"/>
    </xf>
    <xf numFmtId="0" fontId="29" fillId="0" borderId="2" xfId="0" applyFont="1" applyBorder="1" applyAlignment="1" applyProtection="1">
      <alignment horizontal="left" wrapText="1" indent="1"/>
    </xf>
    <xf numFmtId="0" fontId="29" fillId="0" borderId="6" xfId="0" applyFont="1" applyBorder="1" applyAlignment="1" applyProtection="1">
      <alignment horizontal="left" wrapText="1" indent="1"/>
    </xf>
    <xf numFmtId="0" fontId="29" fillId="0" borderId="6" xfId="0" applyFont="1" applyBorder="1" applyAlignment="1" applyProtection="1">
      <alignment wrapText="1"/>
    </xf>
    <xf numFmtId="0" fontId="29" fillId="0" borderId="9" xfId="0" applyFont="1" applyBorder="1" applyAlignment="1" applyProtection="1">
      <alignment wrapText="1"/>
    </xf>
    <xf numFmtId="0" fontId="29" fillId="0" borderId="8" xfId="0" applyFont="1" applyBorder="1" applyAlignment="1" applyProtection="1">
      <alignment wrapText="1"/>
    </xf>
    <xf numFmtId="0" fontId="29" fillId="0" borderId="10" xfId="0" applyFont="1" applyBorder="1" applyAlignment="1" applyProtection="1">
      <alignment wrapText="1"/>
    </xf>
    <xf numFmtId="0" fontId="30" fillId="0" borderId="14" xfId="0" applyFont="1" applyBorder="1" applyAlignment="1" applyProtection="1">
      <alignment wrapText="1"/>
    </xf>
    <xf numFmtId="0" fontId="30" fillId="0" borderId="25" xfId="0" applyFont="1" applyBorder="1" applyAlignment="1" applyProtection="1">
      <alignment wrapText="1"/>
    </xf>
    <xf numFmtId="0" fontId="15" fillId="0" borderId="0" xfId="21" applyFill="1" applyAlignment="1" applyProtection="1"/>
    <xf numFmtId="165" fontId="28" fillId="0" borderId="19" xfId="0" quotePrefix="1" applyNumberFormat="1" applyFont="1" applyBorder="1" applyAlignment="1" applyProtection="1">
      <alignment horizontal="right" vertical="center" wrapText="1" indent="1"/>
    </xf>
    <xf numFmtId="0" fontId="27" fillId="0" borderId="0" xfId="21" applyFont="1" applyFill="1" applyProtection="1"/>
    <xf numFmtId="165" fontId="3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9" xfId="21" applyNumberFormat="1" applyFont="1" applyFill="1" applyBorder="1" applyAlignment="1" applyProtection="1">
      <alignment horizontal="center" vertical="center" wrapText="1"/>
    </xf>
    <xf numFmtId="49" fontId="25" fillId="0" borderId="8" xfId="21" applyNumberFormat="1" applyFont="1" applyFill="1" applyBorder="1" applyAlignment="1" applyProtection="1">
      <alignment horizontal="center" vertical="center" wrapText="1"/>
    </xf>
    <xf numFmtId="49" fontId="25" fillId="0" borderId="10" xfId="21" applyNumberFormat="1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wrapText="1"/>
    </xf>
    <xf numFmtId="0" fontId="29" fillId="0" borderId="9" xfId="0" applyFont="1" applyBorder="1" applyAlignment="1" applyProtection="1">
      <alignment horizontal="center" wrapText="1"/>
    </xf>
    <xf numFmtId="0" fontId="29" fillId="0" borderId="8" xfId="0" applyFont="1" applyBorder="1" applyAlignment="1" applyProtection="1">
      <alignment horizontal="center" wrapText="1"/>
    </xf>
    <xf numFmtId="0" fontId="29" fillId="0" borderId="10" xfId="0" applyFont="1" applyBorder="1" applyAlignment="1" applyProtection="1">
      <alignment horizontal="center" wrapText="1"/>
    </xf>
    <xf numFmtId="0" fontId="30" fillId="0" borderId="39" xfId="0" applyFont="1" applyBorder="1" applyAlignment="1" applyProtection="1">
      <alignment horizontal="center" wrapText="1"/>
    </xf>
    <xf numFmtId="49" fontId="25" fillId="0" borderId="11" xfId="21" applyNumberFormat="1" applyFont="1" applyFill="1" applyBorder="1" applyAlignment="1" applyProtection="1">
      <alignment horizontal="center" vertical="center" wrapText="1"/>
    </xf>
    <xf numFmtId="49" fontId="25" fillId="0" borderId="7" xfId="21" applyNumberFormat="1" applyFont="1" applyFill="1" applyBorder="1" applyAlignment="1" applyProtection="1">
      <alignment horizontal="center" vertical="center" wrapText="1"/>
    </xf>
    <xf numFmtId="49" fontId="25" fillId="0" borderId="12" xfId="21" applyNumberFormat="1" applyFont="1" applyFill="1" applyBorder="1" applyAlignment="1" applyProtection="1">
      <alignment horizontal="center" vertical="center" wrapText="1"/>
    </xf>
    <xf numFmtId="0" fontId="30" fillId="0" borderId="39" xfId="0" applyFont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49" fontId="32" fillId="0" borderId="11" xfId="0" applyNumberFormat="1" applyFont="1" applyFill="1" applyBorder="1" applyAlignment="1" applyProtection="1">
      <alignment horizontal="center" vertical="center" wrapText="1"/>
    </xf>
    <xf numFmtId="49" fontId="32" fillId="0" borderId="8" xfId="0" applyNumberFormat="1" applyFont="1" applyFill="1" applyBorder="1" applyAlignment="1" applyProtection="1">
      <alignment horizontal="center" vertical="center" wrapText="1"/>
    </xf>
    <xf numFmtId="49" fontId="32" fillId="0" borderId="9" xfId="0" applyNumberFormat="1" applyFont="1" applyFill="1" applyBorder="1" applyAlignment="1" applyProtection="1">
      <alignment horizontal="center" vertical="center" wrapText="1"/>
    </xf>
    <xf numFmtId="0" fontId="32" fillId="0" borderId="3" xfId="21" applyFont="1" applyFill="1" applyBorder="1" applyAlignment="1" applyProtection="1">
      <alignment horizontal="left" vertical="center" wrapText="1" indent="1"/>
    </xf>
    <xf numFmtId="0" fontId="32" fillId="0" borderId="2" xfId="21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10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165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23" applyFont="1" applyFill="1" applyBorder="1" applyAlignment="1" applyProtection="1">
      <alignment horizontal="left" vertical="center" wrapText="1" indent="1"/>
    </xf>
    <xf numFmtId="165" fontId="36" fillId="0" borderId="1" xfId="0" applyNumberFormat="1" applyFont="1" applyFill="1" applyBorder="1" applyAlignment="1" applyProtection="1">
      <alignment horizontal="right" vertical="center" wrapText="1" indent="1"/>
    </xf>
    <xf numFmtId="165" fontId="37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4" fillId="0" borderId="0" xfId="0" applyNumberFormat="1" applyFont="1" applyFill="1" applyAlignment="1">
      <alignment vertical="center" wrapText="1"/>
    </xf>
    <xf numFmtId="165" fontId="27" fillId="0" borderId="0" xfId="0" applyNumberFormat="1" applyFont="1" applyFill="1" applyAlignment="1">
      <alignment vertical="center" wrapText="1"/>
    </xf>
    <xf numFmtId="165" fontId="34" fillId="0" borderId="0" xfId="0" applyNumberFormat="1" applyFont="1" applyFill="1" applyAlignment="1">
      <alignment horizontal="left" vertical="center" wrapText="1"/>
    </xf>
    <xf numFmtId="0" fontId="47" fillId="0" borderId="0" xfId="18"/>
    <xf numFmtId="0" fontId="18" fillId="0" borderId="0" xfId="18" applyFont="1"/>
    <xf numFmtId="0" fontId="53" fillId="0" borderId="0" xfId="18" applyFont="1" applyAlignment="1">
      <alignment horizontal="centerContinuous"/>
    </xf>
    <xf numFmtId="0" fontId="47" fillId="0" borderId="0" xfId="18" applyFont="1"/>
    <xf numFmtId="0" fontId="32" fillId="0" borderId="3" xfId="0" applyFont="1" applyBorder="1" applyAlignment="1" applyProtection="1">
      <alignment horizontal="left" vertical="center" indent="1"/>
      <protection locked="0"/>
    </xf>
    <xf numFmtId="0" fontId="32" fillId="0" borderId="1" xfId="0" applyFont="1" applyBorder="1" applyAlignment="1" applyProtection="1">
      <alignment horizontal="left" vertical="center" indent="1"/>
      <protection locked="0"/>
    </xf>
    <xf numFmtId="165" fontId="32" fillId="0" borderId="2" xfId="23" applyNumberFormat="1" applyFont="1" applyFill="1" applyBorder="1" applyAlignment="1" applyProtection="1">
      <alignment vertical="center"/>
      <protection locked="0"/>
    </xf>
    <xf numFmtId="165" fontId="32" fillId="0" borderId="3" xfId="23" applyNumberFormat="1" applyFont="1" applyFill="1" applyBorder="1" applyAlignment="1" applyProtection="1">
      <alignment vertical="center"/>
      <protection locked="0"/>
    </xf>
    <xf numFmtId="0" fontId="29" fillId="0" borderId="2" xfId="0" quotePrefix="1" applyFont="1" applyBorder="1" applyAlignment="1" applyProtection="1">
      <alignment horizontal="left" wrapText="1" indent="1"/>
    </xf>
    <xf numFmtId="0" fontId="23" fillId="0" borderId="13" xfId="21" applyFont="1" applyFill="1" applyBorder="1" applyAlignment="1" applyProtection="1">
      <alignment horizontal="left" vertical="center" wrapText="1"/>
    </xf>
    <xf numFmtId="0" fontId="30" fillId="0" borderId="13" xfId="0" applyFont="1" applyBorder="1" applyAlignment="1" applyProtection="1">
      <alignment vertical="center" wrapText="1"/>
    </xf>
    <xf numFmtId="0" fontId="29" fillId="0" borderId="6" xfId="0" applyFont="1" applyBorder="1" applyAlignment="1" applyProtection="1">
      <alignment vertical="center" wrapText="1"/>
    </xf>
    <xf numFmtId="0" fontId="30" fillId="0" borderId="39" xfId="0" applyFont="1" applyBorder="1" applyAlignment="1" applyProtection="1">
      <alignment vertical="center" wrapText="1"/>
    </xf>
    <xf numFmtId="0" fontId="25" fillId="0" borderId="21" xfId="21" applyFont="1" applyFill="1" applyBorder="1" applyAlignment="1" applyProtection="1">
      <alignment horizontal="left" vertical="center" wrapText="1" indent="7"/>
    </xf>
    <xf numFmtId="0" fontId="23" fillId="0" borderId="39" xfId="21" applyFont="1" applyFill="1" applyBorder="1" applyAlignment="1" applyProtection="1">
      <alignment horizontal="left" vertical="center" wrapText="1" indent="1"/>
    </xf>
    <xf numFmtId="0" fontId="23" fillId="0" borderId="25" xfId="21" applyFont="1" applyFill="1" applyBorder="1" applyAlignment="1" applyProtection="1">
      <alignment vertical="center" wrapText="1"/>
    </xf>
    <xf numFmtId="165" fontId="23" fillId="0" borderId="26" xfId="21" applyNumberFormat="1" applyFont="1" applyFill="1" applyBorder="1" applyAlignment="1" applyProtection="1">
      <alignment horizontal="right" vertical="center" wrapText="1" indent="1"/>
    </xf>
    <xf numFmtId="165" fontId="3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1" fillId="0" borderId="45" xfId="0" applyNumberFormat="1" applyFont="1" applyFill="1" applyBorder="1" applyAlignment="1" applyProtection="1">
      <alignment horizontal="right" vertical="center" indent="1"/>
    </xf>
    <xf numFmtId="49" fontId="31" fillId="0" borderId="13" xfId="21" applyNumberFormat="1" applyFont="1" applyFill="1" applyBorder="1" applyAlignment="1" applyProtection="1">
      <alignment horizontal="center" vertical="center" wrapText="1"/>
    </xf>
    <xf numFmtId="166" fontId="47" fillId="0" borderId="0" xfId="18" applyNumberFormat="1" applyFont="1"/>
    <xf numFmtId="165" fontId="5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1" applyNumberFormat="1" applyFont="1" applyFill="1" applyBorder="1" applyAlignment="1" applyProtection="1">
      <alignment horizontal="right" vertical="center" wrapText="1" indent="1"/>
    </xf>
    <xf numFmtId="165" fontId="6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" xfId="23" applyNumberFormat="1" applyFont="1" applyFill="1" applyBorder="1" applyAlignment="1" applyProtection="1">
      <alignment vertical="center"/>
      <protection locked="0"/>
    </xf>
    <xf numFmtId="165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>
      <alignment vertical="center" wrapText="1"/>
    </xf>
    <xf numFmtId="165" fontId="3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Fill="1" applyAlignment="1" applyProtection="1">
      <alignment vertical="center" wrapText="1"/>
    </xf>
    <xf numFmtId="165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1" applyFill="1"/>
    <xf numFmtId="0" fontId="25" fillId="0" borderId="0" xfId="21" applyFont="1" applyFill="1"/>
    <xf numFmtId="165" fontId="23" fillId="0" borderId="44" xfId="21" applyNumberFormat="1" applyFont="1" applyFill="1" applyBorder="1" applyAlignment="1" applyProtection="1">
      <alignment horizontal="right" vertical="center" wrapText="1" indent="1"/>
    </xf>
    <xf numFmtId="0" fontId="18" fillId="0" borderId="0" xfId="21" applyFont="1" applyFill="1"/>
    <xf numFmtId="165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21" applyNumberFormat="1" applyFont="1" applyFill="1" applyBorder="1" applyAlignment="1" applyProtection="1">
      <alignment horizontal="right" vertical="center" wrapText="1" indent="1"/>
    </xf>
    <xf numFmtId="165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1" xfId="21" applyFont="1" applyFill="1" applyBorder="1" applyAlignment="1" applyProtection="1">
      <alignment horizontal="center" vertical="center" wrapText="1"/>
    </xf>
    <xf numFmtId="0" fontId="10" fillId="0" borderId="51" xfId="21" applyFont="1" applyFill="1" applyBorder="1" applyAlignment="1" applyProtection="1">
      <alignment vertical="center" wrapText="1"/>
    </xf>
    <xf numFmtId="165" fontId="23" fillId="0" borderId="52" xfId="21" applyNumberFormat="1" applyFont="1" applyFill="1" applyBorder="1" applyAlignment="1" applyProtection="1">
      <alignment horizontal="right" vertical="center" wrapText="1" indent="1"/>
    </xf>
    <xf numFmtId="165" fontId="25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4" xfId="0" applyNumberFormat="1" applyFont="1" applyBorder="1" applyAlignment="1" applyProtection="1">
      <alignment horizontal="right" vertical="center" wrapText="1" indent="1"/>
    </xf>
    <xf numFmtId="165" fontId="28" fillId="0" borderId="44" xfId="0" quotePrefix="1" applyNumberFormat="1" applyFont="1" applyBorder="1" applyAlignment="1" applyProtection="1">
      <alignment horizontal="right" vertical="center" wrapText="1" indent="1"/>
    </xf>
    <xf numFmtId="0" fontId="15" fillId="0" borderId="0" xfId="21" applyFont="1" applyFill="1"/>
    <xf numFmtId="165" fontId="62" fillId="0" borderId="0" xfId="0" applyNumberFormat="1" applyFont="1" applyFill="1" applyAlignment="1">
      <alignment horizontal="center" vertical="center" wrapText="1"/>
    </xf>
    <xf numFmtId="165" fontId="23" fillId="0" borderId="27" xfId="21" applyNumberFormat="1" applyFont="1" applyFill="1" applyBorder="1" applyAlignment="1" applyProtection="1">
      <alignment horizontal="right" vertical="center" wrapText="1" indent="1"/>
    </xf>
    <xf numFmtId="0" fontId="29" fillId="0" borderId="64" xfId="0" applyFont="1" applyBorder="1" applyAlignment="1" applyProtection="1">
      <alignment horizontal="left" wrapText="1" indent="1"/>
    </xf>
    <xf numFmtId="0" fontId="29" fillId="0" borderId="49" xfId="0" applyFont="1" applyBorder="1" applyAlignment="1" applyProtection="1">
      <alignment horizontal="left" wrapText="1" indent="1"/>
    </xf>
    <xf numFmtId="0" fontId="29" fillId="0" borderId="65" xfId="0" applyFont="1" applyBorder="1" applyAlignment="1" applyProtection="1">
      <alignment horizontal="left" wrapText="1" indent="1"/>
    </xf>
    <xf numFmtId="165" fontId="25" fillId="0" borderId="50" xfId="21" applyNumberFormat="1" applyFont="1" applyFill="1" applyBorder="1" applyAlignment="1" applyProtection="1">
      <alignment horizontal="right" vertical="center" wrapText="1" indent="1"/>
    </xf>
    <xf numFmtId="165" fontId="32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0" xfId="21" applyNumberFormat="1" applyFont="1" applyFill="1" applyBorder="1" applyAlignment="1" applyProtection="1">
      <alignment horizontal="right" vertical="center" wrapText="1" indent="1"/>
    </xf>
    <xf numFmtId="165" fontId="32" fillId="0" borderId="18" xfId="21" applyNumberFormat="1" applyFont="1" applyFill="1" applyBorder="1" applyAlignment="1" applyProtection="1">
      <alignment horizontal="right" vertical="center" wrapText="1" indent="1"/>
    </xf>
    <xf numFmtId="0" fontId="23" fillId="0" borderId="68" xfId="21" applyFont="1" applyFill="1" applyBorder="1" applyAlignment="1" applyProtection="1">
      <alignment horizontal="center" vertical="center" wrapText="1"/>
    </xf>
    <xf numFmtId="165" fontId="33" fillId="0" borderId="44" xfId="0" applyNumberFormat="1" applyFont="1" applyFill="1" applyBorder="1" applyAlignment="1" applyProtection="1">
      <alignment horizontal="right" vertical="center" wrapText="1" indent="1"/>
    </xf>
    <xf numFmtId="165" fontId="25" fillId="0" borderId="18" xfId="21" applyNumberFormat="1" applyFont="1" applyFill="1" applyBorder="1" applyAlignment="1" applyProtection="1">
      <alignment horizontal="right" vertical="center" wrapText="1" indent="1"/>
    </xf>
    <xf numFmtId="165" fontId="25" fillId="0" borderId="23" xfId="21" applyNumberFormat="1" applyFont="1" applyFill="1" applyBorder="1" applyAlignment="1" applyProtection="1">
      <alignment horizontal="right" vertical="center" wrapText="1" indent="1"/>
    </xf>
    <xf numFmtId="165" fontId="25" fillId="0" borderId="19" xfId="21" applyNumberFormat="1" applyFont="1" applyFill="1" applyBorder="1" applyAlignment="1" applyProtection="1">
      <alignment horizontal="right" vertical="center" wrapText="1" indent="1"/>
    </xf>
    <xf numFmtId="165" fontId="23" fillId="0" borderId="19" xfId="21" applyNumberFormat="1" applyFont="1" applyFill="1" applyBorder="1" applyAlignment="1" applyProtection="1">
      <alignment horizontal="center" vertical="center" wrapText="1"/>
    </xf>
    <xf numFmtId="0" fontId="6" fillId="0" borderId="0" xfId="21" applyFont="1" applyFill="1" applyAlignment="1" applyProtection="1">
      <alignment horizontal="right" vertical="center" indent="1"/>
    </xf>
    <xf numFmtId="165" fontId="15" fillId="0" borderId="0" xfId="21" applyNumberFormat="1" applyFill="1" applyProtection="1"/>
    <xf numFmtId="0" fontId="18" fillId="0" borderId="0" xfId="25" applyFont="1"/>
    <xf numFmtId="0" fontId="49" fillId="0" borderId="0" xfId="25" applyFont="1" applyAlignment="1">
      <alignment horizontal="centerContinuous"/>
    </xf>
    <xf numFmtId="0" fontId="47" fillId="0" borderId="0" xfId="25" applyFont="1"/>
    <xf numFmtId="0" fontId="6" fillId="0" borderId="0" xfId="20" applyFont="1"/>
    <xf numFmtId="0" fontId="12" fillId="0" borderId="0" xfId="20" applyFont="1" applyAlignment="1">
      <alignment horizontal="center"/>
    </xf>
    <xf numFmtId="0" fontId="49" fillId="0" borderId="0" xfId="20" applyFont="1" applyAlignment="1">
      <alignment horizontal="centerContinuous"/>
    </xf>
    <xf numFmtId="0" fontId="10" fillId="0" borderId="63" xfId="20" applyFont="1" applyBorder="1" applyAlignment="1">
      <alignment vertical="center"/>
    </xf>
    <xf numFmtId="0" fontId="6" fillId="0" borderId="51" xfId="20" applyFont="1" applyBorder="1" applyAlignment="1">
      <alignment vertical="center"/>
    </xf>
    <xf numFmtId="0" fontId="6" fillId="0" borderId="52" xfId="20" applyFont="1" applyBorder="1" applyAlignment="1">
      <alignment vertical="center"/>
    </xf>
    <xf numFmtId="0" fontId="47" fillId="0" borderId="0" xfId="19"/>
    <xf numFmtId="0" fontId="25" fillId="0" borderId="0" xfId="19" applyFont="1"/>
    <xf numFmtId="0" fontId="23" fillId="0" borderId="0" xfId="19" applyFont="1"/>
    <xf numFmtId="0" fontId="64" fillId="0" borderId="0" xfId="19" applyFont="1"/>
    <xf numFmtId="0" fontId="18" fillId="0" borderId="0" xfId="19" applyFont="1"/>
    <xf numFmtId="0" fontId="32" fillId="0" borderId="0" xfId="19" applyFont="1"/>
    <xf numFmtId="0" fontId="24" fillId="0" borderId="0" xfId="19" applyFont="1" applyAlignment="1">
      <alignment horizontal="right"/>
    </xf>
    <xf numFmtId="0" fontId="25" fillId="0" borderId="0" xfId="19" applyFont="1" applyAlignment="1">
      <alignment horizontal="centerContinuous"/>
    </xf>
    <xf numFmtId="0" fontId="23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54" fillId="0" borderId="0" xfId="19" applyFont="1" applyAlignment="1">
      <alignment horizontal="centerContinuous"/>
    </xf>
    <xf numFmtId="0" fontId="10" fillId="0" borderId="51" xfId="19" applyFont="1" applyBorder="1" applyAlignment="1">
      <alignment horizontal="center"/>
    </xf>
    <xf numFmtId="0" fontId="11" fillId="0" borderId="10" xfId="19" applyFont="1" applyBorder="1" applyAlignment="1">
      <alignment horizontal="center"/>
    </xf>
    <xf numFmtId="0" fontId="11" fillId="0" borderId="6" xfId="19" applyFont="1" applyBorder="1" applyAlignment="1">
      <alignment horizontal="center"/>
    </xf>
    <xf numFmtId="0" fontId="11" fillId="0" borderId="23" xfId="19" applyFont="1" applyBorder="1" applyAlignment="1">
      <alignment horizontal="center"/>
    </xf>
    <xf numFmtId="0" fontId="11" fillId="0" borderId="38" xfId="19" applyFont="1" applyBorder="1" applyAlignment="1">
      <alignment horizontal="center"/>
    </xf>
    <xf numFmtId="3" fontId="33" fillId="0" borderId="17" xfId="19" applyNumberFormat="1" applyFont="1" applyBorder="1"/>
    <xf numFmtId="0" fontId="48" fillId="0" borderId="0" xfId="19" applyFont="1"/>
    <xf numFmtId="3" fontId="39" fillId="0" borderId="5" xfId="19" applyNumberFormat="1" applyFont="1" applyBorder="1"/>
    <xf numFmtId="3" fontId="39" fillId="0" borderId="2" xfId="19" applyNumberFormat="1" applyFont="1" applyBorder="1"/>
    <xf numFmtId="3" fontId="11" fillId="0" borderId="18" xfId="19" applyNumberFormat="1" applyFont="1" applyBorder="1"/>
    <xf numFmtId="3" fontId="11" fillId="0" borderId="38" xfId="19" applyNumberFormat="1" applyFont="1" applyBorder="1"/>
    <xf numFmtId="3" fontId="39" fillId="0" borderId="8" xfId="19" applyNumberFormat="1" applyFont="1" applyBorder="1"/>
    <xf numFmtId="3" fontId="33" fillId="0" borderId="18" xfId="19" applyNumberFormat="1" applyFont="1" applyBorder="1"/>
    <xf numFmtId="3" fontId="11" fillId="0" borderId="0" xfId="19" applyNumberFormat="1" applyFont="1" applyBorder="1"/>
    <xf numFmtId="3" fontId="39" fillId="0" borderId="2" xfId="19" applyNumberFormat="1" applyFont="1" applyFill="1" applyBorder="1"/>
    <xf numFmtId="3" fontId="11" fillId="0" borderId="49" xfId="19" applyNumberFormat="1" applyFont="1" applyBorder="1"/>
    <xf numFmtId="3" fontId="57" fillId="0" borderId="2" xfId="19" applyNumberFormat="1" applyFont="1" applyBorder="1"/>
    <xf numFmtId="3" fontId="24" fillId="0" borderId="38" xfId="19" applyNumberFormat="1" applyFont="1" applyBorder="1"/>
    <xf numFmtId="3" fontId="57" fillId="0" borderId="8" xfId="19" applyNumberFormat="1" applyFont="1" applyBorder="1"/>
    <xf numFmtId="3" fontId="39" fillId="0" borderId="74" xfId="19" applyNumberFormat="1" applyFont="1" applyBorder="1"/>
    <xf numFmtId="3" fontId="39" fillId="0" borderId="6" xfId="19" applyNumberFormat="1" applyFont="1" applyBorder="1"/>
    <xf numFmtId="3" fontId="33" fillId="0" borderId="23" xfId="19" applyNumberFormat="1" applyFont="1" applyBorder="1"/>
    <xf numFmtId="3" fontId="24" fillId="0" borderId="56" xfId="19" applyNumberFormat="1" applyFont="1" applyBorder="1"/>
    <xf numFmtId="3" fontId="39" fillId="0" borderId="10" xfId="19" applyNumberFormat="1" applyFont="1" applyBorder="1"/>
    <xf numFmtId="3" fontId="39" fillId="0" borderId="74" xfId="19" applyNumberFormat="1" applyFont="1" applyFill="1" applyBorder="1"/>
    <xf numFmtId="3" fontId="11" fillId="0" borderId="11" xfId="19" applyNumberFormat="1" applyFont="1" applyBorder="1"/>
    <xf numFmtId="3" fontId="11" fillId="0" borderId="58" xfId="19" applyNumberFormat="1" applyFont="1" applyBorder="1"/>
    <xf numFmtId="3" fontId="22" fillId="0" borderId="5" xfId="19" applyNumberFormat="1" applyFont="1" applyBorder="1"/>
    <xf numFmtId="3" fontId="22" fillId="0" borderId="2" xfId="19" applyNumberFormat="1" applyFont="1" applyBorder="1"/>
    <xf numFmtId="3" fontId="11" fillId="0" borderId="8" xfId="19" applyNumberFormat="1" applyFont="1" applyBorder="1"/>
    <xf numFmtId="3" fontId="11" fillId="0" borderId="54" xfId="19" applyNumberFormat="1" applyFont="1" applyBorder="1"/>
    <xf numFmtId="3" fontId="11" fillId="0" borderId="21" xfId="19" applyNumberFormat="1" applyFont="1" applyBorder="1"/>
    <xf numFmtId="3" fontId="11" fillId="0" borderId="75" xfId="19" applyNumberFormat="1" applyFont="1" applyBorder="1"/>
    <xf numFmtId="3" fontId="11" fillId="0" borderId="22" xfId="19" applyNumberFormat="1" applyFont="1" applyBorder="1"/>
    <xf numFmtId="0" fontId="55" fillId="0" borderId="0" xfId="19" quotePrefix="1" applyFont="1" applyBorder="1"/>
    <xf numFmtId="3" fontId="22" fillId="0" borderId="0" xfId="19" applyNumberFormat="1" applyFont="1" applyBorder="1"/>
    <xf numFmtId="3" fontId="24" fillId="0" borderId="0" xfId="19" applyNumberFormat="1" applyFont="1" applyBorder="1"/>
    <xf numFmtId="3" fontId="22" fillId="0" borderId="0" xfId="19" applyNumberFormat="1" applyFont="1" applyFill="1" applyBorder="1"/>
    <xf numFmtId="3" fontId="55" fillId="0" borderId="0" xfId="19" applyNumberFormat="1" applyFont="1" applyFill="1" applyBorder="1"/>
    <xf numFmtId="3" fontId="55" fillId="0" borderId="0" xfId="19" applyNumberFormat="1" applyFont="1" applyBorder="1"/>
    <xf numFmtId="3" fontId="56" fillId="0" borderId="0" xfId="19" applyNumberFormat="1" applyFont="1" applyBorder="1"/>
    <xf numFmtId="165" fontId="59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0" fillId="0" borderId="0" xfId="0" applyFont="1" applyFill="1" applyAlignment="1" applyProtection="1">
      <alignment vertical="center" wrapText="1"/>
    </xf>
    <xf numFmtId="0" fontId="33" fillId="0" borderId="15" xfId="23" applyFont="1" applyFill="1" applyBorder="1" applyAlignment="1" applyProtection="1">
      <alignment horizontal="center" vertical="center" wrapText="1"/>
      <protection locked="0"/>
    </xf>
    <xf numFmtId="0" fontId="33" fillId="0" borderId="16" xfId="23" applyFont="1" applyFill="1" applyBorder="1" applyAlignment="1" applyProtection="1">
      <alignment horizontal="center" vertical="center"/>
      <protection locked="0"/>
    </xf>
    <xf numFmtId="0" fontId="33" fillId="0" borderId="28" xfId="23" applyFont="1" applyFill="1" applyBorder="1" applyAlignment="1" applyProtection="1">
      <alignment horizontal="center" vertical="center"/>
      <protection locked="0"/>
    </xf>
    <xf numFmtId="0" fontId="11" fillId="0" borderId="39" xfId="19" applyFont="1" applyBorder="1" applyAlignment="1">
      <alignment horizontal="center"/>
    </xf>
    <xf numFmtId="0" fontId="11" fillId="0" borderId="25" xfId="19" applyFont="1" applyBorder="1" applyAlignment="1">
      <alignment horizontal="center"/>
    </xf>
    <xf numFmtId="0" fontId="11" fillId="0" borderId="26" xfId="19" applyFont="1" applyBorder="1" applyAlignment="1">
      <alignment horizontal="center"/>
    </xf>
    <xf numFmtId="165" fontId="25" fillId="0" borderId="28" xfId="21" applyNumberFormat="1" applyFont="1" applyFill="1" applyBorder="1" applyAlignment="1" applyProtection="1">
      <alignment horizontal="right" vertical="center" wrapText="1" indent="1"/>
    </xf>
    <xf numFmtId="165" fontId="66" fillId="0" borderId="0" xfId="0" applyNumberFormat="1" applyFont="1" applyFill="1" applyAlignment="1">
      <alignment vertical="center" wrapText="1"/>
    </xf>
    <xf numFmtId="0" fontId="75" fillId="0" borderId="0" xfId="0" applyFont="1" applyAlignment="1" applyProtection="1">
      <alignment horizontal="right" vertical="top"/>
    </xf>
    <xf numFmtId="49" fontId="76" fillId="0" borderId="17" xfId="0" applyNumberFormat="1" applyFont="1" applyFill="1" applyBorder="1" applyAlignment="1" applyProtection="1">
      <alignment horizontal="right" vertical="center"/>
    </xf>
    <xf numFmtId="49" fontId="76" fillId="0" borderId="45" xfId="0" applyNumberFormat="1" applyFont="1" applyFill="1" applyBorder="1" applyAlignment="1" applyProtection="1">
      <alignment horizontal="right" vertical="center"/>
    </xf>
    <xf numFmtId="0" fontId="77" fillId="0" borderId="0" xfId="0" applyFont="1" applyFill="1" applyAlignment="1" applyProtection="1">
      <alignment horizontal="right"/>
    </xf>
    <xf numFmtId="0" fontId="76" fillId="0" borderId="28" xfId="0" applyFont="1" applyFill="1" applyBorder="1" applyAlignment="1" applyProtection="1">
      <alignment horizontal="center" vertical="center" wrapText="1"/>
    </xf>
    <xf numFmtId="0" fontId="72" fillId="0" borderId="19" xfId="0" applyFont="1" applyFill="1" applyBorder="1" applyAlignment="1" applyProtection="1">
      <alignment horizontal="center" vertical="center" wrapText="1"/>
    </xf>
    <xf numFmtId="165" fontId="76" fillId="0" borderId="32" xfId="0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3" fontId="32" fillId="0" borderId="0" xfId="21" applyNumberFormat="1" applyFont="1" applyFill="1" applyProtection="1"/>
    <xf numFmtId="0" fontId="32" fillId="0" borderId="0" xfId="21" applyFont="1" applyFill="1" applyProtection="1"/>
    <xf numFmtId="3" fontId="31" fillId="0" borderId="27" xfId="21" applyNumberFormat="1" applyFont="1" applyFill="1" applyBorder="1" applyProtection="1"/>
    <xf numFmtId="3" fontId="32" fillId="0" borderId="20" xfId="21" applyNumberFormat="1" applyFont="1" applyFill="1" applyBorder="1" applyProtection="1"/>
    <xf numFmtId="3" fontId="32" fillId="0" borderId="18" xfId="21" applyNumberFormat="1" applyFont="1" applyFill="1" applyBorder="1" applyProtection="1"/>
    <xf numFmtId="3" fontId="32" fillId="0" borderId="23" xfId="21" applyNumberFormat="1" applyFont="1" applyFill="1" applyBorder="1" applyProtection="1"/>
    <xf numFmtId="165" fontId="4" fillId="0" borderId="0" xfId="0" applyNumberFormat="1" applyFont="1" applyFill="1" applyAlignment="1" applyProtection="1">
      <alignment vertical="center" wrapText="1"/>
    </xf>
    <xf numFmtId="3" fontId="25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 vertical="center" wrapText="1"/>
    </xf>
    <xf numFmtId="3" fontId="23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center" vertical="center" wrapText="1"/>
    </xf>
    <xf numFmtId="3" fontId="23" fillId="0" borderId="27" xfId="0" applyNumberFormat="1" applyFont="1" applyFill="1" applyBorder="1" applyAlignment="1">
      <alignment horizontal="right" vertical="center" wrapText="1"/>
    </xf>
    <xf numFmtId="3" fontId="25" fillId="0" borderId="20" xfId="0" applyNumberFormat="1" applyFont="1" applyFill="1" applyBorder="1" applyAlignment="1">
      <alignment horizontal="right" vertical="center" wrapText="1"/>
    </xf>
    <xf numFmtId="3" fontId="25" fillId="0" borderId="18" xfId="0" applyNumberFormat="1" applyFont="1" applyFill="1" applyBorder="1" applyAlignment="1">
      <alignment horizontal="right" vertical="center" wrapText="1"/>
    </xf>
    <xf numFmtId="3" fontId="25" fillId="0" borderId="23" xfId="0" applyNumberFormat="1" applyFont="1" applyFill="1" applyBorder="1" applyAlignment="1">
      <alignment horizontal="right" vertical="center" wrapText="1"/>
    </xf>
    <xf numFmtId="3" fontId="25" fillId="0" borderId="27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3" fontId="25" fillId="0" borderId="0" xfId="0" applyNumberFormat="1" applyFont="1" applyFill="1" applyAlignment="1" applyProtection="1">
      <alignment vertical="center" wrapText="1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0" applyNumberFormat="1" applyFont="1" applyFill="1" applyAlignment="1" applyProtection="1">
      <alignment horizontal="center" vertical="center" wrapText="1"/>
    </xf>
    <xf numFmtId="3" fontId="52" fillId="0" borderId="2" xfId="0" applyNumberFormat="1" applyFont="1" applyFill="1" applyBorder="1" applyAlignment="1" applyProtection="1">
      <alignment vertical="center" wrapText="1"/>
    </xf>
    <xf numFmtId="3" fontId="52" fillId="0" borderId="0" xfId="0" applyNumberFormat="1" applyFont="1" applyFill="1" applyAlignment="1" applyProtection="1">
      <alignment vertical="center" wrapText="1"/>
    </xf>
    <xf numFmtId="166" fontId="12" fillId="0" borderId="0" xfId="26" applyNumberFormat="1" applyFont="1" applyAlignment="1">
      <alignment horizontal="center"/>
    </xf>
    <xf numFmtId="166" fontId="18" fillId="0" borderId="0" xfId="26" applyNumberFormat="1" applyFont="1"/>
    <xf numFmtId="166" fontId="6" fillId="0" borderId="0" xfId="26" applyNumberFormat="1" applyFont="1"/>
    <xf numFmtId="166" fontId="49" fillId="0" borderId="0" xfId="26" applyNumberFormat="1" applyFont="1" applyAlignment="1">
      <alignment horizontal="centerContinuous"/>
    </xf>
    <xf numFmtId="166" fontId="12" fillId="0" borderId="0" xfId="26" applyNumberFormat="1" applyFont="1" applyAlignment="1">
      <alignment horizontal="right"/>
    </xf>
    <xf numFmtId="166" fontId="10" fillId="0" borderId="27" xfId="26" applyNumberFormat="1" applyFont="1" applyBorder="1" applyAlignment="1">
      <alignment horizontal="center" vertical="center"/>
    </xf>
    <xf numFmtId="166" fontId="4" fillId="0" borderId="36" xfId="26" applyNumberFormat="1" applyFont="1" applyBorder="1" applyAlignment="1"/>
    <xf numFmtId="166" fontId="18" fillId="0" borderId="0" xfId="26" applyNumberFormat="1" applyFont="1" applyBorder="1" applyAlignment="1"/>
    <xf numFmtId="0" fontId="4" fillId="0" borderId="72" xfId="20" applyFont="1" applyBorder="1"/>
    <xf numFmtId="166" fontId="18" fillId="0" borderId="0" xfId="26" applyNumberFormat="1" applyFont="1" applyBorder="1"/>
    <xf numFmtId="3" fontId="32" fillId="0" borderId="0" xfId="23" applyNumberFormat="1" applyFont="1" applyFill="1" applyProtection="1">
      <protection locked="0"/>
    </xf>
    <xf numFmtId="3" fontId="32" fillId="0" borderId="0" xfId="23" applyNumberFormat="1" applyFont="1" applyFill="1" applyAlignment="1" applyProtection="1">
      <alignment vertical="center"/>
    </xf>
    <xf numFmtId="3" fontId="32" fillId="0" borderId="11" xfId="23" applyNumberFormat="1" applyFont="1" applyFill="1" applyBorder="1" applyAlignment="1" applyProtection="1">
      <alignment vertical="center"/>
    </xf>
    <xf numFmtId="3" fontId="32" fillId="0" borderId="17" xfId="23" applyNumberFormat="1" applyFont="1" applyFill="1" applyBorder="1" applyAlignment="1" applyProtection="1">
      <alignment vertical="center"/>
      <protection locked="0"/>
    </xf>
    <xf numFmtId="165" fontId="31" fillId="0" borderId="18" xfId="23" applyNumberFormat="1" applyFont="1" applyFill="1" applyBorder="1" applyAlignment="1" applyProtection="1">
      <alignment vertical="center"/>
    </xf>
    <xf numFmtId="3" fontId="32" fillId="0" borderId="8" xfId="23" applyNumberFormat="1" applyFont="1" applyFill="1" applyBorder="1" applyAlignment="1" applyProtection="1">
      <alignment vertical="center"/>
      <protection locked="0"/>
    </xf>
    <xf numFmtId="3" fontId="32" fillId="0" borderId="18" xfId="23" applyNumberFormat="1" applyFont="1" applyFill="1" applyBorder="1" applyAlignment="1" applyProtection="1">
      <alignment vertical="center"/>
      <protection locked="0"/>
    </xf>
    <xf numFmtId="3" fontId="32" fillId="0" borderId="10" xfId="23" applyNumberFormat="1" applyFont="1" applyFill="1" applyBorder="1" applyAlignment="1" applyProtection="1">
      <alignment vertical="center"/>
      <protection locked="0"/>
    </xf>
    <xf numFmtId="3" fontId="32" fillId="0" borderId="23" xfId="23" applyNumberFormat="1" applyFont="1" applyFill="1" applyBorder="1" applyAlignment="1" applyProtection="1">
      <alignment vertical="center"/>
      <protection locked="0"/>
    </xf>
    <xf numFmtId="3" fontId="32" fillId="0" borderId="27" xfId="23" applyNumberFormat="1" applyFont="1" applyFill="1" applyBorder="1" applyAlignment="1" applyProtection="1">
      <alignment vertical="center"/>
    </xf>
    <xf numFmtId="3" fontId="32" fillId="0" borderId="27" xfId="23" applyNumberFormat="1" applyFont="1" applyFill="1" applyBorder="1" applyAlignment="1" applyProtection="1">
      <alignment vertical="center"/>
      <protection locked="0"/>
    </xf>
    <xf numFmtId="3" fontId="32" fillId="0" borderId="0" xfId="23" applyNumberFormat="1" applyFont="1" applyFill="1" applyAlignment="1" applyProtection="1">
      <alignment vertical="center"/>
      <protection locked="0"/>
    </xf>
    <xf numFmtId="0" fontId="25" fillId="0" borderId="11" xfId="23" applyFont="1" applyFill="1" applyBorder="1" applyAlignment="1" applyProtection="1">
      <alignment horizontal="left" vertical="center" indent="1"/>
    </xf>
    <xf numFmtId="0" fontId="25" fillId="0" borderId="4" xfId="23" applyFont="1" applyFill="1" applyBorder="1" applyAlignment="1" applyProtection="1">
      <alignment horizontal="left" vertical="center" indent="1"/>
    </xf>
    <xf numFmtId="165" fontId="32" fillId="0" borderId="4" xfId="23" applyNumberFormat="1" applyFont="1" applyFill="1" applyBorder="1" applyAlignment="1" applyProtection="1">
      <alignment vertical="center"/>
      <protection locked="0"/>
    </xf>
    <xf numFmtId="3" fontId="29" fillId="0" borderId="0" xfId="25" applyNumberFormat="1" applyFont="1"/>
    <xf numFmtId="0" fontId="4" fillId="0" borderId="47" xfId="20" applyFont="1" applyBorder="1" applyAlignment="1">
      <alignment horizontal="left"/>
    </xf>
    <xf numFmtId="0" fontId="4" fillId="0" borderId="72" xfId="20" quotePrefix="1" applyFont="1" applyBorder="1" applyAlignment="1">
      <alignment horizontal="left"/>
    </xf>
    <xf numFmtId="165" fontId="32" fillId="0" borderId="20" xfId="21" applyNumberFormat="1" applyFont="1" applyFill="1" applyBorder="1" applyAlignment="1" applyProtection="1">
      <alignment horizontal="center" vertical="center" wrapText="1"/>
    </xf>
    <xf numFmtId="165" fontId="31" fillId="0" borderId="20" xfId="21" applyNumberFormat="1" applyFont="1" applyFill="1" applyBorder="1" applyAlignment="1" applyProtection="1">
      <alignment horizontal="center" vertical="center" wrapText="1"/>
    </xf>
    <xf numFmtId="0" fontId="23" fillId="0" borderId="70" xfId="21" applyFont="1" applyFill="1" applyBorder="1" applyAlignment="1" applyProtection="1">
      <alignment vertical="center" wrapText="1"/>
    </xf>
    <xf numFmtId="0" fontId="31" fillId="0" borderId="68" xfId="21" applyFont="1" applyFill="1" applyBorder="1" applyAlignment="1" applyProtection="1">
      <alignment horizontal="left" vertical="center" wrapText="1" indent="1"/>
    </xf>
    <xf numFmtId="165" fontId="31" fillId="0" borderId="40" xfId="21" applyNumberFormat="1" applyFont="1" applyFill="1" applyBorder="1" applyAlignment="1" applyProtection="1">
      <alignment horizontal="center" vertical="center" wrapText="1"/>
    </xf>
    <xf numFmtId="165" fontId="31" fillId="0" borderId="27" xfId="21" applyNumberFormat="1" applyFont="1" applyFill="1" applyBorder="1" applyAlignment="1" applyProtection="1">
      <alignment horizontal="center" vertical="center" wrapText="1"/>
    </xf>
    <xf numFmtId="0" fontId="28" fillId="0" borderId="70" xfId="0" applyFont="1" applyBorder="1" applyAlignment="1" applyProtection="1">
      <alignment horizontal="left" vertical="center" wrapText="1" indent="1"/>
    </xf>
    <xf numFmtId="165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6" fontId="27" fillId="0" borderId="46" xfId="26" applyNumberFormat="1" applyFont="1" applyBorder="1"/>
    <xf numFmtId="0" fontId="4" fillId="0" borderId="36" xfId="20" applyFont="1" applyBorder="1"/>
    <xf numFmtId="166" fontId="27" fillId="0" borderId="29" xfId="26" applyNumberFormat="1" applyFont="1" applyBorder="1"/>
    <xf numFmtId="166" fontId="27" fillId="0" borderId="73" xfId="26" applyNumberFormat="1" applyFont="1" applyBorder="1"/>
    <xf numFmtId="166" fontId="27" fillId="0" borderId="53" xfId="26" applyNumberFormat="1" applyFont="1" applyBorder="1"/>
    <xf numFmtId="166" fontId="27" fillId="0" borderId="34" xfId="26" applyNumberFormat="1" applyFont="1" applyBorder="1"/>
    <xf numFmtId="166" fontId="27" fillId="0" borderId="35" xfId="26" applyNumberFormat="1" applyFont="1" applyBorder="1"/>
    <xf numFmtId="166" fontId="27" fillId="0" borderId="44" xfId="26" applyNumberFormat="1" applyFont="1" applyBorder="1"/>
    <xf numFmtId="166" fontId="34" fillId="0" borderId="44" xfId="26" applyNumberFormat="1" applyFont="1" applyBorder="1"/>
    <xf numFmtId="166" fontId="15" fillId="0" borderId="71" xfId="26" quotePrefix="1" applyNumberFormat="1" applyFont="1" applyBorder="1"/>
    <xf numFmtId="166" fontId="15" fillId="0" borderId="57" xfId="26" quotePrefix="1" applyNumberFormat="1" applyFont="1" applyBorder="1"/>
    <xf numFmtId="166" fontId="15" fillId="0" borderId="57" xfId="26" applyNumberFormat="1" applyFont="1" applyBorder="1"/>
    <xf numFmtId="166" fontId="27" fillId="0" borderId="43" xfId="26" applyNumberFormat="1" applyFont="1" applyBorder="1"/>
    <xf numFmtId="166" fontId="27" fillId="0" borderId="0" xfId="26" applyNumberFormat="1" applyFont="1" applyBorder="1"/>
    <xf numFmtId="166" fontId="27" fillId="0" borderId="48" xfId="26" applyNumberFormat="1" applyFont="1" applyBorder="1"/>
    <xf numFmtId="0" fontId="23" fillId="0" borderId="68" xfId="21" applyFont="1" applyFill="1" applyBorder="1" applyAlignment="1" applyProtection="1">
      <alignment horizontal="left" vertical="center" wrapText="1" indent="1"/>
    </xf>
    <xf numFmtId="0" fontId="29" fillId="0" borderId="49" xfId="0" applyFont="1" applyBorder="1" applyAlignment="1" applyProtection="1">
      <alignment horizontal="left" vertical="center" wrapText="1" indent="1"/>
    </xf>
    <xf numFmtId="0" fontId="29" fillId="0" borderId="65" xfId="0" applyFont="1" applyBorder="1" applyAlignment="1" applyProtection="1">
      <alignment horizontal="left" vertical="center" wrapText="1" indent="1"/>
    </xf>
    <xf numFmtId="0" fontId="30" fillId="0" borderId="68" xfId="0" applyFont="1" applyBorder="1" applyAlignment="1" applyProtection="1">
      <alignment horizontal="left" vertical="center" wrapText="1" indent="1"/>
    </xf>
    <xf numFmtId="0" fontId="29" fillId="0" borderId="65" xfId="0" applyFont="1" applyBorder="1" applyAlignment="1" applyProtection="1">
      <alignment vertical="center" wrapText="1"/>
    </xf>
    <xf numFmtId="0" fontId="30" fillId="0" borderId="68" xfId="0" applyFont="1" applyBorder="1" applyAlignment="1" applyProtection="1">
      <alignment wrapText="1"/>
    </xf>
    <xf numFmtId="0" fontId="30" fillId="0" borderId="70" xfId="0" applyFont="1" applyBorder="1" applyAlignment="1" applyProtection="1">
      <alignment wrapText="1"/>
    </xf>
    <xf numFmtId="0" fontId="23" fillId="0" borderId="62" xfId="21" applyFont="1" applyFill="1" applyBorder="1" applyAlignment="1" applyProtection="1">
      <alignment vertical="center" wrapText="1"/>
    </xf>
    <xf numFmtId="0" fontId="25" fillId="0" borderId="69" xfId="21" applyFont="1" applyFill="1" applyBorder="1" applyAlignment="1" applyProtection="1">
      <alignment horizontal="left" vertical="center" wrapText="1" indent="1"/>
    </xf>
    <xf numFmtId="0" fontId="25" fillId="0" borderId="49" xfId="21" applyFont="1" applyFill="1" applyBorder="1" applyAlignment="1" applyProtection="1">
      <alignment horizontal="left" vertical="center" wrapText="1" indent="1"/>
    </xf>
    <xf numFmtId="0" fontId="25" fillId="0" borderId="65" xfId="21" applyFont="1" applyFill="1" applyBorder="1" applyAlignment="1" applyProtection="1">
      <alignment horizontal="left" vertical="center" wrapText="1" indent="1"/>
    </xf>
    <xf numFmtId="0" fontId="25" fillId="0" borderId="65" xfId="21" applyFont="1" applyFill="1" applyBorder="1" applyAlignment="1" applyProtection="1">
      <alignment horizontal="left" vertical="center" wrapText="1" indent="6"/>
    </xf>
    <xf numFmtId="0" fontId="25" fillId="0" borderId="72" xfId="21" applyFont="1" applyFill="1" applyBorder="1" applyAlignment="1" applyProtection="1">
      <alignment horizontal="left" vertical="center" wrapText="1" indent="1"/>
    </xf>
    <xf numFmtId="0" fontId="25" fillId="0" borderId="37" xfId="21" applyFont="1" applyFill="1" applyBorder="1" applyAlignment="1" applyProtection="1">
      <alignment horizontal="left" vertical="center" wrapText="1" indent="7"/>
    </xf>
    <xf numFmtId="0" fontId="25" fillId="0" borderId="64" xfId="21" applyFont="1" applyFill="1" applyBorder="1" applyAlignment="1" applyProtection="1">
      <alignment horizontal="left" vertical="center" wrapText="1" indent="1"/>
    </xf>
    <xf numFmtId="0" fontId="25" fillId="0" borderId="66" xfId="21" applyFont="1" applyFill="1" applyBorder="1" applyAlignment="1" applyProtection="1">
      <alignment horizontal="left" vertical="center" wrapText="1" indent="1"/>
    </xf>
    <xf numFmtId="0" fontId="25" fillId="0" borderId="64" xfId="21" applyFont="1" applyFill="1" applyBorder="1" applyAlignment="1" applyProtection="1">
      <alignment horizontal="left" vertical="center" wrapText="1" indent="6"/>
    </xf>
    <xf numFmtId="0" fontId="25" fillId="0" borderId="49" xfId="21" applyFont="1" applyFill="1" applyBorder="1" applyAlignment="1" applyProtection="1">
      <alignment horizontal="left" vertical="center" wrapText="1" indent="6"/>
    </xf>
    <xf numFmtId="0" fontId="11" fillId="0" borderId="68" xfId="21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Alignment="1">
      <alignment horizontal="left" vertical="center" wrapText="1"/>
    </xf>
    <xf numFmtId="0" fontId="25" fillId="0" borderId="49" xfId="21" applyFont="1" applyFill="1" applyBorder="1" applyAlignment="1" applyProtection="1">
      <alignment horizontal="left" indent="6"/>
    </xf>
    <xf numFmtId="165" fontId="32" fillId="0" borderId="17" xfId="21" applyNumberFormat="1" applyFont="1" applyFill="1" applyBorder="1" applyAlignment="1" applyProtection="1">
      <alignment horizontal="right" vertical="center" wrapText="1" indent="1"/>
    </xf>
    <xf numFmtId="165" fontId="32" fillId="0" borderId="22" xfId="21" applyNumberFormat="1" applyFont="1" applyFill="1" applyBorder="1" applyAlignment="1" applyProtection="1">
      <alignment horizontal="right" vertical="center" wrapText="1" indent="1"/>
    </xf>
    <xf numFmtId="165" fontId="23" fillId="0" borderId="17" xfId="21" applyNumberFormat="1" applyFont="1" applyFill="1" applyBorder="1" applyAlignment="1" applyProtection="1">
      <alignment horizontal="right" vertical="center" wrapText="1" indent="1"/>
    </xf>
    <xf numFmtId="165" fontId="23" fillId="0" borderId="18" xfId="21" applyNumberFormat="1" applyFont="1" applyFill="1" applyBorder="1" applyAlignment="1" applyProtection="1">
      <alignment horizontal="right" vertical="center" wrapText="1" indent="1"/>
    </xf>
    <xf numFmtId="165" fontId="23" fillId="0" borderId="22" xfId="21" applyNumberFormat="1" applyFont="1" applyFill="1" applyBorder="1" applyAlignment="1" applyProtection="1">
      <alignment horizontal="right" vertical="center" wrapText="1" indent="1"/>
    </xf>
    <xf numFmtId="165" fontId="23" fillId="0" borderId="20" xfId="21" applyNumberFormat="1" applyFont="1" applyFill="1" applyBorder="1" applyAlignment="1" applyProtection="1">
      <alignment horizontal="right" vertical="center" wrapText="1" indent="1"/>
    </xf>
    <xf numFmtId="165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0" xfId="25" applyFont="1"/>
    <xf numFmtId="3" fontId="73" fillId="0" borderId="6" xfId="19" applyNumberFormat="1" applyFont="1" applyBorder="1"/>
    <xf numFmtId="4" fontId="3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1" xfId="20" quotePrefix="1" applyFont="1" applyBorder="1" applyAlignment="1">
      <alignment horizontal="left"/>
    </xf>
    <xf numFmtId="0" fontId="4" fillId="0" borderId="32" xfId="20" applyFont="1" applyBorder="1"/>
    <xf numFmtId="166" fontId="4" fillId="0" borderId="32" xfId="26" applyNumberFormat="1" applyFont="1" applyBorder="1" applyAlignment="1"/>
    <xf numFmtId="0" fontId="79" fillId="0" borderId="0" xfId="19" applyFont="1"/>
    <xf numFmtId="0" fontId="47" fillId="0" borderId="0" xfId="19" applyFont="1"/>
    <xf numFmtId="3" fontId="47" fillId="0" borderId="0" xfId="19" applyNumberFormat="1" applyFont="1"/>
    <xf numFmtId="0" fontId="47" fillId="0" borderId="0" xfId="20" applyFont="1"/>
    <xf numFmtId="0" fontId="47" fillId="0" borderId="0" xfId="20" applyFont="1" applyAlignment="1">
      <alignment vertical="center"/>
    </xf>
    <xf numFmtId="0" fontId="47" fillId="0" borderId="0" xfId="20" applyFont="1" applyFill="1" applyBorder="1"/>
    <xf numFmtId="0" fontId="47" fillId="0" borderId="0" xfId="20" applyFont="1" applyBorder="1"/>
    <xf numFmtId="167" fontId="69" fillId="9" borderId="26" xfId="26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Fill="1" applyAlignment="1">
      <alignment horizontal="right"/>
    </xf>
    <xf numFmtId="165" fontId="31" fillId="0" borderId="19" xfId="23" applyNumberFormat="1" applyFont="1" applyFill="1" applyBorder="1" applyAlignment="1" applyProtection="1">
      <alignment vertical="center"/>
    </xf>
    <xf numFmtId="165" fontId="31" fillId="0" borderId="19" xfId="23" applyNumberFormat="1" applyFont="1" applyFill="1" applyBorder="1" applyProtection="1"/>
    <xf numFmtId="0" fontId="15" fillId="0" borderId="0" xfId="23" applyFont="1" applyFill="1" applyProtection="1"/>
    <xf numFmtId="0" fontId="15" fillId="0" borderId="0" xfId="23" applyFont="1" applyFill="1" applyProtection="1">
      <protection locked="0"/>
    </xf>
    <xf numFmtId="0" fontId="27" fillId="0" borderId="0" xfId="0" applyFont="1" applyAlignment="1">
      <alignment horizontal="center" wrapText="1"/>
    </xf>
    <xf numFmtId="3" fontId="32" fillId="0" borderId="11" xfId="23" applyNumberFormat="1" applyFont="1" applyFill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165" fontId="32" fillId="0" borderId="40" xfId="21" applyNumberFormat="1" applyFont="1" applyFill="1" applyBorder="1" applyAlignment="1" applyProtection="1">
      <alignment horizontal="center" vertical="center" wrapText="1"/>
    </xf>
    <xf numFmtId="165" fontId="69" fillId="0" borderId="0" xfId="0" applyNumberFormat="1" applyFont="1" applyFill="1" applyAlignment="1" applyProtection="1">
      <alignment horizontal="center" vertical="center" wrapText="1"/>
    </xf>
    <xf numFmtId="165" fontId="69" fillId="0" borderId="0" xfId="0" applyNumberFormat="1" applyFont="1" applyFill="1" applyAlignment="1" applyProtection="1">
      <alignment vertical="center" wrapText="1"/>
    </xf>
    <xf numFmtId="165" fontId="77" fillId="0" borderId="0" xfId="0" applyNumberFormat="1" applyFont="1" applyFill="1" applyAlignment="1" applyProtection="1">
      <alignment horizontal="right" wrapText="1"/>
    </xf>
    <xf numFmtId="165" fontId="76" fillId="0" borderId="13" xfId="0" applyNumberFormat="1" applyFont="1" applyFill="1" applyBorder="1" applyAlignment="1" applyProtection="1">
      <alignment horizontal="center" vertical="center" wrapText="1"/>
    </xf>
    <xf numFmtId="165" fontId="76" fillId="0" borderId="14" xfId="0" applyNumberFormat="1" applyFont="1" applyFill="1" applyBorder="1" applyAlignment="1" applyProtection="1">
      <alignment horizontal="center" vertical="center" wrapText="1"/>
    </xf>
    <xf numFmtId="165" fontId="76" fillId="0" borderId="19" xfId="0" applyNumberFormat="1" applyFont="1" applyFill="1" applyBorder="1" applyAlignment="1" applyProtection="1">
      <alignment horizontal="center" vertical="center" wrapText="1"/>
    </xf>
    <xf numFmtId="165" fontId="59" fillId="0" borderId="0" xfId="0" applyNumberFormat="1" applyFont="1" applyFill="1" applyAlignment="1">
      <alignment horizontal="center" vertical="center" wrapText="1"/>
    </xf>
    <xf numFmtId="165" fontId="72" fillId="0" borderId="13" xfId="0" applyNumberFormat="1" applyFont="1" applyFill="1" applyBorder="1" applyAlignment="1" applyProtection="1">
      <alignment horizontal="center" vertical="center" wrapText="1"/>
    </xf>
    <xf numFmtId="165" fontId="72" fillId="0" borderId="14" xfId="0" applyNumberFormat="1" applyFont="1" applyFill="1" applyBorder="1" applyAlignment="1" applyProtection="1">
      <alignment horizontal="center" vertical="center" wrapText="1"/>
    </xf>
    <xf numFmtId="165" fontId="72" fillId="0" borderId="19" xfId="0" applyNumberFormat="1" applyFont="1" applyFill="1" applyBorder="1" applyAlignment="1" applyProtection="1">
      <alignment horizontal="center" vertical="center" wrapText="1"/>
    </xf>
    <xf numFmtId="165" fontId="69" fillId="0" borderId="0" xfId="0" applyNumberFormat="1" applyFont="1" applyFill="1" applyAlignment="1">
      <alignment vertical="center" wrapText="1"/>
    </xf>
    <xf numFmtId="165" fontId="71" fillId="0" borderId="0" xfId="0" applyNumberFormat="1" applyFont="1" applyFill="1" applyAlignment="1">
      <alignment vertical="center" wrapText="1"/>
    </xf>
    <xf numFmtId="165" fontId="74" fillId="0" borderId="0" xfId="0" applyNumberFormat="1" applyFont="1" applyFill="1" applyAlignment="1">
      <alignment vertical="center" wrapText="1"/>
    </xf>
    <xf numFmtId="165" fontId="69" fillId="0" borderId="0" xfId="0" applyNumberFormat="1" applyFont="1" applyFill="1" applyAlignment="1">
      <alignment horizontal="center" vertical="center" wrapText="1"/>
    </xf>
    <xf numFmtId="165" fontId="38" fillId="0" borderId="24" xfId="21" applyNumberFormat="1" applyFont="1" applyFill="1" applyBorder="1" applyAlignment="1" applyProtection="1">
      <alignment horizontal="left" vertical="center"/>
    </xf>
    <xf numFmtId="0" fontId="83" fillId="0" borderId="0" xfId="0" applyFont="1" applyFill="1" applyBorder="1" applyAlignment="1" applyProtection="1"/>
    <xf numFmtId="0" fontId="32" fillId="0" borderId="15" xfId="21" applyFont="1" applyFill="1" applyBorder="1" applyAlignment="1" applyProtection="1">
      <alignment horizontal="center" vertical="center"/>
    </xf>
    <xf numFmtId="0" fontId="32" fillId="0" borderId="16" xfId="21" applyFont="1" applyFill="1" applyBorder="1" applyAlignment="1" applyProtection="1">
      <alignment horizontal="center" vertical="center"/>
    </xf>
    <xf numFmtId="0" fontId="32" fillId="0" borderId="28" xfId="21" applyFont="1" applyFill="1" applyBorder="1" applyAlignment="1" applyProtection="1">
      <alignment horizontal="center" vertical="center"/>
    </xf>
    <xf numFmtId="0" fontId="32" fillId="0" borderId="55" xfId="21" applyFont="1" applyFill="1" applyBorder="1" applyProtection="1"/>
    <xf numFmtId="0" fontId="41" fillId="0" borderId="5" xfId="0" applyFont="1" applyBorder="1" applyAlignment="1">
      <alignment horizontal="justify" wrapText="1"/>
    </xf>
    <xf numFmtId="166" fontId="32" fillId="0" borderId="36" xfId="26" applyNumberFormat="1" applyFont="1" applyFill="1" applyBorder="1" applyProtection="1">
      <protection locked="0"/>
    </xf>
    <xf numFmtId="0" fontId="41" fillId="0" borderId="5" xfId="0" applyFont="1" applyBorder="1" applyAlignment="1">
      <alignment wrapText="1"/>
    </xf>
    <xf numFmtId="166" fontId="32" fillId="0" borderId="32" xfId="26" applyNumberFormat="1" applyFont="1" applyFill="1" applyBorder="1" applyProtection="1">
      <protection locked="0"/>
    </xf>
    <xf numFmtId="0" fontId="32" fillId="0" borderId="12" xfId="21" applyFont="1" applyFill="1" applyBorder="1" applyAlignment="1" applyProtection="1">
      <alignment horizontal="center" vertical="center"/>
    </xf>
    <xf numFmtId="0" fontId="41" fillId="0" borderId="54" xfId="0" applyFont="1" applyBorder="1" applyAlignment="1">
      <alignment wrapText="1"/>
    </xf>
    <xf numFmtId="166" fontId="32" fillId="0" borderId="53" xfId="26" applyNumberFormat="1" applyFont="1" applyFill="1" applyBorder="1" applyProtection="1">
      <protection locked="0"/>
    </xf>
    <xf numFmtId="166" fontId="31" fillId="0" borderId="26" xfId="26" applyNumberFormat="1" applyFont="1" applyFill="1" applyBorder="1" applyProtection="1"/>
    <xf numFmtId="0" fontId="0" fillId="0" borderId="0" xfId="0" applyFill="1" applyProtection="1"/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3" fontId="58" fillId="0" borderId="2" xfId="0" applyNumberFormat="1" applyFont="1" applyFill="1" applyBorder="1" applyAlignment="1" applyProtection="1">
      <alignment vertical="center"/>
      <protection locked="0"/>
    </xf>
    <xf numFmtId="3" fontId="65" fillId="0" borderId="2" xfId="0" applyNumberFormat="1" applyFont="1" applyFill="1" applyBorder="1" applyAlignment="1" applyProtection="1">
      <alignment vertical="center"/>
      <protection locked="0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166" fontId="71" fillId="0" borderId="22" xfId="26" applyNumberFormat="1" applyFont="1" applyFill="1" applyBorder="1" applyAlignment="1" applyProtection="1">
      <alignment horizontal="righ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5" fontId="9" fillId="0" borderId="0" xfId="0" applyNumberFormat="1" applyFont="1" applyFill="1" applyAlignment="1">
      <alignment horizontal="right" vertical="center"/>
    </xf>
    <xf numFmtId="0" fontId="11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 applyProtection="1">
      <alignment horizontal="left" vertical="center" wrapText="1" indent="1"/>
    </xf>
    <xf numFmtId="165" fontId="3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8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left" vertical="center" wrapText="1" indent="1"/>
    </xf>
    <xf numFmtId="165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8"/>
    </xf>
    <xf numFmtId="165" fontId="32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1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 applyProtection="1">
      <alignment vertical="center" wrapText="1"/>
      <protection locked="0"/>
    </xf>
    <xf numFmtId="165" fontId="3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 applyProtection="1">
      <alignment vertical="center" wrapText="1"/>
    </xf>
    <xf numFmtId="165" fontId="31" fillId="0" borderId="25" xfId="0" applyNumberFormat="1" applyFont="1" applyFill="1" applyBorder="1" applyAlignment="1" applyProtection="1">
      <alignment vertical="center" wrapText="1"/>
    </xf>
    <xf numFmtId="165" fontId="31" fillId="0" borderId="2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27" xfId="21" applyFont="1" applyFill="1" applyBorder="1" applyAlignment="1" applyProtection="1">
      <alignment horizontal="center" vertical="center" wrapText="1"/>
    </xf>
    <xf numFmtId="0" fontId="23" fillId="0" borderId="27" xfId="21" applyFont="1" applyFill="1" applyBorder="1" applyAlignment="1" applyProtection="1">
      <alignment horizontal="center" vertical="center" wrapText="1"/>
    </xf>
    <xf numFmtId="165" fontId="23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7" xfId="21" applyNumberFormat="1" applyFont="1" applyFill="1" applyBorder="1" applyAlignment="1" applyProtection="1">
      <alignment horizontal="right" vertical="center" wrapText="1" indent="1"/>
    </xf>
    <xf numFmtId="165" fontId="25" fillId="0" borderId="41" xfId="21" applyNumberFormat="1" applyFont="1" applyFill="1" applyBorder="1" applyAlignment="1" applyProtection="1">
      <alignment horizontal="right" vertical="center" wrapText="1" indent="1"/>
    </xf>
    <xf numFmtId="165" fontId="25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1" xfId="21" applyNumberFormat="1" applyFont="1" applyFill="1" applyBorder="1" applyAlignment="1" applyProtection="1">
      <alignment horizontal="right" vertical="center" wrapText="1" indent="1"/>
    </xf>
    <xf numFmtId="0" fontId="25" fillId="0" borderId="51" xfId="21" applyFont="1" applyFill="1" applyBorder="1" applyAlignment="1" applyProtection="1">
      <alignment horizontal="right" vertical="center" wrapText="1" indent="1"/>
    </xf>
    <xf numFmtId="165" fontId="32" fillId="0" borderId="51" xfId="21" applyNumberFormat="1" applyFont="1" applyFill="1" applyBorder="1" applyAlignment="1" applyProtection="1">
      <alignment horizontal="right" vertical="center" wrapText="1" indent="1"/>
    </xf>
    <xf numFmtId="0" fontId="11" fillId="0" borderId="44" xfId="21" applyFont="1" applyFill="1" applyBorder="1" applyAlignment="1" applyProtection="1">
      <alignment horizontal="center" vertical="center" wrapText="1"/>
    </xf>
    <xf numFmtId="0" fontId="23" fillId="0" borderId="52" xfId="21" applyFont="1" applyFill="1" applyBorder="1" applyAlignment="1" applyProtection="1">
      <alignment horizontal="center" vertical="center" wrapText="1"/>
    </xf>
    <xf numFmtId="165" fontId="23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25" xfId="21" applyFont="1" applyFill="1" applyBorder="1" applyAlignment="1" applyProtection="1">
      <alignment vertical="center" wrapText="1"/>
    </xf>
    <xf numFmtId="165" fontId="31" fillId="0" borderId="25" xfId="21" applyNumberFormat="1" applyFont="1" applyFill="1" applyBorder="1" applyAlignment="1" applyProtection="1">
      <alignment horizontal="right" vertical="center" wrapText="1" indent="1"/>
    </xf>
    <xf numFmtId="165" fontId="25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21" applyNumberFormat="1" applyFont="1" applyFill="1" applyBorder="1" applyAlignment="1" applyProtection="1">
      <alignment horizontal="right" vertical="center" wrapText="1" indent="1"/>
    </xf>
    <xf numFmtId="165" fontId="2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8" fillId="0" borderId="14" xfId="0" quotePrefix="1" applyNumberFormat="1" applyFont="1" applyBorder="1" applyAlignment="1" applyProtection="1">
      <alignment horizontal="right" vertical="center" wrapText="1" indent="1"/>
    </xf>
    <xf numFmtId="3" fontId="32" fillId="0" borderId="0" xfId="0" applyNumberFormat="1" applyFont="1" applyFill="1" applyAlignment="1" applyProtection="1">
      <alignment vertical="center" wrapText="1"/>
    </xf>
    <xf numFmtId="3" fontId="31" fillId="0" borderId="0" xfId="0" applyNumberFormat="1" applyFont="1" applyFill="1" applyAlignment="1" applyProtection="1">
      <alignment vertical="center"/>
    </xf>
    <xf numFmtId="3" fontId="31" fillId="0" borderId="0" xfId="0" applyNumberFormat="1" applyFont="1" applyFill="1" applyAlignment="1" applyProtection="1">
      <alignment horizontal="center" vertical="center" wrapText="1"/>
    </xf>
    <xf numFmtId="3" fontId="36" fillId="0" borderId="0" xfId="0" applyNumberFormat="1" applyFont="1" applyFill="1" applyAlignment="1" applyProtection="1">
      <alignment vertical="center" wrapText="1"/>
    </xf>
    <xf numFmtId="165" fontId="3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3" fontId="52" fillId="0" borderId="49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4" fillId="0" borderId="38" xfId="19" applyNumberFormat="1" applyFont="1" applyBorder="1"/>
    <xf numFmtId="3" fontId="39" fillId="0" borderId="10" xfId="19" applyNumberFormat="1" applyFont="1" applyFill="1" applyBorder="1"/>
    <xf numFmtId="165" fontId="3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1" applyFont="1" applyFill="1" applyAlignment="1" applyProtection="1"/>
    <xf numFmtId="165" fontId="3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0" applyNumberFormat="1" applyFont="1" applyFill="1" applyBorder="1" applyAlignment="1" applyProtection="1">
      <alignment horizontal="centerContinuous" vertical="center" wrapText="1"/>
    </xf>
    <xf numFmtId="165" fontId="33" fillId="0" borderId="14" xfId="0" applyNumberFormat="1" applyFont="1" applyFill="1" applyBorder="1" applyAlignment="1" applyProtection="1">
      <alignment horizontal="centerContinuous" vertical="center" wrapText="1"/>
    </xf>
    <xf numFmtId="165" fontId="33" fillId="0" borderId="19" xfId="0" applyNumberFormat="1" applyFont="1" applyFill="1" applyBorder="1" applyAlignment="1" applyProtection="1">
      <alignment horizontal="centerContinuous" vertical="center" wrapText="1"/>
    </xf>
    <xf numFmtId="165" fontId="33" fillId="0" borderId="13" xfId="0" applyNumberFormat="1" applyFont="1" applyFill="1" applyBorder="1" applyAlignment="1" applyProtection="1">
      <alignment horizontal="center" vertical="center" wrapText="1"/>
    </xf>
    <xf numFmtId="0" fontId="33" fillId="0" borderId="19" xfId="21" applyFont="1" applyFill="1" applyBorder="1" applyAlignment="1" applyProtection="1">
      <alignment horizontal="center" vertical="center" wrapText="1"/>
    </xf>
    <xf numFmtId="165" fontId="33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2" fillId="0" borderId="43" xfId="0" applyNumberFormat="1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1" xfId="21" applyFont="1" applyFill="1" applyBorder="1" applyAlignment="1" applyProtection="1">
      <alignment horizontal="center" vertical="center" wrapText="1"/>
    </xf>
    <xf numFmtId="0" fontId="23" fillId="0" borderId="4" xfId="21" applyFont="1" applyFill="1" applyBorder="1" applyAlignment="1" applyProtection="1">
      <alignment horizontal="center" vertical="center" wrapText="1"/>
    </xf>
    <xf numFmtId="0" fontId="23" fillId="0" borderId="17" xfId="21" applyFont="1" applyFill="1" applyBorder="1" applyAlignment="1" applyProtection="1">
      <alignment horizontal="center" vertical="center" wrapText="1"/>
    </xf>
    <xf numFmtId="0" fontId="25" fillId="0" borderId="13" xfId="21" applyFont="1" applyFill="1" applyBorder="1" applyAlignment="1" applyProtection="1">
      <alignment horizontal="center" vertical="center"/>
    </xf>
    <xf numFmtId="0" fontId="25" fillId="0" borderId="14" xfId="21" applyFont="1" applyFill="1" applyBorder="1" applyAlignment="1" applyProtection="1">
      <alignment horizontal="center" vertical="center"/>
    </xf>
    <xf numFmtId="0" fontId="25" fillId="0" borderId="19" xfId="21" applyFont="1" applyFill="1" applyBorder="1" applyAlignment="1" applyProtection="1">
      <alignment horizontal="center" vertical="center"/>
    </xf>
    <xf numFmtId="0" fontId="25" fillId="0" borderId="2" xfId="21" applyFont="1" applyFill="1" applyBorder="1" applyAlignment="1" applyProtection="1">
      <alignment horizontal="left"/>
      <protection locked="0"/>
    </xf>
    <xf numFmtId="166" fontId="25" fillId="0" borderId="18" xfId="26" applyNumberFormat="1" applyFont="1" applyFill="1" applyBorder="1" applyProtection="1">
      <protection locked="0"/>
    </xf>
    <xf numFmtId="0" fontId="25" fillId="0" borderId="3" xfId="21" applyFont="1" applyFill="1" applyBorder="1" applyAlignment="1" applyProtection="1">
      <alignment horizontal="left"/>
      <protection locked="0"/>
    </xf>
    <xf numFmtId="166" fontId="25" fillId="0" borderId="23" xfId="26" applyNumberFormat="1" applyFont="1" applyFill="1" applyBorder="1" applyProtection="1">
      <protection locked="0"/>
    </xf>
    <xf numFmtId="166" fontId="23" fillId="0" borderId="23" xfId="26" applyNumberFormat="1" applyFont="1" applyFill="1" applyBorder="1" applyProtection="1">
      <protection locked="0"/>
    </xf>
    <xf numFmtId="0" fontId="23" fillId="0" borderId="6" xfId="21" applyFont="1" applyFill="1" applyBorder="1" applyProtection="1">
      <protection locked="0"/>
    </xf>
    <xf numFmtId="0" fontId="25" fillId="0" borderId="6" xfId="21" applyFont="1" applyFill="1" applyBorder="1" applyProtection="1">
      <protection locked="0"/>
    </xf>
    <xf numFmtId="0" fontId="8" fillId="0" borderId="0" xfId="21" applyFont="1" applyFill="1"/>
    <xf numFmtId="0" fontId="23" fillId="0" borderId="13" xfId="21" applyFont="1" applyFill="1" applyBorder="1" applyAlignment="1" applyProtection="1">
      <alignment horizontal="center" vertical="center"/>
    </xf>
    <xf numFmtId="0" fontId="23" fillId="0" borderId="14" xfId="21" applyFont="1" applyFill="1" applyBorder="1" applyAlignment="1" applyProtection="1">
      <alignment horizontal="left" vertical="center" wrapText="1"/>
    </xf>
    <xf numFmtId="166" fontId="23" fillId="0" borderId="19" xfId="26" applyNumberFormat="1" applyFont="1" applyFill="1" applyBorder="1" applyProtection="1"/>
    <xf numFmtId="166" fontId="34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4" xfId="21" applyNumberFormat="1" applyFont="1" applyFill="1" applyBorder="1" applyAlignment="1" applyProtection="1">
      <alignment horizontal="right" vertical="center" indent="1"/>
    </xf>
    <xf numFmtId="3" fontId="38" fillId="0" borderId="0" xfId="21" applyNumberFormat="1" applyFont="1" applyFill="1" applyBorder="1" applyAlignment="1" applyProtection="1">
      <alignment horizontal="right" vertical="center" indent="1"/>
    </xf>
    <xf numFmtId="3" fontId="9" fillId="0" borderId="0" xfId="0" applyNumberFormat="1" applyFont="1" applyFill="1" applyBorder="1" applyAlignment="1" applyProtection="1">
      <alignment horizontal="right" vertical="center" indent="1"/>
    </xf>
    <xf numFmtId="3" fontId="11" fillId="0" borderId="14" xfId="21" applyNumberFormat="1" applyFont="1" applyFill="1" applyBorder="1" applyAlignment="1" applyProtection="1">
      <alignment horizontal="right" vertical="center" wrapText="1" indent="1"/>
    </xf>
    <xf numFmtId="3" fontId="11" fillId="0" borderId="68" xfId="21" applyNumberFormat="1" applyFont="1" applyFill="1" applyBorder="1" applyAlignment="1" applyProtection="1">
      <alignment horizontal="right" vertical="center" wrapText="1" indent="1"/>
    </xf>
    <xf numFmtId="3" fontId="11" fillId="0" borderId="19" xfId="21" applyNumberFormat="1" applyFont="1" applyFill="1" applyBorder="1" applyAlignment="1" applyProtection="1">
      <alignment horizontal="right" vertical="center" wrapText="1" indent="1"/>
    </xf>
    <xf numFmtId="3" fontId="23" fillId="0" borderId="68" xfId="21" applyNumberFormat="1" applyFont="1" applyFill="1" applyBorder="1" applyAlignment="1" applyProtection="1">
      <alignment horizontal="right" vertical="center" wrapText="1" indent="1"/>
    </xf>
    <xf numFmtId="3" fontId="23" fillId="0" borderId="62" xfId="21" applyNumberFormat="1" applyFont="1" applyFill="1" applyBorder="1" applyAlignment="1" applyProtection="1">
      <alignment horizontal="right" vertical="center" wrapText="1" indent="1"/>
    </xf>
    <xf numFmtId="3" fontId="23" fillId="0" borderId="28" xfId="21" applyNumberFormat="1" applyFont="1" applyFill="1" applyBorder="1" applyAlignment="1" applyProtection="1">
      <alignment horizontal="right" vertical="center" wrapText="1" indent="1"/>
    </xf>
    <xf numFmtId="3" fontId="23" fillId="0" borderId="19" xfId="21" applyNumberFormat="1" applyFont="1" applyFill="1" applyBorder="1" applyAlignment="1" applyProtection="1">
      <alignment horizontal="right" vertical="center" wrapText="1" indent="1"/>
    </xf>
    <xf numFmtId="3" fontId="23" fillId="0" borderId="44" xfId="21" applyNumberFormat="1" applyFont="1" applyFill="1" applyBorder="1" applyAlignment="1" applyProtection="1">
      <alignment horizontal="right" vertical="center" wrapText="1" indent="1"/>
    </xf>
    <xf numFmtId="3" fontId="29" fillId="0" borderId="58" xfId="27" applyNumberFormat="1" applyFont="1" applyBorder="1" applyAlignment="1" applyProtection="1">
      <alignment horizontal="right" wrapText="1" indent="1"/>
    </xf>
    <xf numFmtId="3" fontId="32" fillId="0" borderId="17" xfId="21" applyNumberFormat="1" applyFont="1" applyFill="1" applyBorder="1" applyAlignment="1" applyProtection="1">
      <alignment horizontal="right" vertical="center" wrapText="1" indent="1"/>
    </xf>
    <xf numFmtId="3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1" xfId="27" applyNumberFormat="1" applyFont="1" applyBorder="1" applyAlignment="1" applyProtection="1">
      <alignment horizontal="right" wrapText="1" indent="1"/>
    </xf>
    <xf numFmtId="3" fontId="32" fillId="0" borderId="18" xfId="21" applyNumberFormat="1" applyFont="1" applyFill="1" applyBorder="1" applyAlignment="1" applyProtection="1">
      <alignment horizontal="right" vertical="center" wrapText="1" indent="1"/>
    </xf>
    <xf numFmtId="3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38" xfId="27" applyNumberFormat="1" applyFont="1" applyBorder="1" applyAlignment="1" applyProtection="1">
      <alignment horizontal="right" wrapText="1" indent="1"/>
    </xf>
    <xf numFmtId="3" fontId="32" fillId="0" borderId="22" xfId="21" applyNumberFormat="1" applyFont="1" applyFill="1" applyBorder="1" applyAlignment="1" applyProtection="1">
      <alignment horizontal="right" vertical="center" wrapText="1" indent="1"/>
    </xf>
    <xf numFmtId="3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27" xfId="27" applyNumberFormat="1" applyFont="1" applyBorder="1" applyAlignment="1" applyProtection="1">
      <alignment horizontal="right" wrapText="1" indent="1"/>
    </xf>
    <xf numFmtId="3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8" xfId="21" applyNumberFormat="1" applyFont="1" applyFill="1" applyBorder="1" applyAlignment="1" applyProtection="1">
      <alignment horizontal="right" vertical="center" wrapText="1" indent="1"/>
    </xf>
    <xf numFmtId="3" fontId="31" fillId="0" borderId="44" xfId="21" applyNumberFormat="1" applyFont="1" applyFill="1" applyBorder="1" applyAlignment="1" applyProtection="1">
      <alignment horizontal="right" vertical="center" wrapText="1" indent="1"/>
    </xf>
    <xf numFmtId="3" fontId="31" fillId="0" borderId="19" xfId="21" applyNumberFormat="1" applyFont="1" applyFill="1" applyBorder="1" applyAlignment="1" applyProtection="1">
      <alignment horizontal="right" vertical="center" wrapText="1" indent="1"/>
    </xf>
    <xf numFmtId="3" fontId="25" fillId="0" borderId="50" xfId="21" applyNumberFormat="1" applyFont="1" applyFill="1" applyBorder="1" applyAlignment="1" applyProtection="1">
      <alignment horizontal="right" vertical="center" wrapText="1" indent="1"/>
    </xf>
    <xf numFmtId="3" fontId="25" fillId="0" borderId="20" xfId="21" applyNumberFormat="1" applyFont="1" applyFill="1" applyBorder="1" applyAlignment="1" applyProtection="1">
      <alignment horizontal="right" vertical="center" wrapText="1" indent="1"/>
    </xf>
    <xf numFmtId="3" fontId="23" fillId="0" borderId="17" xfId="21" applyNumberFormat="1" applyFont="1" applyFill="1" applyBorder="1" applyAlignment="1" applyProtection="1">
      <alignment horizontal="right" vertical="center" wrapText="1" indent="1"/>
    </xf>
    <xf numFmtId="3" fontId="23" fillId="0" borderId="22" xfId="21" applyNumberFormat="1" applyFont="1" applyFill="1" applyBorder="1" applyAlignment="1" applyProtection="1">
      <alignment horizontal="right" vertical="center" wrapText="1" indent="1"/>
    </xf>
    <xf numFmtId="3" fontId="23" fillId="0" borderId="27" xfId="21" applyNumberFormat="1" applyFont="1" applyFill="1" applyBorder="1" applyAlignment="1" applyProtection="1">
      <alignment horizontal="right" vertical="center" wrapText="1" indent="1"/>
    </xf>
    <xf numFmtId="3" fontId="23" fillId="0" borderId="20" xfId="21" applyNumberFormat="1" applyFont="1" applyFill="1" applyBorder="1" applyAlignment="1" applyProtection="1">
      <alignment horizontal="right" vertical="center" wrapText="1" indent="1"/>
    </xf>
    <xf numFmtId="3" fontId="2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4" xfId="21" applyNumberFormat="1" applyFont="1" applyFill="1" applyBorder="1" applyAlignment="1" applyProtection="1">
      <alignment horizontal="right" vertical="center" wrapText="1" indent="1"/>
    </xf>
    <xf numFmtId="3" fontId="31" fillId="0" borderId="27" xfId="21" applyNumberFormat="1" applyFont="1" applyFill="1" applyBorder="1" applyAlignment="1" applyProtection="1">
      <alignment horizontal="right" vertical="center" wrapText="1" indent="1"/>
    </xf>
    <xf numFmtId="3" fontId="29" fillId="0" borderId="27" xfId="27" applyNumberFormat="1" applyFont="1" applyBorder="1" applyAlignment="1" applyProtection="1">
      <alignment horizontal="right" wrapText="1" indent="1"/>
    </xf>
    <xf numFmtId="3" fontId="23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51" xfId="21" applyNumberFormat="1" applyFont="1" applyFill="1" applyBorder="1" applyAlignment="1" applyProtection="1">
      <alignment horizontal="right" vertical="center" wrapText="1" indent="1"/>
    </xf>
    <xf numFmtId="3" fontId="25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4" xfId="21" applyNumberFormat="1" applyFont="1" applyFill="1" applyBorder="1" applyAlignment="1" applyProtection="1">
      <alignment horizontal="right" indent="1"/>
    </xf>
    <xf numFmtId="3" fontId="9" fillId="0" borderId="24" xfId="0" applyNumberFormat="1" applyFont="1" applyFill="1" applyBorder="1" applyAlignment="1" applyProtection="1">
      <alignment horizontal="right" vertical="center" indent="1"/>
    </xf>
    <xf numFmtId="3" fontId="23" fillId="0" borderId="33" xfId="21" applyNumberFormat="1" applyFont="1" applyFill="1" applyBorder="1" applyAlignment="1" applyProtection="1">
      <alignment horizontal="right" vertical="center" wrapText="1" indent="1"/>
    </xf>
    <xf numFmtId="3" fontId="23" fillId="0" borderId="52" xfId="21" applyNumberFormat="1" applyFont="1" applyFill="1" applyBorder="1" applyAlignment="1" applyProtection="1">
      <alignment horizontal="right" vertical="center" wrapText="1" indent="1"/>
    </xf>
    <xf numFmtId="3" fontId="25" fillId="0" borderId="58" xfId="27" applyNumberFormat="1" applyFont="1" applyFill="1" applyBorder="1" applyAlignment="1" applyProtection="1">
      <alignment horizontal="right" wrapText="1" indent="1"/>
    </xf>
    <xf numFmtId="3" fontId="32" fillId="0" borderId="50" xfId="21" applyNumberFormat="1" applyFont="1" applyFill="1" applyBorder="1" applyAlignment="1" applyProtection="1">
      <alignment horizontal="right" vertical="center" wrapText="1" indent="1"/>
    </xf>
    <xf numFmtId="3" fontId="32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2" xfId="27" applyNumberFormat="1" applyFont="1" applyFill="1" applyBorder="1" applyAlignment="1" applyProtection="1">
      <alignment horizontal="right" wrapText="1" indent="1"/>
    </xf>
    <xf numFmtId="3" fontId="32" fillId="0" borderId="36" xfId="21" applyNumberFormat="1" applyFont="1" applyFill="1" applyBorder="1" applyAlignment="1" applyProtection="1">
      <alignment horizontal="right" vertical="center" wrapText="1" indent="1"/>
    </xf>
    <xf numFmtId="3" fontId="25" fillId="0" borderId="56" xfId="27" applyNumberFormat="1" applyFont="1" applyFill="1" applyBorder="1" applyAlignment="1" applyProtection="1">
      <alignment horizontal="right" wrapText="1" indent="1"/>
    </xf>
    <xf numFmtId="3" fontId="25" fillId="0" borderId="56" xfId="27" applyNumberFormat="1" applyFont="1" applyFill="1" applyBorder="1" applyAlignment="1" applyProtection="1">
      <alignment horizontal="right" indent="1"/>
    </xf>
    <xf numFmtId="3" fontId="25" fillId="0" borderId="56" xfId="27" applyNumberFormat="1" applyFont="1" applyFill="1" applyBorder="1" applyAlignment="1" applyProtection="1">
      <alignment horizontal="right" vertical="center" wrapText="1" indent="1"/>
    </xf>
    <xf numFmtId="3" fontId="32" fillId="0" borderId="42" xfId="27" applyNumberFormat="1" applyFont="1" applyFill="1" applyBorder="1" applyAlignment="1" applyProtection="1">
      <alignment horizontal="right" vertical="center" wrapText="1" indent="1"/>
    </xf>
    <xf numFmtId="3" fontId="25" fillId="0" borderId="42" xfId="27" applyNumberFormat="1" applyFont="1" applyFill="1" applyBorder="1" applyAlignment="1" applyProtection="1">
      <alignment horizontal="right" vertical="center" wrapText="1" indent="1"/>
    </xf>
    <xf numFmtId="3" fontId="25" fillId="0" borderId="75" xfId="27" applyNumberFormat="1" applyFont="1" applyFill="1" applyBorder="1" applyAlignment="1" applyProtection="1">
      <alignment horizontal="right" vertical="center" wrapText="1" indent="1"/>
    </xf>
    <xf numFmtId="3" fontId="32" fillId="0" borderId="32" xfId="21" applyNumberFormat="1" applyFont="1" applyFill="1" applyBorder="1" applyAlignment="1" applyProtection="1">
      <alignment horizontal="right" vertical="center" wrapText="1" indent="1"/>
    </xf>
    <xf numFmtId="3" fontId="3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26" xfId="21" applyNumberFormat="1" applyFont="1" applyFill="1" applyBorder="1" applyAlignment="1" applyProtection="1">
      <alignment horizontal="right" vertical="center" wrapText="1" indent="1"/>
    </xf>
    <xf numFmtId="3" fontId="25" fillId="0" borderId="41" xfId="27" applyNumberFormat="1" applyFont="1" applyFill="1" applyBorder="1" applyAlignment="1" applyProtection="1">
      <alignment horizontal="right" vertical="center" wrapText="1" indent="1"/>
    </xf>
    <xf numFmtId="3" fontId="25" fillId="0" borderId="38" xfId="27" applyNumberFormat="1" applyFont="1" applyFill="1" applyBorder="1" applyAlignment="1" applyProtection="1">
      <alignment horizontal="right" vertical="center" wrapText="1" indent="1"/>
    </xf>
    <xf numFmtId="3" fontId="25" fillId="0" borderId="56" xfId="21" applyNumberFormat="1" applyFont="1" applyFill="1" applyBorder="1" applyAlignment="1" applyProtection="1">
      <alignment horizontal="right" vertical="center" wrapText="1" indent="1"/>
    </xf>
    <xf numFmtId="3" fontId="3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56" xfId="0" applyNumberFormat="1" applyFont="1" applyBorder="1" applyAlignment="1" applyProtection="1">
      <alignment horizontal="right" vertical="center" wrapText="1" indent="1"/>
    </xf>
    <xf numFmtId="3" fontId="29" fillId="0" borderId="42" xfId="0" applyNumberFormat="1" applyFont="1" applyBorder="1" applyAlignment="1" applyProtection="1">
      <alignment horizontal="right" vertical="center" wrapText="1" indent="1"/>
    </xf>
    <xf numFmtId="3" fontId="25" fillId="0" borderId="41" xfId="21" applyNumberFormat="1" applyFont="1" applyFill="1" applyBorder="1" applyAlignment="1" applyProtection="1">
      <alignment horizontal="right" vertical="center" wrapText="1" indent="1"/>
    </xf>
    <xf numFmtId="3" fontId="25" fillId="0" borderId="42" xfId="21" applyNumberFormat="1" applyFont="1" applyFill="1" applyBorder="1" applyAlignment="1" applyProtection="1">
      <alignment horizontal="right" vertical="center" wrapText="1" indent="1"/>
    </xf>
    <xf numFmtId="3" fontId="25" fillId="0" borderId="36" xfId="21" applyNumberFormat="1" applyFont="1" applyFill="1" applyBorder="1" applyAlignment="1" applyProtection="1">
      <alignment horizontal="right" vertical="center" wrapText="1" indent="1"/>
    </xf>
    <xf numFmtId="3" fontId="25" fillId="0" borderId="32" xfId="21" applyNumberFormat="1" applyFont="1" applyFill="1" applyBorder="1" applyAlignment="1" applyProtection="1">
      <alignment horizontal="right" vertical="center" wrapText="1" indent="1"/>
    </xf>
    <xf numFmtId="3" fontId="25" fillId="0" borderId="27" xfId="21" applyNumberFormat="1" applyFont="1" applyFill="1" applyBorder="1" applyAlignment="1" applyProtection="1">
      <alignment horizontal="right" vertical="center" wrapText="1" indent="1"/>
    </xf>
    <xf numFmtId="3" fontId="25" fillId="0" borderId="38" xfId="21" applyNumberFormat="1" applyFont="1" applyFill="1" applyBorder="1" applyAlignment="1" applyProtection="1">
      <alignment horizontal="right" vertical="center" wrapText="1" indent="1"/>
    </xf>
    <xf numFmtId="3" fontId="30" fillId="0" borderId="44" xfId="0" applyNumberFormat="1" applyFont="1" applyBorder="1" applyAlignment="1" applyProtection="1">
      <alignment horizontal="right" vertical="center" wrapText="1" indent="1"/>
    </xf>
    <xf numFmtId="3" fontId="30" fillId="0" borderId="19" xfId="0" applyNumberFormat="1" applyFont="1" applyBorder="1" applyAlignment="1" applyProtection="1">
      <alignment horizontal="right" vertical="center" wrapText="1" indent="1"/>
    </xf>
    <xf numFmtId="3" fontId="30" fillId="0" borderId="19" xfId="0" applyNumberFormat="1" applyFont="1" applyBorder="1" applyAlignment="1" applyProtection="1">
      <alignment horizontal="right" vertical="center" wrapText="1" indent="1"/>
      <protection locked="0"/>
    </xf>
    <xf numFmtId="3" fontId="28" fillId="0" borderId="44" xfId="0" quotePrefix="1" applyNumberFormat="1" applyFont="1" applyBorder="1" applyAlignment="1" applyProtection="1">
      <alignment horizontal="right" vertical="center" wrapText="1" indent="1"/>
    </xf>
    <xf numFmtId="3" fontId="28" fillId="0" borderId="19" xfId="0" quotePrefix="1" applyNumberFormat="1" applyFont="1" applyBorder="1" applyAlignment="1" applyProtection="1">
      <alignment horizontal="right" vertical="center" wrapText="1" indent="1"/>
    </xf>
    <xf numFmtId="3" fontId="15" fillId="0" borderId="0" xfId="21" applyNumberFormat="1" applyFont="1" applyFill="1" applyAlignment="1">
      <alignment horizontal="right" indent="1"/>
    </xf>
    <xf numFmtId="0" fontId="29" fillId="0" borderId="49" xfId="0" quotePrefix="1" applyFont="1" applyBorder="1" applyAlignment="1" applyProtection="1">
      <alignment horizontal="left" wrapText="1" indent="1"/>
    </xf>
    <xf numFmtId="3" fontId="67" fillId="0" borderId="2" xfId="25" applyNumberFormat="1" applyFont="1" applyBorder="1" applyAlignment="1">
      <alignment horizontal="right"/>
    </xf>
    <xf numFmtId="3" fontId="68" fillId="0" borderId="18" xfId="25" applyNumberFormat="1" applyFont="1" applyBorder="1" applyAlignment="1">
      <alignment horizontal="right"/>
    </xf>
    <xf numFmtId="3" fontId="67" fillId="0" borderId="2" xfId="26" quotePrefix="1" applyNumberFormat="1" applyFont="1" applyBorder="1" applyAlignment="1">
      <alignment horizontal="right"/>
    </xf>
    <xf numFmtId="165" fontId="15" fillId="0" borderId="0" xfId="21" applyNumberFormat="1" applyFont="1" applyFill="1" applyProtection="1"/>
    <xf numFmtId="165" fontId="68" fillId="0" borderId="19" xfId="0" applyNumberFormat="1" applyFont="1" applyFill="1" applyBorder="1" applyAlignment="1" applyProtection="1">
      <alignment horizontal="right" vertical="center" wrapText="1" indent="1"/>
    </xf>
    <xf numFmtId="165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4" xfId="0" applyNumberFormat="1" applyFont="1" applyFill="1" applyBorder="1" applyAlignment="1" applyProtection="1">
      <alignment horizontal="right" vertical="center" wrapText="1" indent="1"/>
    </xf>
    <xf numFmtId="165" fontId="72" fillId="0" borderId="44" xfId="0" applyNumberFormat="1" applyFont="1" applyFill="1" applyBorder="1" applyAlignment="1" applyProtection="1">
      <alignment horizontal="right" vertical="center" wrapText="1" indent="1"/>
    </xf>
    <xf numFmtId="165" fontId="72" fillId="0" borderId="0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165" fontId="72" fillId="0" borderId="19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4" fontId="7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0" xfId="25"/>
    <xf numFmtId="0" fontId="18" fillId="0" borderId="0" xfId="25" applyFont="1" applyBorder="1"/>
    <xf numFmtId="49" fontId="25" fillId="0" borderId="76" xfId="24" applyNumberFormat="1" applyFont="1" applyBorder="1"/>
    <xf numFmtId="0" fontId="32" fillId="0" borderId="47" xfId="24" quotePrefix="1" applyFont="1" applyBorder="1"/>
    <xf numFmtId="0" fontId="25" fillId="0" borderId="30" xfId="25" applyFont="1" applyBorder="1"/>
    <xf numFmtId="0" fontId="34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32" fillId="0" borderId="8" xfId="0" applyNumberFormat="1" applyFont="1" applyFill="1" applyBorder="1" applyAlignment="1" applyProtection="1">
      <alignment horizontal="left" vertical="center" wrapText="1" indent="3"/>
    </xf>
    <xf numFmtId="166" fontId="32" fillId="0" borderId="57" xfId="26" applyNumberFormat="1" applyFont="1" applyFill="1" applyBorder="1" applyProtection="1">
      <protection locked="0"/>
    </xf>
    <xf numFmtId="0" fontId="32" fillId="0" borderId="10" xfId="21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6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9" fillId="0" borderId="19" xfId="26" applyNumberFormat="1" applyFont="1" applyFill="1" applyBorder="1" applyAlignment="1" applyProtection="1">
      <alignment horizontal="right" vertical="center" wrapText="1" indent="1"/>
    </xf>
    <xf numFmtId="165" fontId="15" fillId="0" borderId="0" xfId="0" applyNumberFormat="1" applyFont="1" applyFill="1" applyAlignment="1">
      <alignment vertical="center" wrapText="1"/>
    </xf>
    <xf numFmtId="3" fontId="67" fillId="0" borderId="4" xfId="0" applyNumberFormat="1" applyFont="1" applyFill="1" applyBorder="1" applyAlignment="1" applyProtection="1">
      <alignment vertical="center"/>
      <protection locked="0"/>
    </xf>
    <xf numFmtId="3" fontId="67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Alignment="1">
      <alignment vertical="center" wrapText="1"/>
    </xf>
    <xf numFmtId="0" fontId="5" fillId="0" borderId="0" xfId="21" applyNumberFormat="1" applyFont="1" applyFill="1"/>
    <xf numFmtId="0" fontId="34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4" fillId="0" borderId="0" xfId="0" applyNumberFormat="1" applyFont="1" applyFill="1" applyAlignment="1">
      <alignment horizontal="center" vertical="center" wrapText="1"/>
    </xf>
    <xf numFmtId="166" fontId="47" fillId="0" borderId="0" xfId="18" applyNumberFormat="1"/>
    <xf numFmtId="0" fontId="0" fillId="0" borderId="0" xfId="0" applyFont="1"/>
    <xf numFmtId="0" fontId="15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2" fillId="0" borderId="9" xfId="0" applyFont="1" applyBorder="1" applyAlignment="1" applyProtection="1">
      <alignment horizontal="right" vertical="center" indent="1"/>
    </xf>
    <xf numFmtId="0" fontId="32" fillId="0" borderId="3" xfId="0" applyFont="1" applyBorder="1" applyAlignment="1" applyProtection="1">
      <alignment horizontal="left" vertical="center"/>
      <protection locked="0"/>
    </xf>
    <xf numFmtId="0" fontId="34" fillId="0" borderId="13" xfId="0" applyFont="1" applyBorder="1" applyAlignment="1" applyProtection="1">
      <alignment horizontal="center" vertical="center" wrapText="1"/>
    </xf>
    <xf numFmtId="0" fontId="34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9" fillId="0" borderId="78" xfId="19" applyNumberFormat="1" applyFont="1" applyBorder="1"/>
    <xf numFmtId="3" fontId="39" fillId="0" borderId="3" xfId="19" applyNumberFormat="1" applyFont="1" applyBorder="1"/>
    <xf numFmtId="3" fontId="39" fillId="0" borderId="9" xfId="19" applyNumberFormat="1" applyFont="1" applyBorder="1"/>
    <xf numFmtId="3" fontId="33" fillId="0" borderId="20" xfId="19" applyNumberFormat="1" applyFont="1" applyBorder="1"/>
    <xf numFmtId="3" fontId="39" fillId="0" borderId="11" xfId="19" applyNumberFormat="1" applyFont="1" applyBorder="1"/>
    <xf numFmtId="3" fontId="39" fillId="0" borderId="4" xfId="19" applyNumberFormat="1" applyFont="1" applyBorder="1"/>
    <xf numFmtId="3" fontId="73" fillId="0" borderId="21" xfId="19" applyNumberFormat="1" applyFont="1" applyBorder="1"/>
    <xf numFmtId="3" fontId="39" fillId="0" borderId="21" xfId="19" applyNumberFormat="1" applyFont="1" applyBorder="1"/>
    <xf numFmtId="3" fontId="39" fillId="0" borderId="55" xfId="19" applyNumberFormat="1" applyFont="1" applyBorder="1"/>
    <xf numFmtId="3" fontId="39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57" fillId="0" borderId="4" xfId="19" applyNumberFormat="1" applyFont="1" applyBorder="1"/>
    <xf numFmtId="3" fontId="24" fillId="0" borderId="61" xfId="19" applyNumberFormat="1" applyFont="1" applyBorder="1"/>
    <xf numFmtId="3" fontId="57" fillId="0" borderId="21" xfId="19" applyNumberFormat="1" applyFont="1" applyBorder="1"/>
    <xf numFmtId="3" fontId="24" fillId="0" borderId="59" xfId="19" applyNumberFormat="1" applyFont="1" applyBorder="1"/>
    <xf numFmtId="0" fontId="11" fillId="0" borderId="24" xfId="19" applyFont="1" applyBorder="1" applyAlignment="1">
      <alignment horizontal="center"/>
    </xf>
    <xf numFmtId="3" fontId="39" fillId="0" borderId="1" xfId="19" applyNumberFormat="1" applyFont="1" applyBorder="1"/>
    <xf numFmtId="3" fontId="33" fillId="0" borderId="40" xfId="19" applyNumberFormat="1" applyFont="1" applyBorder="1"/>
    <xf numFmtId="3" fontId="39" fillId="0" borderId="67" xfId="19" applyNumberFormat="1" applyFont="1" applyBorder="1"/>
    <xf numFmtId="3" fontId="39" fillId="0" borderId="7" xfId="19" applyNumberFormat="1" applyFont="1" applyBorder="1"/>
    <xf numFmtId="3" fontId="39" fillId="0" borderId="67" xfId="19" applyNumberFormat="1" applyFont="1" applyFill="1" applyBorder="1"/>
    <xf numFmtId="3" fontId="39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22" fillId="0" borderId="38" xfId="19" applyNumberFormat="1" applyFont="1" applyBorder="1"/>
    <xf numFmtId="3" fontId="39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1" fillId="0" borderId="0" xfId="19" applyFont="1"/>
    <xf numFmtId="0" fontId="31" fillId="0" borderId="0" xfId="19" applyFont="1" applyAlignment="1">
      <alignment horizontal="centerContinuous"/>
    </xf>
    <xf numFmtId="0" fontId="33" fillId="0" borderId="23" xfId="19" applyFont="1" applyBorder="1" applyAlignment="1">
      <alignment horizontal="center"/>
    </xf>
    <xf numFmtId="0" fontId="33" fillId="0" borderId="26" xfId="19" applyFont="1" applyBorder="1" applyAlignment="1">
      <alignment horizontal="center"/>
    </xf>
    <xf numFmtId="3" fontId="33" fillId="0" borderId="22" xfId="19" applyNumberFormat="1" applyFont="1" applyBorder="1"/>
    <xf numFmtId="3" fontId="33" fillId="0" borderId="58" xfId="19" applyNumberFormat="1" applyFont="1" applyBorder="1"/>
    <xf numFmtId="3" fontId="33" fillId="0" borderId="21" xfId="19" applyNumberFormat="1" applyFont="1" applyBorder="1"/>
    <xf numFmtId="3" fontId="33" fillId="0" borderId="6" xfId="19" applyNumberFormat="1" applyFont="1" applyBorder="1"/>
    <xf numFmtId="3" fontId="39" fillId="0" borderId="47" xfId="19" applyNumberFormat="1" applyFont="1" applyBorder="1"/>
    <xf numFmtId="3" fontId="33" fillId="0" borderId="0" xfId="19" applyNumberFormat="1" applyFont="1" applyBorder="1"/>
    <xf numFmtId="3" fontId="24" fillId="0" borderId="41" xfId="19" applyNumberFormat="1" applyFont="1" applyBorder="1"/>
    <xf numFmtId="0" fontId="18" fillId="0" borderId="0" xfId="21" applyFont="1" applyFill="1" applyBorder="1" applyProtection="1"/>
    <xf numFmtId="165" fontId="31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165" fontId="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right" wrapText="1"/>
    </xf>
    <xf numFmtId="165" fontId="33" fillId="0" borderId="13" xfId="0" applyNumberFormat="1" applyFont="1" applyFill="1" applyBorder="1" applyAlignment="1" applyProtection="1">
      <alignment horizontal="left" vertical="center" wrapText="1"/>
    </xf>
    <xf numFmtId="165" fontId="33" fillId="0" borderId="14" xfId="0" applyNumberFormat="1" applyFont="1" applyFill="1" applyBorder="1" applyAlignment="1" applyProtection="1">
      <alignment vertical="center" wrapText="1"/>
    </xf>
    <xf numFmtId="165" fontId="33" fillId="7" borderId="14" xfId="0" applyNumberFormat="1" applyFont="1" applyFill="1" applyBorder="1" applyAlignment="1" applyProtection="1">
      <alignment vertical="center" wrapText="1"/>
    </xf>
    <xf numFmtId="165" fontId="33" fillId="0" borderId="19" xfId="0" applyNumberFormat="1" applyFont="1" applyFill="1" applyBorder="1" applyAlignment="1" applyProtection="1">
      <alignment vertical="center" wrapText="1"/>
    </xf>
    <xf numFmtId="165" fontId="66" fillId="0" borderId="0" xfId="0" applyNumberFormat="1" applyFont="1" applyFill="1" applyAlignment="1">
      <alignment vertical="center" wrapText="1"/>
    </xf>
    <xf numFmtId="165" fontId="69" fillId="0" borderId="0" xfId="0" applyNumberFormat="1" applyFont="1" applyFill="1" applyAlignment="1">
      <alignment vertical="center" wrapText="1"/>
    </xf>
    <xf numFmtId="165" fontId="71" fillId="0" borderId="0" xfId="0" applyNumberFormat="1" applyFont="1" applyFill="1" applyAlignment="1">
      <alignment vertical="center" wrapText="1"/>
    </xf>
    <xf numFmtId="165" fontId="74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78" fillId="0" borderId="0" xfId="25" applyFont="1"/>
    <xf numFmtId="0" fontId="89" fillId="0" borderId="0" xfId="25" applyFont="1"/>
    <xf numFmtId="0" fontId="90" fillId="0" borderId="0" xfId="25" applyFont="1"/>
    <xf numFmtId="0" fontId="92" fillId="0" borderId="0" xfId="25" applyFont="1" applyAlignment="1">
      <alignment horizontal="centerContinuous"/>
    </xf>
    <xf numFmtId="0" fontId="93" fillId="0" borderId="0" xfId="22" applyFont="1" applyFill="1" applyAlignment="1">
      <alignment horizontal="centerContinuous"/>
    </xf>
    <xf numFmtId="0" fontId="93" fillId="0" borderId="0" xfId="25" applyFont="1" applyAlignment="1">
      <alignment horizontal="centerContinuous"/>
    </xf>
    <xf numFmtId="0" fontId="94" fillId="0" borderId="0" xfId="25" applyFont="1" applyAlignment="1">
      <alignment horizontal="centerContinuous"/>
    </xf>
    <xf numFmtId="0" fontId="95" fillId="0" borderId="0" xfId="25" applyFont="1" applyAlignment="1">
      <alignment horizontal="right"/>
    </xf>
    <xf numFmtId="0" fontId="72" fillId="0" borderId="2" xfId="25" applyFont="1" applyBorder="1" applyAlignment="1">
      <alignment horizontal="center"/>
    </xf>
    <xf numFmtId="0" fontId="72" fillId="0" borderId="18" xfId="25" applyFont="1" applyBorder="1" applyAlignment="1">
      <alignment horizontal="center"/>
    </xf>
    <xf numFmtId="0" fontId="67" fillId="0" borderId="8" xfId="25" applyFont="1" applyBorder="1" applyAlignment="1">
      <alignment horizontal="left"/>
    </xf>
    <xf numFmtId="0" fontId="67" fillId="0" borderId="8" xfId="24" applyFont="1" applyBorder="1" applyAlignment="1">
      <alignment horizontal="left"/>
    </xf>
    <xf numFmtId="0" fontId="71" fillId="0" borderId="12" xfId="24" applyFont="1" applyBorder="1"/>
    <xf numFmtId="3" fontId="68" fillId="0" borderId="21" xfId="26" applyNumberFormat="1" applyFont="1" applyBorder="1" applyAlignment="1">
      <alignment horizontal="right"/>
    </xf>
    <xf numFmtId="3" fontId="96" fillId="0" borderId="0" xfId="25" applyNumberFormat="1" applyFont="1"/>
    <xf numFmtId="3" fontId="97" fillId="0" borderId="0" xfId="25" applyNumberFormat="1" applyFont="1"/>
    <xf numFmtId="3" fontId="90" fillId="0" borderId="0" xfId="25" applyNumberFormat="1" applyFont="1"/>
    <xf numFmtId="0" fontId="98" fillId="0" borderId="0" xfId="25" applyFont="1"/>
    <xf numFmtId="3" fontId="70" fillId="0" borderId="2" xfId="25" applyNumberFormat="1" applyFont="1" applyBorder="1" applyAlignment="1">
      <alignment horizontal="right"/>
    </xf>
    <xf numFmtId="3" fontId="72" fillId="0" borderId="2" xfId="25" applyNumberFormat="1" applyFont="1" applyBorder="1" applyAlignment="1">
      <alignment horizontal="right"/>
    </xf>
    <xf numFmtId="3" fontId="70" fillId="0" borderId="2" xfId="26" quotePrefix="1" applyNumberFormat="1" applyFont="1" applyBorder="1" applyAlignment="1">
      <alignment horizontal="right"/>
    </xf>
    <xf numFmtId="3" fontId="70" fillId="0" borderId="2" xfId="26" applyNumberFormat="1" applyFont="1" applyBorder="1" applyAlignment="1">
      <alignment horizontal="right"/>
    </xf>
    <xf numFmtId="49" fontId="32" fillId="0" borderId="76" xfId="24" applyNumberFormat="1" applyFont="1" applyBorder="1"/>
    <xf numFmtId="0" fontId="67" fillId="0" borderId="47" xfId="24" quotePrefix="1" applyFont="1" applyBorder="1"/>
    <xf numFmtId="0" fontId="101" fillId="0" borderId="34" xfId="25" applyFont="1" applyBorder="1"/>
    <xf numFmtId="0" fontId="4" fillId="0" borderId="27" xfId="25" applyFont="1" applyBorder="1"/>
    <xf numFmtId="0" fontId="32" fillId="0" borderId="46" xfId="25" applyFont="1" applyBorder="1"/>
    <xf numFmtId="0" fontId="70" fillId="0" borderId="47" xfId="24" quotePrefix="1" applyFont="1" applyBorder="1"/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vertical="center" wrapText="1"/>
    </xf>
    <xf numFmtId="4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2" fillId="0" borderId="47" xfId="24" applyNumberFormat="1" applyFont="1" applyBorder="1"/>
    <xf numFmtId="0" fontId="32" fillId="0" borderId="47" xfId="24" quotePrefix="1" applyFont="1" applyFill="1" applyBorder="1"/>
    <xf numFmtId="0" fontId="90" fillId="0" borderId="0" xfId="25" applyFont="1" applyAlignment="1">
      <alignment vertical="center"/>
    </xf>
    <xf numFmtId="0" fontId="67" fillId="0" borderId="30" xfId="24" quotePrefix="1" applyFont="1" applyFill="1" applyBorder="1" applyAlignment="1">
      <alignment vertical="center" wrapText="1"/>
    </xf>
    <xf numFmtId="165" fontId="104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4" fillId="0" borderId="18" xfId="0" applyNumberFormat="1" applyFont="1" applyFill="1" applyBorder="1" applyAlignment="1" applyProtection="1">
      <alignment vertical="center" wrapText="1"/>
    </xf>
    <xf numFmtId="165" fontId="104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0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4" fillId="0" borderId="42" xfId="0" quotePrefix="1" applyFont="1" applyFill="1" applyBorder="1" applyAlignment="1">
      <alignment vertical="center"/>
    </xf>
    <xf numFmtId="165" fontId="105" fillId="0" borderId="0" xfId="0" applyNumberFormat="1" applyFont="1" applyFill="1" applyAlignment="1">
      <alignment vertical="center" wrapText="1"/>
    </xf>
    <xf numFmtId="0" fontId="104" fillId="0" borderId="42" xfId="0" applyFont="1" applyFill="1" applyBorder="1" applyAlignment="1">
      <alignment vertical="center"/>
    </xf>
    <xf numFmtId="0" fontId="104" fillId="0" borderId="42" xfId="0" applyFont="1" applyFill="1" applyBorder="1" applyAlignment="1">
      <alignment vertical="center" wrapText="1"/>
    </xf>
    <xf numFmtId="165" fontId="102" fillId="0" borderId="0" xfId="0" applyNumberFormat="1" applyFont="1" applyFill="1" applyAlignment="1">
      <alignment vertical="center" wrapText="1"/>
    </xf>
    <xf numFmtId="0" fontId="104" fillId="0" borderId="30" xfId="0" quotePrefix="1" applyFont="1" applyFill="1" applyBorder="1" applyAlignment="1">
      <alignment vertical="center"/>
    </xf>
    <xf numFmtId="49" fontId="10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4" fillId="0" borderId="23" xfId="0" applyNumberFormat="1" applyFont="1" applyFill="1" applyBorder="1" applyAlignment="1" applyProtection="1">
      <alignment vertical="center" wrapText="1"/>
    </xf>
    <xf numFmtId="165" fontId="80" fillId="0" borderId="34" xfId="0" applyNumberFormat="1" applyFont="1" applyFill="1" applyBorder="1" applyAlignment="1" applyProtection="1">
      <alignment horizontal="left" vertical="center" wrapText="1"/>
    </xf>
    <xf numFmtId="165" fontId="80" fillId="0" borderId="19" xfId="0" applyNumberFormat="1" applyFont="1" applyFill="1" applyBorder="1" applyAlignment="1" applyProtection="1">
      <alignment vertical="center" wrapText="1"/>
    </xf>
    <xf numFmtId="165" fontId="33" fillId="0" borderId="15" xfId="0" applyNumberFormat="1" applyFont="1" applyFill="1" applyBorder="1" applyAlignment="1" applyProtection="1">
      <alignment horizontal="center" vertical="center" wrapText="1"/>
    </xf>
    <xf numFmtId="165" fontId="33" fillId="0" borderId="16" xfId="0" applyNumberFormat="1" applyFont="1" applyFill="1" applyBorder="1" applyAlignment="1" applyProtection="1">
      <alignment horizontal="center" vertical="center" wrapText="1"/>
    </xf>
    <xf numFmtId="165" fontId="33" fillId="0" borderId="28" xfId="0" applyNumberFormat="1" applyFont="1" applyFill="1" applyBorder="1" applyAlignment="1" applyProtection="1">
      <alignment horizontal="center" vertical="center" wrapText="1"/>
    </xf>
    <xf numFmtId="165" fontId="31" fillId="0" borderId="11" xfId="0" applyNumberFormat="1" applyFont="1" applyFill="1" applyBorder="1" applyAlignment="1" applyProtection="1">
      <alignment horizontal="center" vertical="center" wrapText="1"/>
    </xf>
    <xf numFmtId="165" fontId="31" fillId="0" borderId="4" xfId="0" applyNumberFormat="1" applyFont="1" applyFill="1" applyBorder="1" applyAlignment="1" applyProtection="1">
      <alignment horizontal="center" vertical="center" wrapText="1"/>
    </xf>
    <xf numFmtId="165" fontId="31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71" fillId="0" borderId="0" xfId="0" applyFont="1" applyFill="1" applyProtection="1"/>
    <xf numFmtId="0" fontId="107" fillId="0" borderId="15" xfId="0" applyFont="1" applyFill="1" applyBorder="1" applyAlignment="1" applyProtection="1">
      <alignment vertical="center"/>
    </xf>
    <xf numFmtId="0" fontId="107" fillId="0" borderId="16" xfId="0" applyFont="1" applyFill="1" applyBorder="1" applyAlignment="1" applyProtection="1">
      <alignment horizontal="center" vertical="center"/>
    </xf>
    <xf numFmtId="0" fontId="107" fillId="0" borderId="28" xfId="0" applyFont="1" applyFill="1" applyBorder="1" applyAlignment="1" applyProtection="1">
      <alignment horizontal="center" vertical="center"/>
    </xf>
    <xf numFmtId="49" fontId="68" fillId="0" borderId="11" xfId="0" applyNumberFormat="1" applyFont="1" applyFill="1" applyBorder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17" xfId="0" applyNumberFormat="1" applyFont="1" applyFill="1" applyBorder="1" applyAlignment="1" applyProtection="1">
      <alignment vertical="center"/>
    </xf>
    <xf numFmtId="49" fontId="91" fillId="0" borderId="8" xfId="0" quotePrefix="1" applyNumberFormat="1" applyFont="1" applyFill="1" applyBorder="1" applyAlignment="1" applyProtection="1">
      <alignment horizontal="left" vertical="center" indent="1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8" fillId="0" borderId="18" xfId="0" applyNumberFormat="1" applyFont="1" applyFill="1" applyBorder="1" applyAlignment="1" applyProtection="1">
      <alignment vertical="center"/>
    </xf>
    <xf numFmtId="49" fontId="68" fillId="0" borderId="10" xfId="0" applyNumberFormat="1" applyFont="1" applyFill="1" applyBorder="1" applyAlignment="1" applyProtection="1">
      <alignment vertical="center"/>
      <protection locked="0"/>
    </xf>
    <xf numFmtId="3" fontId="68" fillId="0" borderId="6" xfId="0" applyNumberFormat="1" applyFont="1" applyFill="1" applyBorder="1" applyAlignment="1" applyProtection="1">
      <alignment vertical="center"/>
      <protection locked="0"/>
    </xf>
    <xf numFmtId="49" fontId="107" fillId="0" borderId="13" xfId="0" applyNumberFormat="1" applyFont="1" applyFill="1" applyBorder="1" applyAlignment="1" applyProtection="1">
      <alignment vertical="center"/>
    </xf>
    <xf numFmtId="3" fontId="68" fillId="0" borderId="14" xfId="0" applyNumberFormat="1" applyFont="1" applyFill="1" applyBorder="1" applyAlignment="1" applyProtection="1">
      <alignment vertical="center"/>
    </xf>
    <xf numFmtId="3" fontId="68" fillId="0" borderId="19" xfId="0" applyNumberFormat="1" applyFont="1" applyFill="1" applyBorder="1" applyAlignment="1" applyProtection="1">
      <alignment vertical="center"/>
    </xf>
    <xf numFmtId="0" fontId="71" fillId="0" borderId="0" xfId="0" applyFont="1" applyFill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horizontal="left" vertical="center"/>
    </xf>
    <xf numFmtId="49" fontId="68" fillId="0" borderId="8" xfId="0" applyNumberFormat="1" applyFont="1" applyFill="1" applyBorder="1" applyAlignment="1" applyProtection="1">
      <alignment vertical="center"/>
      <protection locked="0"/>
    </xf>
    <xf numFmtId="0" fontId="69" fillId="0" borderId="0" xfId="0" applyFont="1" applyFill="1"/>
    <xf numFmtId="0" fontId="108" fillId="0" borderId="0" xfId="0" applyFont="1" applyFill="1"/>
    <xf numFmtId="0" fontId="0" fillId="0" borderId="0" xfId="0"/>
    <xf numFmtId="0" fontId="0" fillId="0" borderId="0" xfId="0" applyFill="1"/>
    <xf numFmtId="0" fontId="15" fillId="0" borderId="0" xfId="21" applyFont="1" applyFill="1" applyProtection="1"/>
    <xf numFmtId="0" fontId="0" fillId="0" borderId="0" xfId="0" applyAlignment="1" applyProtection="1">
      <protection locked="0"/>
    </xf>
    <xf numFmtId="0" fontId="109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7" fillId="0" borderId="0" xfId="0" applyFont="1"/>
    <xf numFmtId="0" fontId="111" fillId="0" borderId="0" xfId="0" applyFont="1"/>
    <xf numFmtId="0" fontId="15" fillId="0" borderId="0" xfId="21" applyFont="1" applyFill="1" applyProtection="1"/>
    <xf numFmtId="0" fontId="15" fillId="0" borderId="0" xfId="21" applyFill="1" applyProtection="1"/>
    <xf numFmtId="0" fontId="110" fillId="0" borderId="0" xfId="0" applyFont="1"/>
    <xf numFmtId="0" fontId="112" fillId="0" borderId="0" xfId="0" applyFont="1" applyAlignment="1">
      <alignment horizontal="center"/>
    </xf>
    <xf numFmtId="0" fontId="39" fillId="0" borderId="0" xfId="0" applyFont="1" applyFill="1"/>
    <xf numFmtId="0" fontId="0" fillId="0" borderId="0" xfId="0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 applyProtection="1">
      <alignment vertical="center" wrapText="1"/>
    </xf>
    <xf numFmtId="0" fontId="5" fillId="0" borderId="0" xfId="21" applyFont="1" applyFill="1"/>
    <xf numFmtId="3" fontId="39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27" fillId="0" borderId="0" xfId="0" applyFont="1" applyFill="1"/>
    <xf numFmtId="3" fontId="33" fillId="0" borderId="0" xfId="0" applyNumberFormat="1" applyFont="1" applyFill="1" applyAlignment="1">
      <alignment horizontal="right" indent="1"/>
    </xf>
    <xf numFmtId="0" fontId="113" fillId="0" borderId="0" xfId="0" applyFont="1" applyFill="1"/>
    <xf numFmtId="0" fontId="39" fillId="0" borderId="0" xfId="0" applyFont="1"/>
    <xf numFmtId="0" fontId="39" fillId="0" borderId="0" xfId="0" applyFont="1" applyAlignment="1">
      <alignment horizontal="right" indent="1"/>
    </xf>
    <xf numFmtId="165" fontId="4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4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4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4" fillId="0" borderId="8" xfId="21" applyFont="1" applyFill="1" applyBorder="1" applyAlignment="1" applyProtection="1">
      <alignment horizontal="left"/>
      <protection locked="0"/>
    </xf>
    <xf numFmtId="0" fontId="4" fillId="0" borderId="42" xfId="21" applyFont="1" applyFill="1" applyBorder="1" applyProtection="1">
      <protection locked="0"/>
    </xf>
    <xf numFmtId="165" fontId="4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4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4" fillId="0" borderId="23" xfId="0" applyNumberFormat="1" applyFont="1" applyFill="1" applyBorder="1" applyAlignment="1">
      <alignment vertical="center" wrapText="1"/>
    </xf>
    <xf numFmtId="165" fontId="4" fillId="0" borderId="41" xfId="28" applyNumberFormat="1" applyFont="1" applyFill="1" applyBorder="1" applyAlignment="1" applyProtection="1">
      <alignment horizontal="left" vertical="center" wrapText="1"/>
      <protection locked="0"/>
    </xf>
    <xf numFmtId="165" fontId="34" fillId="0" borderId="40" xfId="0" applyNumberFormat="1" applyFont="1" applyFill="1" applyBorder="1" applyAlignment="1">
      <alignment vertical="center" wrapText="1"/>
    </xf>
    <xf numFmtId="0" fontId="114" fillId="0" borderId="41" xfId="28" applyFont="1" applyFill="1" applyBorder="1" applyAlignment="1">
      <alignment vertical="center"/>
    </xf>
    <xf numFmtId="0" fontId="114" fillId="0" borderId="41" xfId="28" applyFont="1" applyFill="1" applyBorder="1" applyAlignment="1">
      <alignment vertical="center" wrapText="1"/>
    </xf>
    <xf numFmtId="0" fontId="114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4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4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4" fillId="0" borderId="22" xfId="0" applyNumberFormat="1" applyFont="1" applyFill="1" applyBorder="1" applyAlignment="1">
      <alignment vertical="center" wrapText="1"/>
    </xf>
    <xf numFmtId="165" fontId="4" fillId="0" borderId="2" xfId="28" applyNumberFormat="1" applyFont="1" applyFill="1" applyBorder="1" applyAlignment="1" applyProtection="1">
      <alignment vertical="center" wrapText="1"/>
      <protection locked="0"/>
    </xf>
    <xf numFmtId="0" fontId="88" fillId="0" borderId="27" xfId="28" applyFont="1" applyFill="1" applyBorder="1" applyAlignment="1">
      <alignment vertical="center"/>
    </xf>
    <xf numFmtId="165" fontId="104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49" fontId="10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0" fillId="0" borderId="20" xfId="0" applyNumberFormat="1" applyFont="1" applyFill="1" applyBorder="1" applyAlignment="1" applyProtection="1">
      <alignment vertical="center" wrapText="1"/>
    </xf>
    <xf numFmtId="165" fontId="103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4" fillId="0" borderId="19" xfId="0" applyNumberFormat="1" applyFont="1" applyFill="1" applyBorder="1" applyAlignment="1" applyProtection="1">
      <alignment vertical="center" wrapText="1"/>
    </xf>
    <xf numFmtId="165" fontId="89" fillId="0" borderId="63" xfId="0" applyNumberFormat="1" applyFont="1" applyFill="1" applyBorder="1" applyAlignment="1" applyProtection="1">
      <alignment horizontal="left" vertical="center" wrapText="1"/>
    </xf>
    <xf numFmtId="165" fontId="104" fillId="0" borderId="20" xfId="0" applyNumberFormat="1" applyFont="1" applyFill="1" applyBorder="1" applyAlignment="1" applyProtection="1">
      <alignment vertical="center" wrapText="1"/>
    </xf>
    <xf numFmtId="49" fontId="8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4" fillId="0" borderId="41" xfId="0" quotePrefix="1" applyFont="1" applyFill="1" applyBorder="1" applyAlignment="1">
      <alignment vertical="center"/>
    </xf>
    <xf numFmtId="0" fontId="103" fillId="0" borderId="27" xfId="0" applyFont="1" applyFill="1" applyBorder="1" applyAlignment="1">
      <alignment vertical="center"/>
    </xf>
    <xf numFmtId="0" fontId="104" fillId="0" borderId="41" xfId="21" quotePrefix="1" applyFont="1" applyFill="1" applyBorder="1" applyAlignment="1" applyProtection="1">
      <alignment vertical="center"/>
      <protection locked="0"/>
    </xf>
    <xf numFmtId="0" fontId="88" fillId="0" borderId="27" xfId="21" applyFont="1" applyFill="1" applyBorder="1" applyAlignment="1" applyProtection="1">
      <alignment vertical="center"/>
      <protection locked="0"/>
    </xf>
    <xf numFmtId="49" fontId="4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19" xfId="0" applyNumberFormat="1" applyFont="1" applyFill="1" applyBorder="1" applyAlignment="1" applyProtection="1">
      <alignment vertical="center" wrapText="1"/>
    </xf>
    <xf numFmtId="0" fontId="104" fillId="0" borderId="41" xfId="0" applyFont="1" applyFill="1" applyBorder="1" applyAlignment="1">
      <alignment vertical="center"/>
    </xf>
    <xf numFmtId="0" fontId="103" fillId="0" borderId="27" xfId="0" applyFont="1" applyFill="1" applyBorder="1" applyAlignment="1">
      <alignment vertical="center" wrapText="1"/>
    </xf>
    <xf numFmtId="0" fontId="15" fillId="0" borderId="0" xfId="21" applyFont="1" applyFill="1" applyAlignment="1" applyProtection="1">
      <alignment horizontal="right"/>
    </xf>
    <xf numFmtId="0" fontId="5" fillId="0" borderId="0" xfId="21" applyFont="1" applyFill="1"/>
    <xf numFmtId="165" fontId="8" fillId="0" borderId="0" xfId="21" applyNumberFormat="1" applyFont="1" applyFill="1" applyBorder="1" applyAlignment="1" applyProtection="1">
      <alignment horizontal="centerContinuous" vertical="center"/>
    </xf>
    <xf numFmtId="165" fontId="7" fillId="0" borderId="0" xfId="21" applyNumberFormat="1" applyFont="1" applyFill="1" applyBorder="1" applyAlignment="1" applyProtection="1">
      <alignment horizontal="centerContinuous" vertical="center"/>
    </xf>
    <xf numFmtId="0" fontId="14" fillId="0" borderId="0" xfId="38" applyFont="1" applyFill="1" applyBorder="1" applyAlignment="1" applyProtection="1"/>
    <xf numFmtId="14" fontId="34" fillId="0" borderId="4" xfId="21" applyNumberFormat="1" applyFont="1" applyFill="1" applyBorder="1" applyAlignment="1">
      <alignment horizontal="center" vertical="center" wrapText="1"/>
    </xf>
    <xf numFmtId="0" fontId="18" fillId="0" borderId="27" xfId="21" applyFont="1" applyFill="1" applyBorder="1" applyAlignment="1">
      <alignment horizontal="center" vertical="center"/>
    </xf>
    <xf numFmtId="0" fontId="18" fillId="0" borderId="33" xfId="21" applyFont="1" applyFill="1" applyBorder="1" applyAlignment="1">
      <alignment horizontal="center" vertical="center"/>
    </xf>
    <xf numFmtId="0" fontId="18" fillId="0" borderId="14" xfId="21" applyFont="1" applyFill="1" applyBorder="1" applyAlignment="1">
      <alignment horizontal="center" vertical="center"/>
    </xf>
    <xf numFmtId="0" fontId="18" fillId="0" borderId="19" xfId="21" applyFont="1" applyFill="1" applyBorder="1" applyAlignment="1">
      <alignment horizontal="center" vertical="center"/>
    </xf>
    <xf numFmtId="0" fontId="18" fillId="0" borderId="41" xfId="21" applyFont="1" applyFill="1" applyBorder="1" applyAlignment="1">
      <alignment horizontal="center" vertical="center"/>
    </xf>
    <xf numFmtId="0" fontId="18" fillId="0" borderId="5" xfId="21" applyFont="1" applyFill="1" applyBorder="1" applyAlignment="1" applyProtection="1">
      <alignment wrapText="1"/>
      <protection locked="0"/>
    </xf>
    <xf numFmtId="3" fontId="18" fillId="0" borderId="2" xfId="21" applyNumberFormat="1" applyFont="1" applyFill="1" applyBorder="1" applyAlignment="1" applyProtection="1">
      <alignment horizontal="right"/>
      <protection locked="0"/>
    </xf>
    <xf numFmtId="3" fontId="18" fillId="0" borderId="2" xfId="39" applyNumberFormat="1" applyFont="1" applyFill="1" applyBorder="1" applyAlignment="1" applyProtection="1">
      <alignment horizontal="right"/>
      <protection locked="0"/>
    </xf>
    <xf numFmtId="3" fontId="34" fillId="0" borderId="20" xfId="39" applyNumberFormat="1" applyFont="1" applyFill="1" applyBorder="1" applyAlignment="1">
      <alignment horizontal="right"/>
    </xf>
    <xf numFmtId="16" fontId="5" fillId="0" borderId="0" xfId="21" applyNumberFormat="1" applyFont="1" applyFill="1"/>
    <xf numFmtId="3" fontId="18" fillId="0" borderId="5" xfId="39" applyNumberFormat="1" applyFont="1" applyFill="1" applyBorder="1" applyAlignment="1" applyProtection="1">
      <alignment horizontal="right"/>
      <protection locked="0"/>
    </xf>
    <xf numFmtId="0" fontId="25" fillId="0" borderId="0" xfId="21" applyFont="1" applyFill="1" applyAlignment="1">
      <alignment wrapText="1"/>
    </xf>
    <xf numFmtId="0" fontId="86" fillId="0" borderId="0" xfId="21" applyFont="1" applyFill="1"/>
    <xf numFmtId="16" fontId="86" fillId="0" borderId="0" xfId="21" applyNumberFormat="1" applyFont="1" applyFill="1"/>
    <xf numFmtId="0" fontId="18" fillId="0" borderId="8" xfId="21" applyFont="1" applyFill="1" applyBorder="1" applyAlignment="1" applyProtection="1">
      <alignment wrapText="1"/>
      <protection locked="0"/>
    </xf>
    <xf numFmtId="3" fontId="18" fillId="0" borderId="2" xfId="21" applyNumberFormat="1" applyFont="1" applyFill="1" applyBorder="1" applyAlignment="1" applyProtection="1">
      <alignment horizontal="right" wrapText="1"/>
      <protection locked="0"/>
    </xf>
    <xf numFmtId="0" fontId="18" fillId="0" borderId="67" xfId="21" applyFont="1" applyFill="1" applyBorder="1" applyAlignment="1" applyProtection="1">
      <alignment wrapText="1"/>
      <protection locked="0"/>
    </xf>
    <xf numFmtId="3" fontId="18" fillId="0" borderId="1" xfId="21" applyNumberFormat="1" applyFont="1" applyFill="1" applyBorder="1" applyAlignment="1" applyProtection="1">
      <alignment horizontal="right"/>
      <protection locked="0"/>
    </xf>
    <xf numFmtId="3" fontId="18" fillId="0" borderId="67" xfId="39" applyNumberFormat="1" applyFont="1" applyFill="1" applyBorder="1" applyAlignment="1" applyProtection="1">
      <alignment horizontal="right"/>
      <protection locked="0"/>
    </xf>
    <xf numFmtId="3" fontId="18" fillId="0" borderId="1" xfId="39" applyNumberFormat="1" applyFont="1" applyFill="1" applyBorder="1" applyAlignment="1" applyProtection="1">
      <alignment horizontal="right"/>
      <protection locked="0"/>
    </xf>
    <xf numFmtId="0" fontId="18" fillId="0" borderId="2" xfId="21" applyFont="1" applyFill="1" applyBorder="1" applyAlignment="1" applyProtection="1">
      <alignment wrapText="1"/>
      <protection locked="0"/>
    </xf>
    <xf numFmtId="0" fontId="18" fillId="0" borderId="75" xfId="21" applyFont="1" applyFill="1" applyBorder="1" applyAlignment="1">
      <alignment horizontal="center" vertical="center"/>
    </xf>
    <xf numFmtId="0" fontId="34" fillId="0" borderId="33" xfId="21" applyFont="1" applyFill="1" applyBorder="1"/>
    <xf numFmtId="3" fontId="34" fillId="0" borderId="14" xfId="21" applyNumberFormat="1" applyFont="1" applyFill="1" applyBorder="1" applyAlignment="1">
      <alignment horizontal="right"/>
    </xf>
    <xf numFmtId="0" fontId="32" fillId="0" borderId="0" xfId="21" applyFont="1" applyFill="1"/>
    <xf numFmtId="14" fontId="5" fillId="0" borderId="0" xfId="21" applyNumberFormat="1" applyFont="1" applyFill="1" applyAlignment="1">
      <alignment horizontal="left"/>
    </xf>
    <xf numFmtId="0" fontId="34" fillId="0" borderId="6" xfId="21" applyFont="1" applyFill="1" applyBorder="1" applyAlignment="1">
      <alignment horizontal="center" vertical="center" wrapText="1"/>
    </xf>
    <xf numFmtId="0" fontId="32" fillId="0" borderId="67" xfId="38" applyNumberFormat="1" applyFont="1" applyFill="1" applyBorder="1" applyAlignment="1" applyProtection="1">
      <alignment vertical="center" wrapText="1"/>
      <protection locked="0"/>
    </xf>
    <xf numFmtId="0" fontId="32" fillId="0" borderId="8" xfId="38" applyNumberFormat="1" applyFont="1" applyFill="1" applyBorder="1" applyAlignment="1" applyProtection="1">
      <alignment vertical="center" wrapText="1"/>
      <protection locked="0"/>
    </xf>
    <xf numFmtId="0" fontId="37" fillId="0" borderId="0" xfId="21" applyFont="1" applyFill="1" applyBorder="1" applyAlignment="1">
      <alignment horizontal="center"/>
    </xf>
    <xf numFmtId="3" fontId="34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0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3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80" fillId="0" borderId="14" xfId="0" applyNumberFormat="1" applyFont="1" applyFill="1" applyBorder="1" applyAlignment="1" applyProtection="1">
      <alignment horizontal="right" vertical="center" wrapText="1"/>
    </xf>
    <xf numFmtId="165" fontId="80" fillId="7" borderId="14" xfId="0" applyNumberFormat="1" applyFont="1" applyFill="1" applyBorder="1" applyAlignment="1" applyProtection="1">
      <alignment horizontal="right" vertical="center" wrapText="1"/>
    </xf>
    <xf numFmtId="165" fontId="0" fillId="0" borderId="11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0" fillId="0" borderId="7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4" fillId="0" borderId="13" xfId="28" applyNumberFormat="1" applyFont="1" applyFill="1" applyBorder="1" applyAlignment="1" applyProtection="1">
      <alignment horizontal="right" vertical="center" wrapText="1"/>
      <protection locked="0"/>
    </xf>
    <xf numFmtId="49" fontId="3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19" xfId="0" applyNumberFormat="1" applyFont="1" applyFill="1" applyBorder="1" applyAlignment="1" applyProtection="1">
      <alignment vertical="center" wrapText="1"/>
    </xf>
    <xf numFmtId="165" fontId="18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20" xfId="0" applyNumberFormat="1" applyFont="1" applyFill="1" applyBorder="1" applyAlignment="1" applyProtection="1">
      <alignment vertical="center" wrapText="1"/>
    </xf>
    <xf numFmtId="165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23" xfId="0" applyNumberFormat="1" applyFon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89" fillId="0" borderId="13" xfId="0" applyNumberFormat="1" applyFont="1" applyFill="1" applyBorder="1" applyAlignment="1" applyProtection="1">
      <alignment horizontal="right" vertical="center" wrapText="1"/>
    </xf>
    <xf numFmtId="165" fontId="89" fillId="0" borderId="14" xfId="0" applyNumberFormat="1" applyFont="1" applyFill="1" applyBorder="1" applyAlignment="1" applyProtection="1">
      <alignment horizontal="right" vertical="center" wrapText="1"/>
    </xf>
    <xf numFmtId="165" fontId="89" fillId="0" borderId="33" xfId="0" applyNumberFormat="1" applyFont="1" applyFill="1" applyBorder="1" applyAlignment="1" applyProtection="1">
      <alignment horizontal="right" vertical="center" wrapText="1"/>
    </xf>
    <xf numFmtId="165" fontId="89" fillId="0" borderId="19" xfId="0" applyNumberFormat="1" applyFont="1" applyFill="1" applyBorder="1" applyAlignment="1" applyProtection="1">
      <alignment horizontal="center" vertical="center" wrapText="1"/>
    </xf>
    <xf numFmtId="0" fontId="32" fillId="0" borderId="6" xfId="21" applyFont="1" applyFill="1" applyBorder="1" applyAlignment="1" applyProtection="1">
      <alignment horizontal="left"/>
      <protection locked="0"/>
    </xf>
    <xf numFmtId="166" fontId="32" fillId="0" borderId="23" xfId="26" applyNumberFormat="1" applyFont="1" applyFill="1" applyBorder="1" applyProtection="1">
      <protection locked="0"/>
    </xf>
    <xf numFmtId="3" fontId="0" fillId="0" borderId="0" xfId="0" applyNumberFormat="1" applyFill="1" applyProtection="1"/>
    <xf numFmtId="3" fontId="32" fillId="0" borderId="0" xfId="0" applyNumberFormat="1" applyFont="1" applyFill="1" applyBorder="1" applyAlignment="1" applyProtection="1">
      <alignment vertical="center"/>
    </xf>
    <xf numFmtId="3" fontId="31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Protection="1"/>
    <xf numFmtId="49" fontId="31" fillId="0" borderId="11" xfId="0" applyNumberFormat="1" applyFont="1" applyFill="1" applyBorder="1" applyAlignment="1" applyProtection="1">
      <alignment vertical="center"/>
    </xf>
    <xf numFmtId="3" fontId="31" fillId="0" borderId="4" xfId="0" applyNumberFormat="1" applyFont="1" applyFill="1" applyBorder="1" applyAlignment="1" applyProtection="1">
      <alignment vertical="center"/>
      <protection locked="0"/>
    </xf>
    <xf numFmtId="3" fontId="31" fillId="0" borderId="17" xfId="0" applyNumberFormat="1" applyFont="1" applyFill="1" applyBorder="1" applyAlignment="1" applyProtection="1">
      <alignment vertical="center"/>
    </xf>
    <xf numFmtId="49" fontId="85" fillId="0" borderId="8" xfId="0" quotePrefix="1" applyNumberFormat="1" applyFont="1" applyFill="1" applyBorder="1" applyAlignment="1" applyProtection="1">
      <alignment horizontal="left" vertical="center" indent="1"/>
    </xf>
    <xf numFmtId="3" fontId="85" fillId="0" borderId="2" xfId="0" applyNumberFormat="1" applyFont="1" applyFill="1" applyBorder="1" applyAlignment="1" applyProtection="1">
      <alignment vertical="center"/>
      <protection locked="0"/>
    </xf>
    <xf numFmtId="3" fontId="85" fillId="0" borderId="18" xfId="0" applyNumberFormat="1" applyFont="1" applyFill="1" applyBorder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vertical="center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49" fontId="31" fillId="0" borderId="10" xfId="0" applyNumberFormat="1" applyFont="1" applyFill="1" applyBorder="1" applyAlignment="1" applyProtection="1">
      <alignment vertical="center"/>
      <protection locked="0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Fill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horizontal="left" vertical="center"/>
    </xf>
    <xf numFmtId="49" fontId="31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22" fillId="0" borderId="0" xfId="0" applyFont="1" applyFill="1" applyAlignment="1">
      <alignment horizontal="right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55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165" fontId="22" fillId="0" borderId="0" xfId="0" applyNumberFormat="1" applyFont="1" applyFill="1" applyAlignment="1">
      <alignment horizontal="right" vertical="center" wrapText="1"/>
    </xf>
    <xf numFmtId="3" fontId="69" fillId="0" borderId="0" xfId="0" applyNumberFormat="1" applyFont="1" applyFill="1"/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Fill="1" applyAlignment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2" fillId="0" borderId="0" xfId="0" applyFont="1" applyFill="1" applyAlignment="1">
      <alignment vertical="center" wrapText="1"/>
    </xf>
    <xf numFmtId="0" fontId="15" fillId="0" borderId="0" xfId="23" applyFill="1" applyProtection="1">
      <protection locked="0"/>
    </xf>
    <xf numFmtId="0" fontId="32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1" applyFill="1"/>
    <xf numFmtId="0" fontId="15" fillId="0" borderId="0" xfId="21" applyFont="1" applyFill="1"/>
    <xf numFmtId="3" fontId="25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 applyFill="1" applyAlignment="1" applyProtection="1">
      <alignment vertical="center" wrapText="1"/>
    </xf>
    <xf numFmtId="3" fontId="32" fillId="0" borderId="0" xfId="23" applyNumberFormat="1" applyFont="1" applyFill="1" applyProtection="1"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8" xfId="0" applyFont="1" applyFill="1" applyBorder="1" applyAlignment="1" applyProtection="1">
      <alignment horizontal="center"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49" fontId="33" fillId="0" borderId="13" xfId="0" applyNumberFormat="1" applyFont="1" applyFill="1" applyBorder="1" applyAlignment="1" applyProtection="1">
      <alignment vertical="center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5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 applyFill="1" applyAlignment="1" applyProtection="1">
      <alignment vertical="center" wrapText="1"/>
    </xf>
    <xf numFmtId="0" fontId="6" fillId="0" borderId="0" xfId="20" applyFont="1" applyAlignment="1"/>
    <xf numFmtId="0" fontId="15" fillId="0" borderId="0" xfId="23" applyFill="1" applyAlignment="1" applyProtection="1">
      <alignment horizontal="right"/>
    </xf>
    <xf numFmtId="3" fontId="32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7" fillId="0" borderId="2" xfId="18" applyFont="1" applyBorder="1" applyAlignment="1">
      <alignment horizontal="left" wrapText="1"/>
    </xf>
    <xf numFmtId="0" fontId="42" fillId="0" borderId="2" xfId="18" applyFont="1" applyBorder="1" applyAlignment="1">
      <alignment horizontal="left" wrapText="1"/>
    </xf>
    <xf numFmtId="170" fontId="117" fillId="0" borderId="0" xfId="18" applyNumberFormat="1" applyFont="1" applyAlignment="1">
      <alignment horizontal="right"/>
    </xf>
    <xf numFmtId="170" fontId="19" fillId="0" borderId="0" xfId="33" applyNumberFormat="1" applyFont="1" applyFill="1" applyBorder="1" applyAlignment="1" applyProtection="1">
      <alignment horizontal="right"/>
    </xf>
    <xf numFmtId="170" fontId="118" fillId="0" borderId="0" xfId="18" applyNumberFormat="1" applyFont="1" applyAlignment="1">
      <alignment horizontal="right"/>
    </xf>
    <xf numFmtId="165" fontId="80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11" fillId="0" borderId="37" xfId="40" applyNumberFormat="1" applyFont="1" applyFill="1" applyBorder="1" applyAlignment="1" applyProtection="1">
      <alignment horizontal="center" vertical="center"/>
    </xf>
    <xf numFmtId="0" fontId="11" fillId="0" borderId="22" xfId="40" applyNumberFormat="1" applyFont="1" applyFill="1" applyBorder="1" applyAlignment="1" applyProtection="1">
      <alignment horizontal="center" vertical="center" wrapText="1"/>
    </xf>
    <xf numFmtId="165" fontId="23" fillId="0" borderId="63" xfId="40" applyNumberFormat="1" applyFont="1" applyFill="1" applyBorder="1" applyAlignment="1" applyProtection="1">
      <alignment horizontal="center" vertical="center" wrapText="1"/>
    </xf>
    <xf numFmtId="0" fontId="23" fillId="0" borderId="61" xfId="40" applyNumberFormat="1" applyFont="1" applyFill="1" applyBorder="1" applyAlignment="1" applyProtection="1">
      <alignment horizontal="center" vertical="center" wrapText="1"/>
    </xf>
    <xf numFmtId="0" fontId="23" fillId="0" borderId="62" xfId="40" applyNumberFormat="1" applyFont="1" applyFill="1" applyBorder="1" applyAlignment="1" applyProtection="1">
      <alignment horizontal="center" vertical="center" wrapText="1"/>
    </xf>
    <xf numFmtId="165" fontId="23" fillId="0" borderId="61" xfId="40" applyNumberFormat="1" applyFont="1" applyFill="1" applyBorder="1" applyAlignment="1" applyProtection="1">
      <alignment horizontal="center" vertical="center" wrapText="1"/>
    </xf>
    <xf numFmtId="165" fontId="23" fillId="0" borderId="62" xfId="40" applyNumberFormat="1" applyFont="1" applyFill="1" applyBorder="1" applyAlignment="1" applyProtection="1">
      <alignment horizontal="center" vertical="center" wrapText="1"/>
    </xf>
    <xf numFmtId="165" fontId="23" fillId="0" borderId="28" xfId="40" applyNumberFormat="1" applyFont="1" applyFill="1" applyBorder="1" applyAlignment="1" applyProtection="1">
      <alignment horizontal="center" vertical="center" wrapText="1"/>
    </xf>
    <xf numFmtId="165" fontId="23" fillId="0" borderId="38" xfId="40" applyNumberFormat="1" applyFont="1" applyFill="1" applyBorder="1" applyAlignment="1" applyProtection="1">
      <alignment horizontal="center" vertical="center" wrapText="1"/>
    </xf>
    <xf numFmtId="165" fontId="23" fillId="0" borderId="58" xfId="40" applyNumberFormat="1" applyFont="1" applyFill="1" applyBorder="1" applyAlignment="1" applyProtection="1">
      <alignment horizontal="center" vertical="center" wrapText="1"/>
    </xf>
    <xf numFmtId="0" fontId="23" fillId="0" borderId="55" xfId="40" applyNumberFormat="1" applyFont="1" applyFill="1" applyBorder="1" applyAlignment="1" applyProtection="1">
      <alignment vertical="center" wrapText="1"/>
    </xf>
    <xf numFmtId="0" fontId="25" fillId="0" borderId="4" xfId="40" applyNumberFormat="1" applyFont="1" applyFill="1" applyBorder="1" applyAlignment="1" applyProtection="1">
      <alignment horizontal="left" vertical="center" wrapText="1" indent="2"/>
      <protection locked="0"/>
    </xf>
    <xf numFmtId="3" fontId="25" fillId="0" borderId="4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75" xfId="40" applyNumberFormat="1" applyFont="1" applyFill="1" applyBorder="1" applyAlignment="1" applyProtection="1">
      <alignment horizontal="center" vertical="center" wrapText="1"/>
    </xf>
    <xf numFmtId="0" fontId="32" fillId="0" borderId="54" xfId="40" applyNumberFormat="1" applyFont="1" applyFill="1" applyBorder="1" applyAlignment="1" applyProtection="1">
      <alignment vertical="center" wrapText="1"/>
    </xf>
    <xf numFmtId="0" fontId="25" fillId="0" borderId="21" xfId="40" applyNumberFormat="1" applyFont="1" applyFill="1" applyBorder="1" applyAlignment="1" applyProtection="1">
      <alignment horizontal="left" vertical="center" wrapText="1" indent="2"/>
      <protection locked="0"/>
    </xf>
    <xf numFmtId="3" fontId="25" fillId="0" borderId="21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27" xfId="40" applyNumberFormat="1" applyFont="1" applyFill="1" applyBorder="1" applyAlignment="1" applyProtection="1">
      <alignment horizontal="center" vertical="center" wrapText="1"/>
    </xf>
    <xf numFmtId="0" fontId="23" fillId="0" borderId="33" xfId="40" applyNumberFormat="1" applyFont="1" applyFill="1" applyBorder="1" applyAlignment="1" applyProtection="1">
      <alignment vertical="center" wrapText="1"/>
    </xf>
    <xf numFmtId="0" fontId="18" fillId="0" borderId="14" xfId="40" applyNumberFormat="1" applyFont="1" applyFill="1" applyBorder="1" applyAlignment="1" applyProtection="1">
      <alignment horizontal="left" vertical="center" wrapText="1" indent="2"/>
      <protection locked="0"/>
    </xf>
    <xf numFmtId="3" fontId="25" fillId="0" borderId="14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42" xfId="40" applyNumberFormat="1" applyFont="1" applyFill="1" applyBorder="1" applyAlignment="1" applyProtection="1">
      <alignment horizontal="center" vertical="center" wrapText="1"/>
    </xf>
    <xf numFmtId="0" fontId="32" fillId="0" borderId="5" xfId="21" applyNumberFormat="1" applyFont="1" applyFill="1" applyBorder="1" applyAlignment="1" applyProtection="1">
      <alignment wrapText="1"/>
      <protection locked="0"/>
    </xf>
    <xf numFmtId="0" fontId="32" fillId="0" borderId="2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2" xfId="40" applyNumberFormat="1" applyFont="1" applyFill="1" applyBorder="1" applyAlignment="1" applyProtection="1">
      <alignment horizontal="center" vertical="center" wrapText="1"/>
      <protection locked="0"/>
    </xf>
    <xf numFmtId="3" fontId="32" fillId="0" borderId="2" xfId="41" applyNumberFormat="1" applyFont="1" applyFill="1" applyBorder="1" applyAlignment="1" applyProtection="1">
      <alignment horizontal="center" vertical="center"/>
      <protection locked="0"/>
    </xf>
    <xf numFmtId="3" fontId="32" fillId="0" borderId="2" xfId="40" applyNumberFormat="1" applyFont="1" applyFill="1" applyBorder="1" applyAlignment="1" applyProtection="1">
      <alignment horizontal="center" vertical="center"/>
      <protection locked="0"/>
    </xf>
    <xf numFmtId="3" fontId="31" fillId="0" borderId="20" xfId="40" applyNumberFormat="1" applyFont="1" applyFill="1" applyBorder="1" applyAlignment="1" applyProtection="1">
      <alignment horizontal="center" vertical="center" wrapText="1"/>
    </xf>
    <xf numFmtId="3" fontId="32" fillId="0" borderId="2" xfId="21" applyNumberFormat="1" applyFont="1" applyFill="1" applyBorder="1" applyAlignment="1" applyProtection="1">
      <alignment horizontal="center" vertical="center"/>
      <protection locked="0"/>
    </xf>
    <xf numFmtId="0" fontId="32" fillId="0" borderId="78" xfId="40" applyNumberFormat="1" applyFont="1" applyFill="1" applyBorder="1" applyAlignment="1" applyProtection="1">
      <alignment vertical="center" wrapText="1"/>
    </xf>
    <xf numFmtId="0" fontId="32" fillId="0" borderId="3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3" xfId="40" applyNumberFormat="1" applyFont="1" applyFill="1" applyBorder="1" applyAlignment="1" applyProtection="1">
      <alignment horizontal="center" vertical="center" wrapText="1"/>
      <protection locked="0"/>
    </xf>
    <xf numFmtId="0" fontId="32" fillId="0" borderId="67" xfId="40" applyNumberFormat="1" applyFont="1" applyFill="1" applyBorder="1" applyAlignment="1" applyProtection="1">
      <alignment vertical="center" wrapText="1"/>
    </xf>
    <xf numFmtId="0" fontId="32" fillId="0" borderId="1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1" xfId="40" applyNumberFormat="1" applyFont="1" applyFill="1" applyBorder="1" applyAlignment="1" applyProtection="1">
      <alignment horizontal="center" vertical="center" wrapText="1"/>
      <protection locked="0"/>
    </xf>
    <xf numFmtId="165" fontId="23" fillId="0" borderId="56" xfId="40" applyNumberFormat="1" applyFont="1" applyFill="1" applyBorder="1" applyAlignment="1" applyProtection="1">
      <alignment horizontal="center" vertical="center" wrapText="1"/>
    </xf>
    <xf numFmtId="3" fontId="31" fillId="0" borderId="40" xfId="40" applyNumberFormat="1" applyFont="1" applyFill="1" applyBorder="1" applyAlignment="1" applyProtection="1">
      <alignment horizontal="center" vertical="center" wrapText="1"/>
    </xf>
    <xf numFmtId="165" fontId="32" fillId="0" borderId="4" xfId="40" applyNumberFormat="1" applyFont="1" applyFill="1" applyBorder="1" applyAlignment="1" applyProtection="1">
      <alignment horizontal="left" vertical="center" wrapText="1" indent="1"/>
    </xf>
    <xf numFmtId="0" fontId="32" fillId="0" borderId="4" xfId="40" applyNumberFormat="1" applyFont="1" applyFill="1" applyBorder="1" applyAlignment="1" applyProtection="1">
      <alignment horizontal="left" vertical="center" wrapText="1" indent="2"/>
      <protection locked="0"/>
    </xf>
    <xf numFmtId="3" fontId="32" fillId="0" borderId="4" xfId="40" applyNumberFormat="1" applyFont="1" applyFill="1" applyBorder="1" applyAlignment="1" applyProtection="1">
      <alignment horizontal="center" vertical="center" wrapText="1"/>
      <protection locked="0"/>
    </xf>
    <xf numFmtId="3" fontId="31" fillId="0" borderId="17" xfId="40" applyNumberFormat="1" applyFont="1" applyFill="1" applyBorder="1" applyAlignment="1" applyProtection="1">
      <alignment horizontal="center" vertical="center" wrapText="1"/>
    </xf>
    <xf numFmtId="165" fontId="32" fillId="0" borderId="1" xfId="40" applyNumberFormat="1" applyFont="1" applyFill="1" applyBorder="1" applyAlignment="1" applyProtection="1">
      <alignment horizontal="left" vertical="center" wrapText="1" indent="1"/>
    </xf>
    <xf numFmtId="0" fontId="18" fillId="7" borderId="68" xfId="40" applyNumberFormat="1" applyFont="1" applyFill="1" applyBorder="1" applyAlignment="1" applyProtection="1">
      <alignment horizontal="left" vertical="center" wrapText="1" indent="2"/>
    </xf>
    <xf numFmtId="3" fontId="31" fillId="0" borderId="27" xfId="40" applyNumberFormat="1" applyFont="1" applyFill="1" applyBorder="1" applyAlignment="1" applyProtection="1">
      <alignment horizontal="center" vertical="center" wrapText="1"/>
    </xf>
    <xf numFmtId="3" fontId="25" fillId="0" borderId="68" xfId="40" applyNumberFormat="1" applyFont="1" applyFill="1" applyBorder="1" applyAlignment="1" applyProtection="1">
      <alignment horizontal="center" vertical="center" wrapText="1"/>
      <protection locked="0"/>
    </xf>
    <xf numFmtId="0" fontId="32" fillId="0" borderId="67" xfId="40" applyNumberFormat="1" applyFont="1" applyFill="1" applyBorder="1" applyAlignment="1" applyProtection="1">
      <alignment vertical="center" wrapText="1"/>
      <protection locked="0"/>
    </xf>
    <xf numFmtId="0" fontId="32" fillId="0" borderId="5" xfId="40" applyNumberFormat="1" applyFont="1" applyFill="1" applyBorder="1" applyAlignment="1" applyProtection="1">
      <alignment vertical="center" wrapText="1"/>
      <protection locked="0"/>
    </xf>
    <xf numFmtId="3" fontId="31" fillId="0" borderId="18" xfId="40" applyNumberFormat="1" applyFont="1" applyFill="1" applyBorder="1" applyAlignment="1" applyProtection="1">
      <alignment horizontal="center" vertical="center" wrapText="1"/>
    </xf>
    <xf numFmtId="2" fontId="29" fillId="0" borderId="20" xfId="25" applyNumberFormat="1" applyFont="1" applyFill="1" applyBorder="1"/>
    <xf numFmtId="2" fontId="29" fillId="0" borderId="18" xfId="25" applyNumberFormat="1" applyFont="1" applyFill="1" applyBorder="1"/>
    <xf numFmtId="2" fontId="96" fillId="0" borderId="18" xfId="25" applyNumberFormat="1" applyFont="1" applyFill="1" applyBorder="1"/>
    <xf numFmtId="2" fontId="29" fillId="0" borderId="23" xfId="25" applyNumberFormat="1" applyFont="1" applyFill="1" applyBorder="1"/>
    <xf numFmtId="2" fontId="96" fillId="0" borderId="23" xfId="25" applyNumberFormat="1" applyFont="1" applyFill="1" applyBorder="1" applyAlignment="1">
      <alignment vertical="center"/>
    </xf>
    <xf numFmtId="2" fontId="29" fillId="0" borderId="23" xfId="25" applyNumberFormat="1" applyFont="1" applyBorder="1"/>
    <xf numFmtId="2" fontId="29" fillId="0" borderId="27" xfId="25" applyNumberFormat="1" applyFont="1" applyBorder="1"/>
    <xf numFmtId="2" fontId="30" fillId="0" borderId="17" xfId="25" applyNumberFormat="1" applyFont="1" applyFill="1" applyBorder="1"/>
    <xf numFmtId="2" fontId="97" fillId="0" borderId="18" xfId="25" applyNumberFormat="1" applyFont="1" applyFill="1" applyBorder="1"/>
    <xf numFmtId="2" fontId="97" fillId="0" borderId="40" xfId="25" applyNumberFormat="1" applyFont="1" applyFill="1" applyBorder="1"/>
    <xf numFmtId="2" fontId="30" fillId="0" borderId="19" xfId="25" applyNumberFormat="1" applyFont="1" applyBorder="1"/>
    <xf numFmtId="171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3" fillId="0" borderId="27" xfId="0" applyNumberFormat="1" applyFont="1" applyFill="1" applyBorder="1" applyAlignment="1">
      <alignment horizontal="right" vertical="center" wrapText="1"/>
    </xf>
    <xf numFmtId="3" fontId="81" fillId="0" borderId="8" xfId="19" applyNumberFormat="1" applyFont="1" applyBorder="1"/>
    <xf numFmtId="0" fontId="0" fillId="0" borderId="2" xfId="0" applyBorder="1" applyAlignment="1">
      <alignment wrapText="1"/>
    </xf>
    <xf numFmtId="3" fontId="73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3" fillId="0" borderId="8" xfId="19" applyNumberFormat="1" applyFont="1" applyBorder="1"/>
    <xf numFmtId="3" fontId="33" fillId="0" borderId="26" xfId="19" applyNumberFormat="1" applyFont="1" applyBorder="1"/>
    <xf numFmtId="0" fontId="37" fillId="0" borderId="2" xfId="18" applyFont="1" applyBorder="1" applyAlignment="1">
      <alignment horizontal="left" wrapText="1"/>
    </xf>
    <xf numFmtId="3" fontId="24" fillId="0" borderId="27" xfId="19" applyNumberFormat="1" applyFont="1" applyBorder="1"/>
    <xf numFmtId="3" fontId="57" fillId="0" borderId="12" xfId="19" applyNumberFormat="1" applyFont="1" applyBorder="1"/>
    <xf numFmtId="0" fontId="37" fillId="0" borderId="2" xfId="18" applyFont="1" applyBorder="1" applyAlignment="1">
      <alignment horizontal="left" vertical="center" wrapText="1"/>
    </xf>
    <xf numFmtId="0" fontId="15" fillId="0" borderId="0" xfId="21" applyFont="1" applyFill="1" applyProtection="1"/>
    <xf numFmtId="0" fontId="15" fillId="0" borderId="0" xfId="21" applyFont="1" applyFill="1" applyAlignment="1" applyProtection="1">
      <alignment horizontal="right" vertical="center" indent="1"/>
    </xf>
    <xf numFmtId="0" fontId="15" fillId="0" borderId="0" xfId="21" applyFill="1" applyProtection="1"/>
    <xf numFmtId="0" fontId="47" fillId="0" borderId="0" xfId="18"/>
    <xf numFmtId="0" fontId="47" fillId="0" borderId="0" xfId="19"/>
    <xf numFmtId="3" fontId="39" fillId="0" borderId="5" xfId="19" applyNumberFormat="1" applyFont="1" applyBorder="1"/>
    <xf numFmtId="3" fontId="39" fillId="0" borderId="2" xfId="19" applyNumberFormat="1" applyFont="1" applyBorder="1"/>
    <xf numFmtId="3" fontId="11" fillId="0" borderId="38" xfId="19" applyNumberFormat="1" applyFont="1" applyBorder="1"/>
    <xf numFmtId="3" fontId="39" fillId="0" borderId="8" xfId="19" applyNumberFormat="1" applyFont="1" applyBorder="1"/>
    <xf numFmtId="3" fontId="33" fillId="0" borderId="18" xfId="19" applyNumberFormat="1" applyFont="1" applyBorder="1"/>
    <xf numFmtId="3" fontId="39" fillId="0" borderId="74" xfId="19" applyNumberFormat="1" applyFont="1" applyBorder="1"/>
    <xf numFmtId="3" fontId="39" fillId="0" borderId="6" xfId="19" applyNumberFormat="1" applyFont="1" applyBorder="1"/>
    <xf numFmtId="3" fontId="33" fillId="0" borderId="23" xfId="19" applyNumberFormat="1" applyFont="1" applyBorder="1"/>
    <xf numFmtId="3" fontId="39" fillId="0" borderId="10" xfId="19" applyNumberFormat="1" applyFont="1" applyBorder="1"/>
    <xf numFmtId="3" fontId="22" fillId="0" borderId="0" xfId="19" applyNumberFormat="1" applyFont="1" applyBorder="1"/>
    <xf numFmtId="0" fontId="47" fillId="0" borderId="0" xfId="19" applyFont="1"/>
    <xf numFmtId="165" fontId="31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3" fillId="0" borderId="20" xfId="19" applyNumberFormat="1" applyFont="1" applyBorder="1"/>
    <xf numFmtId="0" fontId="0" fillId="0" borderId="3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42" fillId="0" borderId="2" xfId="18" applyFont="1" applyBorder="1" applyAlignment="1">
      <alignment horizontal="left"/>
    </xf>
    <xf numFmtId="0" fontId="5" fillId="0" borderId="2" xfId="18" applyFont="1" applyBorder="1" applyAlignment="1">
      <alignment horizontal="left"/>
    </xf>
    <xf numFmtId="0" fontId="5" fillId="0" borderId="2" xfId="18" applyFont="1" applyBorder="1" applyAlignment="1">
      <alignment horizontal="left" wrapText="1"/>
    </xf>
    <xf numFmtId="0" fontId="99" fillId="0" borderId="2" xfId="18" applyFont="1" applyBorder="1" applyAlignment="1">
      <alignment horizontal="left"/>
    </xf>
    <xf numFmtId="49" fontId="47" fillId="0" borderId="8" xfId="18" applyNumberFormat="1" applyBorder="1"/>
    <xf numFmtId="49" fontId="47" fillId="0" borderId="10" xfId="18" applyNumberFormat="1" applyBorder="1"/>
    <xf numFmtId="0" fontId="42" fillId="0" borderId="6" xfId="18" applyFont="1" applyBorder="1" applyAlignment="1">
      <alignment horizontal="left" wrapText="1"/>
    </xf>
    <xf numFmtId="49" fontId="47" fillId="0" borderId="13" xfId="18" applyNumberFormat="1" applyBorder="1"/>
    <xf numFmtId="0" fontId="100" fillId="0" borderId="14" xfId="18" applyFont="1" applyBorder="1" applyAlignment="1">
      <alignment horizontal="left"/>
    </xf>
    <xf numFmtId="170" fontId="19" fillId="0" borderId="19" xfId="18" applyNumberFormat="1" applyFont="1" applyBorder="1" applyAlignment="1">
      <alignment horizontal="right"/>
    </xf>
    <xf numFmtId="49" fontId="47" fillId="0" borderId="9" xfId="18" applyNumberFormat="1" applyBorder="1"/>
    <xf numFmtId="0" fontId="42" fillId="0" borderId="3" xfId="18" applyFont="1" applyBorder="1" applyAlignment="1">
      <alignment horizontal="left" wrapText="1"/>
    </xf>
    <xf numFmtId="0" fontId="87" fillId="0" borderId="14" xfId="18" applyFont="1" applyBorder="1" applyAlignment="1">
      <alignment horizontal="left" wrapText="1"/>
    </xf>
    <xf numFmtId="0" fontId="99" fillId="0" borderId="6" xfId="18" applyFont="1" applyBorder="1" applyAlignment="1">
      <alignment horizontal="left"/>
    </xf>
    <xf numFmtId="0" fontId="5" fillId="0" borderId="3" xfId="18" applyFont="1" applyBorder="1" applyAlignment="1">
      <alignment horizontal="left" wrapText="1"/>
    </xf>
    <xf numFmtId="170" fontId="19" fillId="0" borderId="18" xfId="34" applyNumberFormat="1" applyFont="1" applyBorder="1" applyAlignment="1">
      <alignment horizontal="right" indent="2"/>
    </xf>
    <xf numFmtId="170" fontId="119" fillId="0" borderId="18" xfId="34" applyNumberFormat="1" applyFont="1" applyBorder="1" applyAlignment="1">
      <alignment horizontal="right" indent="2"/>
    </xf>
    <xf numFmtId="170" fontId="119" fillId="0" borderId="18" xfId="34" applyNumberFormat="1" applyFont="1" applyFill="1" applyBorder="1" applyAlignment="1">
      <alignment horizontal="right" indent="2"/>
    </xf>
    <xf numFmtId="170" fontId="119" fillId="0" borderId="23" xfId="34" applyNumberFormat="1" applyFont="1" applyBorder="1" applyAlignment="1">
      <alignment horizontal="right" indent="2"/>
    </xf>
    <xf numFmtId="170" fontId="120" fillId="0" borderId="19" xfId="34" applyNumberFormat="1" applyFont="1" applyBorder="1" applyAlignment="1">
      <alignment horizontal="right" indent="2"/>
    </xf>
    <xf numFmtId="170" fontId="119" fillId="10" borderId="23" xfId="34" applyNumberFormat="1" applyFont="1" applyFill="1" applyBorder="1" applyAlignment="1">
      <alignment horizontal="right" indent="2"/>
    </xf>
    <xf numFmtId="170" fontId="119" fillId="10" borderId="18" xfId="34" applyNumberFormat="1" applyFont="1" applyFill="1" applyBorder="1" applyAlignment="1">
      <alignment horizontal="right" indent="2"/>
    </xf>
    <xf numFmtId="170" fontId="119" fillId="0" borderId="23" xfId="18" applyNumberFormat="1" applyFont="1" applyFill="1" applyBorder="1" applyAlignment="1">
      <alignment horizontal="right" indent="2"/>
    </xf>
    <xf numFmtId="170" fontId="119" fillId="10" borderId="20" xfId="34" applyNumberFormat="1" applyFont="1" applyFill="1" applyBorder="1" applyAlignment="1">
      <alignment horizontal="right" indent="2"/>
    </xf>
    <xf numFmtId="170" fontId="119" fillId="0" borderId="20" xfId="34" applyNumberFormat="1" applyFont="1" applyBorder="1" applyAlignment="1">
      <alignment horizontal="right" indent="2"/>
    </xf>
    <xf numFmtId="170" fontId="119" fillId="0" borderId="18" xfId="18" applyNumberFormat="1" applyFont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1" fillId="0" borderId="0" xfId="0" applyFont="1" applyFill="1" applyProtection="1"/>
    <xf numFmtId="0" fontId="107" fillId="0" borderId="15" xfId="0" applyFont="1" applyFill="1" applyBorder="1" applyAlignment="1" applyProtection="1">
      <alignment vertical="center"/>
    </xf>
    <xf numFmtId="0" fontId="107" fillId="0" borderId="16" xfId="0" applyFont="1" applyFill="1" applyBorder="1" applyAlignment="1" applyProtection="1">
      <alignment horizontal="center" vertical="center"/>
    </xf>
    <xf numFmtId="0" fontId="107" fillId="0" borderId="28" xfId="0" applyFont="1" applyFill="1" applyBorder="1" applyAlignment="1" applyProtection="1">
      <alignment horizontal="center" vertical="center"/>
    </xf>
    <xf numFmtId="49" fontId="68" fillId="0" borderId="11" xfId="0" applyNumberFormat="1" applyFont="1" applyFill="1" applyBorder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17" xfId="0" applyNumberFormat="1" applyFont="1" applyFill="1" applyBorder="1" applyAlignment="1" applyProtection="1">
      <alignment vertical="center"/>
    </xf>
    <xf numFmtId="49" fontId="91" fillId="0" borderId="8" xfId="0" quotePrefix="1" applyNumberFormat="1" applyFont="1" applyFill="1" applyBorder="1" applyAlignment="1" applyProtection="1">
      <alignment horizontal="left" vertical="center" indent="1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8" fillId="0" borderId="18" xfId="0" applyNumberFormat="1" applyFont="1" applyFill="1" applyBorder="1" applyAlignment="1" applyProtection="1">
      <alignment vertical="center"/>
    </xf>
    <xf numFmtId="49" fontId="68" fillId="0" borderId="10" xfId="0" applyNumberFormat="1" applyFont="1" applyFill="1" applyBorder="1" applyAlignment="1" applyProtection="1">
      <alignment vertical="center"/>
      <protection locked="0"/>
    </xf>
    <xf numFmtId="3" fontId="68" fillId="0" borderId="6" xfId="0" applyNumberFormat="1" applyFont="1" applyFill="1" applyBorder="1" applyAlignment="1" applyProtection="1">
      <alignment vertical="center"/>
      <protection locked="0"/>
    </xf>
    <xf numFmtId="49" fontId="107" fillId="0" borderId="13" xfId="0" applyNumberFormat="1" applyFont="1" applyFill="1" applyBorder="1" applyAlignment="1" applyProtection="1">
      <alignment vertical="center"/>
    </xf>
    <xf numFmtId="3" fontId="68" fillId="0" borderId="14" xfId="0" applyNumberFormat="1" applyFont="1" applyFill="1" applyBorder="1" applyAlignment="1" applyProtection="1">
      <alignment vertical="center"/>
    </xf>
    <xf numFmtId="3" fontId="68" fillId="0" borderId="19" xfId="0" applyNumberFormat="1" applyFont="1" applyFill="1" applyBorder="1" applyAlignment="1" applyProtection="1">
      <alignment vertical="center"/>
    </xf>
    <xf numFmtId="0" fontId="71" fillId="0" borderId="0" xfId="0" applyFont="1" applyFill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horizontal="left" vertical="center"/>
    </xf>
    <xf numFmtId="49" fontId="68" fillId="0" borderId="8" xfId="0" applyNumberFormat="1" applyFont="1" applyFill="1" applyBorder="1" applyAlignment="1" applyProtection="1">
      <alignment vertical="center"/>
      <protection locked="0"/>
    </xf>
    <xf numFmtId="0" fontId="71" fillId="0" borderId="0" xfId="0" applyFont="1" applyFill="1" applyProtection="1"/>
    <xf numFmtId="0" fontId="107" fillId="0" borderId="15" xfId="0" applyFont="1" applyFill="1" applyBorder="1" applyAlignment="1" applyProtection="1">
      <alignment vertical="center"/>
    </xf>
    <xf numFmtId="0" fontId="107" fillId="0" borderId="16" xfId="0" applyFont="1" applyFill="1" applyBorder="1" applyAlignment="1" applyProtection="1">
      <alignment horizontal="center" vertical="center"/>
    </xf>
    <xf numFmtId="0" fontId="107" fillId="0" borderId="28" xfId="0" applyFont="1" applyFill="1" applyBorder="1" applyAlignment="1" applyProtection="1">
      <alignment horizontal="center" vertical="center"/>
    </xf>
    <xf numFmtId="49" fontId="68" fillId="0" borderId="11" xfId="0" applyNumberFormat="1" applyFont="1" applyFill="1" applyBorder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17" xfId="0" applyNumberFormat="1" applyFont="1" applyFill="1" applyBorder="1" applyAlignment="1" applyProtection="1">
      <alignment vertical="center"/>
    </xf>
    <xf numFmtId="49" fontId="91" fillId="0" borderId="8" xfId="0" quotePrefix="1" applyNumberFormat="1" applyFont="1" applyFill="1" applyBorder="1" applyAlignment="1" applyProtection="1">
      <alignment horizontal="left" vertical="center" indent="1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68" fillId="0" borderId="8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7" fillId="0" borderId="2" xfId="0" applyNumberFormat="1" applyFont="1" applyFill="1" applyBorder="1" applyAlignment="1" applyProtection="1">
      <alignment vertical="center"/>
      <protection locked="0"/>
    </xf>
    <xf numFmtId="3" fontId="68" fillId="0" borderId="18" xfId="0" applyNumberFormat="1" applyFont="1" applyFill="1" applyBorder="1" applyAlignment="1" applyProtection="1">
      <alignment vertical="center"/>
    </xf>
    <xf numFmtId="49" fontId="68" fillId="0" borderId="10" xfId="0" applyNumberFormat="1" applyFont="1" applyFill="1" applyBorder="1" applyAlignment="1" applyProtection="1">
      <alignment vertical="center"/>
      <protection locked="0"/>
    </xf>
    <xf numFmtId="3" fontId="68" fillId="0" borderId="6" xfId="0" applyNumberFormat="1" applyFont="1" applyFill="1" applyBorder="1" applyAlignment="1" applyProtection="1">
      <alignment vertical="center"/>
      <protection locked="0"/>
    </xf>
    <xf numFmtId="49" fontId="107" fillId="0" borderId="13" xfId="0" applyNumberFormat="1" applyFont="1" applyFill="1" applyBorder="1" applyAlignment="1" applyProtection="1">
      <alignment vertical="center"/>
    </xf>
    <xf numFmtId="3" fontId="68" fillId="0" borderId="14" xfId="0" applyNumberFormat="1" applyFont="1" applyFill="1" applyBorder="1" applyAlignment="1" applyProtection="1">
      <alignment vertical="center"/>
    </xf>
    <xf numFmtId="3" fontId="68" fillId="0" borderId="19" xfId="0" applyNumberFormat="1" applyFont="1" applyFill="1" applyBorder="1" applyAlignment="1" applyProtection="1">
      <alignment vertical="center"/>
    </xf>
    <xf numFmtId="0" fontId="71" fillId="0" borderId="0" xfId="0" applyFont="1" applyFill="1" applyAlignment="1" applyProtection="1">
      <alignment vertical="center"/>
    </xf>
    <xf numFmtId="3" fontId="67" fillId="0" borderId="4" xfId="0" applyNumberFormat="1" applyFont="1" applyFill="1" applyBorder="1" applyAlignment="1" applyProtection="1">
      <alignment vertical="center"/>
      <protection locked="0"/>
    </xf>
    <xf numFmtId="49" fontId="68" fillId="0" borderId="8" xfId="0" applyNumberFormat="1" applyFont="1" applyFill="1" applyBorder="1" applyAlignment="1" applyProtection="1">
      <alignment horizontal="left" vertical="center"/>
    </xf>
    <xf numFmtId="49" fontId="68" fillId="0" borderId="8" xfId="0" applyNumberFormat="1" applyFont="1" applyFill="1" applyBorder="1" applyAlignment="1" applyProtection="1">
      <alignment vertical="center"/>
      <protection locked="0"/>
    </xf>
    <xf numFmtId="3" fontId="18" fillId="0" borderId="2" xfId="38" applyNumberFormat="1" applyFont="1" applyFill="1" applyBorder="1" applyAlignment="1" applyProtection="1">
      <alignment horizontal="right" vertical="center" wrapText="1"/>
      <protection locked="0"/>
    </xf>
    <xf numFmtId="3" fontId="18" fillId="0" borderId="1" xfId="38" applyNumberFormat="1" applyFont="1" applyFill="1" applyBorder="1" applyAlignment="1" applyProtection="1">
      <alignment horizontal="right" vertical="center" wrapText="1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3" fontId="65" fillId="0" borderId="2" xfId="25" applyNumberFormat="1" applyFont="1" applyBorder="1" applyAlignment="1">
      <alignment horizontal="right"/>
    </xf>
    <xf numFmtId="3" fontId="65" fillId="0" borderId="18" xfId="25" applyNumberFormat="1" applyFont="1" applyBorder="1" applyAlignment="1">
      <alignment horizontal="right"/>
    </xf>
    <xf numFmtId="3" fontId="65" fillId="0" borderId="2" xfId="26" applyNumberFormat="1" applyFont="1" applyBorder="1" applyAlignment="1">
      <alignment horizontal="right"/>
    </xf>
    <xf numFmtId="3" fontId="65" fillId="0" borderId="21" xfId="26" applyNumberFormat="1" applyFont="1" applyBorder="1" applyAlignment="1">
      <alignment horizontal="right"/>
    </xf>
    <xf numFmtId="3" fontId="65" fillId="0" borderId="22" xfId="26" applyNumberFormat="1" applyFont="1" applyBorder="1" applyAlignment="1">
      <alignment horizontal="right"/>
    </xf>
    <xf numFmtId="165" fontId="65" fillId="0" borderId="19" xfId="0" applyNumberFormat="1" applyFont="1" applyFill="1" applyBorder="1" applyAlignment="1" applyProtection="1">
      <alignment horizontal="right" vertical="center" wrapText="1" indent="1"/>
    </xf>
    <xf numFmtId="165" fontId="121" fillId="0" borderId="19" xfId="0" applyNumberFormat="1" applyFont="1" applyFill="1" applyBorder="1" applyAlignment="1" applyProtection="1">
      <alignment horizontal="right" vertical="center" wrapText="1" indent="1"/>
    </xf>
    <xf numFmtId="165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21" fillId="0" borderId="44" xfId="0" applyNumberFormat="1" applyFont="1" applyFill="1" applyBorder="1" applyAlignment="1" applyProtection="1">
      <alignment horizontal="right" vertical="center" wrapText="1" indent="1"/>
    </xf>
    <xf numFmtId="165" fontId="65" fillId="0" borderId="44" xfId="0" applyNumberFormat="1" applyFont="1" applyFill="1" applyBorder="1" applyAlignment="1" applyProtection="1">
      <alignment horizontal="right" vertical="center" wrapText="1" indent="1"/>
    </xf>
    <xf numFmtId="165" fontId="65" fillId="0" borderId="18" xfId="21" applyNumberFormat="1" applyFont="1" applyFill="1" applyBorder="1" applyAlignment="1" applyProtection="1">
      <alignment horizontal="right" vertical="center" wrapText="1" indent="1"/>
    </xf>
    <xf numFmtId="165" fontId="65" fillId="0" borderId="20" xfId="21" applyNumberFormat="1" applyFont="1" applyFill="1" applyBorder="1" applyAlignment="1" applyProtection="1">
      <alignment horizontal="center" vertical="center" wrapText="1"/>
    </xf>
    <xf numFmtId="165" fontId="65" fillId="0" borderId="20" xfId="21" applyNumberFormat="1" applyFont="1" applyFill="1" applyBorder="1" applyAlignment="1" applyProtection="1">
      <alignment horizontal="right" vertical="center" wrapText="1" indent="1"/>
    </xf>
    <xf numFmtId="165" fontId="65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23" applyNumberFormat="1" applyFont="1" applyFill="1" applyBorder="1" applyAlignment="1" applyProtection="1">
      <alignment vertical="center"/>
    </xf>
    <xf numFmtId="170" fontId="122" fillId="0" borderId="18" xfId="18" applyNumberFormat="1" applyFont="1" applyFill="1" applyBorder="1" applyAlignment="1">
      <alignment horizontal="right" indent="2"/>
    </xf>
    <xf numFmtId="3" fontId="73" fillId="0" borderId="5" xfId="19" applyNumberFormat="1" applyFont="1" applyBorder="1"/>
    <xf numFmtId="0" fontId="110" fillId="0" borderId="0" xfId="0" applyFont="1" applyAlignment="1">
      <alignment horizontal="center"/>
    </xf>
    <xf numFmtId="0" fontId="27" fillId="11" borderId="0" xfId="0" applyFont="1" applyFill="1" applyAlignment="1" applyProtection="1">
      <alignment horizontal="center"/>
      <protection locked="0"/>
    </xf>
    <xf numFmtId="0" fontId="37" fillId="11" borderId="0" xfId="0" applyFont="1" applyFill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21" applyFont="1" applyFill="1" applyAlignment="1" applyProtection="1">
      <alignment horizontal="center"/>
    </xf>
    <xf numFmtId="0" fontId="15" fillId="0" borderId="0" xfId="21" applyFont="1" applyFill="1" applyAlignment="1" applyProtection="1">
      <alignment horizontal="right"/>
    </xf>
    <xf numFmtId="165" fontId="38" fillId="0" borderId="24" xfId="21" applyNumberFormat="1" applyFont="1" applyFill="1" applyBorder="1" applyAlignment="1" applyProtection="1">
      <alignment horizontal="left" vertical="center"/>
    </xf>
    <xf numFmtId="165" fontId="10" fillId="0" borderId="0" xfId="21" applyNumberFormat="1" applyFont="1" applyFill="1" applyBorder="1" applyAlignment="1" applyProtection="1">
      <alignment horizontal="center" vertical="center"/>
    </xf>
    <xf numFmtId="165" fontId="38" fillId="0" borderId="24" xfId="21" applyNumberFormat="1" applyFont="1" applyFill="1" applyBorder="1" applyAlignment="1" applyProtection="1">
      <alignment horizontal="left"/>
    </xf>
    <xf numFmtId="165" fontId="33" fillId="0" borderId="24" xfId="21" applyNumberFormat="1" applyFont="1" applyFill="1" applyBorder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 vertical="center" textRotation="180" wrapText="1"/>
    </xf>
    <xf numFmtId="165" fontId="33" fillId="0" borderId="61" xfId="0" applyNumberFormat="1" applyFont="1" applyFill="1" applyBorder="1" applyAlignment="1" applyProtection="1">
      <alignment horizontal="center" vertical="center" wrapText="1"/>
    </xf>
    <xf numFmtId="165" fontId="33" fillId="0" borderId="59" xfId="0" applyNumberFormat="1" applyFont="1" applyFill="1" applyBorder="1" applyAlignment="1" applyProtection="1">
      <alignment horizontal="center" vertical="center" wrapText="1"/>
    </xf>
    <xf numFmtId="165" fontId="45" fillId="0" borderId="51" xfId="0" applyNumberFormat="1" applyFont="1" applyFill="1" applyBorder="1" applyAlignment="1" applyProtection="1">
      <alignment horizontal="center" vertical="center" wrapText="1"/>
    </xf>
    <xf numFmtId="165" fontId="27" fillId="0" borderId="24" xfId="0" applyNumberFormat="1" applyFont="1" applyFill="1" applyBorder="1" applyAlignment="1" applyProtection="1">
      <alignment horizontal="center" vertical="center" wrapText="1"/>
    </xf>
    <xf numFmtId="165" fontId="33" fillId="0" borderId="58" xfId="0" applyNumberFormat="1" applyFont="1" applyFill="1" applyBorder="1" applyAlignment="1" applyProtection="1">
      <alignment horizontal="center" vertical="center" wrapText="1"/>
    </xf>
    <xf numFmtId="165" fontId="33" fillId="0" borderId="75" xfId="0" applyNumberFormat="1" applyFont="1" applyFill="1" applyBorder="1" applyAlignment="1" applyProtection="1">
      <alignment horizontal="center" vertical="center" wrapText="1"/>
    </xf>
    <xf numFmtId="165" fontId="10" fillId="0" borderId="24" xfId="0" applyNumberFormat="1" applyFont="1" applyFill="1" applyBorder="1" applyAlignment="1" applyProtection="1">
      <alignment horizontal="center" vertical="center" wrapText="1"/>
    </xf>
    <xf numFmtId="0" fontId="5" fillId="0" borderId="0" xfId="21" applyFont="1" applyFill="1" applyAlignment="1">
      <alignment horizontal="right"/>
    </xf>
    <xf numFmtId="165" fontId="8" fillId="0" borderId="0" xfId="21" applyNumberFormat="1" applyFont="1" applyFill="1" applyBorder="1" applyAlignment="1" applyProtection="1">
      <alignment horizontal="center" vertical="center" wrapText="1"/>
    </xf>
    <xf numFmtId="0" fontId="14" fillId="0" borderId="0" xfId="38" applyFont="1" applyFill="1" applyBorder="1" applyAlignment="1" applyProtection="1">
      <alignment horizontal="right"/>
    </xf>
    <xf numFmtId="0" fontId="24" fillId="0" borderId="0" xfId="38" applyFont="1" applyFill="1" applyBorder="1" applyAlignment="1" applyProtection="1">
      <alignment horizontal="right"/>
    </xf>
    <xf numFmtId="0" fontId="34" fillId="0" borderId="11" xfId="21" applyFont="1" applyFill="1" applyBorder="1" applyAlignment="1">
      <alignment horizontal="center" vertical="center" wrapText="1"/>
    </xf>
    <xf numFmtId="0" fontId="34" fillId="0" borderId="10" xfId="21" applyFont="1" applyFill="1" applyBorder="1" applyAlignment="1">
      <alignment horizontal="center" vertical="center" wrapText="1"/>
    </xf>
    <xf numFmtId="0" fontId="34" fillId="0" borderId="4" xfId="21" applyFont="1" applyFill="1" applyBorder="1" applyAlignment="1">
      <alignment horizontal="center" vertical="center" wrapText="1"/>
    </xf>
    <xf numFmtId="0" fontId="34" fillId="0" borderId="6" xfId="21" applyFont="1" applyFill="1" applyBorder="1" applyAlignment="1">
      <alignment horizontal="center" vertical="center" wrapText="1"/>
    </xf>
    <xf numFmtId="0" fontId="34" fillId="0" borderId="17" xfId="21" applyFont="1" applyFill="1" applyBorder="1" applyAlignment="1">
      <alignment horizontal="center" vertical="center" wrapText="1"/>
    </xf>
    <xf numFmtId="0" fontId="34" fillId="0" borderId="23" xfId="21" applyFont="1" applyFill="1" applyBorder="1" applyAlignment="1">
      <alignment horizontal="center" vertical="center" wrapText="1"/>
    </xf>
    <xf numFmtId="0" fontId="33" fillId="0" borderId="39" xfId="21" applyFont="1" applyFill="1" applyBorder="1" applyAlignment="1" applyProtection="1">
      <alignment horizontal="left"/>
    </xf>
    <xf numFmtId="0" fontId="33" fillId="0" borderId="25" xfId="21" applyFont="1" applyFill="1" applyBorder="1" applyAlignment="1" applyProtection="1">
      <alignment horizontal="left"/>
    </xf>
    <xf numFmtId="0" fontId="25" fillId="0" borderId="51" xfId="21" applyFont="1" applyFill="1" applyBorder="1" applyAlignment="1">
      <alignment horizontal="justify" vertical="center" wrapText="1"/>
    </xf>
    <xf numFmtId="0" fontId="6" fillId="0" borderId="0" xfId="21" applyFont="1" applyFill="1" applyAlignment="1">
      <alignment horizontal="right"/>
    </xf>
    <xf numFmtId="165" fontId="82" fillId="0" borderId="0" xfId="0" applyNumberFormat="1" applyFont="1" applyFill="1" applyAlignment="1">
      <alignment horizontal="center" vertical="center" wrapText="1"/>
    </xf>
    <xf numFmtId="165" fontId="116" fillId="0" borderId="0" xfId="0" applyNumberFormat="1" applyFont="1" applyFill="1" applyAlignment="1">
      <alignment horizontal="right" vertical="center" wrapText="1"/>
    </xf>
    <xf numFmtId="165" fontId="27" fillId="0" borderId="0" xfId="0" applyNumberFormat="1" applyFont="1" applyFill="1" applyAlignment="1">
      <alignment horizontal="center" vertical="center" wrapText="1"/>
    </xf>
    <xf numFmtId="165" fontId="88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88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88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5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5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5" fillId="0" borderId="18" xfId="28" applyNumberFormat="1" applyFont="1" applyFill="1" applyBorder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>
      <alignment horizontal="right" vertical="center" wrapText="1"/>
    </xf>
    <xf numFmtId="0" fontId="27" fillId="0" borderId="0" xfId="0" applyFont="1" applyFill="1" applyAlignment="1" applyProtection="1">
      <alignment horizontal="center" wrapText="1"/>
    </xf>
    <xf numFmtId="0" fontId="35" fillId="0" borderId="0" xfId="0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82" fillId="0" borderId="0" xfId="0" applyFont="1" applyFill="1" applyAlignment="1" applyProtection="1">
      <alignment horizontal="center" wrapText="1"/>
    </xf>
    <xf numFmtId="0" fontId="106" fillId="0" borderId="0" xfId="0" applyFont="1" applyFill="1" applyBorder="1" applyAlignment="1" applyProtection="1">
      <alignment horizontal="right"/>
    </xf>
    <xf numFmtId="0" fontId="8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1" fillId="0" borderId="12" xfId="0" applyFont="1" applyFill="1" applyBorder="1" applyAlignment="1" applyProtection="1">
      <alignment horizontal="left" vertical="center" wrapText="1"/>
    </xf>
    <xf numFmtId="0" fontId="71" fillId="0" borderId="21" xfId="0" applyFont="1" applyFill="1" applyBorder="1" applyAlignment="1" applyProtection="1">
      <alignment horizontal="left" vertical="center" wrapText="1"/>
    </xf>
    <xf numFmtId="0" fontId="69" fillId="0" borderId="13" xfId="0" applyFont="1" applyFill="1" applyBorder="1" applyAlignment="1" applyProtection="1">
      <alignment horizontal="left" vertical="center" wrapText="1"/>
    </xf>
    <xf numFmtId="0" fontId="69" fillId="0" borderId="14" xfId="0" applyFont="1" applyFill="1" applyBorder="1" applyAlignment="1" applyProtection="1">
      <alignment horizontal="left" vertical="center" wrapText="1"/>
    </xf>
    <xf numFmtId="0" fontId="69" fillId="9" borderId="39" xfId="0" applyFont="1" applyFill="1" applyBorder="1" applyAlignment="1" applyProtection="1">
      <alignment horizontal="left" vertical="center" wrapText="1"/>
    </xf>
    <xf numFmtId="0" fontId="69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72" fillId="0" borderId="15" xfId="25" applyFont="1" applyBorder="1" applyAlignment="1">
      <alignment horizontal="center" vertical="center"/>
    </xf>
    <xf numFmtId="0" fontId="72" fillId="0" borderId="7" xfId="25" applyFont="1" applyBorder="1" applyAlignment="1">
      <alignment horizontal="center" vertical="center"/>
    </xf>
    <xf numFmtId="0" fontId="72" fillId="0" borderId="9" xfId="25" applyFont="1" applyBorder="1" applyAlignment="1">
      <alignment horizontal="center" vertical="center"/>
    </xf>
    <xf numFmtId="0" fontId="72" fillId="0" borderId="4" xfId="25" applyFont="1" applyBorder="1" applyAlignment="1">
      <alignment horizontal="left"/>
    </xf>
    <xf numFmtId="0" fontId="90" fillId="0" borderId="4" xfId="25" applyFont="1" applyBorder="1" applyAlignment="1">
      <alignment horizontal="left"/>
    </xf>
    <xf numFmtId="0" fontId="72" fillId="0" borderId="4" xfId="25" applyFont="1" applyBorder="1" applyAlignment="1">
      <alignment horizontal="center"/>
    </xf>
    <xf numFmtId="0" fontId="90" fillId="0" borderId="4" xfId="25" applyFont="1" applyBorder="1" applyAlignment="1">
      <alignment horizontal="center"/>
    </xf>
    <xf numFmtId="0" fontId="90" fillId="0" borderId="17" xfId="25" applyFont="1" applyBorder="1" applyAlignment="1">
      <alignment horizontal="center"/>
    </xf>
    <xf numFmtId="0" fontId="72" fillId="0" borderId="6" xfId="25" applyFont="1" applyBorder="1" applyAlignment="1">
      <alignment horizontal="center" vertical="top" wrapText="1"/>
    </xf>
    <xf numFmtId="0" fontId="72" fillId="0" borderId="3" xfId="25" applyFont="1" applyBorder="1" applyAlignment="1">
      <alignment horizontal="center" vertical="top" wrapText="1"/>
    </xf>
    <xf numFmtId="0" fontId="78" fillId="0" borderId="0" xfId="25" applyFont="1" applyAlignment="1">
      <alignment horizontal="right"/>
    </xf>
    <xf numFmtId="0" fontId="6" fillId="0" borderId="0" xfId="20" applyFont="1" applyAlignment="1">
      <alignment horizontal="right"/>
    </xf>
    <xf numFmtId="0" fontId="15" fillId="0" borderId="0" xfId="21" applyFont="1" applyFill="1" applyAlignment="1">
      <alignment horizontal="right"/>
    </xf>
    <xf numFmtId="0" fontId="27" fillId="0" borderId="0" xfId="21" applyFont="1" applyFill="1" applyAlignment="1">
      <alignment horizontal="center" wrapText="1"/>
    </xf>
    <xf numFmtId="0" fontId="27" fillId="0" borderId="0" xfId="21" applyFont="1" applyFill="1" applyAlignment="1">
      <alignment horizontal="center"/>
    </xf>
    <xf numFmtId="0" fontId="11" fillId="0" borderId="46" xfId="40" applyNumberFormat="1" applyFont="1" applyFill="1" applyBorder="1" applyAlignment="1" applyProtection="1">
      <alignment horizontal="center" vertical="center"/>
    </xf>
    <xf numFmtId="0" fontId="11" fillId="0" borderId="71" xfId="40" applyNumberFormat="1" applyFont="1" applyFill="1" applyBorder="1" applyAlignment="1" applyProtection="1">
      <alignment horizontal="center" vertical="center"/>
    </xf>
    <xf numFmtId="0" fontId="11" fillId="0" borderId="57" xfId="40" applyNumberFormat="1" applyFont="1" applyFill="1" applyBorder="1" applyAlignment="1" applyProtection="1">
      <alignment horizontal="center" vertical="center"/>
    </xf>
    <xf numFmtId="0" fontId="11" fillId="0" borderId="61" xfId="40" applyNumberFormat="1" applyFont="1" applyFill="1" applyBorder="1" applyAlignment="1" applyProtection="1">
      <alignment horizontal="center" vertical="center"/>
    </xf>
    <xf numFmtId="0" fontId="11" fillId="0" borderId="59" xfId="40" applyNumberFormat="1" applyFont="1" applyFill="1" applyBorder="1" applyAlignment="1" applyProtection="1">
      <alignment horizontal="center" vertical="center"/>
    </xf>
    <xf numFmtId="165" fontId="11" fillId="0" borderId="34" xfId="40" applyNumberFormat="1" applyFont="1" applyFill="1" applyBorder="1" applyAlignment="1" applyProtection="1">
      <alignment horizontal="left" vertical="center" wrapText="1" indent="2"/>
    </xf>
    <xf numFmtId="165" fontId="11" fillId="0" borderId="44" xfId="40" applyNumberFormat="1" applyFont="1" applyFill="1" applyBorder="1" applyAlignment="1" applyProtection="1">
      <alignment horizontal="left" vertical="center" wrapText="1" indent="2"/>
    </xf>
    <xf numFmtId="0" fontId="11" fillId="0" borderId="61" xfId="40" applyNumberFormat="1" applyFont="1" applyFill="1" applyBorder="1" applyAlignment="1" applyProtection="1">
      <alignment horizontal="center" vertical="center" wrapText="1"/>
    </xf>
    <xf numFmtId="0" fontId="11" fillId="0" borderId="59" xfId="4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wrapText="1"/>
    </xf>
    <xf numFmtId="0" fontId="32" fillId="0" borderId="5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0" fontId="27" fillId="0" borderId="0" xfId="23" applyFont="1" applyFill="1" applyAlignment="1" applyProtection="1">
      <alignment horizontal="center" wrapText="1"/>
    </xf>
    <xf numFmtId="0" fontId="27" fillId="0" borderId="0" xfId="23" applyFont="1" applyFill="1" applyAlignment="1" applyProtection="1">
      <alignment horizontal="center"/>
    </xf>
    <xf numFmtId="0" fontId="24" fillId="0" borderId="68" xfId="23" applyFont="1" applyFill="1" applyBorder="1" applyAlignment="1" applyProtection="1">
      <alignment horizontal="left" vertical="center" indent="1"/>
    </xf>
    <xf numFmtId="0" fontId="24" fillId="0" borderId="35" xfId="23" applyFont="1" applyFill="1" applyBorder="1" applyAlignment="1" applyProtection="1">
      <alignment horizontal="left" vertical="center" indent="1"/>
    </xf>
    <xf numFmtId="0" fontId="24" fillId="0" borderId="44" xfId="23" applyFont="1" applyFill="1" applyBorder="1" applyAlignment="1" applyProtection="1">
      <alignment horizontal="left" vertical="center" indent="1"/>
    </xf>
    <xf numFmtId="0" fontId="15" fillId="0" borderId="0" xfId="23" applyFill="1" applyAlignment="1" applyProtection="1">
      <alignment horizontal="right"/>
    </xf>
    <xf numFmtId="0" fontId="27" fillId="0" borderId="4" xfId="18" applyFont="1" applyBorder="1" applyAlignment="1">
      <alignment horizontal="center" vertical="center" wrapText="1"/>
    </xf>
    <xf numFmtId="0" fontId="27" fillId="0" borderId="2" xfId="18" applyFont="1" applyBorder="1" applyAlignment="1">
      <alignment horizontal="center" vertical="center" wrapText="1"/>
    </xf>
    <xf numFmtId="170" fontId="27" fillId="0" borderId="17" xfId="18" applyNumberFormat="1" applyFont="1" applyBorder="1" applyAlignment="1">
      <alignment horizontal="right" vertical="center" wrapText="1"/>
    </xf>
    <xf numFmtId="170" fontId="27" fillId="0" borderId="18" xfId="18" applyNumberFormat="1" applyFont="1" applyBorder="1" applyAlignment="1">
      <alignment horizontal="right" vertical="center" wrapText="1"/>
    </xf>
    <xf numFmtId="0" fontId="64" fillId="0" borderId="11" xfId="18" applyFont="1" applyBorder="1" applyAlignment="1">
      <alignment horizontal="center" vertical="center"/>
    </xf>
    <xf numFmtId="0" fontId="64" fillId="0" borderId="8" xfId="18" applyFont="1" applyBorder="1" applyAlignment="1">
      <alignment horizontal="center" vertical="center"/>
    </xf>
    <xf numFmtId="0" fontId="19" fillId="0" borderId="0" xfId="33" applyFont="1" applyFill="1" applyBorder="1" applyAlignment="1" applyProtection="1">
      <alignment horizontal="center" vertical="center"/>
    </xf>
    <xf numFmtId="0" fontId="21" fillId="0" borderId="0" xfId="18" applyFont="1" applyAlignment="1">
      <alignment horizontal="right"/>
    </xf>
    <xf numFmtId="0" fontId="27" fillId="0" borderId="0" xfId="0" applyFont="1" applyAlignment="1">
      <alignment horizontal="center" wrapText="1"/>
    </xf>
    <xf numFmtId="0" fontId="38" fillId="0" borderId="0" xfId="0" applyFont="1" applyAlignment="1" applyProtection="1">
      <alignment horizontal="right"/>
    </xf>
    <xf numFmtId="0" fontId="33" fillId="0" borderId="34" xfId="0" applyFont="1" applyBorder="1" applyAlignment="1" applyProtection="1">
      <alignment horizontal="left" vertical="center" indent="2"/>
    </xf>
    <xf numFmtId="0" fontId="33" fillId="0" borderId="44" xfId="0" applyFont="1" applyBorder="1" applyAlignment="1" applyProtection="1">
      <alignment horizontal="left" vertical="center" indent="2"/>
    </xf>
    <xf numFmtId="0" fontId="47" fillId="0" borderId="0" xfId="19" applyAlignment="1">
      <alignment horizontal="right"/>
    </xf>
    <xf numFmtId="0" fontId="35" fillId="0" borderId="63" xfId="19" applyFont="1" applyBorder="1" applyAlignment="1">
      <alignment horizontal="center"/>
    </xf>
    <xf numFmtId="0" fontId="35" fillId="0" borderId="51" xfId="19" applyFont="1" applyBorder="1" applyAlignment="1">
      <alignment horizontal="center"/>
    </xf>
    <xf numFmtId="0" fontId="35" fillId="0" borderId="35" xfId="19" applyFont="1" applyBorder="1" applyAlignment="1">
      <alignment horizontal="center"/>
    </xf>
    <xf numFmtId="0" fontId="35" fillId="0" borderId="44" xfId="19" applyFont="1" applyBorder="1" applyAlignment="1">
      <alignment horizontal="center"/>
    </xf>
    <xf numFmtId="0" fontId="35" fillId="0" borderId="60" xfId="19" applyFont="1" applyBorder="1" applyAlignment="1">
      <alignment horizontal="center"/>
    </xf>
    <xf numFmtId="0" fontId="35" fillId="0" borderId="24" xfId="19" applyFont="1" applyBorder="1" applyAlignment="1">
      <alignment horizontal="center"/>
    </xf>
    <xf numFmtId="0" fontId="35" fillId="0" borderId="43" xfId="19" applyFont="1" applyBorder="1" applyAlignment="1">
      <alignment horizontal="center"/>
    </xf>
    <xf numFmtId="0" fontId="35" fillId="0" borderId="0" xfId="19" applyFont="1" applyBorder="1" applyAlignment="1">
      <alignment horizontal="center"/>
    </xf>
    <xf numFmtId="0" fontId="11" fillId="0" borderId="34" xfId="19" applyFont="1" applyBorder="1" applyAlignment="1">
      <alignment horizontal="right"/>
    </xf>
    <xf numFmtId="0" fontId="11" fillId="0" borderId="44" xfId="19" applyFont="1" applyBorder="1" applyAlignment="1">
      <alignment horizontal="right"/>
    </xf>
    <xf numFmtId="0" fontId="35" fillId="0" borderId="48" xfId="19" applyFont="1" applyBorder="1" applyAlignment="1">
      <alignment horizontal="center"/>
    </xf>
    <xf numFmtId="0" fontId="18" fillId="0" borderId="0" xfId="19" applyFont="1" applyAlignment="1">
      <alignment horizontal="center"/>
    </xf>
    <xf numFmtId="0" fontId="10" fillId="0" borderId="11" xfId="19" applyFont="1" applyBorder="1" applyAlignment="1">
      <alignment horizontal="center"/>
    </xf>
    <xf numFmtId="0" fontId="10" fillId="0" borderId="4" xfId="19" applyFont="1" applyBorder="1" applyAlignment="1">
      <alignment horizontal="center"/>
    </xf>
    <xf numFmtId="0" fontId="10" fillId="0" borderId="17" xfId="19" applyFont="1" applyBorder="1" applyAlignment="1">
      <alignment horizontal="center"/>
    </xf>
    <xf numFmtId="0" fontId="64" fillId="0" borderId="61" xfId="19" applyFont="1" applyBorder="1" applyAlignment="1">
      <alignment horizontal="center" vertical="center" wrapText="1"/>
    </xf>
    <xf numFmtId="0" fontId="64" fillId="0" borderId="38" xfId="19" applyFont="1" applyBorder="1" applyAlignment="1">
      <alignment horizontal="center" vertical="center" wrapText="1"/>
    </xf>
    <xf numFmtId="0" fontId="64" fillId="0" borderId="59" xfId="19" applyFont="1" applyBorder="1" applyAlignment="1">
      <alignment horizontal="center" vertical="center" wrapText="1"/>
    </xf>
    <xf numFmtId="0" fontId="10" fillId="0" borderId="61" xfId="19" applyFont="1" applyBorder="1" applyAlignment="1">
      <alignment horizontal="center" vertical="center" wrapText="1"/>
    </xf>
    <xf numFmtId="0" fontId="10" fillId="0" borderId="38" xfId="19" applyFont="1" applyBorder="1" applyAlignment="1">
      <alignment horizontal="center" vertical="center" wrapText="1"/>
    </xf>
    <xf numFmtId="0" fontId="10" fillId="0" borderId="59" xfId="19" applyFont="1" applyBorder="1" applyAlignment="1">
      <alignment horizontal="center" vertical="center" wrapText="1"/>
    </xf>
    <xf numFmtId="49" fontId="49" fillId="0" borderId="0" xfId="19" applyNumberFormat="1" applyFont="1" applyAlignment="1">
      <alignment horizontal="center"/>
    </xf>
    <xf numFmtId="0" fontId="49" fillId="0" borderId="0" xfId="19" applyFont="1" applyAlignment="1">
      <alignment horizontal="center"/>
    </xf>
    <xf numFmtId="0" fontId="35" fillId="0" borderId="52" xfId="19" applyFont="1" applyBorder="1" applyAlignment="1">
      <alignment horizontal="center"/>
    </xf>
    <xf numFmtId="0" fontId="22" fillId="0" borderId="34" xfId="19" quotePrefix="1" applyFont="1" applyBorder="1" applyAlignment="1">
      <alignment horizontal="right"/>
    </xf>
    <xf numFmtId="0" fontId="22" fillId="0" borderId="44" xfId="19" quotePrefix="1" applyFont="1" applyBorder="1" applyAlignment="1">
      <alignment horizontal="right"/>
    </xf>
    <xf numFmtId="49" fontId="35" fillId="0" borderId="43" xfId="19" applyNumberFormat="1" applyFont="1" applyBorder="1" applyAlignment="1">
      <alignment horizontal="center"/>
    </xf>
    <xf numFmtId="49" fontId="35" fillId="0" borderId="0" xfId="19" applyNumberFormat="1" applyFont="1" applyBorder="1" applyAlignment="1">
      <alignment horizontal="center"/>
    </xf>
    <xf numFmtId="49" fontId="35" fillId="0" borderId="24" xfId="19" applyNumberFormat="1" applyFont="1" applyBorder="1" applyAlignment="1">
      <alignment horizontal="center"/>
    </xf>
    <xf numFmtId="49" fontId="35" fillId="0" borderId="45" xfId="19" applyNumberFormat="1" applyFont="1" applyBorder="1" applyAlignment="1">
      <alignment horizontal="center"/>
    </xf>
    <xf numFmtId="0" fontId="87" fillId="0" borderId="43" xfId="19" applyFont="1" applyBorder="1" applyAlignment="1">
      <alignment horizontal="center"/>
    </xf>
    <xf numFmtId="0" fontId="87" fillId="0" borderId="0" xfId="19" applyFont="1" applyBorder="1" applyAlignment="1">
      <alignment horizontal="center"/>
    </xf>
    <xf numFmtId="0" fontId="87" fillId="0" borderId="24" xfId="19" applyFont="1" applyBorder="1" applyAlignment="1">
      <alignment horizontal="center"/>
    </xf>
    <xf numFmtId="0" fontId="87" fillId="0" borderId="45" xfId="19" applyFont="1" applyBorder="1" applyAlignment="1">
      <alignment horizontal="center"/>
    </xf>
    <xf numFmtId="0" fontId="27" fillId="0" borderId="0" xfId="21" applyFont="1" applyFill="1" applyAlignment="1" applyProtection="1">
      <alignment horizontal="center" wrapText="1"/>
    </xf>
    <xf numFmtId="0" fontId="52" fillId="0" borderId="0" xfId="22" applyFont="1" applyFill="1" applyAlignment="1">
      <alignment horizontal="center"/>
    </xf>
    <xf numFmtId="0" fontId="49" fillId="0" borderId="0" xfId="25" applyFont="1" applyAlignment="1">
      <alignment horizontal="center" vertical="center" wrapText="1"/>
    </xf>
    <xf numFmtId="0" fontId="31" fillId="0" borderId="61" xfId="25" applyFont="1" applyBorder="1" applyAlignment="1">
      <alignment horizontal="center" vertical="center"/>
    </xf>
    <xf numFmtId="0" fontId="31" fillId="0" borderId="38" xfId="25" applyFont="1" applyBorder="1" applyAlignment="1">
      <alignment horizontal="center" vertical="center"/>
    </xf>
    <xf numFmtId="0" fontId="31" fillId="0" borderId="59" xfId="25" applyFont="1" applyBorder="1" applyAlignment="1">
      <alignment horizontal="center" vertical="center"/>
    </xf>
    <xf numFmtId="0" fontId="23" fillId="0" borderId="61" xfId="25" applyFont="1" applyBorder="1" applyAlignment="1">
      <alignment horizontal="center" vertical="center" wrapText="1"/>
    </xf>
    <xf numFmtId="0" fontId="23" fillId="0" borderId="38" xfId="25" applyFont="1" applyBorder="1" applyAlignment="1">
      <alignment horizontal="center" vertical="center" wrapText="1"/>
    </xf>
    <xf numFmtId="0" fontId="23" fillId="0" borderId="59" xfId="25" applyFont="1" applyBorder="1" applyAlignment="1">
      <alignment horizontal="center" vertical="center" wrapText="1"/>
    </xf>
    <xf numFmtId="0" fontId="18" fillId="0" borderId="0" xfId="25" applyFont="1" applyAlignment="1">
      <alignment horizontal="right"/>
    </xf>
  </cellXfs>
  <cellStyles count="4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6" xfId="39"/>
    <cellStyle name="Ezres 7" xfId="41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5" xfId="38"/>
    <cellStyle name="Normál 6" xfId="40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30" zoomScaleNormal="130" workbookViewId="0">
      <selection activeCell="B11" sqref="B11:H11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491" t="s">
        <v>886</v>
      </c>
      <c r="B1" s="1491"/>
      <c r="C1" s="1491"/>
      <c r="D1" s="1491"/>
      <c r="E1" s="1491"/>
      <c r="F1" s="1491"/>
      <c r="G1" s="1491"/>
      <c r="H1" s="1491"/>
      <c r="I1" s="1491"/>
      <c r="J1" s="1491"/>
    </row>
    <row r="2" spans="1:10" x14ac:dyDescent="0.2">
      <c r="A2" s="1004">
        <v>2020</v>
      </c>
      <c r="B2" s="1004" t="s">
        <v>887</v>
      </c>
      <c r="C2" s="995"/>
      <c r="D2" s="995"/>
      <c r="E2" s="995"/>
      <c r="F2" s="995"/>
      <c r="G2" s="995"/>
      <c r="H2" s="995"/>
      <c r="I2" s="995"/>
      <c r="J2" s="995"/>
    </row>
    <row r="3" spans="1:10" ht="15.75" x14ac:dyDescent="0.25">
      <c r="A3" s="1492" t="s">
        <v>896</v>
      </c>
      <c r="B3" s="1492"/>
      <c r="C3" s="1492"/>
      <c r="D3" s="1492"/>
      <c r="E3" s="1492"/>
      <c r="F3" s="1492"/>
      <c r="G3" s="1492"/>
      <c r="H3" s="1492"/>
      <c r="I3" s="995"/>
      <c r="J3" s="995"/>
    </row>
    <row r="6" spans="1:10" ht="15" x14ac:dyDescent="0.25">
      <c r="A6" s="999" t="s">
        <v>888</v>
      </c>
      <c r="B6" s="995"/>
      <c r="C6" s="995"/>
      <c r="D6" s="995"/>
      <c r="E6" s="995"/>
      <c r="F6" s="995"/>
      <c r="G6" s="995"/>
      <c r="H6" s="995"/>
      <c r="I6" s="995"/>
      <c r="J6" s="995"/>
    </row>
    <row r="7" spans="1:10" x14ac:dyDescent="0.2">
      <c r="A7" s="1000" t="s">
        <v>889</v>
      </c>
      <c r="B7" s="1001">
        <v>6</v>
      </c>
      <c r="C7" s="1002" t="s">
        <v>890</v>
      </c>
      <c r="D7" s="1002" t="s">
        <v>821</v>
      </c>
      <c r="E7" s="1002" t="s">
        <v>891</v>
      </c>
      <c r="F7" s="1001" t="s">
        <v>1010</v>
      </c>
      <c r="G7" s="1002" t="s">
        <v>892</v>
      </c>
      <c r="H7" s="1002" t="s">
        <v>893</v>
      </c>
      <c r="I7" s="1002"/>
      <c r="J7" s="1002"/>
    </row>
    <row r="8" spans="1:10" x14ac:dyDescent="0.2">
      <c r="A8" s="996"/>
      <c r="B8" s="996"/>
      <c r="C8" s="996"/>
      <c r="D8" s="996"/>
      <c r="E8" s="996"/>
      <c r="F8" s="996"/>
      <c r="G8" s="996"/>
      <c r="H8" s="996"/>
      <c r="I8" s="996"/>
      <c r="J8" s="996"/>
    </row>
    <row r="11" spans="1:10" ht="14.25" x14ac:dyDescent="0.2">
      <c r="A11" s="1003" t="s">
        <v>894</v>
      </c>
      <c r="B11" s="1493" t="s">
        <v>895</v>
      </c>
      <c r="C11" s="1493"/>
      <c r="D11" s="1493"/>
      <c r="E11" s="1493"/>
      <c r="F11" s="1493"/>
      <c r="G11" s="1493"/>
      <c r="H11" s="1493"/>
      <c r="I11" s="998"/>
      <c r="J11" s="998"/>
    </row>
    <row r="12" spans="1:10" ht="14.25" x14ac:dyDescent="0.2">
      <c r="A12" s="1003" t="s">
        <v>897</v>
      </c>
    </row>
    <row r="13" spans="1:10" ht="14.25" x14ac:dyDescent="0.2">
      <c r="A13" s="1003" t="s">
        <v>898</v>
      </c>
    </row>
    <row r="14" spans="1:10" ht="14.25" x14ac:dyDescent="0.2">
      <c r="A14" s="1003" t="s">
        <v>899</v>
      </c>
    </row>
    <row r="15" spans="1:10" ht="14.25" x14ac:dyDescent="0.2">
      <c r="A15" s="1003" t="s">
        <v>894</v>
      </c>
    </row>
    <row r="16" spans="1:10" ht="14.25" x14ac:dyDescent="0.2">
      <c r="A16" s="1003" t="s">
        <v>894</v>
      </c>
    </row>
    <row r="17" spans="1:1" ht="14.25" x14ac:dyDescent="0.2">
      <c r="A17" s="1003" t="s">
        <v>894</v>
      </c>
    </row>
    <row r="18" spans="1:1" ht="14.25" x14ac:dyDescent="0.2">
      <c r="A18" s="1003" t="s">
        <v>894</v>
      </c>
    </row>
    <row r="19" spans="1:1" ht="14.25" x14ac:dyDescent="0.2">
      <c r="A19" s="1003" t="s">
        <v>894</v>
      </c>
    </row>
  </sheetData>
  <mergeCells count="3">
    <mergeCell ref="A1:J1"/>
    <mergeCell ref="A3:H3"/>
    <mergeCell ref="B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zoomScaleSheetLayoutView="85" workbookViewId="0">
      <selection activeCell="D11" sqref="D11"/>
    </sheetView>
  </sheetViews>
  <sheetFormatPr defaultRowHeight="15" x14ac:dyDescent="0.25"/>
  <cols>
    <col min="1" max="1" width="5.6640625" style="1067" customWidth="1"/>
    <col min="2" max="2" width="41.1640625" style="1067" customWidth="1"/>
    <col min="3" max="3" width="17.6640625" style="1067" customWidth="1"/>
    <col min="4" max="7" width="14" style="1067" customWidth="1"/>
    <col min="8" max="8" width="16.6640625" style="1067" customWidth="1"/>
    <col min="9" max="256" width="9.33203125" style="1067"/>
    <col min="257" max="257" width="5.6640625" style="1067" customWidth="1"/>
    <col min="258" max="258" width="41.1640625" style="1067" customWidth="1"/>
    <col min="259" max="259" width="17.6640625" style="1067" customWidth="1"/>
    <col min="260" max="263" width="14" style="1067" customWidth="1"/>
    <col min="264" max="264" width="16.6640625" style="1067" customWidth="1"/>
    <col min="265" max="512" width="9.33203125" style="1067"/>
    <col min="513" max="513" width="5.6640625" style="1067" customWidth="1"/>
    <col min="514" max="514" width="41.1640625" style="1067" customWidth="1"/>
    <col min="515" max="515" width="17.6640625" style="1067" customWidth="1"/>
    <col min="516" max="519" width="14" style="1067" customWidth="1"/>
    <col min="520" max="520" width="16.6640625" style="1067" customWidth="1"/>
    <col min="521" max="768" width="9.33203125" style="1067"/>
    <col min="769" max="769" width="5.6640625" style="1067" customWidth="1"/>
    <col min="770" max="770" width="41.1640625" style="1067" customWidth="1"/>
    <col min="771" max="771" width="17.6640625" style="1067" customWidth="1"/>
    <col min="772" max="775" width="14" style="1067" customWidth="1"/>
    <col min="776" max="776" width="16.6640625" style="1067" customWidth="1"/>
    <col min="777" max="1024" width="9.33203125" style="1067"/>
    <col min="1025" max="1025" width="5.6640625" style="1067" customWidth="1"/>
    <col min="1026" max="1026" width="41.1640625" style="1067" customWidth="1"/>
    <col min="1027" max="1027" width="17.6640625" style="1067" customWidth="1"/>
    <col min="1028" max="1031" width="14" style="1067" customWidth="1"/>
    <col min="1032" max="1032" width="16.6640625" style="1067" customWidth="1"/>
    <col min="1033" max="1280" width="9.33203125" style="1067"/>
    <col min="1281" max="1281" width="5.6640625" style="1067" customWidth="1"/>
    <col min="1282" max="1282" width="41.1640625" style="1067" customWidth="1"/>
    <col min="1283" max="1283" width="17.6640625" style="1067" customWidth="1"/>
    <col min="1284" max="1287" width="14" style="1067" customWidth="1"/>
    <col min="1288" max="1288" width="16.6640625" style="1067" customWidth="1"/>
    <col min="1289" max="1536" width="9.33203125" style="1067"/>
    <col min="1537" max="1537" width="5.6640625" style="1067" customWidth="1"/>
    <col min="1538" max="1538" width="41.1640625" style="1067" customWidth="1"/>
    <col min="1539" max="1539" width="17.6640625" style="1067" customWidth="1"/>
    <col min="1540" max="1543" width="14" style="1067" customWidth="1"/>
    <col min="1544" max="1544" width="16.6640625" style="1067" customWidth="1"/>
    <col min="1545" max="1792" width="9.33203125" style="1067"/>
    <col min="1793" max="1793" width="5.6640625" style="1067" customWidth="1"/>
    <col min="1794" max="1794" width="41.1640625" style="1067" customWidth="1"/>
    <col min="1795" max="1795" width="17.6640625" style="1067" customWidth="1"/>
    <col min="1796" max="1799" width="14" style="1067" customWidth="1"/>
    <col min="1800" max="1800" width="16.6640625" style="1067" customWidth="1"/>
    <col min="1801" max="2048" width="9.33203125" style="1067"/>
    <col min="2049" max="2049" width="5.6640625" style="1067" customWidth="1"/>
    <col min="2050" max="2050" width="41.1640625" style="1067" customWidth="1"/>
    <col min="2051" max="2051" width="17.6640625" style="1067" customWidth="1"/>
    <col min="2052" max="2055" width="14" style="1067" customWidth="1"/>
    <col min="2056" max="2056" width="16.6640625" style="1067" customWidth="1"/>
    <col min="2057" max="2304" width="9.33203125" style="1067"/>
    <col min="2305" max="2305" width="5.6640625" style="1067" customWidth="1"/>
    <col min="2306" max="2306" width="41.1640625" style="1067" customWidth="1"/>
    <col min="2307" max="2307" width="17.6640625" style="1067" customWidth="1"/>
    <col min="2308" max="2311" width="14" style="1067" customWidth="1"/>
    <col min="2312" max="2312" width="16.6640625" style="1067" customWidth="1"/>
    <col min="2313" max="2560" width="9.33203125" style="1067"/>
    <col min="2561" max="2561" width="5.6640625" style="1067" customWidth="1"/>
    <col min="2562" max="2562" width="41.1640625" style="1067" customWidth="1"/>
    <col min="2563" max="2563" width="17.6640625" style="1067" customWidth="1"/>
    <col min="2564" max="2567" width="14" style="1067" customWidth="1"/>
    <col min="2568" max="2568" width="16.6640625" style="1067" customWidth="1"/>
    <col min="2569" max="2816" width="9.33203125" style="1067"/>
    <col min="2817" max="2817" width="5.6640625" style="1067" customWidth="1"/>
    <col min="2818" max="2818" width="41.1640625" style="1067" customWidth="1"/>
    <col min="2819" max="2819" width="17.6640625" style="1067" customWidth="1"/>
    <col min="2820" max="2823" width="14" style="1067" customWidth="1"/>
    <col min="2824" max="2824" width="16.6640625" style="1067" customWidth="1"/>
    <col min="2825" max="3072" width="9.33203125" style="1067"/>
    <col min="3073" max="3073" width="5.6640625" style="1067" customWidth="1"/>
    <col min="3074" max="3074" width="41.1640625" style="1067" customWidth="1"/>
    <col min="3075" max="3075" width="17.6640625" style="1067" customWidth="1"/>
    <col min="3076" max="3079" width="14" style="1067" customWidth="1"/>
    <col min="3080" max="3080" width="16.6640625" style="1067" customWidth="1"/>
    <col min="3081" max="3328" width="9.33203125" style="1067"/>
    <col min="3329" max="3329" width="5.6640625" style="1067" customWidth="1"/>
    <col min="3330" max="3330" width="41.1640625" style="1067" customWidth="1"/>
    <col min="3331" max="3331" width="17.6640625" style="1067" customWidth="1"/>
    <col min="3332" max="3335" width="14" style="1067" customWidth="1"/>
    <col min="3336" max="3336" width="16.6640625" style="1067" customWidth="1"/>
    <col min="3337" max="3584" width="9.33203125" style="1067"/>
    <col min="3585" max="3585" width="5.6640625" style="1067" customWidth="1"/>
    <col min="3586" max="3586" width="41.1640625" style="1067" customWidth="1"/>
    <col min="3587" max="3587" width="17.6640625" style="1067" customWidth="1"/>
    <col min="3588" max="3591" width="14" style="1067" customWidth="1"/>
    <col min="3592" max="3592" width="16.6640625" style="1067" customWidth="1"/>
    <col min="3593" max="3840" width="9.33203125" style="1067"/>
    <col min="3841" max="3841" width="5.6640625" style="1067" customWidth="1"/>
    <col min="3842" max="3842" width="41.1640625" style="1067" customWidth="1"/>
    <col min="3843" max="3843" width="17.6640625" style="1067" customWidth="1"/>
    <col min="3844" max="3847" width="14" style="1067" customWidth="1"/>
    <col min="3848" max="3848" width="16.6640625" style="1067" customWidth="1"/>
    <col min="3849" max="4096" width="9.33203125" style="1067"/>
    <col min="4097" max="4097" width="5.6640625" style="1067" customWidth="1"/>
    <col min="4098" max="4098" width="41.1640625" style="1067" customWidth="1"/>
    <col min="4099" max="4099" width="17.6640625" style="1067" customWidth="1"/>
    <col min="4100" max="4103" width="14" style="1067" customWidth="1"/>
    <col min="4104" max="4104" width="16.6640625" style="1067" customWidth="1"/>
    <col min="4105" max="4352" width="9.33203125" style="1067"/>
    <col min="4353" max="4353" width="5.6640625" style="1067" customWidth="1"/>
    <col min="4354" max="4354" width="41.1640625" style="1067" customWidth="1"/>
    <col min="4355" max="4355" width="17.6640625" style="1067" customWidth="1"/>
    <col min="4356" max="4359" width="14" style="1067" customWidth="1"/>
    <col min="4360" max="4360" width="16.6640625" style="1067" customWidth="1"/>
    <col min="4361" max="4608" width="9.33203125" style="1067"/>
    <col min="4609" max="4609" width="5.6640625" style="1067" customWidth="1"/>
    <col min="4610" max="4610" width="41.1640625" style="1067" customWidth="1"/>
    <col min="4611" max="4611" width="17.6640625" style="1067" customWidth="1"/>
    <col min="4612" max="4615" width="14" style="1067" customWidth="1"/>
    <col min="4616" max="4616" width="16.6640625" style="1067" customWidth="1"/>
    <col min="4617" max="4864" width="9.33203125" style="1067"/>
    <col min="4865" max="4865" width="5.6640625" style="1067" customWidth="1"/>
    <col min="4866" max="4866" width="41.1640625" style="1067" customWidth="1"/>
    <col min="4867" max="4867" width="17.6640625" style="1067" customWidth="1"/>
    <col min="4868" max="4871" width="14" style="1067" customWidth="1"/>
    <col min="4872" max="4872" width="16.6640625" style="1067" customWidth="1"/>
    <col min="4873" max="5120" width="9.33203125" style="1067"/>
    <col min="5121" max="5121" width="5.6640625" style="1067" customWidth="1"/>
    <col min="5122" max="5122" width="41.1640625" style="1067" customWidth="1"/>
    <col min="5123" max="5123" width="17.6640625" style="1067" customWidth="1"/>
    <col min="5124" max="5127" width="14" style="1067" customWidth="1"/>
    <col min="5128" max="5128" width="16.6640625" style="1067" customWidth="1"/>
    <col min="5129" max="5376" width="9.33203125" style="1067"/>
    <col min="5377" max="5377" width="5.6640625" style="1067" customWidth="1"/>
    <col min="5378" max="5378" width="41.1640625" style="1067" customWidth="1"/>
    <col min="5379" max="5379" width="17.6640625" style="1067" customWidth="1"/>
    <col min="5380" max="5383" width="14" style="1067" customWidth="1"/>
    <col min="5384" max="5384" width="16.6640625" style="1067" customWidth="1"/>
    <col min="5385" max="5632" width="9.33203125" style="1067"/>
    <col min="5633" max="5633" width="5.6640625" style="1067" customWidth="1"/>
    <col min="5634" max="5634" width="41.1640625" style="1067" customWidth="1"/>
    <col min="5635" max="5635" width="17.6640625" style="1067" customWidth="1"/>
    <col min="5636" max="5639" width="14" style="1067" customWidth="1"/>
    <col min="5640" max="5640" width="16.6640625" style="1067" customWidth="1"/>
    <col min="5641" max="5888" width="9.33203125" style="1067"/>
    <col min="5889" max="5889" width="5.6640625" style="1067" customWidth="1"/>
    <col min="5890" max="5890" width="41.1640625" style="1067" customWidth="1"/>
    <col min="5891" max="5891" width="17.6640625" style="1067" customWidth="1"/>
    <col min="5892" max="5895" width="14" style="1067" customWidth="1"/>
    <col min="5896" max="5896" width="16.6640625" style="1067" customWidth="1"/>
    <col min="5897" max="6144" width="9.33203125" style="1067"/>
    <col min="6145" max="6145" width="5.6640625" style="1067" customWidth="1"/>
    <col min="6146" max="6146" width="41.1640625" style="1067" customWidth="1"/>
    <col min="6147" max="6147" width="17.6640625" style="1067" customWidth="1"/>
    <col min="6148" max="6151" width="14" style="1067" customWidth="1"/>
    <col min="6152" max="6152" width="16.6640625" style="1067" customWidth="1"/>
    <col min="6153" max="6400" width="9.33203125" style="1067"/>
    <col min="6401" max="6401" width="5.6640625" style="1067" customWidth="1"/>
    <col min="6402" max="6402" width="41.1640625" style="1067" customWidth="1"/>
    <col min="6403" max="6403" width="17.6640625" style="1067" customWidth="1"/>
    <col min="6404" max="6407" width="14" style="1067" customWidth="1"/>
    <col min="6408" max="6408" width="16.6640625" style="1067" customWidth="1"/>
    <col min="6409" max="6656" width="9.33203125" style="1067"/>
    <col min="6657" max="6657" width="5.6640625" style="1067" customWidth="1"/>
    <col min="6658" max="6658" width="41.1640625" style="1067" customWidth="1"/>
    <col min="6659" max="6659" width="17.6640625" style="1067" customWidth="1"/>
    <col min="6660" max="6663" width="14" style="1067" customWidth="1"/>
    <col min="6664" max="6664" width="16.6640625" style="1067" customWidth="1"/>
    <col min="6665" max="6912" width="9.33203125" style="1067"/>
    <col min="6913" max="6913" width="5.6640625" style="1067" customWidth="1"/>
    <col min="6914" max="6914" width="41.1640625" style="1067" customWidth="1"/>
    <col min="6915" max="6915" width="17.6640625" style="1067" customWidth="1"/>
    <col min="6916" max="6919" width="14" style="1067" customWidth="1"/>
    <col min="6920" max="6920" width="16.6640625" style="1067" customWidth="1"/>
    <col min="6921" max="7168" width="9.33203125" style="1067"/>
    <col min="7169" max="7169" width="5.6640625" style="1067" customWidth="1"/>
    <col min="7170" max="7170" width="41.1640625" style="1067" customWidth="1"/>
    <col min="7171" max="7171" width="17.6640625" style="1067" customWidth="1"/>
    <col min="7172" max="7175" width="14" style="1067" customWidth="1"/>
    <col min="7176" max="7176" width="16.6640625" style="1067" customWidth="1"/>
    <col min="7177" max="7424" width="9.33203125" style="1067"/>
    <col min="7425" max="7425" width="5.6640625" style="1067" customWidth="1"/>
    <col min="7426" max="7426" width="41.1640625" style="1067" customWidth="1"/>
    <col min="7427" max="7427" width="17.6640625" style="1067" customWidth="1"/>
    <col min="7428" max="7431" width="14" style="1067" customWidth="1"/>
    <col min="7432" max="7432" width="16.6640625" style="1067" customWidth="1"/>
    <col min="7433" max="7680" width="9.33203125" style="1067"/>
    <col min="7681" max="7681" width="5.6640625" style="1067" customWidth="1"/>
    <col min="7682" max="7682" width="41.1640625" style="1067" customWidth="1"/>
    <col min="7683" max="7683" width="17.6640625" style="1067" customWidth="1"/>
    <col min="7684" max="7687" width="14" style="1067" customWidth="1"/>
    <col min="7688" max="7688" width="16.6640625" style="1067" customWidth="1"/>
    <col min="7689" max="7936" width="9.33203125" style="1067"/>
    <col min="7937" max="7937" width="5.6640625" style="1067" customWidth="1"/>
    <col min="7938" max="7938" width="41.1640625" style="1067" customWidth="1"/>
    <col min="7939" max="7939" width="17.6640625" style="1067" customWidth="1"/>
    <col min="7940" max="7943" width="14" style="1067" customWidth="1"/>
    <col min="7944" max="7944" width="16.6640625" style="1067" customWidth="1"/>
    <col min="7945" max="8192" width="9.33203125" style="1067"/>
    <col min="8193" max="8193" width="5.6640625" style="1067" customWidth="1"/>
    <col min="8194" max="8194" width="41.1640625" style="1067" customWidth="1"/>
    <col min="8195" max="8195" width="17.6640625" style="1067" customWidth="1"/>
    <col min="8196" max="8199" width="14" style="1067" customWidth="1"/>
    <col min="8200" max="8200" width="16.6640625" style="1067" customWidth="1"/>
    <col min="8201" max="8448" width="9.33203125" style="1067"/>
    <col min="8449" max="8449" width="5.6640625" style="1067" customWidth="1"/>
    <col min="8450" max="8450" width="41.1640625" style="1067" customWidth="1"/>
    <col min="8451" max="8451" width="17.6640625" style="1067" customWidth="1"/>
    <col min="8452" max="8455" width="14" style="1067" customWidth="1"/>
    <col min="8456" max="8456" width="16.6640625" style="1067" customWidth="1"/>
    <col min="8457" max="8704" width="9.33203125" style="1067"/>
    <col min="8705" max="8705" width="5.6640625" style="1067" customWidth="1"/>
    <col min="8706" max="8706" width="41.1640625" style="1067" customWidth="1"/>
    <col min="8707" max="8707" width="17.6640625" style="1067" customWidth="1"/>
    <col min="8708" max="8711" width="14" style="1067" customWidth="1"/>
    <col min="8712" max="8712" width="16.6640625" style="1067" customWidth="1"/>
    <col min="8713" max="8960" width="9.33203125" style="1067"/>
    <col min="8961" max="8961" width="5.6640625" style="1067" customWidth="1"/>
    <col min="8962" max="8962" width="41.1640625" style="1067" customWidth="1"/>
    <col min="8963" max="8963" width="17.6640625" style="1067" customWidth="1"/>
    <col min="8964" max="8967" width="14" style="1067" customWidth="1"/>
    <col min="8968" max="8968" width="16.6640625" style="1067" customWidth="1"/>
    <col min="8969" max="9216" width="9.33203125" style="1067"/>
    <col min="9217" max="9217" width="5.6640625" style="1067" customWidth="1"/>
    <col min="9218" max="9218" width="41.1640625" style="1067" customWidth="1"/>
    <col min="9219" max="9219" width="17.6640625" style="1067" customWidth="1"/>
    <col min="9220" max="9223" width="14" style="1067" customWidth="1"/>
    <col min="9224" max="9224" width="16.6640625" style="1067" customWidth="1"/>
    <col min="9225" max="9472" width="9.33203125" style="1067"/>
    <col min="9473" max="9473" width="5.6640625" style="1067" customWidth="1"/>
    <col min="9474" max="9474" width="41.1640625" style="1067" customWidth="1"/>
    <col min="9475" max="9475" width="17.6640625" style="1067" customWidth="1"/>
    <col min="9476" max="9479" width="14" style="1067" customWidth="1"/>
    <col min="9480" max="9480" width="16.6640625" style="1067" customWidth="1"/>
    <col min="9481" max="9728" width="9.33203125" style="1067"/>
    <col min="9729" max="9729" width="5.6640625" style="1067" customWidth="1"/>
    <col min="9730" max="9730" width="41.1640625" style="1067" customWidth="1"/>
    <col min="9731" max="9731" width="17.6640625" style="1067" customWidth="1"/>
    <col min="9732" max="9735" width="14" style="1067" customWidth="1"/>
    <col min="9736" max="9736" width="16.6640625" style="1067" customWidth="1"/>
    <col min="9737" max="9984" width="9.33203125" style="1067"/>
    <col min="9985" max="9985" width="5.6640625" style="1067" customWidth="1"/>
    <col min="9986" max="9986" width="41.1640625" style="1067" customWidth="1"/>
    <col min="9987" max="9987" width="17.6640625" style="1067" customWidth="1"/>
    <col min="9988" max="9991" width="14" style="1067" customWidth="1"/>
    <col min="9992" max="9992" width="16.6640625" style="1067" customWidth="1"/>
    <col min="9993" max="10240" width="9.33203125" style="1067"/>
    <col min="10241" max="10241" width="5.6640625" style="1067" customWidth="1"/>
    <col min="10242" max="10242" width="41.1640625" style="1067" customWidth="1"/>
    <col min="10243" max="10243" width="17.6640625" style="1067" customWidth="1"/>
    <col min="10244" max="10247" width="14" style="1067" customWidth="1"/>
    <col min="10248" max="10248" width="16.6640625" style="1067" customWidth="1"/>
    <col min="10249" max="10496" width="9.33203125" style="1067"/>
    <col min="10497" max="10497" width="5.6640625" style="1067" customWidth="1"/>
    <col min="10498" max="10498" width="41.1640625" style="1067" customWidth="1"/>
    <col min="10499" max="10499" width="17.6640625" style="1067" customWidth="1"/>
    <col min="10500" max="10503" width="14" style="1067" customWidth="1"/>
    <col min="10504" max="10504" width="16.6640625" style="1067" customWidth="1"/>
    <col min="10505" max="10752" width="9.33203125" style="1067"/>
    <col min="10753" max="10753" width="5.6640625" style="1067" customWidth="1"/>
    <col min="10754" max="10754" width="41.1640625" style="1067" customWidth="1"/>
    <col min="10755" max="10755" width="17.6640625" style="1067" customWidth="1"/>
    <col min="10756" max="10759" width="14" style="1067" customWidth="1"/>
    <col min="10760" max="10760" width="16.6640625" style="1067" customWidth="1"/>
    <col min="10761" max="11008" width="9.33203125" style="1067"/>
    <col min="11009" max="11009" width="5.6640625" style="1067" customWidth="1"/>
    <col min="11010" max="11010" width="41.1640625" style="1067" customWidth="1"/>
    <col min="11011" max="11011" width="17.6640625" style="1067" customWidth="1"/>
    <col min="11012" max="11015" width="14" style="1067" customWidth="1"/>
    <col min="11016" max="11016" width="16.6640625" style="1067" customWidth="1"/>
    <col min="11017" max="11264" width="9.33203125" style="1067"/>
    <col min="11265" max="11265" width="5.6640625" style="1067" customWidth="1"/>
    <col min="11266" max="11266" width="41.1640625" style="1067" customWidth="1"/>
    <col min="11267" max="11267" width="17.6640625" style="1067" customWidth="1"/>
    <col min="11268" max="11271" width="14" style="1067" customWidth="1"/>
    <col min="11272" max="11272" width="16.6640625" style="1067" customWidth="1"/>
    <col min="11273" max="11520" width="9.33203125" style="1067"/>
    <col min="11521" max="11521" width="5.6640625" style="1067" customWidth="1"/>
    <col min="11522" max="11522" width="41.1640625" style="1067" customWidth="1"/>
    <col min="11523" max="11523" width="17.6640625" style="1067" customWidth="1"/>
    <col min="11524" max="11527" width="14" style="1067" customWidth="1"/>
    <col min="11528" max="11528" width="16.6640625" style="1067" customWidth="1"/>
    <col min="11529" max="11776" width="9.33203125" style="1067"/>
    <col min="11777" max="11777" width="5.6640625" style="1067" customWidth="1"/>
    <col min="11778" max="11778" width="41.1640625" style="1067" customWidth="1"/>
    <col min="11779" max="11779" width="17.6640625" style="1067" customWidth="1"/>
    <col min="11780" max="11783" width="14" style="1067" customWidth="1"/>
    <col min="11784" max="11784" width="16.6640625" style="1067" customWidth="1"/>
    <col min="11785" max="12032" width="9.33203125" style="1067"/>
    <col min="12033" max="12033" width="5.6640625" style="1067" customWidth="1"/>
    <col min="12034" max="12034" width="41.1640625" style="1067" customWidth="1"/>
    <col min="12035" max="12035" width="17.6640625" style="1067" customWidth="1"/>
    <col min="12036" max="12039" width="14" style="1067" customWidth="1"/>
    <col min="12040" max="12040" width="16.6640625" style="1067" customWidth="1"/>
    <col min="12041" max="12288" width="9.33203125" style="1067"/>
    <col min="12289" max="12289" width="5.6640625" style="1067" customWidth="1"/>
    <col min="12290" max="12290" width="41.1640625" style="1067" customWidth="1"/>
    <col min="12291" max="12291" width="17.6640625" style="1067" customWidth="1"/>
    <col min="12292" max="12295" width="14" style="1067" customWidth="1"/>
    <col min="12296" max="12296" width="16.6640625" style="1067" customWidth="1"/>
    <col min="12297" max="12544" width="9.33203125" style="1067"/>
    <col min="12545" max="12545" width="5.6640625" style="1067" customWidth="1"/>
    <col min="12546" max="12546" width="41.1640625" style="1067" customWidth="1"/>
    <col min="12547" max="12547" width="17.6640625" style="1067" customWidth="1"/>
    <col min="12548" max="12551" width="14" style="1067" customWidth="1"/>
    <col min="12552" max="12552" width="16.6640625" style="1067" customWidth="1"/>
    <col min="12553" max="12800" width="9.33203125" style="1067"/>
    <col min="12801" max="12801" width="5.6640625" style="1067" customWidth="1"/>
    <col min="12802" max="12802" width="41.1640625" style="1067" customWidth="1"/>
    <col min="12803" max="12803" width="17.6640625" style="1067" customWidth="1"/>
    <col min="12804" max="12807" width="14" style="1067" customWidth="1"/>
    <col min="12808" max="12808" width="16.6640625" style="1067" customWidth="1"/>
    <col min="12809" max="13056" width="9.33203125" style="1067"/>
    <col min="13057" max="13057" width="5.6640625" style="1067" customWidth="1"/>
    <col min="13058" max="13058" width="41.1640625" style="1067" customWidth="1"/>
    <col min="13059" max="13059" width="17.6640625" style="1067" customWidth="1"/>
    <col min="13060" max="13063" width="14" style="1067" customWidth="1"/>
    <col min="13064" max="13064" width="16.6640625" style="1067" customWidth="1"/>
    <col min="13065" max="13312" width="9.33203125" style="1067"/>
    <col min="13313" max="13313" width="5.6640625" style="1067" customWidth="1"/>
    <col min="13314" max="13314" width="41.1640625" style="1067" customWidth="1"/>
    <col min="13315" max="13315" width="17.6640625" style="1067" customWidth="1"/>
    <col min="13316" max="13319" width="14" style="1067" customWidth="1"/>
    <col min="13320" max="13320" width="16.6640625" style="1067" customWidth="1"/>
    <col min="13321" max="13568" width="9.33203125" style="1067"/>
    <col min="13569" max="13569" width="5.6640625" style="1067" customWidth="1"/>
    <col min="13570" max="13570" width="41.1640625" style="1067" customWidth="1"/>
    <col min="13571" max="13571" width="17.6640625" style="1067" customWidth="1"/>
    <col min="13572" max="13575" width="14" style="1067" customWidth="1"/>
    <col min="13576" max="13576" width="16.6640625" style="1067" customWidth="1"/>
    <col min="13577" max="13824" width="9.33203125" style="1067"/>
    <col min="13825" max="13825" width="5.6640625" style="1067" customWidth="1"/>
    <col min="13826" max="13826" width="41.1640625" style="1067" customWidth="1"/>
    <col min="13827" max="13827" width="17.6640625" style="1067" customWidth="1"/>
    <col min="13828" max="13831" width="14" style="1067" customWidth="1"/>
    <col min="13832" max="13832" width="16.6640625" style="1067" customWidth="1"/>
    <col min="13833" max="14080" width="9.33203125" style="1067"/>
    <col min="14081" max="14081" width="5.6640625" style="1067" customWidth="1"/>
    <col min="14082" max="14082" width="41.1640625" style="1067" customWidth="1"/>
    <col min="14083" max="14083" width="17.6640625" style="1067" customWidth="1"/>
    <col min="14084" max="14087" width="14" style="1067" customWidth="1"/>
    <col min="14088" max="14088" width="16.6640625" style="1067" customWidth="1"/>
    <col min="14089" max="14336" width="9.33203125" style="1067"/>
    <col min="14337" max="14337" width="5.6640625" style="1067" customWidth="1"/>
    <col min="14338" max="14338" width="41.1640625" style="1067" customWidth="1"/>
    <col min="14339" max="14339" width="17.6640625" style="1067" customWidth="1"/>
    <col min="14340" max="14343" width="14" style="1067" customWidth="1"/>
    <col min="14344" max="14344" width="16.6640625" style="1067" customWidth="1"/>
    <col min="14345" max="14592" width="9.33203125" style="1067"/>
    <col min="14593" max="14593" width="5.6640625" style="1067" customWidth="1"/>
    <col min="14594" max="14594" width="41.1640625" style="1067" customWidth="1"/>
    <col min="14595" max="14595" width="17.6640625" style="1067" customWidth="1"/>
    <col min="14596" max="14599" width="14" style="1067" customWidth="1"/>
    <col min="14600" max="14600" width="16.6640625" style="1067" customWidth="1"/>
    <col min="14601" max="14848" width="9.33203125" style="1067"/>
    <col min="14849" max="14849" width="5.6640625" style="1067" customWidth="1"/>
    <col min="14850" max="14850" width="41.1640625" style="1067" customWidth="1"/>
    <col min="14851" max="14851" width="17.6640625" style="1067" customWidth="1"/>
    <col min="14852" max="14855" width="14" style="1067" customWidth="1"/>
    <col min="14856" max="14856" width="16.6640625" style="1067" customWidth="1"/>
    <col min="14857" max="15104" width="9.33203125" style="1067"/>
    <col min="15105" max="15105" width="5.6640625" style="1067" customWidth="1"/>
    <col min="15106" max="15106" width="41.1640625" style="1067" customWidth="1"/>
    <col min="15107" max="15107" width="17.6640625" style="1067" customWidth="1"/>
    <col min="15108" max="15111" width="14" style="1067" customWidth="1"/>
    <col min="15112" max="15112" width="16.6640625" style="1067" customWidth="1"/>
    <col min="15113" max="15360" width="9.33203125" style="1067"/>
    <col min="15361" max="15361" width="5.6640625" style="1067" customWidth="1"/>
    <col min="15362" max="15362" width="41.1640625" style="1067" customWidth="1"/>
    <col min="15363" max="15363" width="17.6640625" style="1067" customWidth="1"/>
    <col min="15364" max="15367" width="14" style="1067" customWidth="1"/>
    <col min="15368" max="15368" width="16.6640625" style="1067" customWidth="1"/>
    <col min="15369" max="15616" width="9.33203125" style="1067"/>
    <col min="15617" max="15617" width="5.6640625" style="1067" customWidth="1"/>
    <col min="15618" max="15618" width="41.1640625" style="1067" customWidth="1"/>
    <col min="15619" max="15619" width="17.6640625" style="1067" customWidth="1"/>
    <col min="15620" max="15623" width="14" style="1067" customWidth="1"/>
    <col min="15624" max="15624" width="16.6640625" style="1067" customWidth="1"/>
    <col min="15625" max="15872" width="9.33203125" style="1067"/>
    <col min="15873" max="15873" width="5.6640625" style="1067" customWidth="1"/>
    <col min="15874" max="15874" width="41.1640625" style="1067" customWidth="1"/>
    <col min="15875" max="15875" width="17.6640625" style="1067" customWidth="1"/>
    <col min="15876" max="15879" width="14" style="1067" customWidth="1"/>
    <col min="15880" max="15880" width="16.6640625" style="1067" customWidth="1"/>
    <col min="15881" max="16128" width="9.33203125" style="1067"/>
    <col min="16129" max="16129" width="5.6640625" style="1067" customWidth="1"/>
    <col min="16130" max="16130" width="41.1640625" style="1067" customWidth="1"/>
    <col min="16131" max="16131" width="17.6640625" style="1067" customWidth="1"/>
    <col min="16132" max="16135" width="14" style="1067" customWidth="1"/>
    <col min="16136" max="16136" width="16.6640625" style="1067" customWidth="1"/>
    <col min="16137" max="16384" width="9.33203125" style="1067"/>
  </cols>
  <sheetData>
    <row r="1" spans="1:11" x14ac:dyDescent="0.25">
      <c r="A1" s="1509" t="str">
        <f>CONCATENATE("3. melléklet ",ALAPADATOK!A7," ",ALAPADATOK!B7," ",ALAPADATOK!C7," ",ALAPADATOK!D7," ",ALAPADATOK!E7," ",ALAPADATOK!F7," ",ALAPADATOK!G7," ",ALAPADATOK!H7)</f>
        <v>3. melléklet a 6 / 2020. ( II.27 ) önkormányzati határozathoz</v>
      </c>
      <c r="B1" s="1509"/>
      <c r="C1" s="1509"/>
      <c r="D1" s="1509"/>
      <c r="E1" s="1509"/>
      <c r="F1" s="1509"/>
      <c r="G1" s="1509"/>
      <c r="H1" s="1509"/>
    </row>
    <row r="3" spans="1:11" x14ac:dyDescent="0.25">
      <c r="A3" s="1510" t="s">
        <v>444</v>
      </c>
      <c r="B3" s="1510"/>
      <c r="C3" s="1510"/>
      <c r="D3" s="1510"/>
      <c r="E3" s="1510"/>
      <c r="F3" s="1510"/>
      <c r="G3" s="1510"/>
      <c r="H3" s="1510"/>
    </row>
    <row r="4" spans="1:11" ht="15.75" thickBot="1" x14ac:dyDescent="0.3">
      <c r="A4" s="1068"/>
      <c r="B4" s="1069"/>
      <c r="C4" s="1069"/>
      <c r="D4" s="1511"/>
      <c r="E4" s="1511"/>
      <c r="F4" s="1511"/>
      <c r="G4" s="1512" t="s">
        <v>568</v>
      </c>
      <c r="H4" s="1512"/>
      <c r="I4" s="1070"/>
    </row>
    <row r="5" spans="1:11" ht="25.5" x14ac:dyDescent="0.25">
      <c r="A5" s="1513" t="s">
        <v>19</v>
      </c>
      <c r="B5" s="1515" t="s">
        <v>162</v>
      </c>
      <c r="C5" s="1071" t="s">
        <v>822</v>
      </c>
      <c r="D5" s="1515" t="s">
        <v>194</v>
      </c>
      <c r="E5" s="1515"/>
      <c r="F5" s="1515"/>
      <c r="G5" s="1515"/>
      <c r="H5" s="1517" t="s">
        <v>573</v>
      </c>
    </row>
    <row r="6" spans="1:11" ht="15.75" thickBot="1" x14ac:dyDescent="0.3">
      <c r="A6" s="1514"/>
      <c r="B6" s="1516"/>
      <c r="C6" s="1098"/>
      <c r="D6" s="1098">
        <v>2020</v>
      </c>
      <c r="E6" s="1098">
        <v>2021</v>
      </c>
      <c r="F6" s="1098">
        <v>2022</v>
      </c>
      <c r="G6" s="1101">
        <v>2023</v>
      </c>
      <c r="H6" s="1518"/>
    </row>
    <row r="7" spans="1:11" ht="15.75" thickBot="1" x14ac:dyDescent="0.3">
      <c r="A7" s="1072" t="s">
        <v>21</v>
      </c>
      <c r="B7" s="1073">
        <v>2</v>
      </c>
      <c r="C7" s="1074">
        <v>3</v>
      </c>
      <c r="D7" s="1074">
        <v>4</v>
      </c>
      <c r="E7" s="1074">
        <v>5</v>
      </c>
      <c r="F7" s="1074">
        <v>6</v>
      </c>
      <c r="G7" s="1075">
        <v>7</v>
      </c>
      <c r="H7" s="1075">
        <v>8</v>
      </c>
    </row>
    <row r="8" spans="1:11" ht="26.25" x14ac:dyDescent="0.25">
      <c r="A8" s="1076" t="s">
        <v>21</v>
      </c>
      <c r="B8" s="1077" t="s">
        <v>658</v>
      </c>
      <c r="C8" s="1078">
        <v>0</v>
      </c>
      <c r="D8" s="1079">
        <v>0</v>
      </c>
      <c r="E8" s="1079">
        <v>0</v>
      </c>
      <c r="F8" s="1079">
        <v>0</v>
      </c>
      <c r="G8" s="1079">
        <v>0</v>
      </c>
      <c r="H8" s="1080">
        <f t="shared" ref="H8:H25" si="0">SUM(D8:G8)</f>
        <v>0</v>
      </c>
    </row>
    <row r="9" spans="1:11" ht="39" x14ac:dyDescent="0.25">
      <c r="A9" s="1076" t="s">
        <v>22</v>
      </c>
      <c r="B9" s="1077" t="s">
        <v>586</v>
      </c>
      <c r="C9" s="1078">
        <v>1806590</v>
      </c>
      <c r="D9" s="1079">
        <v>1806590</v>
      </c>
      <c r="E9" s="1079">
        <v>0</v>
      </c>
      <c r="F9" s="1079">
        <v>0</v>
      </c>
      <c r="G9" s="1079">
        <v>0</v>
      </c>
      <c r="H9" s="1080">
        <f t="shared" si="0"/>
        <v>1806590</v>
      </c>
      <c r="K9" s="1081"/>
    </row>
    <row r="10" spans="1:11" ht="39" x14ac:dyDescent="0.25">
      <c r="A10" s="1076" t="s">
        <v>23</v>
      </c>
      <c r="B10" s="1077" t="s">
        <v>587</v>
      </c>
      <c r="C10" s="1078">
        <v>7359000</v>
      </c>
      <c r="D10" s="1082">
        <v>1472000</v>
      </c>
      <c r="E10" s="1082">
        <v>1472000</v>
      </c>
      <c r="F10" s="1079">
        <v>1472000</v>
      </c>
      <c r="G10" s="1079">
        <v>1472000</v>
      </c>
      <c r="H10" s="1080">
        <f t="shared" si="0"/>
        <v>5888000</v>
      </c>
      <c r="I10" s="1083"/>
      <c r="J10" s="1084"/>
      <c r="K10" s="1085"/>
    </row>
    <row r="11" spans="1:11" ht="26.25" x14ac:dyDescent="0.25">
      <c r="A11" s="1076" t="s">
        <v>24</v>
      </c>
      <c r="B11" s="1077" t="s">
        <v>694</v>
      </c>
      <c r="C11" s="1078">
        <v>1330461</v>
      </c>
      <c r="D11" s="1082">
        <v>887000</v>
      </c>
      <c r="E11" s="1082">
        <v>443461</v>
      </c>
      <c r="F11" s="1079">
        <v>0</v>
      </c>
      <c r="G11" s="1079">
        <v>0</v>
      </c>
      <c r="H11" s="1080">
        <f t="shared" si="0"/>
        <v>1330461</v>
      </c>
    </row>
    <row r="12" spans="1:11" ht="26.25" x14ac:dyDescent="0.25">
      <c r="A12" s="1076" t="s">
        <v>25</v>
      </c>
      <c r="B12" s="1077" t="s">
        <v>695</v>
      </c>
      <c r="C12" s="1078">
        <v>1669539</v>
      </c>
      <c r="D12" s="1082">
        <v>1113000</v>
      </c>
      <c r="E12" s="1082">
        <v>556539</v>
      </c>
      <c r="F12" s="1079">
        <v>0</v>
      </c>
      <c r="G12" s="1079">
        <v>0</v>
      </c>
      <c r="H12" s="1080">
        <f t="shared" si="0"/>
        <v>1669539</v>
      </c>
    </row>
    <row r="13" spans="1:11" ht="26.25" customHeight="1" x14ac:dyDescent="0.25">
      <c r="A13" s="1076" t="s">
        <v>26</v>
      </c>
      <c r="B13" s="1086" t="s">
        <v>574</v>
      </c>
      <c r="C13" s="1087">
        <v>36161155</v>
      </c>
      <c r="D13" s="1079">
        <v>4940000</v>
      </c>
      <c r="E13" s="1079">
        <v>4940000</v>
      </c>
      <c r="F13" s="1079">
        <v>4940000</v>
      </c>
      <c r="G13" s="1079">
        <v>4940000</v>
      </c>
      <c r="H13" s="1080">
        <f t="shared" si="0"/>
        <v>19760000</v>
      </c>
    </row>
    <row r="14" spans="1:11" ht="39" x14ac:dyDescent="0.25">
      <c r="A14" s="1076" t="s">
        <v>27</v>
      </c>
      <c r="B14" s="1088" t="s">
        <v>588</v>
      </c>
      <c r="C14" s="1089">
        <v>4036000</v>
      </c>
      <c r="D14" s="1090">
        <v>1464000</v>
      </c>
      <c r="E14" s="1090">
        <v>1464000</v>
      </c>
      <c r="F14" s="1091">
        <v>1108000</v>
      </c>
      <c r="G14" s="1091">
        <v>0</v>
      </c>
      <c r="H14" s="1080">
        <f t="shared" si="0"/>
        <v>4036000</v>
      </c>
    </row>
    <row r="15" spans="1:11" ht="26.25" x14ac:dyDescent="0.25">
      <c r="A15" s="1076" t="s">
        <v>28</v>
      </c>
      <c r="B15" s="1092" t="s">
        <v>696</v>
      </c>
      <c r="C15" s="1078">
        <v>2709452</v>
      </c>
      <c r="D15" s="1079">
        <v>984000</v>
      </c>
      <c r="E15" s="1079">
        <v>984000</v>
      </c>
      <c r="F15" s="1079">
        <v>741452</v>
      </c>
      <c r="G15" s="1079">
        <v>0</v>
      </c>
      <c r="H15" s="1080">
        <f t="shared" si="0"/>
        <v>2709452</v>
      </c>
    </row>
    <row r="16" spans="1:11" ht="26.25" x14ac:dyDescent="0.25">
      <c r="A16" s="1076" t="s">
        <v>29</v>
      </c>
      <c r="B16" s="1092" t="s">
        <v>697</v>
      </c>
      <c r="C16" s="1078">
        <v>2360946</v>
      </c>
      <c r="D16" s="1079">
        <v>1242000</v>
      </c>
      <c r="E16" s="1079">
        <v>1118946</v>
      </c>
      <c r="F16" s="1079">
        <v>0</v>
      </c>
      <c r="G16" s="1079">
        <v>0</v>
      </c>
      <c r="H16" s="1080">
        <f t="shared" si="0"/>
        <v>2360946</v>
      </c>
    </row>
    <row r="17" spans="1:8" ht="26.25" x14ac:dyDescent="0.25">
      <c r="A17" s="1076" t="s">
        <v>30</v>
      </c>
      <c r="B17" s="1092" t="s">
        <v>698</v>
      </c>
      <c r="C17" s="1078">
        <v>4551242</v>
      </c>
      <c r="D17" s="1079">
        <v>1270000</v>
      </c>
      <c r="E17" s="1079">
        <v>1270000</v>
      </c>
      <c r="F17" s="1079">
        <v>1270000</v>
      </c>
      <c r="G17" s="1079">
        <v>741242</v>
      </c>
      <c r="H17" s="1080">
        <f t="shared" si="0"/>
        <v>4551242</v>
      </c>
    </row>
    <row r="18" spans="1:8" ht="26.25" x14ac:dyDescent="0.25">
      <c r="A18" s="1076" t="s">
        <v>31</v>
      </c>
      <c r="B18" s="1086" t="s">
        <v>699</v>
      </c>
      <c r="C18" s="1078">
        <v>9061526</v>
      </c>
      <c r="D18" s="1079">
        <v>1668000</v>
      </c>
      <c r="E18" s="1079">
        <v>1668000</v>
      </c>
      <c r="F18" s="1079">
        <v>1668000</v>
      </c>
      <c r="G18" s="1079">
        <v>1668000</v>
      </c>
      <c r="H18" s="1080">
        <f t="shared" si="0"/>
        <v>6672000</v>
      </c>
    </row>
    <row r="19" spans="1:8" ht="27.75" customHeight="1" x14ac:dyDescent="0.25">
      <c r="A19" s="1076" t="s">
        <v>32</v>
      </c>
      <c r="B19" s="1086" t="s">
        <v>700</v>
      </c>
      <c r="C19" s="1078">
        <v>9042762</v>
      </c>
      <c r="D19" s="1079">
        <v>1834504</v>
      </c>
      <c r="E19" s="1079">
        <v>1834504</v>
      </c>
      <c r="F19" s="1079">
        <v>1834504</v>
      </c>
      <c r="G19" s="1079">
        <v>1834504</v>
      </c>
      <c r="H19" s="1080">
        <f t="shared" si="0"/>
        <v>7338016</v>
      </c>
    </row>
    <row r="20" spans="1:8" ht="27" customHeight="1" x14ac:dyDescent="0.25">
      <c r="A20" s="1076" t="s">
        <v>33</v>
      </c>
      <c r="B20" s="1086" t="s">
        <v>701</v>
      </c>
      <c r="C20" s="1078">
        <v>5020437</v>
      </c>
      <c r="D20" s="1079">
        <v>3171740</v>
      </c>
      <c r="E20" s="1079">
        <v>1848697</v>
      </c>
      <c r="F20" s="1079">
        <v>0</v>
      </c>
      <c r="G20" s="1079">
        <v>0</v>
      </c>
      <c r="H20" s="1080">
        <f t="shared" si="0"/>
        <v>5020437</v>
      </c>
    </row>
    <row r="21" spans="1:8" ht="27" customHeight="1" x14ac:dyDescent="0.25">
      <c r="A21" s="1076" t="s">
        <v>34</v>
      </c>
      <c r="B21" s="1086" t="s">
        <v>702</v>
      </c>
      <c r="C21" s="1078">
        <v>25000000</v>
      </c>
      <c r="D21" s="1079">
        <v>2777600</v>
      </c>
      <c r="E21" s="1079">
        <v>2777600</v>
      </c>
      <c r="F21" s="1079">
        <v>2777600</v>
      </c>
      <c r="G21" s="1079">
        <v>2777600</v>
      </c>
      <c r="H21" s="1080">
        <f t="shared" si="0"/>
        <v>11110400</v>
      </c>
    </row>
    <row r="22" spans="1:8" ht="26.25" customHeight="1" x14ac:dyDescent="0.25">
      <c r="A22" s="1076" t="s">
        <v>35</v>
      </c>
      <c r="B22" s="1086" t="s">
        <v>703</v>
      </c>
      <c r="C22" s="1078">
        <v>0</v>
      </c>
      <c r="D22" s="1079">
        <v>508000</v>
      </c>
      <c r="E22" s="1079">
        <v>1016000</v>
      </c>
      <c r="F22" s="1079">
        <v>1016000</v>
      </c>
      <c r="G22" s="1079">
        <v>1016000</v>
      </c>
      <c r="H22" s="1080">
        <f t="shared" si="0"/>
        <v>3556000</v>
      </c>
    </row>
    <row r="23" spans="1:8" ht="26.25" x14ac:dyDescent="0.25">
      <c r="A23" s="1076" t="s">
        <v>36</v>
      </c>
      <c r="B23" s="1086" t="s">
        <v>704</v>
      </c>
      <c r="C23" s="1078">
        <v>0</v>
      </c>
      <c r="D23" s="1079">
        <v>900000</v>
      </c>
      <c r="E23" s="1079">
        <v>3600000</v>
      </c>
      <c r="F23" s="1079">
        <v>3600000</v>
      </c>
      <c r="G23" s="1079">
        <v>3600000</v>
      </c>
      <c r="H23" s="1080">
        <f t="shared" si="0"/>
        <v>11700000</v>
      </c>
    </row>
    <row r="24" spans="1:8" x14ac:dyDescent="0.25">
      <c r="A24" s="1076" t="s">
        <v>37</v>
      </c>
      <c r="B24" s="1100" t="s">
        <v>930</v>
      </c>
      <c r="C24" s="1078">
        <v>0</v>
      </c>
      <c r="D24" s="1469">
        <v>0</v>
      </c>
      <c r="E24" s="1469">
        <f>2*239700</f>
        <v>479400</v>
      </c>
      <c r="F24" s="1469">
        <f>4*239700</f>
        <v>958800</v>
      </c>
      <c r="G24" s="1079">
        <f>4*239700</f>
        <v>958800</v>
      </c>
      <c r="H24" s="1080">
        <f t="shared" si="0"/>
        <v>2397000</v>
      </c>
    </row>
    <row r="25" spans="1:8" ht="15.75" thickBot="1" x14ac:dyDescent="0.3">
      <c r="A25" s="1076" t="s">
        <v>38</v>
      </c>
      <c r="B25" s="1099" t="s">
        <v>931</v>
      </c>
      <c r="C25" s="1089">
        <v>0</v>
      </c>
      <c r="D25" s="1470">
        <v>0</v>
      </c>
      <c r="E25" s="1470">
        <v>0</v>
      </c>
      <c r="F25" s="1470">
        <v>2880000</v>
      </c>
      <c r="G25" s="1091">
        <v>2880000</v>
      </c>
      <c r="H25" s="1080">
        <f t="shared" si="0"/>
        <v>5760000</v>
      </c>
    </row>
    <row r="26" spans="1:8" ht="24" customHeight="1" thickBot="1" x14ac:dyDescent="0.3">
      <c r="A26" s="1093"/>
      <c r="B26" s="1094" t="s">
        <v>163</v>
      </c>
      <c r="C26" s="1095">
        <f>SUM(C7:C25)</f>
        <v>110109113</v>
      </c>
      <c r="D26" s="1095">
        <f t="shared" ref="D26:G26" si="1">SUM(D7:D25)</f>
        <v>26038438</v>
      </c>
      <c r="E26" s="1095">
        <f t="shared" si="1"/>
        <v>25473152</v>
      </c>
      <c r="F26" s="1095">
        <f t="shared" si="1"/>
        <v>24266362</v>
      </c>
      <c r="G26" s="1095">
        <f t="shared" si="1"/>
        <v>21888153</v>
      </c>
      <c r="H26" s="1102">
        <f>SUM(H7:H25)</f>
        <v>97666091</v>
      </c>
    </row>
    <row r="28" spans="1:8" x14ac:dyDescent="0.25">
      <c r="B28" s="1096" t="s">
        <v>705</v>
      </c>
    </row>
    <row r="30" spans="1:8" x14ac:dyDescent="0.25">
      <c r="B30" s="1097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20" zoomScaleNormal="120" zoomScaleSheetLayoutView="115" zoomScalePageLayoutView="115" workbookViewId="0">
      <selection activeCell="D11" sqref="D11"/>
    </sheetView>
  </sheetViews>
  <sheetFormatPr defaultRowHeight="15" x14ac:dyDescent="0.25"/>
  <cols>
    <col min="1" max="1" width="5.6640625" style="74" customWidth="1"/>
    <col min="2" max="2" width="68.6640625" style="74" customWidth="1"/>
    <col min="3" max="3" width="19.5" style="74" customWidth="1"/>
    <col min="4" max="4" width="11.33203125" style="74" customWidth="1"/>
    <col min="5" max="16384" width="9.33203125" style="74"/>
  </cols>
  <sheetData>
    <row r="1" spans="1:4" s="1013" customFormat="1" ht="15.75" x14ac:dyDescent="0.25">
      <c r="A1" s="1522" t="str">
        <f>CONCATENATE("4. melléklet ",ALAPADATOK!A7," ",ALAPADATOK!B7," ",ALAPADATOK!C7," ",ALAPADATOK!D7," ",ALAPADATOK!E7," ",ALAPADATOK!F7," ",ALAPADATOK!G7," ",ALAPADATOK!H7)</f>
        <v>4. melléklet a 6 / 2020. ( II.27 ) önkormányzati határozathoz</v>
      </c>
      <c r="B1" s="1522"/>
      <c r="C1" s="1522"/>
    </row>
    <row r="2" spans="1:4" s="1013" customFormat="1" x14ac:dyDescent="0.25"/>
    <row r="3" spans="1:4" ht="33" customHeight="1" x14ac:dyDescent="0.25">
      <c r="A3" s="1510" t="s">
        <v>598</v>
      </c>
      <c r="B3" s="1510"/>
      <c r="C3" s="1510"/>
    </row>
    <row r="4" spans="1:4" ht="15.95" customHeight="1" thickBot="1" x14ac:dyDescent="0.3">
      <c r="A4" s="75"/>
      <c r="B4" s="75"/>
      <c r="C4" s="77" t="s">
        <v>558</v>
      </c>
      <c r="D4" s="557"/>
    </row>
    <row r="5" spans="1:4" ht="26.25" customHeight="1" thickBot="1" x14ac:dyDescent="0.3">
      <c r="A5" s="78" t="s">
        <v>19</v>
      </c>
      <c r="B5" s="79" t="s">
        <v>599</v>
      </c>
      <c r="C5" s="80" t="s">
        <v>794</v>
      </c>
    </row>
    <row r="6" spans="1:4" ht="15.75" thickBot="1" x14ac:dyDescent="0.3">
      <c r="A6" s="558">
        <v>1</v>
      </c>
      <c r="B6" s="559">
        <v>2</v>
      </c>
      <c r="C6" s="560">
        <v>3</v>
      </c>
    </row>
    <row r="7" spans="1:4" x14ac:dyDescent="0.25">
      <c r="A7" s="81" t="s">
        <v>21</v>
      </c>
      <c r="B7" s="561" t="s">
        <v>600</v>
      </c>
      <c r="C7" s="822">
        <v>487000000</v>
      </c>
    </row>
    <row r="8" spans="1:4" ht="24.75" x14ac:dyDescent="0.25">
      <c r="A8" s="82" t="s">
        <v>22</v>
      </c>
      <c r="B8" s="562" t="s">
        <v>601</v>
      </c>
      <c r="C8" s="563">
        <v>1006560</v>
      </c>
    </row>
    <row r="9" spans="1:4" ht="36.75" x14ac:dyDescent="0.25">
      <c r="A9" s="82" t="s">
        <v>23</v>
      </c>
      <c r="B9" s="562" t="s">
        <v>602</v>
      </c>
      <c r="C9" s="563">
        <f>1278000+5650000+27353065+762000+18821599+7565050</f>
        <v>61429714</v>
      </c>
    </row>
    <row r="10" spans="1:4" x14ac:dyDescent="0.25">
      <c r="A10" s="82" t="s">
        <v>24</v>
      </c>
      <c r="B10" s="564" t="s">
        <v>603</v>
      </c>
      <c r="C10" s="563"/>
    </row>
    <row r="11" spans="1:4" ht="24.75" x14ac:dyDescent="0.25">
      <c r="A11" s="82" t="s">
        <v>25</v>
      </c>
      <c r="B11" s="564" t="s">
        <v>604</v>
      </c>
      <c r="C11" s="563">
        <f>44304508+300000</f>
        <v>44604508</v>
      </c>
    </row>
    <row r="12" spans="1:4" x14ac:dyDescent="0.25">
      <c r="A12" s="82" t="s">
        <v>26</v>
      </c>
      <c r="B12" s="564" t="s">
        <v>688</v>
      </c>
      <c r="C12" s="565">
        <v>8000000</v>
      </c>
    </row>
    <row r="13" spans="1:4" ht="15.75" thickBot="1" x14ac:dyDescent="0.3">
      <c r="A13" s="566" t="s">
        <v>27</v>
      </c>
      <c r="B13" s="567" t="s">
        <v>605</v>
      </c>
      <c r="C13" s="568"/>
    </row>
    <row r="14" spans="1:4" ht="15.75" thickBot="1" x14ac:dyDescent="0.3">
      <c r="A14" s="1519" t="s">
        <v>606</v>
      </c>
      <c r="B14" s="1520"/>
      <c r="C14" s="569">
        <f>SUM(C7:C13)</f>
        <v>602040782</v>
      </c>
    </row>
    <row r="15" spans="1:4" ht="23.25" customHeight="1" x14ac:dyDescent="0.25">
      <c r="A15" s="1521" t="s">
        <v>607</v>
      </c>
      <c r="B15" s="1521"/>
      <c r="C15" s="1521"/>
    </row>
  </sheetData>
  <mergeCells count="4">
    <mergeCell ref="A3:C3"/>
    <mergeCell ref="A14:B14"/>
    <mergeCell ref="A15:C15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D16"/>
  <sheetViews>
    <sheetView zoomScale="120" zoomScaleNormal="120" zoomScaleSheetLayoutView="130" workbookViewId="0">
      <selection activeCell="D11" sqref="D11"/>
    </sheetView>
  </sheetViews>
  <sheetFormatPr defaultRowHeight="15" x14ac:dyDescent="0.25"/>
  <cols>
    <col min="1" max="1" width="5.6640625" style="74" customWidth="1"/>
    <col min="2" max="2" width="66.83203125" style="74" customWidth="1"/>
    <col min="3" max="3" width="27" style="74" customWidth="1"/>
    <col min="4" max="16384" width="9.33203125" style="74"/>
  </cols>
  <sheetData>
    <row r="1" spans="1:4" s="1013" customFormat="1" x14ac:dyDescent="0.25">
      <c r="A1" s="1509" t="str">
        <f>CONCATENATE("5. melléklet ",ALAPADATOK!A7," ",ALAPADATOK!B7," ",ALAPADATOK!C7," ",ALAPADATOK!D7," ",ALAPADATOK!E7," ",ALAPADATOK!F7," ",ALAPADATOK!G7," ",ALAPADATOK!H7)</f>
        <v>5. melléklet a 6 / 2020. ( II.27 ) önkormányzati határozathoz</v>
      </c>
      <c r="B1" s="1509"/>
      <c r="C1" s="1509"/>
    </row>
    <row r="2" spans="1:4" s="1013" customFormat="1" x14ac:dyDescent="0.25"/>
    <row r="3" spans="1:4" ht="33" customHeight="1" x14ac:dyDescent="0.25">
      <c r="A3" s="1510" t="s">
        <v>919</v>
      </c>
      <c r="B3" s="1510"/>
      <c r="C3" s="1510"/>
    </row>
    <row r="4" spans="1:4" ht="15.95" customHeight="1" thickBot="1" x14ac:dyDescent="0.3">
      <c r="A4" s="75"/>
      <c r="B4" s="75"/>
      <c r="C4" s="77" t="s">
        <v>558</v>
      </c>
      <c r="D4" s="76"/>
    </row>
    <row r="5" spans="1:4" ht="26.25" customHeight="1" thickBot="1" x14ac:dyDescent="0.3">
      <c r="A5" s="682" t="s">
        <v>19</v>
      </c>
      <c r="B5" s="683" t="s">
        <v>164</v>
      </c>
      <c r="C5" s="684" t="s">
        <v>169</v>
      </c>
    </row>
    <row r="6" spans="1:4" ht="15.75" thickBot="1" x14ac:dyDescent="0.3">
      <c r="A6" s="685">
        <v>1</v>
      </c>
      <c r="B6" s="686">
        <v>2</v>
      </c>
      <c r="C6" s="687">
        <v>3</v>
      </c>
    </row>
    <row r="7" spans="1:4" x14ac:dyDescent="0.25">
      <c r="A7" s="81" t="s">
        <v>21</v>
      </c>
      <c r="B7" s="688" t="s">
        <v>690</v>
      </c>
      <c r="C7" s="689">
        <v>4066909</v>
      </c>
    </row>
    <row r="8" spans="1:4" x14ac:dyDescent="0.25">
      <c r="A8" s="82" t="s">
        <v>22</v>
      </c>
      <c r="B8" s="688" t="s">
        <v>933</v>
      </c>
      <c r="C8" s="691">
        <v>3834990</v>
      </c>
    </row>
    <row r="9" spans="1:4" x14ac:dyDescent="0.25">
      <c r="A9" s="823" t="s">
        <v>23</v>
      </c>
      <c r="B9" s="688" t="s">
        <v>689</v>
      </c>
      <c r="C9" s="691">
        <v>18000000</v>
      </c>
    </row>
    <row r="10" spans="1:4" x14ac:dyDescent="0.25">
      <c r="A10" s="823" t="s">
        <v>24</v>
      </c>
      <c r="B10" s="1151" t="s">
        <v>932</v>
      </c>
      <c r="C10" s="1152">
        <v>16510000</v>
      </c>
    </row>
    <row r="11" spans="1:4" x14ac:dyDescent="0.25">
      <c r="A11" s="823" t="s">
        <v>25</v>
      </c>
      <c r="B11" s="1151"/>
      <c r="C11" s="692"/>
    </row>
    <row r="12" spans="1:4" x14ac:dyDescent="0.25">
      <c r="A12" s="823" t="s">
        <v>26</v>
      </c>
      <c r="B12" s="688"/>
      <c r="C12" s="691"/>
    </row>
    <row r="13" spans="1:4" x14ac:dyDescent="0.25">
      <c r="A13" s="823" t="s">
        <v>27</v>
      </c>
      <c r="B13" s="690"/>
      <c r="C13" s="692"/>
    </row>
    <row r="14" spans="1:4" x14ac:dyDescent="0.25">
      <c r="A14" s="823" t="s">
        <v>28</v>
      </c>
      <c r="B14" s="693"/>
      <c r="C14" s="692"/>
    </row>
    <row r="15" spans="1:4" s="695" customFormat="1" thickBot="1" x14ac:dyDescent="0.25">
      <c r="A15" s="823" t="s">
        <v>29</v>
      </c>
      <c r="B15" s="694"/>
      <c r="C15" s="691"/>
    </row>
    <row r="16" spans="1:4" s="695" customFormat="1" ht="17.25" customHeight="1" thickBot="1" x14ac:dyDescent="0.25">
      <c r="A16" s="696" t="s">
        <v>30</v>
      </c>
      <c r="B16" s="697" t="s">
        <v>165</v>
      </c>
      <c r="C16" s="698">
        <f>SUM(C7:C15)</f>
        <v>42411899</v>
      </c>
    </row>
  </sheetData>
  <mergeCells count="2">
    <mergeCell ref="A3:C3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13" zoomScaleNormal="100" zoomScaleSheetLayoutView="100" workbookViewId="0">
      <selection activeCell="D11" sqref="D11"/>
    </sheetView>
  </sheetViews>
  <sheetFormatPr defaultColWidth="9.33203125" defaultRowHeight="12.75" x14ac:dyDescent="0.2"/>
  <cols>
    <col min="1" max="1" width="61.33203125" style="555" customWidth="1"/>
    <col min="2" max="2" width="15.6640625" style="552" customWidth="1"/>
    <col min="3" max="3" width="16.33203125" style="552" customWidth="1"/>
    <col min="4" max="4" width="18" style="552" customWidth="1"/>
    <col min="5" max="5" width="18" style="909" customWidth="1"/>
    <col min="6" max="6" width="16.6640625" style="552" customWidth="1"/>
    <col min="7" max="7" width="18.83203125" style="543" customWidth="1"/>
    <col min="8" max="9" width="12.83203125" style="32" customWidth="1"/>
    <col min="10" max="10" width="13.83203125" style="32" customWidth="1"/>
    <col min="11" max="11" width="12.6640625" style="32" bestFit="1" customWidth="1"/>
    <col min="12" max="12" width="12.6640625" style="898" customWidth="1"/>
    <col min="13" max="13" width="11.1640625" style="32" bestFit="1" customWidth="1"/>
    <col min="14" max="16384" width="9.33203125" style="32"/>
  </cols>
  <sheetData>
    <row r="1" spans="1:12" s="1011" customFormat="1" ht="15.75" x14ac:dyDescent="0.2">
      <c r="A1" s="1524" t="str">
        <f>CONCATENATE("6. melléklet ",ALAPADATOK!A7," ",ALAPADATOK!B7," ",ALAPADATOK!C7," ",ALAPADATOK!D7," ",ALAPADATOK!E7," ",ALAPADATOK!F7," ",ALAPADATOK!G7," ",ALAPADATOK!H7)</f>
        <v>6. melléklet a 6 / 2020. ( II.27 ) önkormányzati határozathoz</v>
      </c>
      <c r="B1" s="1524"/>
      <c r="C1" s="1524"/>
      <c r="D1" s="1524"/>
      <c r="E1" s="1524"/>
      <c r="F1" s="1524"/>
      <c r="G1" s="1524"/>
    </row>
    <row r="2" spans="1:12" s="1011" customFormat="1" x14ac:dyDescent="0.2">
      <c r="A2" s="555"/>
      <c r="B2" s="909"/>
      <c r="C2" s="909"/>
      <c r="D2" s="909"/>
      <c r="E2" s="909"/>
      <c r="F2" s="909"/>
      <c r="G2" s="543"/>
    </row>
    <row r="3" spans="1:12" ht="25.5" customHeight="1" x14ac:dyDescent="0.2">
      <c r="A3" s="1523" t="s">
        <v>7</v>
      </c>
      <c r="B3" s="1523"/>
      <c r="C3" s="1523"/>
      <c r="D3" s="1523"/>
      <c r="E3" s="1523"/>
      <c r="F3" s="1523"/>
      <c r="G3" s="1523"/>
    </row>
    <row r="4" spans="1:12" ht="22.5" customHeight="1" thickBot="1" x14ac:dyDescent="0.3">
      <c r="A4" s="542"/>
      <c r="B4" s="543"/>
      <c r="C4" s="543"/>
      <c r="D4" s="543"/>
      <c r="E4" s="543"/>
      <c r="F4" s="543"/>
      <c r="G4" s="544" t="s">
        <v>560</v>
      </c>
    </row>
    <row r="5" spans="1:12" s="34" customFormat="1" ht="44.25" customHeight="1" thickBot="1" x14ac:dyDescent="0.25">
      <c r="A5" s="545" t="s">
        <v>67</v>
      </c>
      <c r="B5" s="546" t="s">
        <v>68</v>
      </c>
      <c r="C5" s="546" t="s">
        <v>69</v>
      </c>
      <c r="D5" s="546" t="s">
        <v>793</v>
      </c>
      <c r="E5" s="546" t="s">
        <v>945</v>
      </c>
      <c r="F5" s="546" t="s">
        <v>794</v>
      </c>
      <c r="G5" s="547" t="s">
        <v>795</v>
      </c>
      <c r="H5" s="548"/>
      <c r="L5" s="899"/>
    </row>
    <row r="6" spans="1:12" s="37" customFormat="1" ht="12" customHeight="1" thickBot="1" x14ac:dyDescent="0.25">
      <c r="A6" s="549">
        <v>1</v>
      </c>
      <c r="B6" s="550">
        <v>2</v>
      </c>
      <c r="C6" s="550">
        <v>3</v>
      </c>
      <c r="D6" s="550">
        <v>4</v>
      </c>
      <c r="E6" s="550"/>
      <c r="F6" s="550">
        <v>5</v>
      </c>
      <c r="G6" s="551" t="s">
        <v>85</v>
      </c>
      <c r="L6" s="900"/>
    </row>
    <row r="7" spans="1:12" s="1012" customFormat="1" ht="12" customHeight="1" thickBot="1" x14ac:dyDescent="0.25">
      <c r="A7" s="1055" t="s">
        <v>818</v>
      </c>
      <c r="B7" s="1147">
        <f>SUM(B8:B33)</f>
        <v>829025620</v>
      </c>
      <c r="C7" s="1148"/>
      <c r="D7" s="1149">
        <f>SUM(D8:D33)</f>
        <v>149638572</v>
      </c>
      <c r="E7" s="1149"/>
      <c r="F7" s="1149">
        <f>SUM(F8:F33)</f>
        <v>652081750</v>
      </c>
      <c r="G7" s="1150"/>
    </row>
    <row r="8" spans="1:12" s="552" customFormat="1" ht="15.95" customHeight="1" x14ac:dyDescent="0.2">
      <c r="A8" s="1021" t="s">
        <v>713</v>
      </c>
      <c r="B8" s="1117">
        <v>194576285</v>
      </c>
      <c r="C8" s="1118" t="s">
        <v>810</v>
      </c>
      <c r="D8" s="1119">
        <v>116979846</v>
      </c>
      <c r="E8" s="1119">
        <v>7150721</v>
      </c>
      <c r="F8" s="1119">
        <v>70445718</v>
      </c>
      <c r="G8" s="1120">
        <f>B8-D8-F8-E8</f>
        <v>0</v>
      </c>
      <c r="L8" s="909"/>
    </row>
    <row r="9" spans="1:12" s="554" customFormat="1" ht="15.95" customHeight="1" x14ac:dyDescent="0.2">
      <c r="A9" s="1022" t="s">
        <v>791</v>
      </c>
      <c r="B9" s="1121">
        <v>2072640</v>
      </c>
      <c r="C9" s="1122" t="s">
        <v>792</v>
      </c>
      <c r="D9" s="1123"/>
      <c r="E9" s="1123"/>
      <c r="F9" s="1123">
        <v>2072640</v>
      </c>
      <c r="G9" s="1124">
        <f t="shared" ref="G9:G69" si="0">B9-D9-F9-E9</f>
        <v>0</v>
      </c>
      <c r="L9" s="911"/>
    </row>
    <row r="10" spans="1:12" s="552" customFormat="1" ht="15.95" customHeight="1" x14ac:dyDescent="0.2">
      <c r="A10" s="1022" t="s">
        <v>796</v>
      </c>
      <c r="B10" s="1121">
        <f>268788554-1094400</f>
        <v>267694154</v>
      </c>
      <c r="C10" s="1122" t="s">
        <v>801</v>
      </c>
      <c r="D10" s="1123">
        <v>2641600</v>
      </c>
      <c r="E10" s="1123"/>
      <c r="F10" s="1123">
        <v>265052554</v>
      </c>
      <c r="G10" s="1124">
        <f t="shared" si="0"/>
        <v>0</v>
      </c>
      <c r="L10" s="909"/>
    </row>
    <row r="11" spans="1:12" s="403" customFormat="1" ht="25.5" x14ac:dyDescent="0.2">
      <c r="A11" s="1022" t="s">
        <v>797</v>
      </c>
      <c r="B11" s="1121">
        <v>12274550</v>
      </c>
      <c r="C11" s="1122" t="s">
        <v>801</v>
      </c>
      <c r="D11" s="1123"/>
      <c r="E11" s="1123"/>
      <c r="F11" s="1123">
        <v>12274550</v>
      </c>
      <c r="G11" s="1124">
        <f t="shared" si="0"/>
        <v>0</v>
      </c>
      <c r="L11" s="908"/>
    </row>
    <row r="12" spans="1:12" s="552" customFormat="1" ht="25.5" x14ac:dyDescent="0.2">
      <c r="A12" s="1022" t="s">
        <v>798</v>
      </c>
      <c r="B12" s="1121">
        <v>2634996</v>
      </c>
      <c r="C12" s="1122" t="s">
        <v>801</v>
      </c>
      <c r="D12" s="1123"/>
      <c r="E12" s="1123"/>
      <c r="F12" s="1123">
        <v>2634996</v>
      </c>
      <c r="G12" s="1124">
        <f t="shared" si="0"/>
        <v>0</v>
      </c>
      <c r="L12" s="909"/>
    </row>
    <row r="13" spans="1:12" s="552" customFormat="1" ht="15.95" customHeight="1" x14ac:dyDescent="0.2">
      <c r="A13" s="1023" t="s">
        <v>666</v>
      </c>
      <c r="B13" s="1125">
        <v>300000</v>
      </c>
      <c r="C13" s="1036" t="s">
        <v>792</v>
      </c>
      <c r="D13" s="1103"/>
      <c r="E13" s="1103"/>
      <c r="F13" s="1103">
        <v>300000</v>
      </c>
      <c r="G13" s="1040">
        <f t="shared" si="0"/>
        <v>0</v>
      </c>
      <c r="L13" s="909"/>
    </row>
    <row r="14" spans="1:12" s="552" customFormat="1" ht="18.75" customHeight="1" x14ac:dyDescent="0.2">
      <c r="A14" s="1024" t="s">
        <v>667</v>
      </c>
      <c r="B14" s="1125">
        <f>14880118+3119882</f>
        <v>18000000</v>
      </c>
      <c r="C14" s="1036" t="s">
        <v>801</v>
      </c>
      <c r="D14" s="1103"/>
      <c r="E14" s="1103">
        <v>3119882</v>
      </c>
      <c r="F14" s="1103">
        <v>14880118</v>
      </c>
      <c r="G14" s="1040">
        <f t="shared" si="0"/>
        <v>0</v>
      </c>
      <c r="L14" s="909"/>
    </row>
    <row r="15" spans="1:12" s="909" customFormat="1" ht="18.75" customHeight="1" x14ac:dyDescent="0.2">
      <c r="A15" s="1024" t="s">
        <v>815</v>
      </c>
      <c r="B15" s="1125">
        <f>15329670-1890853+3071183</f>
        <v>16510000</v>
      </c>
      <c r="C15" s="1036" t="s">
        <v>816</v>
      </c>
      <c r="D15" s="1103"/>
      <c r="E15" s="1103">
        <v>3071183</v>
      </c>
      <c r="F15" s="1103">
        <f>15329670-2000000+109147</f>
        <v>13438817</v>
      </c>
      <c r="G15" s="1040">
        <f t="shared" si="0"/>
        <v>0</v>
      </c>
    </row>
    <row r="16" spans="1:12" s="552" customFormat="1" ht="28.5" customHeight="1" x14ac:dyDescent="0.2">
      <c r="A16" s="1034" t="s">
        <v>668</v>
      </c>
      <c r="B16" s="1125">
        <v>15797160</v>
      </c>
      <c r="C16" s="1036" t="s">
        <v>811</v>
      </c>
      <c r="D16" s="1103">
        <v>7616752</v>
      </c>
      <c r="E16" s="1103">
        <v>3163512</v>
      </c>
      <c r="F16" s="1103">
        <f>5016316+580</f>
        <v>5016896</v>
      </c>
      <c r="G16" s="1040">
        <f t="shared" si="0"/>
        <v>0</v>
      </c>
      <c r="H16" s="909"/>
      <c r="L16" s="909"/>
    </row>
    <row r="17" spans="1:12" s="552" customFormat="1" ht="15.95" customHeight="1" x14ac:dyDescent="0.2">
      <c r="A17" s="1025" t="s">
        <v>669</v>
      </c>
      <c r="B17" s="1125">
        <v>1016000</v>
      </c>
      <c r="C17" s="1036" t="s">
        <v>792</v>
      </c>
      <c r="D17" s="1103"/>
      <c r="E17" s="1103"/>
      <c r="F17" s="1103">
        <v>1016000</v>
      </c>
      <c r="G17" s="1040">
        <f t="shared" si="0"/>
        <v>0</v>
      </c>
      <c r="L17" s="909"/>
    </row>
    <row r="18" spans="1:12" s="552" customFormat="1" ht="15.95" customHeight="1" x14ac:dyDescent="0.2">
      <c r="A18" s="1026" t="s">
        <v>670</v>
      </c>
      <c r="B18" s="1125">
        <v>359410</v>
      </c>
      <c r="C18" s="1036" t="s">
        <v>792</v>
      </c>
      <c r="D18" s="1103"/>
      <c r="E18" s="1103"/>
      <c r="F18" s="1103">
        <v>359410</v>
      </c>
      <c r="G18" s="1040">
        <f t="shared" si="0"/>
        <v>0</v>
      </c>
      <c r="L18" s="909"/>
    </row>
    <row r="19" spans="1:12" s="552" customFormat="1" ht="15.95" customHeight="1" x14ac:dyDescent="0.2">
      <c r="A19" s="1026" t="s">
        <v>671</v>
      </c>
      <c r="B19" s="1125">
        <v>381000</v>
      </c>
      <c r="C19" s="1036" t="s">
        <v>792</v>
      </c>
      <c r="D19" s="1103"/>
      <c r="E19" s="1103"/>
      <c r="F19" s="1103">
        <v>381000</v>
      </c>
      <c r="G19" s="1126">
        <f t="shared" si="0"/>
        <v>0</v>
      </c>
      <c r="L19" s="909"/>
    </row>
    <row r="20" spans="1:12" s="552" customFormat="1" ht="15.95" customHeight="1" x14ac:dyDescent="0.2">
      <c r="A20" s="1026" t="s">
        <v>672</v>
      </c>
      <c r="B20" s="1125">
        <v>2540000</v>
      </c>
      <c r="C20" s="1036" t="s">
        <v>792</v>
      </c>
      <c r="D20" s="1103"/>
      <c r="E20" s="1103"/>
      <c r="F20" s="1103">
        <v>2540000</v>
      </c>
      <c r="G20" s="1126">
        <f t="shared" si="0"/>
        <v>0</v>
      </c>
      <c r="L20" s="909"/>
    </row>
    <row r="21" spans="1:12" s="552" customFormat="1" ht="31.5" customHeight="1" x14ac:dyDescent="0.2">
      <c r="A21" s="1026" t="s">
        <v>812</v>
      </c>
      <c r="B21" s="1125">
        <v>355000</v>
      </c>
      <c r="C21" s="1036" t="s">
        <v>792</v>
      </c>
      <c r="D21" s="1103"/>
      <c r="E21" s="1103"/>
      <c r="F21" s="1103">
        <v>355000</v>
      </c>
      <c r="G21" s="1126">
        <f t="shared" si="0"/>
        <v>0</v>
      </c>
      <c r="L21" s="909"/>
    </row>
    <row r="22" spans="1:12" s="552" customFormat="1" ht="21.75" customHeight="1" x14ac:dyDescent="0.2">
      <c r="A22" s="1026" t="s">
        <v>813</v>
      </c>
      <c r="B22" s="1125">
        <v>100000</v>
      </c>
      <c r="C22" s="1036" t="s">
        <v>792</v>
      </c>
      <c r="D22" s="1103"/>
      <c r="E22" s="1103"/>
      <c r="F22" s="1103">
        <v>100000</v>
      </c>
      <c r="G22" s="1126">
        <f t="shared" si="0"/>
        <v>0</v>
      </c>
      <c r="L22" s="909"/>
    </row>
    <row r="23" spans="1:12" s="908" customFormat="1" ht="15.75" customHeight="1" x14ac:dyDescent="0.2">
      <c r="A23" s="1023" t="s">
        <v>673</v>
      </c>
      <c r="B23" s="1125">
        <v>94488</v>
      </c>
      <c r="C23" s="1036" t="s">
        <v>792</v>
      </c>
      <c r="D23" s="1103"/>
      <c r="E23" s="1103"/>
      <c r="F23" s="1103">
        <v>94488</v>
      </c>
      <c r="G23" s="1126">
        <f t="shared" si="0"/>
        <v>0</v>
      </c>
    </row>
    <row r="24" spans="1:12" s="552" customFormat="1" ht="25.5" x14ac:dyDescent="0.2">
      <c r="A24" s="1026" t="s">
        <v>715</v>
      </c>
      <c r="B24" s="1125">
        <v>6704583</v>
      </c>
      <c r="C24" s="1036" t="s">
        <v>714</v>
      </c>
      <c r="D24" s="1103">
        <v>1295700</v>
      </c>
      <c r="E24" s="1103"/>
      <c r="F24" s="1103">
        <v>5408883</v>
      </c>
      <c r="G24" s="1126">
        <f t="shared" si="0"/>
        <v>0</v>
      </c>
      <c r="L24" s="909"/>
    </row>
    <row r="25" spans="1:12" s="552" customFormat="1" ht="15.75" customHeight="1" x14ac:dyDescent="0.2">
      <c r="A25" s="1027" t="s">
        <v>799</v>
      </c>
      <c r="B25" s="1127">
        <v>81248690</v>
      </c>
      <c r="C25" s="1128" t="s">
        <v>801</v>
      </c>
      <c r="D25" s="1129">
        <v>16405674</v>
      </c>
      <c r="E25" s="1129"/>
      <c r="F25" s="1129">
        <f>64941946-98930</f>
        <v>64843016</v>
      </c>
      <c r="G25" s="1126">
        <f t="shared" si="0"/>
        <v>0</v>
      </c>
      <c r="H25" s="909"/>
      <c r="L25" s="909"/>
    </row>
    <row r="26" spans="1:12" s="553" customFormat="1" ht="29.25" customHeight="1" x14ac:dyDescent="0.2">
      <c r="A26" s="1027" t="s">
        <v>800</v>
      </c>
      <c r="B26" s="1127">
        <v>127000</v>
      </c>
      <c r="C26" s="1128" t="s">
        <v>792</v>
      </c>
      <c r="D26" s="1129"/>
      <c r="E26" s="1129"/>
      <c r="F26" s="1129">
        <v>127000</v>
      </c>
      <c r="G26" s="1028">
        <f t="shared" si="0"/>
        <v>0</v>
      </c>
      <c r="L26" s="910"/>
    </row>
    <row r="27" spans="1:12" s="910" customFormat="1" ht="29.25" customHeight="1" x14ac:dyDescent="0.2">
      <c r="A27" s="1027" t="s">
        <v>814</v>
      </c>
      <c r="B27" s="1127">
        <v>4000000</v>
      </c>
      <c r="C27" s="1128" t="s">
        <v>792</v>
      </c>
      <c r="D27" s="1129"/>
      <c r="E27" s="1129"/>
      <c r="F27" s="1129">
        <v>4000000</v>
      </c>
      <c r="G27" s="1028">
        <f t="shared" si="0"/>
        <v>0</v>
      </c>
    </row>
    <row r="28" spans="1:12" s="552" customFormat="1" ht="15.75" customHeight="1" x14ac:dyDescent="0.2">
      <c r="A28" s="1471" t="s">
        <v>1009</v>
      </c>
      <c r="B28" s="1127">
        <v>7239000</v>
      </c>
      <c r="C28" s="1128" t="s">
        <v>801</v>
      </c>
      <c r="D28" s="1129"/>
      <c r="E28" s="1129"/>
      <c r="F28" s="1129">
        <v>7239000</v>
      </c>
      <c r="G28" s="1028">
        <f t="shared" si="0"/>
        <v>0</v>
      </c>
      <c r="L28" s="909"/>
    </row>
    <row r="29" spans="1:12" s="403" customFormat="1" x14ac:dyDescent="0.2">
      <c r="A29" s="1026" t="s">
        <v>691</v>
      </c>
      <c r="B29" s="1125">
        <v>398755</v>
      </c>
      <c r="C29" s="1036" t="s">
        <v>792</v>
      </c>
      <c r="D29" s="1103"/>
      <c r="E29" s="1103"/>
      <c r="F29" s="1103">
        <v>398755</v>
      </c>
      <c r="G29" s="1126">
        <f t="shared" si="0"/>
        <v>0</v>
      </c>
      <c r="L29" s="908"/>
    </row>
    <row r="30" spans="1:12" s="554" customFormat="1" ht="15.75" customHeight="1" x14ac:dyDescent="0.2">
      <c r="A30" s="1026" t="s">
        <v>802</v>
      </c>
      <c r="B30" s="1125">
        <v>30000000</v>
      </c>
      <c r="C30" s="1036" t="s">
        <v>801</v>
      </c>
      <c r="D30" s="1103"/>
      <c r="E30" s="1103"/>
      <c r="F30" s="1103">
        <v>30000000</v>
      </c>
      <c r="G30" s="1126">
        <f t="shared" si="0"/>
        <v>0</v>
      </c>
      <c r="L30" s="911"/>
    </row>
    <row r="31" spans="1:12" s="553" customFormat="1" ht="15.75" customHeight="1" x14ac:dyDescent="0.2">
      <c r="A31" s="1026" t="s">
        <v>803</v>
      </c>
      <c r="B31" s="1127">
        <f>152706150+10800000</f>
        <v>163506150</v>
      </c>
      <c r="C31" s="1128" t="s">
        <v>801</v>
      </c>
      <c r="D31" s="1129">
        <v>4699000</v>
      </c>
      <c r="E31" s="1129">
        <v>10800000</v>
      </c>
      <c r="F31" s="1129">
        <v>148007150</v>
      </c>
      <c r="G31" s="1130">
        <f t="shared" si="0"/>
        <v>0</v>
      </c>
      <c r="L31" s="910"/>
    </row>
    <row r="32" spans="1:12" s="403" customFormat="1" ht="15.75" customHeight="1" x14ac:dyDescent="0.2">
      <c r="A32" s="1026" t="s">
        <v>804</v>
      </c>
      <c r="B32" s="1125">
        <v>691900</v>
      </c>
      <c r="C32" s="1036" t="s">
        <v>801</v>
      </c>
      <c r="D32" s="1103"/>
      <c r="E32" s="1103"/>
      <c r="F32" s="1103">
        <v>691900</v>
      </c>
      <c r="G32" s="1126">
        <f t="shared" si="0"/>
        <v>0</v>
      </c>
      <c r="L32" s="908"/>
    </row>
    <row r="33" spans="1:12" s="553" customFormat="1" ht="15.75" customHeight="1" thickBot="1" x14ac:dyDescent="0.25">
      <c r="A33" s="1029" t="s">
        <v>805</v>
      </c>
      <c r="B33" s="1131">
        <f>403860-1</f>
        <v>403859</v>
      </c>
      <c r="C33" s="1132" t="s">
        <v>792</v>
      </c>
      <c r="D33" s="1133"/>
      <c r="E33" s="1133"/>
      <c r="F33" s="1133">
        <f>403860-1</f>
        <v>403859</v>
      </c>
      <c r="G33" s="1030">
        <f t="shared" si="0"/>
        <v>0</v>
      </c>
      <c r="L33" s="910"/>
    </row>
    <row r="34" spans="1:12" s="552" customFormat="1" ht="13.5" thickBot="1" x14ac:dyDescent="0.25">
      <c r="A34" s="1048" t="s">
        <v>922</v>
      </c>
      <c r="B34" s="1134">
        <f>SUM(B35:B38)</f>
        <v>5047400</v>
      </c>
      <c r="C34" s="1135"/>
      <c r="D34" s="1136"/>
      <c r="E34" s="1136"/>
      <c r="F34" s="1136">
        <f>SUM(F35:F38)</f>
        <v>5047400</v>
      </c>
      <c r="G34" s="1137">
        <f t="shared" si="0"/>
        <v>0</v>
      </c>
      <c r="L34" s="909"/>
    </row>
    <row r="35" spans="1:12" s="403" customFormat="1" ht="15.75" customHeight="1" x14ac:dyDescent="0.2">
      <c r="A35" s="1031" t="s">
        <v>663</v>
      </c>
      <c r="B35" s="1138">
        <v>1475000</v>
      </c>
      <c r="C35" s="1122" t="s">
        <v>792</v>
      </c>
      <c r="D35" s="1139"/>
      <c r="E35" s="1139"/>
      <c r="F35" s="1139">
        <v>1475000</v>
      </c>
      <c r="G35" s="1140">
        <f t="shared" si="0"/>
        <v>0</v>
      </c>
      <c r="L35" s="908"/>
    </row>
    <row r="36" spans="1:12" s="403" customFormat="1" x14ac:dyDescent="0.2">
      <c r="A36" s="1031" t="s">
        <v>664</v>
      </c>
      <c r="B36" s="1138">
        <v>1905000</v>
      </c>
      <c r="C36" s="1036" t="s">
        <v>792</v>
      </c>
      <c r="D36" s="1141"/>
      <c r="E36" s="1141"/>
      <c r="F36" s="1141">
        <v>1905000</v>
      </c>
      <c r="G36" s="1142">
        <f t="shared" si="0"/>
        <v>0</v>
      </c>
      <c r="L36" s="908"/>
    </row>
    <row r="37" spans="1:12" s="552" customFormat="1" x14ac:dyDescent="0.2">
      <c r="A37" s="1032" t="s">
        <v>920</v>
      </c>
      <c r="B37" s="1121">
        <v>1437400</v>
      </c>
      <c r="C37" s="1036" t="s">
        <v>792</v>
      </c>
      <c r="D37" s="1103"/>
      <c r="E37" s="1103"/>
      <c r="F37" s="1103">
        <v>1437400</v>
      </c>
      <c r="G37" s="1143">
        <f t="shared" si="0"/>
        <v>0</v>
      </c>
      <c r="L37" s="909"/>
    </row>
    <row r="38" spans="1:12" s="552" customFormat="1" ht="15.75" customHeight="1" thickBot="1" x14ac:dyDescent="0.25">
      <c r="A38" s="1033" t="s">
        <v>817</v>
      </c>
      <c r="B38" s="1144">
        <v>230000</v>
      </c>
      <c r="C38" s="1044" t="s">
        <v>792</v>
      </c>
      <c r="D38" s="1145"/>
      <c r="E38" s="1145"/>
      <c r="F38" s="1145">
        <v>230000</v>
      </c>
      <c r="G38" s="1146">
        <f t="shared" si="0"/>
        <v>0</v>
      </c>
      <c r="L38" s="909"/>
    </row>
    <row r="39" spans="1:12" s="910" customFormat="1" ht="15.75" customHeight="1" thickBot="1" x14ac:dyDescent="0.25">
      <c r="A39" s="1052" t="s">
        <v>923</v>
      </c>
      <c r="B39" s="1104">
        <f>SUM(B40:B42)</f>
        <v>1500000</v>
      </c>
      <c r="C39" s="1053"/>
      <c r="D39" s="1105"/>
      <c r="E39" s="1292"/>
      <c r="F39" s="1104">
        <f>SUM(F40:F42)</f>
        <v>1500000</v>
      </c>
      <c r="G39" s="1054">
        <f t="shared" si="0"/>
        <v>0</v>
      </c>
    </row>
    <row r="40" spans="1:12" s="910" customFormat="1" ht="25.5" x14ac:dyDescent="0.2">
      <c r="A40" s="1049" t="s">
        <v>862</v>
      </c>
      <c r="B40" s="1106">
        <v>533400</v>
      </c>
      <c r="C40" s="1050" t="s">
        <v>792</v>
      </c>
      <c r="D40" s="1107"/>
      <c r="E40" s="1107"/>
      <c r="F40" s="1107">
        <v>533400</v>
      </c>
      <c r="G40" s="1051">
        <f t="shared" si="0"/>
        <v>0</v>
      </c>
    </row>
    <row r="41" spans="1:12" s="911" customFormat="1" ht="15.75" customHeight="1" x14ac:dyDescent="0.2">
      <c r="A41" s="950" t="s">
        <v>863</v>
      </c>
      <c r="B41" s="1108">
        <v>716600</v>
      </c>
      <c r="C41" s="951" t="s">
        <v>792</v>
      </c>
      <c r="D41" s="1109"/>
      <c r="E41" s="1109"/>
      <c r="F41" s="1109">
        <v>716600</v>
      </c>
      <c r="G41" s="952">
        <f t="shared" si="0"/>
        <v>0</v>
      </c>
    </row>
    <row r="42" spans="1:12" s="911" customFormat="1" ht="15.75" customHeight="1" thickBot="1" x14ac:dyDescent="0.25">
      <c r="A42" s="953" t="s">
        <v>864</v>
      </c>
      <c r="B42" s="1110">
        <v>250000</v>
      </c>
      <c r="C42" s="954" t="s">
        <v>792</v>
      </c>
      <c r="D42" s="1111"/>
      <c r="E42" s="1111"/>
      <c r="F42" s="1111">
        <v>250000</v>
      </c>
      <c r="G42" s="952">
        <f t="shared" si="0"/>
        <v>0</v>
      </c>
    </row>
    <row r="43" spans="1:12" s="911" customFormat="1" ht="15.75" customHeight="1" thickBot="1" x14ac:dyDescent="0.25">
      <c r="A43" s="1052" t="s">
        <v>924</v>
      </c>
      <c r="B43" s="1104">
        <f>SUM(B44:B48)</f>
        <v>712620</v>
      </c>
      <c r="C43" s="1057"/>
      <c r="D43" s="1104">
        <f t="shared" ref="D43:F43" si="1">SUM(D44:D48)</f>
        <v>0</v>
      </c>
      <c r="E43" s="1104"/>
      <c r="F43" s="1104">
        <f t="shared" si="1"/>
        <v>712620</v>
      </c>
      <c r="G43" s="964">
        <f t="shared" si="0"/>
        <v>0</v>
      </c>
    </row>
    <row r="44" spans="1:12" s="910" customFormat="1" ht="15.75" customHeight="1" x14ac:dyDescent="0.2">
      <c r="A44" s="1049" t="s">
        <v>664</v>
      </c>
      <c r="B44" s="1106">
        <v>254000</v>
      </c>
      <c r="C44" s="1050" t="s">
        <v>792</v>
      </c>
      <c r="D44" s="1107"/>
      <c r="E44" s="1107"/>
      <c r="F44" s="1107">
        <v>254000</v>
      </c>
      <c r="G44" s="1056">
        <f t="shared" si="0"/>
        <v>0</v>
      </c>
    </row>
    <row r="45" spans="1:12" s="911" customFormat="1" ht="26.25" customHeight="1" x14ac:dyDescent="0.2">
      <c r="A45" s="950" t="s">
        <v>867</v>
      </c>
      <c r="B45" s="1108">
        <v>120800</v>
      </c>
      <c r="C45" s="951" t="s">
        <v>792</v>
      </c>
      <c r="D45" s="1109"/>
      <c r="E45" s="1109"/>
      <c r="F45" s="1109">
        <v>120800</v>
      </c>
      <c r="G45" s="952">
        <f t="shared" si="0"/>
        <v>0</v>
      </c>
    </row>
    <row r="46" spans="1:12" s="911" customFormat="1" ht="19.5" customHeight="1" x14ac:dyDescent="0.2">
      <c r="A46" s="950" t="s">
        <v>869</v>
      </c>
      <c r="B46" s="1108">
        <v>38100</v>
      </c>
      <c r="C46" s="951" t="s">
        <v>792</v>
      </c>
      <c r="D46" s="1109"/>
      <c r="E46" s="1109"/>
      <c r="F46" s="1109">
        <v>38100</v>
      </c>
      <c r="G46" s="952">
        <f t="shared" si="0"/>
        <v>0</v>
      </c>
    </row>
    <row r="47" spans="1:12" s="910" customFormat="1" ht="15.75" customHeight="1" x14ac:dyDescent="0.2">
      <c r="A47" s="950" t="s">
        <v>868</v>
      </c>
      <c r="B47" s="1108">
        <v>45720</v>
      </c>
      <c r="C47" s="951" t="s">
        <v>792</v>
      </c>
      <c r="D47" s="1109"/>
      <c r="E47" s="1109"/>
      <c r="F47" s="1109">
        <v>45720</v>
      </c>
      <c r="G47" s="952">
        <f t="shared" si="0"/>
        <v>0</v>
      </c>
    </row>
    <row r="48" spans="1:12" s="909" customFormat="1" ht="13.5" thickBot="1" x14ac:dyDescent="0.25">
      <c r="A48" s="950" t="s">
        <v>863</v>
      </c>
      <c r="B48" s="1108">
        <v>254000</v>
      </c>
      <c r="C48" s="951" t="s">
        <v>792</v>
      </c>
      <c r="D48" s="1109"/>
      <c r="E48" s="1109"/>
      <c r="F48" s="1109">
        <v>254000</v>
      </c>
      <c r="G48" s="952">
        <f t="shared" si="0"/>
        <v>0</v>
      </c>
    </row>
    <row r="49" spans="1:7" s="909" customFormat="1" ht="15.75" customHeight="1" thickBot="1" x14ac:dyDescent="0.25">
      <c r="A49" s="1059" t="s">
        <v>925</v>
      </c>
      <c r="B49" s="1104">
        <f>SUM(B50:B53)</f>
        <v>2527155</v>
      </c>
      <c r="C49" s="1057"/>
      <c r="D49" s="1104">
        <f>SUM(D50:D53)</f>
        <v>0</v>
      </c>
      <c r="E49" s="1104"/>
      <c r="F49" s="1104">
        <f>SUM(F50:F53)</f>
        <v>2527155</v>
      </c>
      <c r="G49" s="964">
        <f t="shared" si="0"/>
        <v>0</v>
      </c>
    </row>
    <row r="50" spans="1:7" s="909" customFormat="1" ht="15.75" customHeight="1" x14ac:dyDescent="0.2">
      <c r="A50" s="1058" t="s">
        <v>870</v>
      </c>
      <c r="B50" s="1106">
        <v>661299</v>
      </c>
      <c r="C50" s="1050" t="s">
        <v>792</v>
      </c>
      <c r="D50" s="1107"/>
      <c r="E50" s="1107"/>
      <c r="F50" s="1107">
        <v>661299</v>
      </c>
      <c r="G50" s="1056">
        <f t="shared" si="0"/>
        <v>0</v>
      </c>
    </row>
    <row r="51" spans="1:7" s="956" customFormat="1" ht="15.75" customHeight="1" x14ac:dyDescent="0.2">
      <c r="A51" s="955" t="s">
        <v>872</v>
      </c>
      <c r="B51" s="1108">
        <v>1643564</v>
      </c>
      <c r="C51" s="951" t="s">
        <v>792</v>
      </c>
      <c r="D51" s="1109"/>
      <c r="E51" s="1109"/>
      <c r="F51" s="1109">
        <v>1643564</v>
      </c>
      <c r="G51" s="952">
        <f t="shared" si="0"/>
        <v>0</v>
      </c>
    </row>
    <row r="52" spans="1:7" s="911" customFormat="1" ht="15.75" customHeight="1" x14ac:dyDescent="0.2">
      <c r="A52" s="955" t="s">
        <v>859</v>
      </c>
      <c r="B52" s="1108">
        <v>144060</v>
      </c>
      <c r="C52" s="951" t="s">
        <v>792</v>
      </c>
      <c r="D52" s="1109"/>
      <c r="E52" s="1109"/>
      <c r="F52" s="1109">
        <v>144060</v>
      </c>
      <c r="G52" s="952">
        <f t="shared" si="0"/>
        <v>0</v>
      </c>
    </row>
    <row r="53" spans="1:7" s="911" customFormat="1" ht="15.75" customHeight="1" thickBot="1" x14ac:dyDescent="0.25">
      <c r="A53" s="957" t="s">
        <v>871</v>
      </c>
      <c r="B53" s="1108">
        <v>78232</v>
      </c>
      <c r="C53" s="951" t="s">
        <v>792</v>
      </c>
      <c r="D53" s="1109"/>
      <c r="E53" s="1109"/>
      <c r="F53" s="1109">
        <v>78232</v>
      </c>
      <c r="G53" s="952">
        <f t="shared" si="0"/>
        <v>0</v>
      </c>
    </row>
    <row r="54" spans="1:7" s="959" customFormat="1" ht="35.25" customHeight="1" thickBot="1" x14ac:dyDescent="0.25">
      <c r="A54" s="1065" t="s">
        <v>927</v>
      </c>
      <c r="B54" s="1104">
        <f>SUM(B55:B63)</f>
        <v>18023451</v>
      </c>
      <c r="C54" s="1057"/>
      <c r="D54" s="1104">
        <f>SUM(D55:D63)</f>
        <v>0</v>
      </c>
      <c r="E54" s="1104"/>
      <c r="F54" s="1104">
        <f>SUM(F55:F63)</f>
        <v>18023451</v>
      </c>
      <c r="G54" s="964">
        <f t="shared" si="0"/>
        <v>0</v>
      </c>
    </row>
    <row r="55" spans="1:7" s="911" customFormat="1" ht="21" customHeight="1" x14ac:dyDescent="0.2">
      <c r="A55" s="1064" t="s">
        <v>928</v>
      </c>
      <c r="B55" s="1106"/>
      <c r="C55" s="1050"/>
      <c r="D55" s="1107"/>
      <c r="E55" s="1107"/>
      <c r="F55" s="1107"/>
      <c r="G55" s="1056">
        <f t="shared" si="0"/>
        <v>0</v>
      </c>
    </row>
    <row r="56" spans="1:7" s="911" customFormat="1" ht="21" customHeight="1" x14ac:dyDescent="0.2">
      <c r="A56" s="955" t="s">
        <v>875</v>
      </c>
      <c r="B56" s="1108">
        <v>177800</v>
      </c>
      <c r="C56" s="951" t="s">
        <v>792</v>
      </c>
      <c r="D56" s="1109"/>
      <c r="E56" s="1293"/>
      <c r="F56" s="1108">
        <v>177800</v>
      </c>
      <c r="G56" s="952">
        <f t="shared" si="0"/>
        <v>0</v>
      </c>
    </row>
    <row r="57" spans="1:7" s="911" customFormat="1" ht="21" customHeight="1" x14ac:dyDescent="0.2">
      <c r="A57" s="955" t="s">
        <v>876</v>
      </c>
      <c r="B57" s="1108">
        <v>254000</v>
      </c>
      <c r="C57" s="951" t="s">
        <v>792</v>
      </c>
      <c r="D57" s="1109"/>
      <c r="E57" s="1293"/>
      <c r="F57" s="1108">
        <v>254000</v>
      </c>
      <c r="G57" s="952">
        <f t="shared" si="0"/>
        <v>0</v>
      </c>
    </row>
    <row r="58" spans="1:7" s="911" customFormat="1" ht="21" customHeight="1" x14ac:dyDescent="0.2">
      <c r="A58" s="955" t="s">
        <v>877</v>
      </c>
      <c r="B58" s="1108">
        <v>114300</v>
      </c>
      <c r="C58" s="951" t="s">
        <v>792</v>
      </c>
      <c r="D58" s="1109"/>
      <c r="E58" s="1293"/>
      <c r="F58" s="1108">
        <v>114300</v>
      </c>
      <c r="G58" s="952">
        <f t="shared" si="0"/>
        <v>0</v>
      </c>
    </row>
    <row r="59" spans="1:7" s="911" customFormat="1" ht="21" customHeight="1" x14ac:dyDescent="0.2">
      <c r="A59" s="955" t="s">
        <v>878</v>
      </c>
      <c r="B59" s="1108">
        <v>88668</v>
      </c>
      <c r="C59" s="951" t="s">
        <v>792</v>
      </c>
      <c r="D59" s="1109"/>
      <c r="E59" s="1293"/>
      <c r="F59" s="1108">
        <v>88668</v>
      </c>
      <c r="G59" s="952">
        <f t="shared" si="0"/>
        <v>0</v>
      </c>
    </row>
    <row r="60" spans="1:7" s="911" customFormat="1" ht="21" customHeight="1" x14ac:dyDescent="0.2">
      <c r="A60" s="955" t="s">
        <v>879</v>
      </c>
      <c r="B60" s="1108">
        <v>952552</v>
      </c>
      <c r="C60" s="951" t="s">
        <v>792</v>
      </c>
      <c r="D60" s="1109"/>
      <c r="E60" s="1293"/>
      <c r="F60" s="1108">
        <v>952552</v>
      </c>
      <c r="G60" s="952">
        <f t="shared" si="0"/>
        <v>0</v>
      </c>
    </row>
    <row r="61" spans="1:7" s="911" customFormat="1" ht="21" customHeight="1" x14ac:dyDescent="0.2">
      <c r="A61" s="955" t="s">
        <v>880</v>
      </c>
      <c r="B61" s="1108">
        <v>1500000</v>
      </c>
      <c r="C61" s="951" t="s">
        <v>792</v>
      </c>
      <c r="D61" s="1109"/>
      <c r="E61" s="1109"/>
      <c r="F61" s="1109">
        <v>1500000</v>
      </c>
      <c r="G61" s="952">
        <f t="shared" si="0"/>
        <v>0</v>
      </c>
    </row>
    <row r="62" spans="1:7" s="911" customFormat="1" x14ac:dyDescent="0.2">
      <c r="A62" s="957" t="s">
        <v>860</v>
      </c>
      <c r="B62" s="1108">
        <v>1092200</v>
      </c>
      <c r="C62" s="951" t="s">
        <v>801</v>
      </c>
      <c r="D62" s="1109">
        <v>0</v>
      </c>
      <c r="E62" s="1109"/>
      <c r="F62" s="1109">
        <v>1092200</v>
      </c>
      <c r="G62" s="952">
        <f t="shared" si="0"/>
        <v>0</v>
      </c>
    </row>
    <row r="63" spans="1:7" s="911" customFormat="1" ht="26.25" thickBot="1" x14ac:dyDescent="0.25">
      <c r="A63" s="958" t="s">
        <v>881</v>
      </c>
      <c r="B63" s="1108">
        <f>150000+4056987+9296944+340000</f>
        <v>13843931</v>
      </c>
      <c r="C63" s="951" t="s">
        <v>792</v>
      </c>
      <c r="D63" s="1109"/>
      <c r="E63" s="1109"/>
      <c r="F63" s="1109">
        <v>13843931</v>
      </c>
      <c r="G63" s="952">
        <f t="shared" si="0"/>
        <v>0</v>
      </c>
    </row>
    <row r="64" spans="1:7" s="909" customFormat="1" ht="21" customHeight="1" thickBot="1" x14ac:dyDescent="0.25">
      <c r="A64" s="1061" t="s">
        <v>926</v>
      </c>
      <c r="B64" s="1112">
        <f>SUM(B65:B67)</f>
        <v>610850</v>
      </c>
      <c r="C64" s="1062"/>
      <c r="D64" s="1112">
        <f>SUM(D65:D67)</f>
        <v>0</v>
      </c>
      <c r="E64" s="1112"/>
      <c r="F64" s="1112">
        <f>SUM(F65:F67)</f>
        <v>610850</v>
      </c>
      <c r="G64" s="1063">
        <f t="shared" si="0"/>
        <v>0</v>
      </c>
    </row>
    <row r="65" spans="1:7" s="908" customFormat="1" ht="19.5" customHeight="1" x14ac:dyDescent="0.2">
      <c r="A65" s="1060" t="s">
        <v>664</v>
      </c>
      <c r="B65" s="1106">
        <v>50800</v>
      </c>
      <c r="C65" s="1050" t="s">
        <v>792</v>
      </c>
      <c r="D65" s="1107"/>
      <c r="E65" s="1107"/>
      <c r="F65" s="1107">
        <v>50800</v>
      </c>
      <c r="G65" s="1056">
        <f t="shared" si="0"/>
        <v>0</v>
      </c>
    </row>
    <row r="66" spans="1:7" s="911" customFormat="1" ht="19.5" customHeight="1" x14ac:dyDescent="0.2">
      <c r="A66" s="960" t="s">
        <v>873</v>
      </c>
      <c r="B66" s="1113">
        <v>215520</v>
      </c>
      <c r="C66" s="961" t="s">
        <v>792</v>
      </c>
      <c r="D66" s="1114"/>
      <c r="E66" s="1114"/>
      <c r="F66" s="1114">
        <v>215520</v>
      </c>
      <c r="G66" s="962">
        <f t="shared" si="0"/>
        <v>0</v>
      </c>
    </row>
    <row r="67" spans="1:7" s="911" customFormat="1" ht="19.5" customHeight="1" thickBot="1" x14ac:dyDescent="0.25">
      <c r="A67" s="960" t="s">
        <v>874</v>
      </c>
      <c r="B67" s="1113">
        <v>344530</v>
      </c>
      <c r="C67" s="961" t="s">
        <v>792</v>
      </c>
      <c r="D67" s="1114"/>
      <c r="E67" s="1114"/>
      <c r="F67" s="1114">
        <v>344530</v>
      </c>
      <c r="G67" s="962">
        <f t="shared" si="0"/>
        <v>0</v>
      </c>
    </row>
    <row r="68" spans="1:7" s="909" customFormat="1" ht="19.5" customHeight="1" thickBot="1" x14ac:dyDescent="0.25">
      <c r="A68" s="963" t="s">
        <v>861</v>
      </c>
      <c r="B68" s="1115">
        <f>B64+B54+B49+B43+B39+B34</f>
        <v>28421476</v>
      </c>
      <c r="C68" s="1116"/>
      <c r="D68" s="1115">
        <f>D64+D54+D49+D43+D39+D34</f>
        <v>0</v>
      </c>
      <c r="E68" s="1115"/>
      <c r="F68" s="1115">
        <f>F64+F54+F49+F43+F39+F34</f>
        <v>28421476</v>
      </c>
      <c r="G68" s="964">
        <f t="shared" si="0"/>
        <v>0</v>
      </c>
    </row>
    <row r="69" spans="1:7" s="909" customFormat="1" ht="19.5" customHeight="1" thickBot="1" x14ac:dyDescent="0.25">
      <c r="A69" s="963" t="s">
        <v>929</v>
      </c>
      <c r="B69" s="1115">
        <f>B68+B7</f>
        <v>857447096</v>
      </c>
      <c r="C69" s="1116"/>
      <c r="D69" s="1115">
        <f>D68+D7</f>
        <v>149638572</v>
      </c>
      <c r="E69" s="1115"/>
      <c r="F69" s="1115">
        <f>F68+F7</f>
        <v>680503226</v>
      </c>
      <c r="G69" s="964">
        <f t="shared" si="0"/>
        <v>27305298</v>
      </c>
    </row>
    <row r="70" spans="1:7" x14ac:dyDescent="0.2">
      <c r="F70" s="552">
        <f>'1.1.sz.mell. '!C121</f>
        <v>680503226</v>
      </c>
    </row>
    <row r="71" spans="1:7" x14ac:dyDescent="0.2">
      <c r="F71" s="552">
        <f>F69-F70</f>
        <v>0</v>
      </c>
    </row>
  </sheetData>
  <mergeCells count="2">
    <mergeCell ref="A3:G3"/>
    <mergeCell ref="A1:G1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Normal="100" zoomScaleSheetLayoutView="115" workbookViewId="0">
      <selection activeCell="D11" sqref="D11"/>
    </sheetView>
  </sheetViews>
  <sheetFormatPr defaultRowHeight="12.75" x14ac:dyDescent="0.2"/>
  <cols>
    <col min="1" max="1" width="60.6640625" style="912" customWidth="1"/>
    <col min="2" max="2" width="15.6640625" style="913" customWidth="1"/>
    <col min="3" max="3" width="16.33203125" style="913" customWidth="1"/>
    <col min="4" max="4" width="18" style="913" customWidth="1"/>
    <col min="5" max="5" width="16.6640625" style="913" customWidth="1"/>
    <col min="6" max="6" width="18.83203125" style="913" customWidth="1"/>
    <col min="7" max="8" width="12.83203125" style="32" customWidth="1"/>
    <col min="9" max="9" width="13.83203125" style="32" customWidth="1"/>
    <col min="10" max="16384" width="9.33203125" style="32"/>
  </cols>
  <sheetData>
    <row r="1" spans="1:7" s="913" customFormat="1" ht="15.75" x14ac:dyDescent="0.2">
      <c r="A1" s="1532" t="str">
        <f>CONCATENATE("7. melléklet ",ALAPADATOK!A7," ",ALAPADATOK!B7," ",ALAPADATOK!C7," ",ALAPADATOK!D7," ",ALAPADATOK!E7," ",ALAPADATOK!F7," ",ALAPADATOK!G7," ",ALAPADATOK!H7)</f>
        <v>7. melléklet a 6 / 2020. ( II.27 ) önkormányzati határozathoz</v>
      </c>
      <c r="B1" s="1532"/>
      <c r="C1" s="1532"/>
      <c r="D1" s="1532"/>
      <c r="E1" s="1532"/>
      <c r="F1" s="1532"/>
    </row>
    <row r="2" spans="1:7" s="1011" customFormat="1" x14ac:dyDescent="0.2">
      <c r="A2" s="912"/>
      <c r="B2" s="913"/>
      <c r="C2" s="913"/>
      <c r="D2" s="913"/>
      <c r="E2" s="913"/>
      <c r="F2" s="913"/>
    </row>
    <row r="3" spans="1:7" ht="24.75" customHeight="1" x14ac:dyDescent="0.2">
      <c r="A3" s="1525" t="s">
        <v>8</v>
      </c>
      <c r="B3" s="1525"/>
      <c r="C3" s="1525"/>
      <c r="D3" s="1525"/>
      <c r="E3" s="1525"/>
      <c r="F3" s="1525"/>
    </row>
    <row r="4" spans="1:7" ht="23.25" customHeight="1" thickBot="1" x14ac:dyDescent="0.3">
      <c r="A4" s="902"/>
      <c r="B4" s="901"/>
      <c r="C4" s="901"/>
      <c r="D4" s="901"/>
      <c r="E4" s="901"/>
      <c r="F4" s="903" t="s">
        <v>560</v>
      </c>
    </row>
    <row r="5" spans="1:7" s="34" customFormat="1" ht="48.75" customHeight="1" thickBot="1" x14ac:dyDescent="0.25">
      <c r="A5" s="965" t="s">
        <v>70</v>
      </c>
      <c r="B5" s="966" t="s">
        <v>68</v>
      </c>
      <c r="C5" s="966" t="s">
        <v>69</v>
      </c>
      <c r="D5" s="966" t="s">
        <v>793</v>
      </c>
      <c r="E5" s="966" t="s">
        <v>794</v>
      </c>
      <c r="F5" s="967" t="s">
        <v>809</v>
      </c>
      <c r="G5" s="311"/>
    </row>
    <row r="6" spans="1:7" s="37" customFormat="1" ht="15" customHeight="1" x14ac:dyDescent="0.2">
      <c r="A6" s="968">
        <v>1</v>
      </c>
      <c r="B6" s="969">
        <v>2</v>
      </c>
      <c r="C6" s="969">
        <v>3</v>
      </c>
      <c r="D6" s="969">
        <v>4</v>
      </c>
      <c r="E6" s="969">
        <v>5</v>
      </c>
      <c r="F6" s="970">
        <v>6</v>
      </c>
    </row>
    <row r="7" spans="1:7" s="37" customFormat="1" ht="15" customHeight="1" x14ac:dyDescent="0.2">
      <c r="A7" s="1526" t="s">
        <v>692</v>
      </c>
      <c r="B7" s="1527"/>
      <c r="C7" s="1527"/>
      <c r="D7" s="1527"/>
      <c r="E7" s="1527"/>
      <c r="F7" s="1528"/>
    </row>
    <row r="8" spans="1:7" s="403" customFormat="1" ht="15.95" customHeight="1" x14ac:dyDescent="0.2">
      <c r="A8" s="1034" t="s">
        <v>796</v>
      </c>
      <c r="B8" s="1035">
        <v>80112238</v>
      </c>
      <c r="C8" s="1036" t="s">
        <v>801</v>
      </c>
      <c r="D8" s="1037"/>
      <c r="E8" s="1037">
        <v>80112238</v>
      </c>
      <c r="F8" s="1038">
        <f>B8-D8-E8</f>
        <v>0</v>
      </c>
    </row>
    <row r="9" spans="1:7" ht="15.95" customHeight="1" x14ac:dyDescent="0.2">
      <c r="A9" s="1034" t="s">
        <v>820</v>
      </c>
      <c r="B9" s="1035">
        <v>2286000</v>
      </c>
      <c r="C9" s="1036" t="s">
        <v>792</v>
      </c>
      <c r="D9" s="1037"/>
      <c r="E9" s="1037">
        <v>2286000</v>
      </c>
      <c r="F9" s="1038">
        <f t="shared" ref="F9:F17" si="0">B9-D9-E9</f>
        <v>0</v>
      </c>
    </row>
    <row r="10" spans="1:7" ht="15.95" customHeight="1" x14ac:dyDescent="0.2">
      <c r="A10" s="1034" t="s">
        <v>665</v>
      </c>
      <c r="B10" s="1035">
        <v>6350000</v>
      </c>
      <c r="C10" s="1036" t="s">
        <v>792</v>
      </c>
      <c r="D10" s="1037"/>
      <c r="E10" s="1037">
        <v>6350000</v>
      </c>
      <c r="F10" s="1038">
        <f t="shared" si="0"/>
        <v>0</v>
      </c>
    </row>
    <row r="11" spans="1:7" ht="15.95" customHeight="1" x14ac:dyDescent="0.2">
      <c r="A11" s="1034" t="s">
        <v>819</v>
      </c>
      <c r="B11" s="1047">
        <v>952500</v>
      </c>
      <c r="C11" s="1036" t="s">
        <v>792</v>
      </c>
      <c r="D11" s="1037"/>
      <c r="E11" s="1037">
        <v>952500</v>
      </c>
      <c r="F11" s="1038">
        <f t="shared" si="0"/>
        <v>0</v>
      </c>
    </row>
    <row r="12" spans="1:7" s="392" customFormat="1" ht="15.95" customHeight="1" x14ac:dyDescent="0.2">
      <c r="A12" s="1034" t="s">
        <v>716</v>
      </c>
      <c r="B12" s="1039">
        <v>48292993</v>
      </c>
      <c r="C12" s="1036" t="s">
        <v>714</v>
      </c>
      <c r="D12" s="1037">
        <v>36051833</v>
      </c>
      <c r="E12" s="1037">
        <v>12241160</v>
      </c>
      <c r="F12" s="1040">
        <f t="shared" si="0"/>
        <v>0</v>
      </c>
    </row>
    <row r="13" spans="1:7" ht="15.95" customHeight="1" x14ac:dyDescent="0.2">
      <c r="A13" s="1034" t="s">
        <v>674</v>
      </c>
      <c r="B13" s="1039">
        <v>2540000</v>
      </c>
      <c r="C13" s="1036" t="s">
        <v>792</v>
      </c>
      <c r="D13" s="1037"/>
      <c r="E13" s="1037">
        <v>2540000</v>
      </c>
      <c r="F13" s="1040">
        <f t="shared" si="0"/>
        <v>0</v>
      </c>
    </row>
    <row r="14" spans="1:7" ht="25.5" x14ac:dyDescent="0.2">
      <c r="A14" s="1034" t="s">
        <v>806</v>
      </c>
      <c r="B14" s="1039">
        <v>260000000</v>
      </c>
      <c r="C14" s="1036" t="s">
        <v>801</v>
      </c>
      <c r="D14" s="1037">
        <v>168306402</v>
      </c>
      <c r="E14" s="1037">
        <v>91693598</v>
      </c>
      <c r="F14" s="1041">
        <f t="shared" si="0"/>
        <v>0</v>
      </c>
      <c r="G14" s="1252"/>
    </row>
    <row r="15" spans="1:7" s="38" customFormat="1" ht="25.5" x14ac:dyDescent="0.2">
      <c r="A15" s="1034" t="s">
        <v>807</v>
      </c>
      <c r="B15" s="1039">
        <f>20000000+269240</f>
        <v>20269240</v>
      </c>
      <c r="C15" s="1036" t="s">
        <v>801</v>
      </c>
      <c r="D15" s="1037">
        <v>450000</v>
      </c>
      <c r="E15" s="1037">
        <f>19550000+269240</f>
        <v>19819240</v>
      </c>
      <c r="F15" s="1041">
        <f t="shared" si="0"/>
        <v>0</v>
      </c>
    </row>
    <row r="16" spans="1:7" ht="25.5" x14ac:dyDescent="0.2">
      <c r="A16" s="1034" t="s">
        <v>808</v>
      </c>
      <c r="B16" s="1039">
        <v>34941060</v>
      </c>
      <c r="C16" s="1036" t="s">
        <v>801</v>
      </c>
      <c r="D16" s="1037"/>
      <c r="E16" s="1037">
        <v>34941060</v>
      </c>
      <c r="F16" s="1041">
        <f t="shared" si="0"/>
        <v>0</v>
      </c>
    </row>
    <row r="17" spans="1:6" s="1011" customFormat="1" x14ac:dyDescent="0.2">
      <c r="A17" s="1034" t="s">
        <v>921</v>
      </c>
      <c r="B17" s="1039">
        <v>10000000</v>
      </c>
      <c r="C17" s="1036" t="s">
        <v>792</v>
      </c>
      <c r="D17" s="1037"/>
      <c r="E17" s="1037">
        <v>10000000</v>
      </c>
      <c r="F17" s="1041">
        <f t="shared" si="0"/>
        <v>0</v>
      </c>
    </row>
    <row r="18" spans="1:6" s="898" customFormat="1" x14ac:dyDescent="0.2">
      <c r="A18" s="1529" t="s">
        <v>536</v>
      </c>
      <c r="B18" s="1530"/>
      <c r="C18" s="1530"/>
      <c r="D18" s="1530"/>
      <c r="E18" s="1530"/>
      <c r="F18" s="1531"/>
    </row>
    <row r="19" spans="1:6" s="909" customFormat="1" x14ac:dyDescent="0.2">
      <c r="A19" s="1034" t="s">
        <v>865</v>
      </c>
      <c r="B19" s="1039">
        <v>600000</v>
      </c>
      <c r="C19" s="1036" t="s">
        <v>792</v>
      </c>
      <c r="D19" s="1037"/>
      <c r="E19" s="1037">
        <v>600000</v>
      </c>
      <c r="F19" s="1041"/>
    </row>
    <row r="20" spans="1:6" s="898" customFormat="1" x14ac:dyDescent="0.2">
      <c r="A20" s="1529" t="s">
        <v>0</v>
      </c>
      <c r="B20" s="1530"/>
      <c r="C20" s="1530"/>
      <c r="D20" s="1530"/>
      <c r="E20" s="1530"/>
      <c r="F20" s="1531"/>
    </row>
    <row r="21" spans="1:6" s="909" customFormat="1" x14ac:dyDescent="0.2">
      <c r="A21" s="1034" t="s">
        <v>866</v>
      </c>
      <c r="B21" s="1039">
        <v>1054700</v>
      </c>
      <c r="C21" s="1036" t="s">
        <v>801</v>
      </c>
      <c r="D21" s="1037">
        <v>344770</v>
      </c>
      <c r="E21" s="1037">
        <f>B21-D21</f>
        <v>709930</v>
      </c>
      <c r="F21" s="1041"/>
    </row>
    <row r="22" spans="1:6" s="898" customFormat="1" ht="13.5" thickBot="1" x14ac:dyDescent="0.25">
      <c r="A22" s="1042"/>
      <c r="B22" s="1043"/>
      <c r="C22" s="1044"/>
      <c r="D22" s="1045"/>
      <c r="E22" s="1045"/>
      <c r="F22" s="1046"/>
    </row>
    <row r="23" spans="1:6" ht="13.5" thickBot="1" x14ac:dyDescent="0.25">
      <c r="A23" s="904" t="s">
        <v>66</v>
      </c>
      <c r="B23" s="905">
        <f>SUM(B8:B22)</f>
        <v>467398731</v>
      </c>
      <c r="C23" s="906"/>
      <c r="D23" s="905">
        <f>SUM(D8:D22)</f>
        <v>205153005</v>
      </c>
      <c r="E23" s="905">
        <f>SUM(E8:E22)</f>
        <v>262245726</v>
      </c>
      <c r="F23" s="907">
        <v>0</v>
      </c>
    </row>
    <row r="24" spans="1:6" x14ac:dyDescent="0.2">
      <c r="E24" s="913">
        <f>'1.1.sz.mell. '!C123</f>
        <v>262245726</v>
      </c>
    </row>
  </sheetData>
  <mergeCells count="5">
    <mergeCell ref="A3:F3"/>
    <mergeCell ref="A7:F7"/>
    <mergeCell ref="A18:F18"/>
    <mergeCell ref="A20:F20"/>
    <mergeCell ref="A1:F1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1.1640625" style="36" bestFit="1" customWidth="1"/>
    <col min="8" max="9" width="10.1640625" style="36" bestFit="1" customWidth="1"/>
    <col min="10" max="16384" width="9.33203125" style="36"/>
  </cols>
  <sheetData>
    <row r="1" spans="1:5" s="1254" customFormat="1" x14ac:dyDescent="0.2">
      <c r="A1" s="1535" t="str">
        <f>CONCATENATE("8. melléklet ",ALAPADATOK!A7," ",ALAPADATOK!B7," ",ALAPADATOK!C7," ",ALAPADATOK!D7," ",ALAPADATOK!E7," ",ALAPADATOK!F7," ",ALAPADATOK!G7," ",ALAPADATOK!H7)</f>
        <v>8. melléklet a 6 / 2020. ( II.27 ) önkormányzati határozathoz</v>
      </c>
      <c r="B1" s="1535"/>
      <c r="C1" s="1535"/>
      <c r="D1" s="1535"/>
      <c r="E1" s="1535"/>
    </row>
    <row r="2" spans="1:5" x14ac:dyDescent="0.2">
      <c r="A2" s="570"/>
      <c r="B2" s="570"/>
      <c r="C2" s="570"/>
      <c r="D2" s="570"/>
      <c r="E2" s="570"/>
    </row>
    <row r="3" spans="1:5" ht="56.25" customHeight="1" x14ac:dyDescent="0.25">
      <c r="A3" s="1533" t="s">
        <v>712</v>
      </c>
      <c r="B3" s="1533"/>
      <c r="C3" s="1533"/>
      <c r="D3" s="1533"/>
      <c r="E3" s="1533"/>
    </row>
    <row r="4" spans="1:5" ht="14.25" thickBot="1" x14ac:dyDescent="0.3">
      <c r="A4" s="570"/>
      <c r="B4" s="570"/>
      <c r="C4" s="570"/>
      <c r="D4" s="1534" t="s">
        <v>566</v>
      </c>
      <c r="E4" s="1534"/>
    </row>
    <row r="5" spans="1:5" ht="15" customHeight="1" thickBot="1" x14ac:dyDescent="0.25">
      <c r="A5" s="571" t="s">
        <v>608</v>
      </c>
      <c r="B5" s="572" t="s">
        <v>884</v>
      </c>
      <c r="C5" s="572">
        <v>2020</v>
      </c>
      <c r="D5" s="572" t="s">
        <v>934</v>
      </c>
      <c r="E5" s="573" t="s">
        <v>53</v>
      </c>
    </row>
    <row r="6" spans="1:5" x14ac:dyDescent="0.2">
      <c r="A6" s="574" t="s">
        <v>609</v>
      </c>
      <c r="B6" s="575"/>
      <c r="C6" s="575"/>
      <c r="D6" s="575"/>
      <c r="E6" s="576">
        <f>SUM(B6:D6)</f>
        <v>0</v>
      </c>
    </row>
    <row r="7" spans="1:5" x14ac:dyDescent="0.2">
      <c r="A7" s="577" t="s">
        <v>610</v>
      </c>
      <c r="B7" s="578"/>
      <c r="C7" s="578"/>
      <c r="D7" s="578"/>
      <c r="E7" s="579">
        <f t="shared" ref="E7:E12" si="0">SUM(B7:D7)</f>
        <v>0</v>
      </c>
    </row>
    <row r="8" spans="1:5" x14ac:dyDescent="0.2">
      <c r="A8" s="580" t="s">
        <v>611</v>
      </c>
      <c r="B8" s="581">
        <f>15956160-159000</f>
        <v>15797160</v>
      </c>
      <c r="C8" s="581"/>
      <c r="D8" s="581"/>
      <c r="E8" s="582">
        <f t="shared" si="0"/>
        <v>15797160</v>
      </c>
    </row>
    <row r="9" spans="1:5" x14ac:dyDescent="0.2">
      <c r="A9" s="580" t="s">
        <v>612</v>
      </c>
      <c r="B9" s="581"/>
      <c r="C9" s="581"/>
      <c r="D9" s="581"/>
      <c r="E9" s="582">
        <f t="shared" si="0"/>
        <v>0</v>
      </c>
    </row>
    <row r="10" spans="1:5" x14ac:dyDescent="0.2">
      <c r="A10" s="580" t="s">
        <v>124</v>
      </c>
      <c r="B10" s="591"/>
      <c r="C10" s="581"/>
      <c r="D10" s="581"/>
      <c r="E10" s="582">
        <f t="shared" si="0"/>
        <v>0</v>
      </c>
    </row>
    <row r="11" spans="1:5" x14ac:dyDescent="0.2">
      <c r="A11" s="580" t="s">
        <v>613</v>
      </c>
      <c r="B11" s="581"/>
      <c r="C11" s="581"/>
      <c r="D11" s="581"/>
      <c r="E11" s="582">
        <f t="shared" si="0"/>
        <v>0</v>
      </c>
    </row>
    <row r="12" spans="1:5" ht="13.5" thickBot="1" x14ac:dyDescent="0.25">
      <c r="A12" s="583"/>
      <c r="B12" s="584"/>
      <c r="C12" s="584"/>
      <c r="D12" s="584"/>
      <c r="E12" s="582">
        <f t="shared" si="0"/>
        <v>0</v>
      </c>
    </row>
    <row r="13" spans="1:5" ht="13.5" thickBot="1" x14ac:dyDescent="0.25">
      <c r="A13" s="585" t="s">
        <v>614</v>
      </c>
      <c r="B13" s="586">
        <f>B6+SUM(B8:B12)</f>
        <v>15797160</v>
      </c>
      <c r="C13" s="586">
        <f>C6+SUM(C8:C12)</f>
        <v>0</v>
      </c>
      <c r="D13" s="586">
        <f>D6+SUM(D8:D12)</f>
        <v>0</v>
      </c>
      <c r="E13" s="587">
        <f>SUM(E6:E12)</f>
        <v>15797160</v>
      </c>
    </row>
    <row r="14" spans="1:5" ht="13.5" thickBot="1" x14ac:dyDescent="0.25">
      <c r="A14" s="588"/>
      <c r="B14" s="588"/>
      <c r="C14" s="588"/>
      <c r="D14" s="588"/>
      <c r="E14" s="588"/>
    </row>
    <row r="15" spans="1:5" ht="15" customHeight="1" thickBot="1" x14ac:dyDescent="0.25">
      <c r="A15" s="571" t="s">
        <v>615</v>
      </c>
      <c r="B15" s="572" t="s">
        <v>884</v>
      </c>
      <c r="C15" s="572">
        <v>2020</v>
      </c>
      <c r="D15" s="572" t="s">
        <v>934</v>
      </c>
      <c r="E15" s="573" t="s">
        <v>53</v>
      </c>
    </row>
    <row r="16" spans="1:5" x14ac:dyDescent="0.2">
      <c r="A16" s="574" t="s">
        <v>616</v>
      </c>
      <c r="B16" s="575"/>
      <c r="C16" s="575"/>
      <c r="D16" s="575"/>
      <c r="E16" s="576">
        <f>SUM(B16:D16)</f>
        <v>0</v>
      </c>
    </row>
    <row r="17" spans="1:5" x14ac:dyDescent="0.2">
      <c r="A17" s="589" t="s">
        <v>617</v>
      </c>
      <c r="B17" s="581">
        <f>6978592+638160</f>
        <v>7616752</v>
      </c>
      <c r="C17" s="581">
        <v>5016896</v>
      </c>
      <c r="D17" s="581"/>
      <c r="E17" s="582">
        <f t="shared" ref="E17:E22" si="1">SUM(B17:D17)</f>
        <v>12633648</v>
      </c>
    </row>
    <row r="18" spans="1:5" x14ac:dyDescent="0.2">
      <c r="A18" s="580" t="s">
        <v>618</v>
      </c>
      <c r="B18" s="581"/>
      <c r="C18" s="581"/>
      <c r="D18" s="581"/>
      <c r="E18" s="582">
        <f t="shared" si="1"/>
        <v>0</v>
      </c>
    </row>
    <row r="19" spans="1:5" x14ac:dyDescent="0.2">
      <c r="A19" s="580" t="s">
        <v>619</v>
      </c>
      <c r="B19" s="581"/>
      <c r="C19" s="581"/>
      <c r="D19" s="581"/>
      <c r="E19" s="582">
        <f t="shared" si="1"/>
        <v>0</v>
      </c>
    </row>
    <row r="20" spans="1:5" x14ac:dyDescent="0.2">
      <c r="A20" s="590" t="s">
        <v>620</v>
      </c>
      <c r="B20" s="581"/>
      <c r="C20" s="581"/>
      <c r="D20" s="581"/>
      <c r="E20" s="582">
        <f t="shared" si="1"/>
        <v>0</v>
      </c>
    </row>
    <row r="21" spans="1:5" x14ac:dyDescent="0.2">
      <c r="A21" s="590" t="s">
        <v>621</v>
      </c>
      <c r="B21" s="592"/>
      <c r="C21" s="581">
        <v>3163512</v>
      </c>
      <c r="D21" s="581"/>
      <c r="E21" s="582">
        <f t="shared" si="1"/>
        <v>3163512</v>
      </c>
    </row>
    <row r="22" spans="1:5" ht="13.5" thickBot="1" x14ac:dyDescent="0.25">
      <c r="A22" s="583"/>
      <c r="B22" s="584"/>
      <c r="C22" s="584"/>
      <c r="D22" s="584"/>
      <c r="E22" s="582">
        <f t="shared" si="1"/>
        <v>0</v>
      </c>
    </row>
    <row r="23" spans="1:5" ht="13.5" thickBot="1" x14ac:dyDescent="0.25">
      <c r="A23" s="585" t="s">
        <v>54</v>
      </c>
      <c r="B23" s="593">
        <f>SUM(B16:B22)</f>
        <v>7616752</v>
      </c>
      <c r="C23" s="593">
        <f>SUM(C16:C22)</f>
        <v>8180408</v>
      </c>
      <c r="D23" s="593">
        <f>SUM(D16:D22)</f>
        <v>0</v>
      </c>
      <c r="E23" s="594">
        <f>SUM(E16:E22)</f>
        <v>15797160</v>
      </c>
    </row>
    <row r="24" spans="1:5" x14ac:dyDescent="0.2">
      <c r="A24" s="570"/>
      <c r="B24" s="570"/>
      <c r="C24" s="570"/>
      <c r="D24" s="570"/>
      <c r="E24" s="570"/>
    </row>
    <row r="25" spans="1:5" ht="34.5" customHeight="1" x14ac:dyDescent="0.25">
      <c r="A25" s="1533" t="s">
        <v>711</v>
      </c>
      <c r="B25" s="1533"/>
      <c r="C25" s="1533"/>
      <c r="D25" s="1533"/>
      <c r="E25" s="1533"/>
    </row>
    <row r="26" spans="1:5" ht="14.25" thickBot="1" x14ac:dyDescent="0.3">
      <c r="A26" s="570"/>
      <c r="B26" s="570"/>
      <c r="C26" s="570"/>
      <c r="D26" s="1534" t="s">
        <v>566</v>
      </c>
      <c r="E26" s="1534"/>
    </row>
    <row r="27" spans="1:5" ht="13.5" thickBot="1" x14ac:dyDescent="0.25">
      <c r="A27" s="571" t="s">
        <v>608</v>
      </c>
      <c r="B27" s="572" t="s">
        <v>884</v>
      </c>
      <c r="C27" s="572">
        <v>2020</v>
      </c>
      <c r="D27" s="572" t="s">
        <v>934</v>
      </c>
      <c r="E27" s="573" t="s">
        <v>53</v>
      </c>
    </row>
    <row r="28" spans="1:5" x14ac:dyDescent="0.2">
      <c r="A28" s="574" t="s">
        <v>609</v>
      </c>
      <c r="B28" s="575"/>
      <c r="C28" s="575"/>
      <c r="D28" s="575"/>
      <c r="E28" s="576"/>
    </row>
    <row r="29" spans="1:5" x14ac:dyDescent="0.2">
      <c r="A29" s="577" t="s">
        <v>610</v>
      </c>
      <c r="B29" s="578"/>
      <c r="C29" s="578"/>
      <c r="D29" s="578"/>
      <c r="E29" s="579"/>
    </row>
    <row r="30" spans="1:5" x14ac:dyDescent="0.2">
      <c r="A30" s="580" t="s">
        <v>611</v>
      </c>
      <c r="B30" s="581">
        <v>214128350</v>
      </c>
      <c r="C30" s="581"/>
      <c r="D30" s="581"/>
      <c r="E30" s="582">
        <v>214128350</v>
      </c>
    </row>
    <row r="31" spans="1:5" x14ac:dyDescent="0.2">
      <c r="A31" s="580" t="s">
        <v>612</v>
      </c>
      <c r="B31" s="581"/>
      <c r="C31" s="581"/>
      <c r="D31" s="581"/>
      <c r="E31" s="582"/>
    </row>
    <row r="32" spans="1:5" x14ac:dyDescent="0.2">
      <c r="A32" s="580" t="s">
        <v>124</v>
      </c>
      <c r="B32" s="581"/>
      <c r="C32" s="581"/>
      <c r="D32" s="581"/>
      <c r="E32" s="582"/>
    </row>
    <row r="33" spans="1:9" x14ac:dyDescent="0.2">
      <c r="A33" s="580" t="s">
        <v>613</v>
      </c>
      <c r="B33" s="581"/>
      <c r="C33" s="581"/>
      <c r="D33" s="581"/>
      <c r="E33" s="582"/>
    </row>
    <row r="34" spans="1:9" ht="13.5" thickBot="1" x14ac:dyDescent="0.25">
      <c r="A34" s="583"/>
      <c r="B34" s="584"/>
      <c r="C34" s="584"/>
      <c r="D34" s="584"/>
      <c r="E34" s="582"/>
    </row>
    <row r="35" spans="1:9" ht="13.5" thickBot="1" x14ac:dyDescent="0.25">
      <c r="A35" s="585" t="s">
        <v>614</v>
      </c>
      <c r="B35" s="586">
        <f>B28+SUM(B30:B34)</f>
        <v>214128350</v>
      </c>
      <c r="C35" s="586">
        <f>C28+SUM(C30:C34)</f>
        <v>0</v>
      </c>
      <c r="D35" s="586">
        <f>D28+SUM(D30:D34)</f>
        <v>0</v>
      </c>
      <c r="E35" s="587">
        <f>E28+SUM(E30:E34)</f>
        <v>214128350</v>
      </c>
    </row>
    <row r="36" spans="1:9" ht="13.5" thickBot="1" x14ac:dyDescent="0.25">
      <c r="A36" s="588"/>
      <c r="B36" s="588"/>
      <c r="C36" s="588"/>
      <c r="D36" s="588"/>
      <c r="E36" s="588"/>
    </row>
    <row r="37" spans="1:9" ht="13.5" thickBot="1" x14ac:dyDescent="0.25">
      <c r="A37" s="571" t="s">
        <v>615</v>
      </c>
      <c r="B37" s="572" t="str">
        <f>B27</f>
        <v>2020. előtt</v>
      </c>
      <c r="C37" s="572">
        <f t="shared" ref="C37:D37" si="2">C27</f>
        <v>2020</v>
      </c>
      <c r="D37" s="572" t="str">
        <f t="shared" si="2"/>
        <v>2020 után</v>
      </c>
      <c r="E37" s="573" t="s">
        <v>53</v>
      </c>
    </row>
    <row r="38" spans="1:9" x14ac:dyDescent="0.2">
      <c r="A38" s="574" t="s">
        <v>616</v>
      </c>
      <c r="B38" s="575"/>
      <c r="C38" s="575"/>
      <c r="D38" s="575"/>
      <c r="E38" s="576">
        <f>SUM(B38:D38)</f>
        <v>0</v>
      </c>
    </row>
    <row r="39" spans="1:9" x14ac:dyDescent="0.2">
      <c r="A39" s="589" t="s">
        <v>617</v>
      </c>
      <c r="B39" s="581">
        <f>92337150+8728696</f>
        <v>101065846</v>
      </c>
      <c r="C39" s="581">
        <v>70445718</v>
      </c>
      <c r="D39" s="581"/>
      <c r="E39" s="582">
        <f t="shared" ref="E39:E44" si="3">SUM(B39:D39)</f>
        <v>171511564</v>
      </c>
    </row>
    <row r="40" spans="1:9" x14ac:dyDescent="0.2">
      <c r="A40" s="580" t="s">
        <v>618</v>
      </c>
      <c r="B40" s="581">
        <v>15243810</v>
      </c>
      <c r="C40" s="581">
        <v>3769255</v>
      </c>
      <c r="D40" s="581"/>
      <c r="E40" s="582">
        <f t="shared" si="3"/>
        <v>19013065</v>
      </c>
      <c r="I40" s="996"/>
    </row>
    <row r="41" spans="1:9" x14ac:dyDescent="0.2">
      <c r="A41" s="580" t="s">
        <v>619</v>
      </c>
      <c r="B41" s="581">
        <v>539000</v>
      </c>
      <c r="C41" s="581"/>
      <c r="D41" s="581"/>
      <c r="E41" s="582">
        <f t="shared" si="3"/>
        <v>539000</v>
      </c>
      <c r="I41" s="996"/>
    </row>
    <row r="42" spans="1:9" x14ac:dyDescent="0.2">
      <c r="A42" s="590" t="s">
        <v>620</v>
      </c>
      <c r="B42" s="581"/>
      <c r="C42" s="581"/>
      <c r="D42" s="581"/>
      <c r="E42" s="582">
        <f t="shared" si="3"/>
        <v>0</v>
      </c>
      <c r="I42" s="996"/>
    </row>
    <row r="43" spans="1:9" x14ac:dyDescent="0.2">
      <c r="A43" s="590" t="s">
        <v>621</v>
      </c>
      <c r="B43" s="581">
        <v>15914000</v>
      </c>
      <c r="C43" s="581">
        <v>7150721</v>
      </c>
      <c r="D43" s="581"/>
      <c r="E43" s="582">
        <f t="shared" si="3"/>
        <v>23064721</v>
      </c>
      <c r="I43" s="996"/>
    </row>
    <row r="44" spans="1:9" ht="13.5" thickBot="1" x14ac:dyDescent="0.25">
      <c r="A44" s="583"/>
      <c r="B44" s="584"/>
      <c r="C44" s="584"/>
      <c r="D44" s="584"/>
      <c r="E44" s="582">
        <f t="shared" si="3"/>
        <v>0</v>
      </c>
      <c r="I44" s="996"/>
    </row>
    <row r="45" spans="1:9" ht="13.5" thickBot="1" x14ac:dyDescent="0.25">
      <c r="A45" s="585" t="s">
        <v>54</v>
      </c>
      <c r="B45" s="586">
        <f>SUM(B38:B44)</f>
        <v>132762656</v>
      </c>
      <c r="C45" s="586">
        <f>SUM(C38:C44)</f>
        <v>81365694</v>
      </c>
      <c r="D45" s="586">
        <f>SUM(D38:D44)</f>
        <v>0</v>
      </c>
      <c r="E45" s="587">
        <f>SUM(E38:E44)</f>
        <v>214128350</v>
      </c>
      <c r="G45" s="1154"/>
      <c r="H45" s="1154"/>
      <c r="I45" s="996"/>
    </row>
    <row r="46" spans="1:9" x14ac:dyDescent="0.2">
      <c r="A46" s="570"/>
      <c r="B46" s="570"/>
      <c r="C46" s="570"/>
      <c r="D46" s="570"/>
      <c r="E46" s="1153">
        <f>E35-E45</f>
        <v>0</v>
      </c>
    </row>
  </sheetData>
  <mergeCells count="5">
    <mergeCell ref="A3:E3"/>
    <mergeCell ref="D4:E4"/>
    <mergeCell ref="A25:E25"/>
    <mergeCell ref="D26:E26"/>
    <mergeCell ref="A1:E1"/>
  </mergeCells>
  <conditionalFormatting sqref="E6:E13 B13:D13 E16:E23 B23:D23">
    <cfRule type="cellIs" dxfId="11" priority="2" stopIfTrue="1" operator="equal">
      <formula>0</formula>
    </cfRule>
  </conditionalFormatting>
  <conditionalFormatting sqref="E28:E35 B35:D35 B45:E45 E38:E44 G45:H45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4" zoomScaleNormal="100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54" customFormat="1" x14ac:dyDescent="0.2">
      <c r="A1" s="1535" t="str">
        <f>CONCATENATE("8.1. melléklet ",ALAPADATOK!A7," ",ALAPADATOK!B7," ",ALAPADATOK!C7," ",ALAPADATOK!D7," ",ALAPADATOK!E7," ",ALAPADATOK!F7," ",ALAPADATOK!G7," ",ALAPADATOK!H7)</f>
        <v>8.1. melléklet a 6 / 2020. ( II.27 ) önkormányzati határozathoz</v>
      </c>
      <c r="B1" s="1535"/>
      <c r="C1" s="1535"/>
      <c r="D1" s="1535"/>
      <c r="E1" s="1535"/>
    </row>
    <row r="2" spans="1:5" x14ac:dyDescent="0.2">
      <c r="A2" s="570"/>
      <c r="B2" s="570"/>
      <c r="C2" s="570"/>
      <c r="D2" s="570"/>
      <c r="E2" s="570"/>
    </row>
    <row r="3" spans="1:5" ht="57" customHeight="1" x14ac:dyDescent="0.25">
      <c r="A3" s="1533" t="s">
        <v>717</v>
      </c>
      <c r="B3" s="1533"/>
      <c r="C3" s="1533"/>
      <c r="D3" s="1533"/>
      <c r="E3" s="1533"/>
    </row>
    <row r="4" spans="1:5" ht="14.25" thickBot="1" x14ac:dyDescent="0.3">
      <c r="A4" s="570"/>
      <c r="B4" s="570"/>
      <c r="C4" s="570"/>
      <c r="D4" s="1534" t="s">
        <v>566</v>
      </c>
      <c r="E4" s="1534"/>
    </row>
    <row r="5" spans="1:5" ht="15" customHeight="1" thickBot="1" x14ac:dyDescent="0.25">
      <c r="A5" s="571" t="s">
        <v>608</v>
      </c>
      <c r="B5" s="572" t="s">
        <v>884</v>
      </c>
      <c r="C5" s="572">
        <v>2020</v>
      </c>
      <c r="D5" s="572" t="s">
        <v>934</v>
      </c>
      <c r="E5" s="573" t="s">
        <v>53</v>
      </c>
    </row>
    <row r="6" spans="1:5" x14ac:dyDescent="0.2">
      <c r="A6" s="574" t="s">
        <v>609</v>
      </c>
      <c r="B6" s="575">
        <v>2021904</v>
      </c>
      <c r="C6" s="575"/>
      <c r="D6" s="575"/>
      <c r="E6" s="576">
        <f>SUM(B6:D6)</f>
        <v>2021904</v>
      </c>
    </row>
    <row r="7" spans="1:5" x14ac:dyDescent="0.2">
      <c r="A7" s="577" t="s">
        <v>610</v>
      </c>
      <c r="B7" s="578"/>
      <c r="C7" s="578"/>
      <c r="D7" s="578"/>
      <c r="E7" s="579">
        <f t="shared" ref="E7:E12" si="0">SUM(B7:D7)</f>
        <v>0</v>
      </c>
    </row>
    <row r="8" spans="1:5" x14ac:dyDescent="0.2">
      <c r="A8" s="580" t="s">
        <v>611</v>
      </c>
      <c r="B8" s="581">
        <v>66360408</v>
      </c>
      <c r="C8" s="581">
        <v>72654520</v>
      </c>
      <c r="D8" s="581"/>
      <c r="E8" s="582">
        <f t="shared" si="0"/>
        <v>139014928</v>
      </c>
    </row>
    <row r="9" spans="1:5" x14ac:dyDescent="0.2">
      <c r="A9" s="580" t="s">
        <v>612</v>
      </c>
      <c r="B9" s="581"/>
      <c r="C9" s="581"/>
      <c r="D9" s="581"/>
      <c r="E9" s="582">
        <f t="shared" si="0"/>
        <v>0</v>
      </c>
    </row>
    <row r="10" spans="1:5" x14ac:dyDescent="0.2">
      <c r="A10" s="580" t="s">
        <v>124</v>
      </c>
      <c r="B10" s="591"/>
      <c r="C10" s="581"/>
      <c r="D10" s="581"/>
      <c r="E10" s="582">
        <f t="shared" si="0"/>
        <v>0</v>
      </c>
    </row>
    <row r="11" spans="1:5" x14ac:dyDescent="0.2">
      <c r="A11" s="580" t="s">
        <v>613</v>
      </c>
      <c r="B11" s="581"/>
      <c r="C11" s="581"/>
      <c r="D11" s="581"/>
      <c r="E11" s="582">
        <f t="shared" si="0"/>
        <v>0</v>
      </c>
    </row>
    <row r="12" spans="1:5" ht="13.5" thickBot="1" x14ac:dyDescent="0.25">
      <c r="A12" s="583"/>
      <c r="B12" s="584"/>
      <c r="C12" s="584"/>
      <c r="D12" s="584"/>
      <c r="E12" s="582">
        <f t="shared" si="0"/>
        <v>0</v>
      </c>
    </row>
    <row r="13" spans="1:5" ht="13.5" thickBot="1" x14ac:dyDescent="0.25">
      <c r="A13" s="585" t="s">
        <v>614</v>
      </c>
      <c r="B13" s="586">
        <f>B6+SUM(B8:B12)</f>
        <v>68382312</v>
      </c>
      <c r="C13" s="586">
        <f>C6+SUM(C8:C12)</f>
        <v>72654520</v>
      </c>
      <c r="D13" s="586">
        <f>D6+SUM(D8:D12)</f>
        <v>0</v>
      </c>
      <c r="E13" s="587">
        <f>E6+SUM(E8:E12)</f>
        <v>141036832</v>
      </c>
    </row>
    <row r="14" spans="1:5" ht="13.5" thickBot="1" x14ac:dyDescent="0.25">
      <c r="A14" s="588"/>
      <c r="B14" s="588"/>
      <c r="C14" s="588"/>
      <c r="D14" s="588"/>
      <c r="E14" s="588"/>
    </row>
    <row r="15" spans="1:5" ht="15" customHeight="1" thickBot="1" x14ac:dyDescent="0.25">
      <c r="A15" s="571" t="s">
        <v>615</v>
      </c>
      <c r="B15" s="572" t="str">
        <f>B5</f>
        <v>2020. előtt</v>
      </c>
      <c r="C15" s="572">
        <f t="shared" ref="C15:D15" si="1">C5</f>
        <v>2020</v>
      </c>
      <c r="D15" s="572" t="str">
        <f t="shared" si="1"/>
        <v>2020 után</v>
      </c>
      <c r="E15" s="573" t="s">
        <v>53</v>
      </c>
    </row>
    <row r="16" spans="1:5" x14ac:dyDescent="0.2">
      <c r="A16" s="574" t="s">
        <v>616</v>
      </c>
      <c r="B16" s="575">
        <v>3104854</v>
      </c>
      <c r="C16" s="575">
        <v>4550402</v>
      </c>
      <c r="D16" s="575"/>
      <c r="E16" s="576">
        <f t="shared" ref="E16:E22" si="2">SUM(B16:D16)</f>
        <v>7655256</v>
      </c>
    </row>
    <row r="17" spans="1:9" x14ac:dyDescent="0.2">
      <c r="A17" s="589" t="s">
        <v>617</v>
      </c>
      <c r="B17" s="581">
        <v>37347533</v>
      </c>
      <c r="C17" s="581">
        <v>17650043</v>
      </c>
      <c r="D17" s="581"/>
      <c r="E17" s="582">
        <f t="shared" si="2"/>
        <v>54997576</v>
      </c>
      <c r="I17" s="996"/>
    </row>
    <row r="18" spans="1:9" x14ac:dyDescent="0.2">
      <c r="A18" s="580" t="s">
        <v>618</v>
      </c>
      <c r="B18" s="581">
        <v>4388001</v>
      </c>
      <c r="C18" s="581">
        <v>4683999</v>
      </c>
      <c r="D18" s="581"/>
      <c r="E18" s="582">
        <f t="shared" si="2"/>
        <v>9072000</v>
      </c>
    </row>
    <row r="19" spans="1:9" x14ac:dyDescent="0.2">
      <c r="A19" s="580" t="s">
        <v>619</v>
      </c>
      <c r="B19" s="581"/>
      <c r="C19" s="581"/>
      <c r="D19" s="581"/>
      <c r="E19" s="582">
        <f t="shared" si="2"/>
        <v>0</v>
      </c>
    </row>
    <row r="20" spans="1:9" x14ac:dyDescent="0.2">
      <c r="A20" s="590" t="s">
        <v>620</v>
      </c>
      <c r="B20" s="581"/>
      <c r="C20" s="581"/>
      <c r="D20" s="581"/>
      <c r="E20" s="582">
        <f t="shared" si="2"/>
        <v>0</v>
      </c>
    </row>
    <row r="21" spans="1:9" x14ac:dyDescent="0.2">
      <c r="A21" s="590" t="s">
        <v>621</v>
      </c>
      <c r="B21" s="592"/>
      <c r="C21" s="581"/>
      <c r="D21" s="581"/>
      <c r="E21" s="582">
        <f t="shared" si="2"/>
        <v>0</v>
      </c>
    </row>
    <row r="22" spans="1:9" ht="13.5" thickBot="1" x14ac:dyDescent="0.25">
      <c r="A22" s="583" t="s">
        <v>935</v>
      </c>
      <c r="B22" s="584">
        <v>4300000</v>
      </c>
      <c r="C22" s="584">
        <v>65012000</v>
      </c>
      <c r="D22" s="584"/>
      <c r="E22" s="582">
        <f t="shared" si="2"/>
        <v>69312000</v>
      </c>
    </row>
    <row r="23" spans="1:9" ht="13.5" thickBot="1" x14ac:dyDescent="0.25">
      <c r="A23" s="585" t="s">
        <v>54</v>
      </c>
      <c r="B23" s="593">
        <f>SUM(B16:B22)</f>
        <v>49140388</v>
      </c>
      <c r="C23" s="593">
        <f>SUM(C16:C22)</f>
        <v>91896444</v>
      </c>
      <c r="D23" s="593">
        <f>SUM(D16:D22)</f>
        <v>0</v>
      </c>
      <c r="E23" s="594">
        <f>SUM(E16:E22)</f>
        <v>141036832</v>
      </c>
      <c r="G23" s="1155"/>
      <c r="H23" s="1155"/>
      <c r="I23" s="1155"/>
    </row>
    <row r="24" spans="1:9" x14ac:dyDescent="0.2">
      <c r="A24" s="570"/>
      <c r="B24" s="570"/>
      <c r="C24" s="570"/>
      <c r="D24" s="570"/>
      <c r="E24" s="570"/>
    </row>
    <row r="25" spans="1:9" ht="48.75" customHeight="1" x14ac:dyDescent="0.25">
      <c r="A25" s="1533" t="s">
        <v>882</v>
      </c>
      <c r="B25" s="1533"/>
      <c r="C25" s="1533"/>
      <c r="D25" s="1533"/>
      <c r="E25" s="1533"/>
    </row>
    <row r="26" spans="1:9" ht="14.25" thickBot="1" x14ac:dyDescent="0.3">
      <c r="A26" s="1156"/>
      <c r="B26" s="1156"/>
      <c r="C26" s="1156"/>
      <c r="D26" s="1534" t="s">
        <v>566</v>
      </c>
      <c r="E26" s="1534"/>
    </row>
    <row r="27" spans="1:9" ht="13.5" thickBot="1" x14ac:dyDescent="0.25">
      <c r="A27" s="571" t="s">
        <v>608</v>
      </c>
      <c r="B27" s="572" t="s">
        <v>884</v>
      </c>
      <c r="C27" s="572">
        <v>2020</v>
      </c>
      <c r="D27" s="572" t="s">
        <v>934</v>
      </c>
      <c r="E27" s="573" t="s">
        <v>53</v>
      </c>
    </row>
    <row r="28" spans="1:9" x14ac:dyDescent="0.2">
      <c r="A28" s="1157" t="s">
        <v>609</v>
      </c>
      <c r="B28" s="1158"/>
      <c r="C28" s="1158"/>
      <c r="D28" s="1158"/>
      <c r="E28" s="1159">
        <f>B28+C28+D28</f>
        <v>0</v>
      </c>
    </row>
    <row r="29" spans="1:9" x14ac:dyDescent="0.2">
      <c r="A29" s="1160" t="s">
        <v>610</v>
      </c>
      <c r="B29" s="1161"/>
      <c r="C29" s="1161"/>
      <c r="D29" s="1161"/>
      <c r="E29" s="1162">
        <f t="shared" ref="E29:E34" si="3">B29+C29+D29</f>
        <v>0</v>
      </c>
    </row>
    <row r="30" spans="1:9" x14ac:dyDescent="0.2">
      <c r="A30" s="1163" t="s">
        <v>611</v>
      </c>
      <c r="B30" s="1164"/>
      <c r="C30" s="1164">
        <f>35012760+12274550</f>
        <v>47287310</v>
      </c>
      <c r="D30" s="1164"/>
      <c r="E30" s="1165">
        <f t="shared" si="3"/>
        <v>47287310</v>
      </c>
    </row>
    <row r="31" spans="1:9" x14ac:dyDescent="0.2">
      <c r="A31" s="1163" t="s">
        <v>612</v>
      </c>
      <c r="B31" s="1164"/>
      <c r="C31" s="1164"/>
      <c r="D31" s="1164"/>
      <c r="E31" s="1165">
        <f t="shared" si="3"/>
        <v>0</v>
      </c>
    </row>
    <row r="32" spans="1:9" x14ac:dyDescent="0.2">
      <c r="A32" s="1163" t="s">
        <v>124</v>
      </c>
      <c r="B32" s="1164"/>
      <c r="C32" s="1164"/>
      <c r="D32" s="1164"/>
      <c r="E32" s="1165">
        <f t="shared" si="3"/>
        <v>0</v>
      </c>
    </row>
    <row r="33" spans="1:5" x14ac:dyDescent="0.2">
      <c r="A33" s="1163" t="s">
        <v>613</v>
      </c>
      <c r="B33" s="1164"/>
      <c r="C33" s="1164"/>
      <c r="D33" s="1164"/>
      <c r="E33" s="1165">
        <f t="shared" si="3"/>
        <v>0</v>
      </c>
    </row>
    <row r="34" spans="1:5" ht="13.5" thickBot="1" x14ac:dyDescent="0.25">
      <c r="A34" s="1166"/>
      <c r="B34" s="1167"/>
      <c r="C34" s="1167"/>
      <c r="D34" s="1167"/>
      <c r="E34" s="1165">
        <f t="shared" si="3"/>
        <v>0</v>
      </c>
    </row>
    <row r="35" spans="1:5" ht="13.5" thickBot="1" x14ac:dyDescent="0.25">
      <c r="A35" s="585" t="s">
        <v>614</v>
      </c>
      <c r="B35" s="593">
        <f>B28+SUM(B30:B34)</f>
        <v>0</v>
      </c>
      <c r="C35" s="593">
        <f>C28+SUM(C30:C34)</f>
        <v>47287310</v>
      </c>
      <c r="D35" s="593">
        <f>D28+SUM(D30:D34)</f>
        <v>0</v>
      </c>
      <c r="E35" s="594">
        <f>E28+SUM(E30:E34)</f>
        <v>47287310</v>
      </c>
    </row>
    <row r="36" spans="1:5" ht="13.5" thickBot="1" x14ac:dyDescent="0.25">
      <c r="A36" s="1168"/>
      <c r="B36" s="1168"/>
      <c r="C36" s="1168"/>
      <c r="D36" s="1168"/>
      <c r="E36" s="1168"/>
    </row>
    <row r="37" spans="1:5" ht="13.5" thickBot="1" x14ac:dyDescent="0.25">
      <c r="A37" s="571" t="s">
        <v>615</v>
      </c>
      <c r="B37" s="572" t="str">
        <f>B27</f>
        <v>2020. előtt</v>
      </c>
      <c r="C37" s="572">
        <f t="shared" ref="C37:D37" si="4">C27</f>
        <v>2020</v>
      </c>
      <c r="D37" s="572" t="str">
        <f t="shared" si="4"/>
        <v>2020 után</v>
      </c>
      <c r="E37" s="573" t="s">
        <v>53</v>
      </c>
    </row>
    <row r="38" spans="1:5" x14ac:dyDescent="0.2">
      <c r="A38" s="1157" t="s">
        <v>616</v>
      </c>
      <c r="B38" s="1158"/>
      <c r="C38" s="1158">
        <f>5162073+813027</f>
        <v>5975100</v>
      </c>
      <c r="D38" s="1158"/>
      <c r="E38" s="1159">
        <f t="shared" ref="E38:E44" si="5">B38+C38+D38</f>
        <v>5975100</v>
      </c>
    </row>
    <row r="39" spans="1:5" x14ac:dyDescent="0.2">
      <c r="A39" s="1169" t="s">
        <v>617</v>
      </c>
      <c r="B39" s="1164"/>
      <c r="C39" s="1164">
        <f>4860000+1060000+3745000+2609550</f>
        <v>12274550</v>
      </c>
      <c r="D39" s="1164"/>
      <c r="E39" s="1165">
        <f t="shared" si="5"/>
        <v>12274550</v>
      </c>
    </row>
    <row r="40" spans="1:5" x14ac:dyDescent="0.2">
      <c r="A40" s="1163" t="s">
        <v>618</v>
      </c>
      <c r="B40" s="1164"/>
      <c r="C40" s="1164">
        <f>22864299+6173361</f>
        <v>29037660</v>
      </c>
      <c r="D40" s="1164"/>
      <c r="E40" s="1165">
        <f t="shared" si="5"/>
        <v>29037660</v>
      </c>
    </row>
    <row r="41" spans="1:5" x14ac:dyDescent="0.2">
      <c r="A41" s="1163" t="s">
        <v>619</v>
      </c>
      <c r="B41" s="1164"/>
      <c r="C41" s="1164"/>
      <c r="D41" s="1164"/>
      <c r="E41" s="1165">
        <f t="shared" si="5"/>
        <v>0</v>
      </c>
    </row>
    <row r="42" spans="1:5" x14ac:dyDescent="0.2">
      <c r="A42" s="1170" t="s">
        <v>620</v>
      </c>
      <c r="B42" s="1164"/>
      <c r="C42" s="1164"/>
      <c r="D42" s="1164"/>
      <c r="E42" s="1165">
        <f t="shared" si="5"/>
        <v>0</v>
      </c>
    </row>
    <row r="43" spans="1:5" x14ac:dyDescent="0.2">
      <c r="A43" s="1170" t="s">
        <v>621</v>
      </c>
      <c r="B43" s="1164"/>
      <c r="C43" s="1164"/>
      <c r="D43" s="1164"/>
      <c r="E43" s="1165">
        <f t="shared" si="5"/>
        <v>0</v>
      </c>
    </row>
    <row r="44" spans="1:5" ht="13.5" thickBot="1" x14ac:dyDescent="0.25">
      <c r="A44" s="1166"/>
      <c r="B44" s="1167"/>
      <c r="C44" s="1167"/>
      <c r="D44" s="1167"/>
      <c r="E44" s="1165">
        <f t="shared" si="5"/>
        <v>0</v>
      </c>
    </row>
    <row r="45" spans="1:5" ht="13.5" thickBot="1" x14ac:dyDescent="0.25">
      <c r="A45" s="585" t="s">
        <v>54</v>
      </c>
      <c r="B45" s="593">
        <f>SUM(B38:B44)</f>
        <v>0</v>
      </c>
      <c r="C45" s="593">
        <f>SUM(C38:C44)</f>
        <v>47287310</v>
      </c>
      <c r="D45" s="593">
        <f>SUM(D38:D44)</f>
        <v>0</v>
      </c>
      <c r="E45" s="594">
        <f>SUM(E38:E44)</f>
        <v>47287310</v>
      </c>
    </row>
    <row r="46" spans="1:5" x14ac:dyDescent="0.2">
      <c r="A46" s="1171"/>
      <c r="B46" s="1171"/>
      <c r="C46" s="1171"/>
      <c r="D46" s="1171"/>
      <c r="E46" s="1171"/>
    </row>
  </sheetData>
  <mergeCells count="5">
    <mergeCell ref="A3:E3"/>
    <mergeCell ref="D4:E4"/>
    <mergeCell ref="A25:E25"/>
    <mergeCell ref="D26:E26"/>
    <mergeCell ref="A1:E1"/>
  </mergeCells>
  <conditionalFormatting sqref="E6:E13 B13:D13 E16:E23 B23:D23 G23:I23">
    <cfRule type="cellIs" dxfId="9" priority="2" stopIfTrue="1" operator="equal">
      <formula>0</formula>
    </cfRule>
  </conditionalFormatting>
  <conditionalFormatting sqref="E28:E35 B35:D35 B45:E45 E38:E44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Normal="100" zoomScaleSheetLayoutView="11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54" customFormat="1" x14ac:dyDescent="0.2">
      <c r="A1" s="1535" t="str">
        <f>CONCATENATE("8.2. melléklet ",ALAPADATOK!A7," ",ALAPADATOK!B7," ",ALAPADATOK!C7," ",ALAPADATOK!D7," ",ALAPADATOK!E7," ",ALAPADATOK!F7," ",ALAPADATOK!G7," ",ALAPADATOK!H7)</f>
        <v>8.2. melléklet a 6 / 2020. ( II.27 ) önkormányzati határozathoz</v>
      </c>
      <c r="B1" s="1535"/>
      <c r="C1" s="1535"/>
      <c r="D1" s="1535"/>
      <c r="E1" s="1535"/>
    </row>
    <row r="2" spans="1:5" x14ac:dyDescent="0.2">
      <c r="A2" s="570"/>
      <c r="B2" s="570"/>
      <c r="C2" s="570"/>
      <c r="D2" s="570"/>
      <c r="E2" s="570"/>
    </row>
    <row r="3" spans="1:5" ht="56.25" customHeight="1" x14ac:dyDescent="0.25">
      <c r="A3" s="1536" t="s">
        <v>883</v>
      </c>
      <c r="B3" s="1536"/>
      <c r="C3" s="1536"/>
      <c r="D3" s="1536"/>
      <c r="E3" s="1536"/>
    </row>
    <row r="4" spans="1:5" ht="14.25" thickBot="1" x14ac:dyDescent="0.3">
      <c r="A4" s="972"/>
      <c r="B4" s="972"/>
      <c r="C4" s="972"/>
      <c r="D4" s="1537" t="s">
        <v>566</v>
      </c>
      <c r="E4" s="1537"/>
    </row>
    <row r="5" spans="1:5" ht="15" customHeight="1" thickBot="1" x14ac:dyDescent="0.25">
      <c r="A5" s="973" t="s">
        <v>608</v>
      </c>
      <c r="B5" s="974" t="s">
        <v>884</v>
      </c>
      <c r="C5" s="974" t="s">
        <v>821</v>
      </c>
      <c r="D5" s="974" t="s">
        <v>885</v>
      </c>
      <c r="E5" s="975" t="s">
        <v>53</v>
      </c>
    </row>
    <row r="6" spans="1:5" x14ac:dyDescent="0.2">
      <c r="A6" s="976" t="s">
        <v>609</v>
      </c>
      <c r="B6" s="977"/>
      <c r="C6" s="977"/>
      <c r="D6" s="977"/>
      <c r="E6" s="978">
        <f>B6+C6+D6</f>
        <v>0</v>
      </c>
    </row>
    <row r="7" spans="1:5" x14ac:dyDescent="0.2">
      <c r="A7" s="979" t="s">
        <v>610</v>
      </c>
      <c r="B7" s="980"/>
      <c r="C7" s="980"/>
      <c r="D7" s="980"/>
      <c r="E7" s="981">
        <f t="shared" ref="E7:E12" si="0">B7+C7+D7</f>
        <v>0</v>
      </c>
    </row>
    <row r="8" spans="1:5" x14ac:dyDescent="0.2">
      <c r="A8" s="982" t="s">
        <v>611</v>
      </c>
      <c r="B8" s="983"/>
      <c r="C8" s="830">
        <f>69613780</f>
        <v>69613780</v>
      </c>
      <c r="D8" s="983"/>
      <c r="E8" s="984">
        <f t="shared" si="0"/>
        <v>69613780</v>
      </c>
    </row>
    <row r="9" spans="1:5" x14ac:dyDescent="0.2">
      <c r="A9" s="982" t="s">
        <v>612</v>
      </c>
      <c r="B9" s="983"/>
      <c r="C9" s="983"/>
      <c r="D9" s="983"/>
      <c r="E9" s="984">
        <f t="shared" si="0"/>
        <v>0</v>
      </c>
    </row>
    <row r="10" spans="1:5" x14ac:dyDescent="0.2">
      <c r="A10" s="982" t="s">
        <v>124</v>
      </c>
      <c r="B10" s="983"/>
      <c r="C10" s="983"/>
      <c r="D10" s="983"/>
      <c r="E10" s="984">
        <f t="shared" si="0"/>
        <v>0</v>
      </c>
    </row>
    <row r="11" spans="1:5" x14ac:dyDescent="0.2">
      <c r="A11" s="982" t="s">
        <v>613</v>
      </c>
      <c r="B11" s="983"/>
      <c r="C11" s="983"/>
      <c r="D11" s="983"/>
      <c r="E11" s="984">
        <f t="shared" si="0"/>
        <v>0</v>
      </c>
    </row>
    <row r="12" spans="1:5" ht="13.5" thickBot="1" x14ac:dyDescent="0.25">
      <c r="A12" s="985"/>
      <c r="B12" s="986"/>
      <c r="C12" s="986"/>
      <c r="D12" s="986"/>
      <c r="E12" s="984">
        <f t="shared" si="0"/>
        <v>0</v>
      </c>
    </row>
    <row r="13" spans="1:5" ht="13.5" thickBot="1" x14ac:dyDescent="0.25">
      <c r="A13" s="987" t="s">
        <v>614</v>
      </c>
      <c r="B13" s="988">
        <f>B6+SUM(B8:B12)</f>
        <v>0</v>
      </c>
      <c r="C13" s="988">
        <f>C6+SUM(C8:C12)</f>
        <v>69613780</v>
      </c>
      <c r="D13" s="988">
        <f>D6+SUM(D8:D12)</f>
        <v>0</v>
      </c>
      <c r="E13" s="989">
        <f>E6+SUM(E8:E12)</f>
        <v>69613780</v>
      </c>
    </row>
    <row r="14" spans="1:5" ht="13.5" thickBot="1" x14ac:dyDescent="0.25">
      <c r="A14" s="990"/>
      <c r="B14" s="990"/>
      <c r="C14" s="990"/>
      <c r="D14" s="990"/>
      <c r="E14" s="990"/>
    </row>
    <row r="15" spans="1:5" ht="15" customHeight="1" thickBot="1" x14ac:dyDescent="0.25">
      <c r="A15" s="973" t="s">
        <v>615</v>
      </c>
      <c r="B15" s="974" t="s">
        <v>884</v>
      </c>
      <c r="C15" s="974" t="s">
        <v>821</v>
      </c>
      <c r="D15" s="974" t="s">
        <v>885</v>
      </c>
      <c r="E15" s="975" t="s">
        <v>53</v>
      </c>
    </row>
    <row r="16" spans="1:5" x14ac:dyDescent="0.2">
      <c r="A16" s="976" t="s">
        <v>616</v>
      </c>
      <c r="B16" s="977"/>
      <c r="C16" s="829">
        <f>49880000+13467600</f>
        <v>63347600</v>
      </c>
      <c r="D16" s="977"/>
      <c r="E16" s="978">
        <f t="shared" ref="E16:E22" si="1">B16+C16+D16</f>
        <v>63347600</v>
      </c>
    </row>
    <row r="17" spans="1:5" x14ac:dyDescent="0.2">
      <c r="A17" s="991" t="s">
        <v>617</v>
      </c>
      <c r="B17" s="983"/>
      <c r="C17" s="830">
        <v>1092200</v>
      </c>
      <c r="D17" s="983"/>
      <c r="E17" s="984">
        <f t="shared" si="1"/>
        <v>1092200</v>
      </c>
    </row>
    <row r="18" spans="1:5" x14ac:dyDescent="0.2">
      <c r="A18" s="982" t="s">
        <v>618</v>
      </c>
      <c r="B18" s="983"/>
      <c r="C18" s="830">
        <f>5173980</f>
        <v>5173980</v>
      </c>
      <c r="D18" s="983"/>
      <c r="E18" s="984">
        <f t="shared" si="1"/>
        <v>5173980</v>
      </c>
    </row>
    <row r="19" spans="1:5" x14ac:dyDescent="0.2">
      <c r="A19" s="982" t="s">
        <v>619</v>
      </c>
      <c r="B19" s="983"/>
      <c r="C19" s="983"/>
      <c r="D19" s="983"/>
      <c r="E19" s="984">
        <f t="shared" si="1"/>
        <v>0</v>
      </c>
    </row>
    <row r="20" spans="1:5" x14ac:dyDescent="0.2">
      <c r="A20" s="992" t="s">
        <v>620</v>
      </c>
      <c r="B20" s="983"/>
      <c r="C20" s="983"/>
      <c r="D20" s="983"/>
      <c r="E20" s="984">
        <f t="shared" si="1"/>
        <v>0</v>
      </c>
    </row>
    <row r="21" spans="1:5" x14ac:dyDescent="0.2">
      <c r="A21" s="992" t="s">
        <v>621</v>
      </c>
      <c r="B21" s="983"/>
      <c r="C21" s="983"/>
      <c r="D21" s="983"/>
      <c r="E21" s="984">
        <f t="shared" si="1"/>
        <v>0</v>
      </c>
    </row>
    <row r="22" spans="1:5" ht="13.5" thickBot="1" x14ac:dyDescent="0.25">
      <c r="A22" s="985"/>
      <c r="B22" s="986"/>
      <c r="C22" s="986"/>
      <c r="D22" s="986"/>
      <c r="E22" s="984">
        <f t="shared" si="1"/>
        <v>0</v>
      </c>
    </row>
    <row r="23" spans="1:5" ht="13.5" thickBot="1" x14ac:dyDescent="0.25">
      <c r="A23" s="987" t="s">
        <v>54</v>
      </c>
      <c r="B23" s="988">
        <f>SUM(B16:B22)</f>
        <v>0</v>
      </c>
      <c r="C23" s="988">
        <f>SUM(C16:C22)</f>
        <v>69613780</v>
      </c>
      <c r="D23" s="988">
        <f>SUM(D16:D22)</f>
        <v>0</v>
      </c>
      <c r="E23" s="989">
        <f>SUM(E16:E22)</f>
        <v>69613780</v>
      </c>
    </row>
    <row r="24" spans="1:5" x14ac:dyDescent="0.2">
      <c r="A24" s="570"/>
      <c r="B24" s="570"/>
      <c r="C24" s="570"/>
      <c r="D24" s="570"/>
      <c r="E24" s="570"/>
    </row>
    <row r="25" spans="1:5" ht="69" customHeight="1" x14ac:dyDescent="0.25">
      <c r="A25" s="1533" t="s">
        <v>936</v>
      </c>
      <c r="B25" s="1533"/>
      <c r="C25" s="1533"/>
      <c r="D25" s="1533"/>
      <c r="E25" s="1533"/>
    </row>
    <row r="26" spans="1:5" s="993" customFormat="1" ht="14.25" thickBot="1" x14ac:dyDescent="0.3">
      <c r="A26" s="1198"/>
      <c r="B26" s="1198"/>
      <c r="C26" s="1198"/>
      <c r="D26" s="1534" t="s">
        <v>566</v>
      </c>
      <c r="E26" s="1534"/>
    </row>
    <row r="27" spans="1:5" s="993" customFormat="1" ht="13.5" thickBot="1" x14ac:dyDescent="0.25">
      <c r="A27" s="1179" t="s">
        <v>608</v>
      </c>
      <c r="B27" s="1180" t="s">
        <v>884</v>
      </c>
      <c r="C27" s="1180">
        <v>2020</v>
      </c>
      <c r="D27" s="1180" t="s">
        <v>934</v>
      </c>
      <c r="E27" s="1181" t="s">
        <v>53</v>
      </c>
    </row>
    <row r="28" spans="1:5" s="993" customFormat="1" x14ac:dyDescent="0.2">
      <c r="A28" s="1182" t="s">
        <v>609</v>
      </c>
      <c r="B28" s="1183"/>
      <c r="C28" s="1183"/>
      <c r="D28" s="1183"/>
      <c r="E28" s="1184">
        <f>SUM(B28:D28)</f>
        <v>0</v>
      </c>
    </row>
    <row r="29" spans="1:5" s="993" customFormat="1" x14ac:dyDescent="0.2">
      <c r="A29" s="1185" t="s">
        <v>610</v>
      </c>
      <c r="B29" s="1186"/>
      <c r="C29" s="1186"/>
      <c r="D29" s="1186"/>
      <c r="E29" s="1187">
        <f t="shared" ref="E29:E34" si="2">SUM(B29:D29)</f>
        <v>0</v>
      </c>
    </row>
    <row r="30" spans="1:5" s="993" customFormat="1" x14ac:dyDescent="0.2">
      <c r="A30" s="1188" t="s">
        <v>611</v>
      </c>
      <c r="B30" s="1189">
        <v>85000000</v>
      </c>
      <c r="C30" s="1189"/>
      <c r="D30" s="1189"/>
      <c r="E30" s="1190">
        <f t="shared" si="2"/>
        <v>85000000</v>
      </c>
    </row>
    <row r="31" spans="1:5" s="993" customFormat="1" x14ac:dyDescent="0.2">
      <c r="A31" s="1188" t="s">
        <v>612</v>
      </c>
      <c r="B31" s="1189"/>
      <c r="C31" s="1189"/>
      <c r="D31" s="1189"/>
      <c r="E31" s="1190">
        <f t="shared" si="2"/>
        <v>0</v>
      </c>
    </row>
    <row r="32" spans="1:5" s="993" customFormat="1" x14ac:dyDescent="0.2">
      <c r="A32" s="1188" t="s">
        <v>124</v>
      </c>
      <c r="B32" s="1189"/>
      <c r="C32" s="1189"/>
      <c r="D32" s="1189"/>
      <c r="E32" s="1190">
        <f t="shared" si="2"/>
        <v>0</v>
      </c>
    </row>
    <row r="33" spans="1:7" s="993" customFormat="1" x14ac:dyDescent="0.2">
      <c r="A33" s="1188" t="s">
        <v>613</v>
      </c>
      <c r="B33" s="1189"/>
      <c r="C33" s="1189"/>
      <c r="D33" s="1189"/>
      <c r="E33" s="1190">
        <f t="shared" si="2"/>
        <v>0</v>
      </c>
    </row>
    <row r="34" spans="1:7" s="993" customFormat="1" ht="13.5" thickBot="1" x14ac:dyDescent="0.25">
      <c r="A34" s="1191"/>
      <c r="B34" s="1192"/>
      <c r="C34" s="1192"/>
      <c r="D34" s="1192"/>
      <c r="E34" s="1190">
        <f t="shared" si="2"/>
        <v>0</v>
      </c>
    </row>
    <row r="35" spans="1:7" s="993" customFormat="1" ht="13.5" thickBot="1" x14ac:dyDescent="0.25">
      <c r="A35" s="1193" t="s">
        <v>614</v>
      </c>
      <c r="B35" s="1194">
        <f>SUM(B28:B34)</f>
        <v>85000000</v>
      </c>
      <c r="C35" s="1194">
        <f t="shared" ref="C35:E35" si="3">SUM(C28:C34)</f>
        <v>0</v>
      </c>
      <c r="D35" s="1194">
        <f t="shared" si="3"/>
        <v>0</v>
      </c>
      <c r="E35" s="1195">
        <f t="shared" si="3"/>
        <v>85000000</v>
      </c>
    </row>
    <row r="36" spans="1:7" s="993" customFormat="1" ht="13.5" thickBot="1" x14ac:dyDescent="0.25">
      <c r="A36" s="1199"/>
      <c r="B36" s="1199"/>
      <c r="C36" s="1199"/>
      <c r="D36" s="1199"/>
      <c r="E36" s="1199"/>
    </row>
    <row r="37" spans="1:7" s="993" customFormat="1" ht="13.5" thickBot="1" x14ac:dyDescent="0.25">
      <c r="A37" s="1179" t="s">
        <v>615</v>
      </c>
      <c r="B37" s="1180" t="str">
        <f>B27</f>
        <v>2020. előtt</v>
      </c>
      <c r="C37" s="1180">
        <f t="shared" ref="C37:D37" si="4">C27</f>
        <v>2020</v>
      </c>
      <c r="D37" s="1180" t="str">
        <f t="shared" si="4"/>
        <v>2020 után</v>
      </c>
      <c r="E37" s="1181" t="s">
        <v>53</v>
      </c>
    </row>
    <row r="38" spans="1:7" s="993" customFormat="1" x14ac:dyDescent="0.2">
      <c r="A38" s="1182" t="s">
        <v>616</v>
      </c>
      <c r="B38" s="1183"/>
      <c r="C38" s="1183"/>
      <c r="D38" s="1183"/>
      <c r="E38" s="1184">
        <f t="shared" ref="E38:E44" si="5">SUM(B38:D38)</f>
        <v>0</v>
      </c>
    </row>
    <row r="39" spans="1:7" s="993" customFormat="1" x14ac:dyDescent="0.2">
      <c r="A39" s="1196" t="s">
        <v>617</v>
      </c>
      <c r="B39" s="1189">
        <f>13633247+2772427</f>
        <v>16405674</v>
      </c>
      <c r="C39" s="1189">
        <v>64843016</v>
      </c>
      <c r="D39" s="1189"/>
      <c r="E39" s="1190">
        <f t="shared" si="5"/>
        <v>81248690</v>
      </c>
    </row>
    <row r="40" spans="1:7" s="993" customFormat="1" x14ac:dyDescent="0.2">
      <c r="A40" s="1188" t="s">
        <v>618</v>
      </c>
      <c r="B40" s="1189">
        <f>567020+835000-100000</f>
        <v>1302020</v>
      </c>
      <c r="C40" s="1189">
        <v>524290</v>
      </c>
      <c r="D40" s="1189"/>
      <c r="E40" s="1190">
        <f>SUM(B40:D40)</f>
        <v>1826310</v>
      </c>
    </row>
    <row r="41" spans="1:7" s="993" customFormat="1" x14ac:dyDescent="0.2">
      <c r="A41" s="1188" t="s">
        <v>619</v>
      </c>
      <c r="B41" s="1189">
        <f>100000</f>
        <v>100000</v>
      </c>
      <c r="C41" s="1189"/>
      <c r="D41" s="1189"/>
      <c r="E41" s="1190">
        <f t="shared" si="5"/>
        <v>100000</v>
      </c>
    </row>
    <row r="42" spans="1:7" s="993" customFormat="1" x14ac:dyDescent="0.2">
      <c r="A42" s="1197" t="s">
        <v>620</v>
      </c>
      <c r="B42" s="1189"/>
      <c r="C42" s="1189">
        <v>1825000</v>
      </c>
      <c r="D42" s="1189"/>
      <c r="E42" s="1190">
        <f t="shared" si="5"/>
        <v>1825000</v>
      </c>
    </row>
    <row r="43" spans="1:7" s="993" customFormat="1" x14ac:dyDescent="0.2">
      <c r="A43" s="1197" t="s">
        <v>621</v>
      </c>
      <c r="B43" s="1189"/>
      <c r="C43" s="1189"/>
      <c r="D43" s="1189"/>
      <c r="E43" s="1190">
        <f t="shared" si="5"/>
        <v>0</v>
      </c>
    </row>
    <row r="44" spans="1:7" s="993" customFormat="1" ht="13.5" thickBot="1" x14ac:dyDescent="0.25">
      <c r="A44" s="1191"/>
      <c r="B44" s="1192"/>
      <c r="C44" s="1192"/>
      <c r="D44" s="1192"/>
      <c r="E44" s="1190">
        <f t="shared" si="5"/>
        <v>0</v>
      </c>
    </row>
    <row r="45" spans="1:7" s="993" customFormat="1" ht="13.5" thickBot="1" x14ac:dyDescent="0.25">
      <c r="A45" s="1193" t="s">
        <v>54</v>
      </c>
      <c r="B45" s="1194">
        <f>SUM(B38:B44)</f>
        <v>17807694</v>
      </c>
      <c r="C45" s="1194">
        <f>SUM(C38:C44)</f>
        <v>67192306</v>
      </c>
      <c r="D45" s="1194">
        <f t="shared" ref="D45:E45" si="6">SUM(D38:D44)</f>
        <v>0</v>
      </c>
      <c r="E45" s="1195">
        <f t="shared" si="6"/>
        <v>85000000</v>
      </c>
      <c r="G45" s="1178">
        <f>E35-C45-B45</f>
        <v>0</v>
      </c>
    </row>
    <row r="46" spans="1:7" x14ac:dyDescent="0.2">
      <c r="A46" s="570"/>
      <c r="B46" s="570"/>
      <c r="C46" s="570"/>
      <c r="D46" s="570"/>
      <c r="E46" s="570"/>
    </row>
    <row r="47" spans="1:7" x14ac:dyDescent="0.2">
      <c r="A47" s="994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7" priority="3" stopIfTrue="1" operator="equal">
      <formula>0</formula>
    </cfRule>
  </conditionalFormatting>
  <conditionalFormatting sqref="E6:E13 B13:D13 B23:E23 E16:E22">
    <cfRule type="cellIs" dxfId="6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opLeftCell="A16" zoomScaleNormal="100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54" customFormat="1" x14ac:dyDescent="0.2">
      <c r="A1" s="1535" t="str">
        <f>CONCATENATE("8.3. melléklet ",ALAPADATOK!A7," ",ALAPADATOK!B7," ",ALAPADATOK!C7," ",ALAPADATOK!D7," ",ALAPADATOK!E7," ",ALAPADATOK!F7," ",ALAPADATOK!G7," ",ALAPADATOK!H7)</f>
        <v>8.3. melléklet a 6 / 2020. ( II.27 ) önkormányzati határozathoz</v>
      </c>
      <c r="B1" s="1535"/>
      <c r="C1" s="1535"/>
      <c r="D1" s="1535"/>
      <c r="E1" s="1535"/>
    </row>
    <row r="2" spans="1:5" x14ac:dyDescent="0.2">
      <c r="A2" s="570"/>
      <c r="B2" s="570"/>
      <c r="C2" s="570"/>
      <c r="D2" s="570"/>
      <c r="E2" s="570"/>
    </row>
    <row r="3" spans="1:5" ht="74.25" customHeight="1" x14ac:dyDescent="0.25">
      <c r="A3" s="1533" t="s">
        <v>937</v>
      </c>
      <c r="B3" s="1533"/>
      <c r="C3" s="1533"/>
      <c r="D3" s="1533"/>
      <c r="E3" s="1533"/>
    </row>
    <row r="4" spans="1:5" ht="14.25" thickBot="1" x14ac:dyDescent="0.3">
      <c r="A4" s="1221"/>
      <c r="B4" s="1221"/>
      <c r="C4" s="1221"/>
      <c r="D4" s="1534" t="s">
        <v>566</v>
      </c>
      <c r="E4" s="1534"/>
    </row>
    <row r="5" spans="1:5" ht="15" customHeight="1" thickBot="1" x14ac:dyDescent="0.25">
      <c r="A5" s="1200" t="s">
        <v>608</v>
      </c>
      <c r="B5" s="1201" t="s">
        <v>884</v>
      </c>
      <c r="C5" s="1201">
        <v>2020</v>
      </c>
      <c r="D5" s="1201" t="s">
        <v>934</v>
      </c>
      <c r="E5" s="1202" t="s">
        <v>53</v>
      </c>
    </row>
    <row r="6" spans="1:5" x14ac:dyDescent="0.2">
      <c r="A6" s="1203" t="s">
        <v>609</v>
      </c>
      <c r="B6" s="1204"/>
      <c r="C6" s="1204"/>
      <c r="D6" s="1204"/>
      <c r="E6" s="1205">
        <f>SUM(B6:D6)</f>
        <v>0</v>
      </c>
    </row>
    <row r="7" spans="1:5" x14ac:dyDescent="0.2">
      <c r="A7" s="1206" t="s">
        <v>610</v>
      </c>
      <c r="B7" s="1207"/>
      <c r="C7" s="1207"/>
      <c r="D7" s="1207"/>
      <c r="E7" s="1208">
        <f t="shared" ref="E7:E12" si="0">SUM(B7:D7)</f>
        <v>0</v>
      </c>
    </row>
    <row r="8" spans="1:5" x14ac:dyDescent="0.2">
      <c r="A8" s="1209" t="s">
        <v>611</v>
      </c>
      <c r="B8" s="1210">
        <v>363618656</v>
      </c>
      <c r="C8" s="1210">
        <v>6350000</v>
      </c>
      <c r="D8" s="1210"/>
      <c r="E8" s="1211">
        <f t="shared" si="0"/>
        <v>369968656</v>
      </c>
    </row>
    <row r="9" spans="1:5" x14ac:dyDescent="0.2">
      <c r="A9" s="1209" t="s">
        <v>612</v>
      </c>
      <c r="B9" s="1210"/>
      <c r="C9" s="1210"/>
      <c r="D9" s="1210"/>
      <c r="E9" s="1211">
        <f t="shared" si="0"/>
        <v>0</v>
      </c>
    </row>
    <row r="10" spans="1:5" x14ac:dyDescent="0.2">
      <c r="A10" s="1209" t="s">
        <v>124</v>
      </c>
      <c r="B10" s="1223"/>
      <c r="C10" s="1210"/>
      <c r="D10" s="1210"/>
      <c r="E10" s="1211">
        <f t="shared" si="0"/>
        <v>0</v>
      </c>
    </row>
    <row r="11" spans="1:5" x14ac:dyDescent="0.2">
      <c r="A11" s="1209" t="s">
        <v>613</v>
      </c>
      <c r="B11" s="1210"/>
      <c r="C11" s="1210"/>
      <c r="D11" s="1210"/>
      <c r="E11" s="1211">
        <f t="shared" si="0"/>
        <v>0</v>
      </c>
    </row>
    <row r="12" spans="1:5" ht="13.5" thickBot="1" x14ac:dyDescent="0.25">
      <c r="A12" s="1212"/>
      <c r="B12" s="1213"/>
      <c r="C12" s="1213"/>
      <c r="D12" s="1213"/>
      <c r="E12" s="1211">
        <f t="shared" si="0"/>
        <v>0</v>
      </c>
    </row>
    <row r="13" spans="1:5" ht="13.5" thickBot="1" x14ac:dyDescent="0.25">
      <c r="A13" s="1214" t="s">
        <v>614</v>
      </c>
      <c r="B13" s="1215">
        <f>SUM(B6:B12)</f>
        <v>363618656</v>
      </c>
      <c r="C13" s="1215">
        <f t="shared" ref="C13:E13" si="1">SUM(C6:C12)</f>
        <v>6350000</v>
      </c>
      <c r="D13" s="1215">
        <f t="shared" si="1"/>
        <v>0</v>
      </c>
      <c r="E13" s="1216">
        <f t="shared" si="1"/>
        <v>369968656</v>
      </c>
    </row>
    <row r="14" spans="1:5" ht="13.5" thickBot="1" x14ac:dyDescent="0.25">
      <c r="A14" s="1222"/>
      <c r="B14" s="1222"/>
      <c r="C14" s="1222"/>
      <c r="D14" s="1222"/>
      <c r="E14" s="1222"/>
    </row>
    <row r="15" spans="1:5" ht="15" customHeight="1" thickBot="1" x14ac:dyDescent="0.25">
      <c r="A15" s="1200" t="s">
        <v>615</v>
      </c>
      <c r="B15" s="1201" t="str">
        <f>B5</f>
        <v>2020. előtt</v>
      </c>
      <c r="C15" s="1201">
        <f t="shared" ref="C15:D15" si="2">C5</f>
        <v>2020</v>
      </c>
      <c r="D15" s="1201" t="str">
        <f t="shared" si="2"/>
        <v>2020 után</v>
      </c>
      <c r="E15" s="1202" t="s">
        <v>53</v>
      </c>
    </row>
    <row r="16" spans="1:5" x14ac:dyDescent="0.2">
      <c r="A16" s="1203" t="s">
        <v>616</v>
      </c>
      <c r="B16" s="1204"/>
      <c r="C16" s="1204">
        <v>0</v>
      </c>
      <c r="D16" s="1204"/>
      <c r="E16" s="1205">
        <f t="shared" ref="E16:E22" si="3">SUM(B16:D16)</f>
        <v>0</v>
      </c>
    </row>
    <row r="17" spans="1:5" x14ac:dyDescent="0.2">
      <c r="A17" s="1217" t="s">
        <v>617</v>
      </c>
      <c r="B17" s="1210">
        <f>480000+129600+2032000</f>
        <v>2641600</v>
      </c>
      <c r="C17" s="1210">
        <v>345164792</v>
      </c>
      <c r="D17" s="1210"/>
      <c r="E17" s="1211">
        <f>SUM(B17:D17)</f>
        <v>347806392</v>
      </c>
    </row>
    <row r="18" spans="1:5" x14ac:dyDescent="0.2">
      <c r="A18" s="1209" t="s">
        <v>618</v>
      </c>
      <c r="B18" s="1210">
        <f>1416000+382320+914400</f>
        <v>2712720</v>
      </c>
      <c r="C18" s="1270">
        <v>13099544</v>
      </c>
      <c r="D18" s="1210"/>
      <c r="E18" s="1211">
        <f t="shared" si="3"/>
        <v>15812264</v>
      </c>
    </row>
    <row r="19" spans="1:5" x14ac:dyDescent="0.2">
      <c r="A19" s="1209" t="s">
        <v>619</v>
      </c>
      <c r="B19" s="1210"/>
      <c r="C19" s="1210"/>
      <c r="D19" s="1210"/>
      <c r="E19" s="1211">
        <f t="shared" si="3"/>
        <v>0</v>
      </c>
    </row>
    <row r="20" spans="1:5" x14ac:dyDescent="0.2">
      <c r="A20" s="1218" t="s">
        <v>620</v>
      </c>
      <c r="B20" s="1210"/>
      <c r="C20" s="1210">
        <v>6350000</v>
      </c>
      <c r="D20" s="1210"/>
      <c r="E20" s="1211">
        <f t="shared" si="3"/>
        <v>6350000</v>
      </c>
    </row>
    <row r="21" spans="1:5" x14ac:dyDescent="0.2">
      <c r="A21" s="1218" t="s">
        <v>621</v>
      </c>
      <c r="B21" s="1223"/>
      <c r="C21" s="1210"/>
      <c r="D21" s="1210"/>
      <c r="E21" s="1211">
        <f t="shared" si="3"/>
        <v>0</v>
      </c>
    </row>
    <row r="22" spans="1:5" ht="13.5" thickBot="1" x14ac:dyDescent="0.25">
      <c r="A22" s="1212"/>
      <c r="B22" s="1213"/>
      <c r="C22" s="1213"/>
      <c r="D22" s="1213"/>
      <c r="E22" s="1211">
        <f t="shared" si="3"/>
        <v>0</v>
      </c>
    </row>
    <row r="23" spans="1:5" ht="13.5" thickBot="1" x14ac:dyDescent="0.25">
      <c r="A23" s="1214" t="s">
        <v>54</v>
      </c>
      <c r="B23" s="1219">
        <f t="shared" ref="B23:E23" si="4">SUM(B16:B22)</f>
        <v>5354320</v>
      </c>
      <c r="C23" s="1219">
        <f t="shared" si="4"/>
        <v>364614336</v>
      </c>
      <c r="D23" s="1219">
        <f t="shared" si="4"/>
        <v>0</v>
      </c>
      <c r="E23" s="1220">
        <f t="shared" si="4"/>
        <v>369968656</v>
      </c>
    </row>
    <row r="24" spans="1:5" x14ac:dyDescent="0.2">
      <c r="A24" s="570"/>
      <c r="B24" s="570"/>
      <c r="C24" s="570"/>
      <c r="D24" s="570"/>
      <c r="E24" s="570"/>
    </row>
    <row r="25" spans="1:5" ht="48.75" customHeight="1" x14ac:dyDescent="0.25">
      <c r="A25" s="1533" t="s">
        <v>938</v>
      </c>
      <c r="B25" s="1533"/>
      <c r="C25" s="1533"/>
      <c r="D25" s="1533"/>
      <c r="E25" s="1533"/>
    </row>
    <row r="26" spans="1:5" ht="14.25" thickBot="1" x14ac:dyDescent="0.3">
      <c r="A26" s="1244"/>
      <c r="B26" s="1244"/>
      <c r="C26" s="1244"/>
      <c r="D26" s="1534" t="s">
        <v>566</v>
      </c>
      <c r="E26" s="1534"/>
    </row>
    <row r="27" spans="1:5" ht="13.5" thickBot="1" x14ac:dyDescent="0.25">
      <c r="A27" s="1224" t="s">
        <v>608</v>
      </c>
      <c r="B27" s="1225" t="s">
        <v>884</v>
      </c>
      <c r="C27" s="1225">
        <v>2020</v>
      </c>
      <c r="D27" s="1225" t="s">
        <v>934</v>
      </c>
      <c r="E27" s="1226" t="s">
        <v>53</v>
      </c>
    </row>
    <row r="28" spans="1:5" x14ac:dyDescent="0.2">
      <c r="A28" s="1227" t="s">
        <v>609</v>
      </c>
      <c r="B28" s="1228"/>
      <c r="C28" s="1228"/>
      <c r="D28" s="1228"/>
      <c r="E28" s="1229">
        <v>0</v>
      </c>
    </row>
    <row r="29" spans="1:5" x14ac:dyDescent="0.2">
      <c r="A29" s="1230" t="s">
        <v>610</v>
      </c>
      <c r="B29" s="1231"/>
      <c r="C29" s="1231"/>
      <c r="D29" s="1231"/>
      <c r="E29" s="1232">
        <v>0</v>
      </c>
    </row>
    <row r="30" spans="1:5" x14ac:dyDescent="0.2">
      <c r="A30" s="1233" t="s">
        <v>611</v>
      </c>
      <c r="B30" s="1234"/>
      <c r="C30" s="1234">
        <v>19027694</v>
      </c>
      <c r="D30" s="1234"/>
      <c r="E30" s="1235">
        <v>19027694</v>
      </c>
    </row>
    <row r="31" spans="1:5" x14ac:dyDescent="0.2">
      <c r="A31" s="1233" t="s">
        <v>612</v>
      </c>
      <c r="B31" s="1234"/>
      <c r="C31" s="1234"/>
      <c r="D31" s="1234"/>
      <c r="E31" s="1235">
        <v>0</v>
      </c>
    </row>
    <row r="32" spans="1:5" x14ac:dyDescent="0.2">
      <c r="A32" s="1233" t="s">
        <v>124</v>
      </c>
      <c r="B32" s="1246"/>
      <c r="C32" s="1234"/>
      <c r="D32" s="1234"/>
      <c r="E32" s="1235">
        <v>0</v>
      </c>
    </row>
    <row r="33" spans="1:5" x14ac:dyDescent="0.2">
      <c r="A33" s="1233" t="s">
        <v>613</v>
      </c>
      <c r="B33" s="1234"/>
      <c r="C33" s="1246"/>
      <c r="D33" s="1246"/>
      <c r="E33" s="1247">
        <v>0</v>
      </c>
    </row>
    <row r="34" spans="1:5" ht="13.5" thickBot="1" x14ac:dyDescent="0.25">
      <c r="A34" s="1236"/>
      <c r="B34" s="1237"/>
      <c r="C34" s="1248"/>
      <c r="D34" s="1248"/>
      <c r="E34" s="1247">
        <v>0</v>
      </c>
    </row>
    <row r="35" spans="1:5" ht="13.5" thickBot="1" x14ac:dyDescent="0.25">
      <c r="A35" s="1238" t="s">
        <v>614</v>
      </c>
      <c r="B35" s="1239">
        <v>0</v>
      </c>
      <c r="C35" s="1242">
        <v>19027694</v>
      </c>
      <c r="D35" s="1242">
        <v>0</v>
      </c>
      <c r="E35" s="1243">
        <v>19027694</v>
      </c>
    </row>
    <row r="36" spans="1:5" ht="13.5" thickBot="1" x14ac:dyDescent="0.25">
      <c r="A36" s="1245"/>
      <c r="B36" s="1245"/>
      <c r="C36" s="1245"/>
      <c r="D36" s="1245"/>
      <c r="E36" s="1245"/>
    </row>
    <row r="37" spans="1:5" ht="13.5" thickBot="1" x14ac:dyDescent="0.25">
      <c r="A37" s="1224" t="s">
        <v>615</v>
      </c>
      <c r="B37" s="1225" t="str">
        <f>B27</f>
        <v>2020. előtt</v>
      </c>
      <c r="C37" s="1225">
        <f t="shared" ref="C37:D37" si="5">C27</f>
        <v>2020</v>
      </c>
      <c r="D37" s="1225" t="str">
        <f t="shared" si="5"/>
        <v>2020 után</v>
      </c>
      <c r="E37" s="1226" t="s">
        <v>53</v>
      </c>
    </row>
    <row r="38" spans="1:5" x14ac:dyDescent="0.2">
      <c r="A38" s="1227" t="s">
        <v>616</v>
      </c>
      <c r="B38" s="1228"/>
      <c r="C38" s="1228">
        <v>470200</v>
      </c>
      <c r="D38" s="1228"/>
      <c r="E38" s="1229">
        <v>470200</v>
      </c>
    </row>
    <row r="39" spans="1:5" x14ac:dyDescent="0.2">
      <c r="A39" s="1240" t="s">
        <v>617</v>
      </c>
      <c r="B39" s="1234"/>
      <c r="C39" s="1234">
        <v>2634996</v>
      </c>
      <c r="D39" s="1234"/>
      <c r="E39" s="1235">
        <v>2634996</v>
      </c>
    </row>
    <row r="40" spans="1:5" x14ac:dyDescent="0.2">
      <c r="A40" s="1233" t="s">
        <v>618</v>
      </c>
      <c r="B40" s="1234"/>
      <c r="C40" s="1234">
        <v>15922498</v>
      </c>
      <c r="D40" s="1234"/>
      <c r="E40" s="1235">
        <v>15922498</v>
      </c>
    </row>
    <row r="41" spans="1:5" x14ac:dyDescent="0.2">
      <c r="A41" s="1233" t="s">
        <v>619</v>
      </c>
      <c r="B41" s="1234"/>
      <c r="C41" s="1234"/>
      <c r="D41" s="1234"/>
      <c r="E41" s="1235">
        <v>0</v>
      </c>
    </row>
    <row r="42" spans="1:5" x14ac:dyDescent="0.2">
      <c r="A42" s="1241" t="s">
        <v>620</v>
      </c>
      <c r="B42" s="1234"/>
      <c r="C42" s="1234"/>
      <c r="D42" s="1234"/>
      <c r="E42" s="1235">
        <v>0</v>
      </c>
    </row>
    <row r="43" spans="1:5" x14ac:dyDescent="0.2">
      <c r="A43" s="1241" t="s">
        <v>621</v>
      </c>
      <c r="B43" s="1246"/>
      <c r="C43" s="1234"/>
      <c r="D43" s="1234"/>
      <c r="E43" s="1235">
        <v>0</v>
      </c>
    </row>
    <row r="44" spans="1:5" ht="13.5" thickBot="1" x14ac:dyDescent="0.25">
      <c r="A44" s="1236"/>
      <c r="B44" s="1237"/>
      <c r="C44" s="1237"/>
      <c r="D44" s="1237"/>
      <c r="E44" s="1235">
        <v>0</v>
      </c>
    </row>
    <row r="45" spans="1:5" ht="13.5" thickBot="1" x14ac:dyDescent="0.25">
      <c r="A45" s="1238" t="s">
        <v>54</v>
      </c>
      <c r="B45" s="1242">
        <v>0</v>
      </c>
      <c r="C45" s="1242">
        <v>19027694</v>
      </c>
      <c r="D45" s="1242">
        <v>0</v>
      </c>
      <c r="E45" s="1243">
        <v>19027694</v>
      </c>
    </row>
    <row r="46" spans="1:5" x14ac:dyDescent="0.2">
      <c r="A46" s="570"/>
      <c r="B46" s="570"/>
      <c r="C46" s="570"/>
      <c r="D46" s="570"/>
      <c r="E46" s="570"/>
    </row>
  </sheetData>
  <mergeCells count="5">
    <mergeCell ref="A1:E1"/>
    <mergeCell ref="A3:E3"/>
    <mergeCell ref="A25:E25"/>
    <mergeCell ref="D4:E4"/>
    <mergeCell ref="D26:E26"/>
  </mergeCells>
  <conditionalFormatting sqref="E28:E35 B35:D35 E38:E45 B45:D45 E6:E13 B13:D13 B23:E23 E16:E22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22" zoomScaleNormal="100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16384" width="9.33203125" style="36"/>
  </cols>
  <sheetData>
    <row r="1" spans="1:6" s="1254" customFormat="1" x14ac:dyDescent="0.2">
      <c r="A1" s="1535" t="str">
        <f>CONCATENATE("8.4. melléklet ",ALAPADATOK!A7," ",ALAPADATOK!B7," ",ALAPADATOK!C7," ",ALAPADATOK!D7," ",ALAPADATOK!E7," ",ALAPADATOK!F7," ",ALAPADATOK!G7," ",ALAPADATOK!H7)</f>
        <v>8.4. melléklet a 6 / 2020. ( II.27 ) önkormányzati határozathoz</v>
      </c>
      <c r="B1" s="1535"/>
      <c r="C1" s="1535"/>
      <c r="D1" s="1535"/>
      <c r="E1" s="1535"/>
    </row>
    <row r="2" spans="1:6" x14ac:dyDescent="0.2">
      <c r="A2" s="570"/>
      <c r="B2" s="570"/>
      <c r="C2" s="570"/>
      <c r="D2" s="570"/>
      <c r="E2" s="570"/>
    </row>
    <row r="3" spans="1:6" ht="74.25" customHeight="1" x14ac:dyDescent="0.25">
      <c r="A3" s="1533" t="s">
        <v>939</v>
      </c>
      <c r="B3" s="1533"/>
      <c r="C3" s="1533"/>
      <c r="D3" s="1533"/>
      <c r="E3" s="1533"/>
      <c r="F3" s="971"/>
    </row>
    <row r="4" spans="1:6" ht="14.25" thickBot="1" x14ac:dyDescent="0.3">
      <c r="A4" s="1156"/>
      <c r="B4" s="1156"/>
      <c r="C4" s="1156"/>
      <c r="D4" s="1534" t="s">
        <v>566</v>
      </c>
      <c r="E4" s="1534"/>
      <c r="F4" s="971"/>
    </row>
    <row r="5" spans="1:6" ht="15" customHeight="1" thickBot="1" x14ac:dyDescent="0.25">
      <c r="A5" s="1267" t="s">
        <v>608</v>
      </c>
      <c r="B5" s="1268" t="s">
        <v>884</v>
      </c>
      <c r="C5" s="1268">
        <v>2020</v>
      </c>
      <c r="D5" s="1268" t="s">
        <v>934</v>
      </c>
      <c r="E5" s="1269" t="s">
        <v>53</v>
      </c>
      <c r="F5" s="971"/>
    </row>
    <row r="6" spans="1:6" x14ac:dyDescent="0.2">
      <c r="A6" s="1157" t="s">
        <v>609</v>
      </c>
      <c r="B6" s="1158"/>
      <c r="C6" s="1158"/>
      <c r="D6" s="1158"/>
      <c r="E6" s="1159">
        <f>SUM(B6:D6)</f>
        <v>0</v>
      </c>
      <c r="F6" s="971"/>
    </row>
    <row r="7" spans="1:6" x14ac:dyDescent="0.2">
      <c r="A7" s="1160" t="s">
        <v>610</v>
      </c>
      <c r="B7" s="1161"/>
      <c r="C7" s="1161"/>
      <c r="D7" s="1161"/>
      <c r="E7" s="1162">
        <f t="shared" ref="E7:E13" si="0">SUM(B7:D7)</f>
        <v>0</v>
      </c>
      <c r="F7" s="971"/>
    </row>
    <row r="8" spans="1:6" x14ac:dyDescent="0.2">
      <c r="A8" s="1163" t="s">
        <v>611</v>
      </c>
      <c r="B8" s="1280">
        <v>168611550</v>
      </c>
      <c r="C8" s="1280">
        <v>6985000</v>
      </c>
      <c r="D8" s="1280"/>
      <c r="E8" s="1281">
        <f t="shared" si="0"/>
        <v>175596550</v>
      </c>
      <c r="F8" s="971"/>
    </row>
    <row r="9" spans="1:6" x14ac:dyDescent="0.2">
      <c r="A9" s="1163" t="s">
        <v>612</v>
      </c>
      <c r="B9" s="1280"/>
      <c r="C9" s="1280"/>
      <c r="D9" s="1280"/>
      <c r="E9" s="1281">
        <f t="shared" si="0"/>
        <v>0</v>
      </c>
      <c r="F9" s="971"/>
    </row>
    <row r="10" spans="1:6" x14ac:dyDescent="0.2">
      <c r="A10" s="1163" t="s">
        <v>124</v>
      </c>
      <c r="B10" s="1280"/>
      <c r="C10" s="1280"/>
      <c r="D10" s="1280"/>
      <c r="E10" s="1281">
        <f t="shared" si="0"/>
        <v>0</v>
      </c>
      <c r="F10" s="971"/>
    </row>
    <row r="11" spans="1:6" x14ac:dyDescent="0.2">
      <c r="A11" s="1163" t="s">
        <v>613</v>
      </c>
      <c r="B11" s="1280"/>
      <c r="C11" s="1280"/>
      <c r="D11" s="1280"/>
      <c r="E11" s="1281">
        <f t="shared" si="0"/>
        <v>0</v>
      </c>
      <c r="F11" s="971"/>
    </row>
    <row r="12" spans="1:6" ht="13.5" thickBot="1" x14ac:dyDescent="0.25">
      <c r="A12" s="1166"/>
      <c r="B12" s="1282"/>
      <c r="C12" s="1282"/>
      <c r="D12" s="1282"/>
      <c r="E12" s="1281">
        <f t="shared" si="0"/>
        <v>0</v>
      </c>
      <c r="F12" s="971"/>
    </row>
    <row r="13" spans="1:6" ht="13.5" thickBot="1" x14ac:dyDescent="0.25">
      <c r="A13" s="1271" t="s">
        <v>614</v>
      </c>
      <c r="B13" s="1272">
        <f>SUM(B6:B12)</f>
        <v>168611550</v>
      </c>
      <c r="C13" s="1272">
        <f t="shared" ref="C13:D13" si="1">SUM(C6:C12)</f>
        <v>6985000</v>
      </c>
      <c r="D13" s="1272">
        <f t="shared" si="1"/>
        <v>0</v>
      </c>
      <c r="E13" s="1273">
        <f t="shared" si="0"/>
        <v>175596550</v>
      </c>
      <c r="F13" s="971"/>
    </row>
    <row r="14" spans="1:6" ht="13.5" thickBot="1" x14ac:dyDescent="0.25">
      <c r="A14" s="1168"/>
      <c r="B14" s="1168"/>
      <c r="C14" s="1168"/>
      <c r="D14" s="1168"/>
      <c r="E14" s="1168"/>
      <c r="F14" s="971"/>
    </row>
    <row r="15" spans="1:6" ht="15" customHeight="1" thickBot="1" x14ac:dyDescent="0.25">
      <c r="A15" s="1267" t="s">
        <v>615</v>
      </c>
      <c r="B15" s="1268" t="str">
        <f>B5</f>
        <v>2020. előtt</v>
      </c>
      <c r="C15" s="1268">
        <f t="shared" ref="C15:D15" si="2">C5</f>
        <v>2020</v>
      </c>
      <c r="D15" s="1268" t="str">
        <f t="shared" si="2"/>
        <v>2020 után</v>
      </c>
      <c r="E15" s="1269" t="s">
        <v>53</v>
      </c>
      <c r="F15" s="971"/>
    </row>
    <row r="16" spans="1:6" x14ac:dyDescent="0.2">
      <c r="A16" s="1157" t="s">
        <v>616</v>
      </c>
      <c r="B16" s="1158"/>
      <c r="C16" s="1158"/>
      <c r="D16" s="1158"/>
      <c r="E16" s="1159">
        <f t="shared" ref="E16:E23" si="3">SUM(B16:D16)</f>
        <v>0</v>
      </c>
      <c r="F16" s="971"/>
    </row>
    <row r="17" spans="1:6" x14ac:dyDescent="0.2">
      <c r="A17" s="1169" t="s">
        <v>617</v>
      </c>
      <c r="B17" s="1280">
        <v>4699000</v>
      </c>
      <c r="C17" s="1280">
        <v>148007150</v>
      </c>
      <c r="D17" s="1280"/>
      <c r="E17" s="1281">
        <f t="shared" si="3"/>
        <v>152706150</v>
      </c>
      <c r="F17" s="971"/>
    </row>
    <row r="18" spans="1:6" x14ac:dyDescent="0.2">
      <c r="A18" s="1163" t="s">
        <v>618</v>
      </c>
      <c r="B18" s="1280"/>
      <c r="C18" s="1280">
        <v>5105400</v>
      </c>
      <c r="D18" s="1280"/>
      <c r="E18" s="1281">
        <f t="shared" si="3"/>
        <v>5105400</v>
      </c>
      <c r="F18" s="971"/>
    </row>
    <row r="19" spans="1:6" x14ac:dyDescent="0.2">
      <c r="A19" s="1163" t="s">
        <v>619</v>
      </c>
      <c r="B19" s="1280"/>
      <c r="C19" s="1280"/>
      <c r="D19" s="1280"/>
      <c r="E19" s="1281">
        <f t="shared" si="3"/>
        <v>0</v>
      </c>
      <c r="F19" s="971"/>
    </row>
    <row r="20" spans="1:6" x14ac:dyDescent="0.2">
      <c r="A20" s="1170" t="s">
        <v>620</v>
      </c>
      <c r="B20" s="1280"/>
      <c r="C20" s="1280">
        <v>6985000</v>
      </c>
      <c r="D20" s="1280"/>
      <c r="E20" s="1281">
        <f t="shared" si="3"/>
        <v>6985000</v>
      </c>
      <c r="F20" s="971"/>
    </row>
    <row r="21" spans="1:6" x14ac:dyDescent="0.2">
      <c r="A21" s="1170" t="s">
        <v>621</v>
      </c>
      <c r="B21" s="1280"/>
      <c r="C21" s="1280">
        <v>10800000</v>
      </c>
      <c r="D21" s="1280"/>
      <c r="E21" s="1281">
        <f t="shared" si="3"/>
        <v>10800000</v>
      </c>
      <c r="F21" s="971"/>
    </row>
    <row r="22" spans="1:6" ht="13.5" thickBot="1" x14ac:dyDescent="0.25">
      <c r="A22" s="1166"/>
      <c r="B22" s="1282"/>
      <c r="C22" s="1282"/>
      <c r="D22" s="1282"/>
      <c r="E22" s="1281">
        <f t="shared" si="3"/>
        <v>0</v>
      </c>
      <c r="F22" s="971"/>
    </row>
    <row r="23" spans="1:6" ht="13.5" thickBot="1" x14ac:dyDescent="0.25">
      <c r="A23" s="1271" t="s">
        <v>54</v>
      </c>
      <c r="B23" s="1272">
        <f>SUM(B16:B22)</f>
        <v>4699000</v>
      </c>
      <c r="C23" s="1272">
        <f t="shared" ref="C23:D23" si="4">SUM(C16:C22)</f>
        <v>170897550</v>
      </c>
      <c r="D23" s="1272">
        <f t="shared" si="4"/>
        <v>0</v>
      </c>
      <c r="E23" s="1273">
        <f t="shared" si="3"/>
        <v>175596550</v>
      </c>
      <c r="F23" s="971"/>
    </row>
    <row r="24" spans="1:6" x14ac:dyDescent="0.2">
      <c r="A24" s="570"/>
      <c r="B24" s="570"/>
      <c r="C24" s="570"/>
      <c r="D24" s="570"/>
      <c r="E24" s="570"/>
    </row>
    <row r="25" spans="1:6" ht="48.75" customHeight="1" x14ac:dyDescent="0.2">
      <c r="A25" s="1538" t="s">
        <v>1007</v>
      </c>
      <c r="B25" s="1538"/>
      <c r="C25" s="1538"/>
      <c r="D25" s="1538"/>
      <c r="E25" s="1538"/>
    </row>
    <row r="26" spans="1:6" ht="14.25" thickBot="1" x14ac:dyDescent="0.3">
      <c r="A26" s="1425"/>
      <c r="B26" s="1425"/>
      <c r="C26" s="1425"/>
      <c r="D26" s="1537" t="s">
        <v>566</v>
      </c>
      <c r="E26" s="1537"/>
    </row>
    <row r="27" spans="1:6" ht="13.5" thickBot="1" x14ac:dyDescent="0.25">
      <c r="A27" s="1426" t="s">
        <v>608</v>
      </c>
      <c r="B27" s="1427" t="s">
        <v>884</v>
      </c>
      <c r="C27" s="1427" t="s">
        <v>821</v>
      </c>
      <c r="D27" s="1427" t="s">
        <v>885</v>
      </c>
      <c r="E27" s="1428" t="s">
        <v>53</v>
      </c>
    </row>
    <row r="28" spans="1:6" x14ac:dyDescent="0.2">
      <c r="A28" s="1429" t="s">
        <v>609</v>
      </c>
      <c r="B28" s="1430">
        <v>11110000</v>
      </c>
      <c r="C28" s="1430">
        <v>-9999000</v>
      </c>
      <c r="D28" s="1430"/>
      <c r="E28" s="1431">
        <v>1111000</v>
      </c>
    </row>
    <row r="29" spans="1:6" x14ac:dyDescent="0.2">
      <c r="A29" s="1432" t="s">
        <v>610</v>
      </c>
      <c r="B29" s="1433"/>
      <c r="C29" s="1433"/>
      <c r="D29" s="1433"/>
      <c r="E29" s="1434">
        <v>0</v>
      </c>
    </row>
    <row r="30" spans="1:6" x14ac:dyDescent="0.2">
      <c r="A30" s="1435" t="s">
        <v>611</v>
      </c>
      <c r="B30" s="1436"/>
      <c r="C30" s="1436">
        <v>9999000</v>
      </c>
      <c r="D30" s="1436"/>
      <c r="E30" s="1437">
        <v>9999000</v>
      </c>
    </row>
    <row r="31" spans="1:6" x14ac:dyDescent="0.2">
      <c r="A31" s="1435" t="s">
        <v>612</v>
      </c>
      <c r="B31" s="1436"/>
      <c r="C31" s="1436"/>
      <c r="D31" s="1436"/>
      <c r="E31" s="1437">
        <v>0</v>
      </c>
    </row>
    <row r="32" spans="1:6" x14ac:dyDescent="0.2">
      <c r="A32" s="1435" t="s">
        <v>124</v>
      </c>
      <c r="B32" s="1436"/>
      <c r="C32" s="1436"/>
      <c r="D32" s="1436"/>
      <c r="E32" s="1437">
        <v>0</v>
      </c>
    </row>
    <row r="33" spans="1:5" x14ac:dyDescent="0.2">
      <c r="A33" s="1435" t="s">
        <v>613</v>
      </c>
      <c r="B33" s="1436"/>
      <c r="C33" s="1436"/>
      <c r="D33" s="1436"/>
      <c r="E33" s="1437">
        <v>0</v>
      </c>
    </row>
    <row r="34" spans="1:5" ht="13.5" thickBot="1" x14ac:dyDescent="0.25">
      <c r="A34" s="1438"/>
      <c r="B34" s="1439"/>
      <c r="C34" s="1439"/>
      <c r="D34" s="1439"/>
      <c r="E34" s="1437">
        <v>0</v>
      </c>
    </row>
    <row r="35" spans="1:5" ht="13.5" thickBot="1" x14ac:dyDescent="0.25">
      <c r="A35" s="1440" t="s">
        <v>614</v>
      </c>
      <c r="B35" s="1441">
        <v>11110000</v>
      </c>
      <c r="C35" s="1441">
        <v>0</v>
      </c>
      <c r="D35" s="1441">
        <v>0</v>
      </c>
      <c r="E35" s="1442">
        <v>11110000</v>
      </c>
    </row>
    <row r="36" spans="1:5" ht="13.5" thickBot="1" x14ac:dyDescent="0.25">
      <c r="A36" s="1443"/>
      <c r="B36" s="1443"/>
      <c r="C36" s="1443"/>
      <c r="D36" s="1443"/>
      <c r="E36" s="1443"/>
    </row>
    <row r="37" spans="1:5" ht="13.5" thickBot="1" x14ac:dyDescent="0.25">
      <c r="A37" s="1426" t="s">
        <v>615</v>
      </c>
      <c r="B37" s="1427" t="s">
        <v>884</v>
      </c>
      <c r="C37" s="1427" t="s">
        <v>821</v>
      </c>
      <c r="D37" s="1427" t="s">
        <v>885</v>
      </c>
      <c r="E37" s="1428" t="s">
        <v>53</v>
      </c>
    </row>
    <row r="38" spans="1:5" x14ac:dyDescent="0.2">
      <c r="A38" s="1429" t="s">
        <v>616</v>
      </c>
      <c r="B38" s="1430">
        <v>300000</v>
      </c>
      <c r="C38" s="1430"/>
      <c r="D38" s="1430"/>
      <c r="E38" s="1431">
        <v>300000</v>
      </c>
    </row>
    <row r="39" spans="1:5" x14ac:dyDescent="0.2">
      <c r="A39" s="1444" t="s">
        <v>617</v>
      </c>
      <c r="B39" s="1436">
        <v>1190000</v>
      </c>
      <c r="C39" s="1436"/>
      <c r="D39" s="1436"/>
      <c r="E39" s="1437">
        <v>1190000</v>
      </c>
    </row>
    <row r="40" spans="1:5" x14ac:dyDescent="0.2">
      <c r="A40" s="1435" t="s">
        <v>618</v>
      </c>
      <c r="B40" s="1436">
        <v>9620000</v>
      </c>
      <c r="C40" s="1436"/>
      <c r="D40" s="1436"/>
      <c r="E40" s="1437">
        <v>9620000</v>
      </c>
    </row>
    <row r="41" spans="1:5" x14ac:dyDescent="0.2">
      <c r="A41" s="1435" t="s">
        <v>619</v>
      </c>
      <c r="B41" s="1436"/>
      <c r="C41" s="1436"/>
      <c r="D41" s="1436"/>
      <c r="E41" s="1437">
        <v>0</v>
      </c>
    </row>
    <row r="42" spans="1:5" x14ac:dyDescent="0.2">
      <c r="A42" s="1445" t="s">
        <v>620</v>
      </c>
      <c r="B42" s="1436"/>
      <c r="C42" s="1436"/>
      <c r="D42" s="1436"/>
      <c r="E42" s="1437">
        <v>0</v>
      </c>
    </row>
    <row r="43" spans="1:5" x14ac:dyDescent="0.2">
      <c r="A43" s="1445" t="s">
        <v>621</v>
      </c>
      <c r="B43" s="1436"/>
      <c r="C43" s="1436"/>
      <c r="D43" s="1436"/>
      <c r="E43" s="1437">
        <v>0</v>
      </c>
    </row>
    <row r="44" spans="1:5" ht="13.5" thickBot="1" x14ac:dyDescent="0.25">
      <c r="A44" s="1438"/>
      <c r="B44" s="1439"/>
      <c r="C44" s="1439"/>
      <c r="D44" s="1439"/>
      <c r="E44" s="1437">
        <v>0</v>
      </c>
    </row>
    <row r="45" spans="1:5" ht="13.5" thickBot="1" x14ac:dyDescent="0.25">
      <c r="A45" s="1440" t="s">
        <v>54</v>
      </c>
      <c r="B45" s="1441">
        <v>11110000</v>
      </c>
      <c r="C45" s="1441">
        <v>0</v>
      </c>
      <c r="D45" s="1441">
        <v>0</v>
      </c>
      <c r="E45" s="1442">
        <v>11110000</v>
      </c>
    </row>
    <row r="46" spans="1:5" x14ac:dyDescent="0.2">
      <c r="A46" s="570"/>
      <c r="B46" s="570"/>
      <c r="C46" s="570"/>
      <c r="D46" s="570"/>
      <c r="E46" s="570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35:D35 B45:E45 E38:E44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zoomScale="115" zoomScaleNormal="115" zoomScaleSheetLayoutView="115" zoomScalePageLayoutView="85" workbookViewId="0">
      <selection activeCell="B16" sqref="B15:B16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8" style="193" hidden="1" customWidth="1"/>
    <col min="5" max="5" width="14.5" style="193" hidden="1" customWidth="1"/>
    <col min="6" max="6" width="15.33203125" style="193" hidden="1" customWidth="1"/>
    <col min="7" max="7" width="11.1640625" style="193" hidden="1" customWidth="1"/>
    <col min="8" max="8" width="15.5" style="412" hidden="1" customWidth="1"/>
    <col min="9" max="9" width="17.83203125" style="413" hidden="1" customWidth="1"/>
    <col min="10" max="10" width="9.33203125" style="193" customWidth="1"/>
    <col min="11" max="16384" width="9.33203125" style="193"/>
  </cols>
  <sheetData>
    <row r="1" spans="1:9" s="997" customFormat="1" x14ac:dyDescent="0.25">
      <c r="A1" s="1496" t="str">
        <f>CONCATENATE("1. melléklet"," ",ALAPADATOK!A7," ",ALAPADATOK!B7," ",ALAPADATOK!C7," ",ALAPADATOK!D7," ",ALAPADATOK!E7," ",ALAPADATOK!F7," ",ALAPADATOK!G7," ",ALAPADATOK!H7)</f>
        <v>1. melléklet a 6 / 2020. ( II.27 ) önkormányzati határozathoz</v>
      </c>
      <c r="B1" s="1496"/>
      <c r="C1" s="1496"/>
      <c r="H1" s="412"/>
      <c r="I1" s="413"/>
    </row>
    <row r="2" spans="1:9" s="1005" customFormat="1" x14ac:dyDescent="0.25">
      <c r="A2" s="1066"/>
      <c r="B2" s="1066"/>
      <c r="C2" s="1066"/>
      <c r="H2" s="412"/>
      <c r="I2" s="413"/>
    </row>
    <row r="3" spans="1:9" s="997" customFormat="1" x14ac:dyDescent="0.25">
      <c r="A3" s="1494" t="str">
        <f>CONCATENATE(ALAPADATOK!A3)</f>
        <v>Tiszavasvári Város Önkormányzat</v>
      </c>
      <c r="B3" s="1494"/>
      <c r="C3" s="1494"/>
      <c r="H3" s="412"/>
      <c r="I3" s="413"/>
    </row>
    <row r="4" spans="1:9" s="997" customFormat="1" x14ac:dyDescent="0.25">
      <c r="A4" s="1495" t="str">
        <f>CONCATENATE(ALAPADATOK!D7," ÉVI KÖLTSÉGVETÉS")</f>
        <v>2020. ÉVI KÖLTSÉGVETÉS</v>
      </c>
      <c r="B4" s="1495"/>
      <c r="C4" s="1495"/>
      <c r="H4" s="412"/>
      <c r="I4" s="413"/>
    </row>
    <row r="5" spans="1:9" s="997" customFormat="1" x14ac:dyDescent="0.25">
      <c r="A5" s="1495" t="s">
        <v>900</v>
      </c>
      <c r="B5" s="1495"/>
      <c r="C5" s="1495"/>
      <c r="H5" s="412"/>
      <c r="I5" s="413"/>
    </row>
    <row r="6" spans="1:9" s="997" customFormat="1" x14ac:dyDescent="0.25">
      <c r="C6" s="329"/>
      <c r="H6" s="412"/>
      <c r="I6" s="413"/>
    </row>
    <row r="7" spans="1:9" ht="15.95" customHeight="1" x14ac:dyDescent="0.25">
      <c r="A7" s="1498" t="s">
        <v>18</v>
      </c>
      <c r="B7" s="1498"/>
      <c r="C7" s="1498"/>
    </row>
    <row r="8" spans="1:9" ht="15.95" customHeight="1" thickBot="1" x14ac:dyDescent="0.3">
      <c r="A8" s="1497" t="s">
        <v>129</v>
      </c>
      <c r="B8" s="1497"/>
      <c r="C8" s="139" t="s">
        <v>557</v>
      </c>
    </row>
    <row r="9" spans="1:9" ht="38.1" customHeight="1" thickBot="1" x14ac:dyDescent="0.3">
      <c r="A9" s="21" t="s">
        <v>72</v>
      </c>
      <c r="B9" s="22" t="s">
        <v>20</v>
      </c>
      <c r="C9" s="31" t="s">
        <v>794</v>
      </c>
      <c r="D9" s="193" t="s">
        <v>563</v>
      </c>
      <c r="E9" s="193" t="s">
        <v>564</v>
      </c>
      <c r="F9" s="193" t="s">
        <v>565</v>
      </c>
    </row>
    <row r="10" spans="1:9" s="205" customFormat="1" ht="12" customHeight="1" thickBot="1" x14ac:dyDescent="0.25">
      <c r="A10" s="199" t="s">
        <v>447</v>
      </c>
      <c r="B10" s="200" t="s">
        <v>448</v>
      </c>
      <c r="C10" s="201" t="s">
        <v>449</v>
      </c>
      <c r="H10" s="412"/>
      <c r="I10" s="413"/>
    </row>
    <row r="11" spans="1:9" s="206" customFormat="1" ht="12" customHeight="1" thickBot="1" x14ac:dyDescent="0.25">
      <c r="A11" s="18" t="s">
        <v>21</v>
      </c>
      <c r="B11" s="19" t="s">
        <v>195</v>
      </c>
      <c r="C11" s="130">
        <f t="shared" ref="C11:C42" si="0">SUM(D11:F11)</f>
        <v>1425055633</v>
      </c>
      <c r="D11" s="298">
        <f>+D12+D13+D14+D15+D16+D17</f>
        <v>1425055633</v>
      </c>
      <c r="E11" s="130">
        <f>+E12+E13+E14+E15+E16+E17</f>
        <v>0</v>
      </c>
      <c r="F11" s="130">
        <f>+F12+F13+F14+F15+F16+F17</f>
        <v>0</v>
      </c>
      <c r="H11" s="414">
        <f>'1.2.sz.mell. '!C11+'1.3.sz.mell.'!C11+'1.4.sz.mell. '!C11+'1.5.sz.mell.'!C11</f>
        <v>1425055633</v>
      </c>
      <c r="I11" s="414">
        <f t="shared" ref="I11:I74" si="1">C11-H11</f>
        <v>0</v>
      </c>
    </row>
    <row r="12" spans="1:9" s="206" customFormat="1" ht="12" customHeight="1" thickBot="1" x14ac:dyDescent="0.25">
      <c r="A12" s="13" t="s">
        <v>100</v>
      </c>
      <c r="B12" s="207" t="s">
        <v>196</v>
      </c>
      <c r="C12" s="510">
        <f>SUM(D12:F12)</f>
        <v>229318994</v>
      </c>
      <c r="D12" s="245">
        <v>229318994</v>
      </c>
      <c r="E12" s="245"/>
      <c r="F12" s="245"/>
      <c r="H12" s="414">
        <f>'1.2.sz.mell. '!C12+'1.3.sz.mell.'!C12+'1.4.sz.mell. '!C12+'1.5.sz.mell.'!C12</f>
        <v>229318994</v>
      </c>
      <c r="I12" s="415">
        <f>C12-H12</f>
        <v>0</v>
      </c>
    </row>
    <row r="13" spans="1:9" s="206" customFormat="1" ht="12" customHeight="1" thickBot="1" x14ac:dyDescent="0.25">
      <c r="A13" s="12" t="s">
        <v>101</v>
      </c>
      <c r="B13" s="208" t="s">
        <v>197</v>
      </c>
      <c r="C13" s="322">
        <f t="shared" si="0"/>
        <v>229603230</v>
      </c>
      <c r="D13" s="134">
        <v>229603230</v>
      </c>
      <c r="E13" s="134"/>
      <c r="F13" s="134"/>
      <c r="H13" s="414">
        <f>'1.2.sz.mell. '!C13+'1.3.sz.mell.'!C13+'1.4.sz.mell. '!C13+'1.5.sz.mell.'!C13</f>
        <v>229603230</v>
      </c>
      <c r="I13" s="416">
        <f t="shared" si="1"/>
        <v>0</v>
      </c>
    </row>
    <row r="14" spans="1:9" s="206" customFormat="1" ht="12" customHeight="1" thickBot="1" x14ac:dyDescent="0.25">
      <c r="A14" s="12" t="s">
        <v>102</v>
      </c>
      <c r="B14" s="208" t="s">
        <v>547</v>
      </c>
      <c r="C14" s="1482">
        <f t="shared" si="0"/>
        <v>785215024</v>
      </c>
      <c r="D14" s="134">
        <f>751998665+33216359</f>
        <v>785215024</v>
      </c>
      <c r="E14" s="134"/>
      <c r="F14" s="134"/>
      <c r="H14" s="414">
        <f>'1.2.sz.mell. '!C14+'1.3.sz.mell.'!C14+'1.4.sz.mell. '!C14+'1.5.sz.mell.'!C14</f>
        <v>785215024</v>
      </c>
      <c r="I14" s="416">
        <f t="shared" si="1"/>
        <v>0</v>
      </c>
    </row>
    <row r="15" spans="1:9" s="206" customFormat="1" ht="12" customHeight="1" thickBot="1" x14ac:dyDescent="0.25">
      <c r="A15" s="12" t="s">
        <v>103</v>
      </c>
      <c r="B15" s="208" t="s">
        <v>199</v>
      </c>
      <c r="C15" s="322">
        <f t="shared" si="0"/>
        <v>20802409</v>
      </c>
      <c r="D15" s="134">
        <v>20802409</v>
      </c>
      <c r="E15" s="134"/>
      <c r="F15" s="134"/>
      <c r="H15" s="414">
        <f>'1.2.sz.mell. '!C15+'1.3.sz.mell.'!C15+'1.4.sz.mell. '!C15+'1.5.sz.mell.'!C15</f>
        <v>20802409</v>
      </c>
      <c r="I15" s="416">
        <f t="shared" si="1"/>
        <v>0</v>
      </c>
    </row>
    <row r="16" spans="1:9" s="206" customFormat="1" ht="12" customHeight="1" thickBot="1" x14ac:dyDescent="0.25">
      <c r="A16" s="12" t="s">
        <v>126</v>
      </c>
      <c r="B16" s="126" t="s">
        <v>450</v>
      </c>
      <c r="C16" s="322">
        <f t="shared" si="0"/>
        <v>160115976</v>
      </c>
      <c r="D16" s="134">
        <f>163088204+530-539760-98930-300000-2934065+899997</f>
        <v>160115976</v>
      </c>
      <c r="E16" s="134"/>
      <c r="F16" s="134"/>
      <c r="H16" s="414">
        <f>'1.2.sz.mell. '!C16+'1.3.sz.mell.'!C16+'1.4.sz.mell. '!C16+'1.5.sz.mell.'!C16</f>
        <v>160115976</v>
      </c>
      <c r="I16" s="416">
        <f t="shared" si="1"/>
        <v>0</v>
      </c>
    </row>
    <row r="17" spans="1:9" s="206" customFormat="1" ht="12" customHeight="1" thickBot="1" x14ac:dyDescent="0.25">
      <c r="A17" s="14" t="s">
        <v>104</v>
      </c>
      <c r="B17" s="127" t="s">
        <v>451</v>
      </c>
      <c r="C17" s="511">
        <f t="shared" si="0"/>
        <v>0</v>
      </c>
      <c r="D17" s="119"/>
      <c r="E17" s="131"/>
      <c r="F17" s="131"/>
      <c r="H17" s="414">
        <f>'1.2.sz.mell. '!C17+'1.3.sz.mell.'!C17+'1.4.sz.mell. '!C17+'1.5.sz.mell.'!C17</f>
        <v>0</v>
      </c>
      <c r="I17" s="417">
        <f t="shared" si="1"/>
        <v>0</v>
      </c>
    </row>
    <row r="18" spans="1:9" s="206" customFormat="1" ht="12" customHeight="1" thickBot="1" x14ac:dyDescent="0.25">
      <c r="A18" s="18" t="s">
        <v>22</v>
      </c>
      <c r="B18" s="125" t="s">
        <v>200</v>
      </c>
      <c r="C18" s="130">
        <f t="shared" si="0"/>
        <v>340613687</v>
      </c>
      <c r="D18" s="298">
        <f>+D19+D20+D21+D22+D23</f>
        <v>232919558</v>
      </c>
      <c r="E18" s="130">
        <f>+E19+E20+E21+E22+E23</f>
        <v>0</v>
      </c>
      <c r="F18" s="130">
        <f>+F19+F20+F21+F22+F23</f>
        <v>107694129</v>
      </c>
      <c r="H18" s="414">
        <f>'1.2.sz.mell. '!C18+'1.3.sz.mell.'!C18+'1.4.sz.mell. '!C18+'1.5.sz.mell.'!C18</f>
        <v>340613687</v>
      </c>
      <c r="I18" s="414">
        <f t="shared" si="1"/>
        <v>0</v>
      </c>
    </row>
    <row r="19" spans="1:9" s="206" customFormat="1" ht="12" customHeight="1" thickBot="1" x14ac:dyDescent="0.25">
      <c r="A19" s="13" t="s">
        <v>106</v>
      </c>
      <c r="B19" s="207" t="s">
        <v>201</v>
      </c>
      <c r="C19" s="510">
        <f t="shared" si="0"/>
        <v>0</v>
      </c>
      <c r="D19" s="300"/>
      <c r="E19" s="132"/>
      <c r="F19" s="132"/>
      <c r="H19" s="414">
        <f>'1.2.sz.mell. '!C19+'1.3.sz.mell.'!C19+'1.4.sz.mell. '!C19+'1.5.sz.mell.'!C19</f>
        <v>0</v>
      </c>
      <c r="I19" s="415">
        <f t="shared" si="1"/>
        <v>0</v>
      </c>
    </row>
    <row r="20" spans="1:9" s="206" customFormat="1" ht="12" customHeight="1" thickBot="1" x14ac:dyDescent="0.25">
      <c r="A20" s="12" t="s">
        <v>107</v>
      </c>
      <c r="B20" s="208" t="s">
        <v>202</v>
      </c>
      <c r="C20" s="322">
        <f t="shared" si="0"/>
        <v>0</v>
      </c>
      <c r="D20" s="119"/>
      <c r="E20" s="131"/>
      <c r="F20" s="131"/>
      <c r="H20" s="414">
        <f>'1.2.sz.mell. '!C20+'1.3.sz.mell.'!C20+'1.4.sz.mell. '!C20+'1.5.sz.mell.'!C20</f>
        <v>0</v>
      </c>
      <c r="I20" s="416">
        <f t="shared" si="1"/>
        <v>0</v>
      </c>
    </row>
    <row r="21" spans="1:9" s="206" customFormat="1" ht="12" customHeight="1" thickBot="1" x14ac:dyDescent="0.25">
      <c r="A21" s="12" t="s">
        <v>108</v>
      </c>
      <c r="B21" s="208" t="s">
        <v>370</v>
      </c>
      <c r="C21" s="322">
        <f t="shared" si="0"/>
        <v>0</v>
      </c>
      <c r="D21" s="119"/>
      <c r="E21" s="131"/>
      <c r="F21" s="131"/>
      <c r="H21" s="414">
        <f>'1.2.sz.mell. '!C21+'1.3.sz.mell.'!C21+'1.4.sz.mell. '!C21+'1.5.sz.mell.'!C21</f>
        <v>0</v>
      </c>
      <c r="I21" s="416">
        <f t="shared" si="1"/>
        <v>0</v>
      </c>
    </row>
    <row r="22" spans="1:9" s="206" customFormat="1" ht="12" customHeight="1" thickBot="1" x14ac:dyDescent="0.25">
      <c r="A22" s="12" t="s">
        <v>109</v>
      </c>
      <c r="B22" s="208" t="s">
        <v>371</v>
      </c>
      <c r="C22" s="322">
        <f t="shared" si="0"/>
        <v>0</v>
      </c>
      <c r="D22" s="119"/>
      <c r="E22" s="131"/>
      <c r="F22" s="131"/>
      <c r="H22" s="414">
        <f>'1.2.sz.mell. '!C22+'1.3.sz.mell.'!C22+'1.4.sz.mell. '!C22+'1.5.sz.mell.'!C22</f>
        <v>0</v>
      </c>
      <c r="I22" s="416">
        <f t="shared" si="1"/>
        <v>0</v>
      </c>
    </row>
    <row r="23" spans="1:9" s="206" customFormat="1" ht="12" customHeight="1" thickBot="1" x14ac:dyDescent="0.25">
      <c r="A23" s="12" t="s">
        <v>110</v>
      </c>
      <c r="B23" s="208" t="s">
        <v>203</v>
      </c>
      <c r="C23" s="322">
        <f t="shared" si="0"/>
        <v>340613687</v>
      </c>
      <c r="D23" s="282">
        <f>231379098+1540460</f>
        <v>232919558</v>
      </c>
      <c r="E23" s="134"/>
      <c r="F23" s="134">
        <f>86729523+9346560+11259187+358859</f>
        <v>107694129</v>
      </c>
      <c r="H23" s="414">
        <f>'1.2.sz.mell. '!C23+'1.3.sz.mell.'!C23+'1.4.sz.mell. '!C23+'1.5.sz.mell.'!C23</f>
        <v>340613687</v>
      </c>
      <c r="I23" s="416">
        <f t="shared" si="1"/>
        <v>0</v>
      </c>
    </row>
    <row r="24" spans="1:9" s="206" customFormat="1" ht="12" customHeight="1" thickBot="1" x14ac:dyDescent="0.25">
      <c r="A24" s="14" t="s">
        <v>119</v>
      </c>
      <c r="B24" s="127" t="s">
        <v>204</v>
      </c>
      <c r="C24" s="511">
        <f t="shared" si="0"/>
        <v>205568019</v>
      </c>
      <c r="D24" s="286">
        <f>16392698+1485000+35012760+60895972+1540460</f>
        <v>115326890</v>
      </c>
      <c r="E24" s="196"/>
      <c r="F24" s="196">
        <f>69276523+9346560+11259187+358859</f>
        <v>90241129</v>
      </c>
      <c r="H24" s="414">
        <f>'1.2.sz.mell. '!C24+'1.3.sz.mell.'!C24+'1.4.sz.mell. '!C24+'1.5.sz.mell.'!C24</f>
        <v>205568019</v>
      </c>
      <c r="I24" s="417">
        <f t="shared" si="1"/>
        <v>0</v>
      </c>
    </row>
    <row r="25" spans="1:9" s="206" customFormat="1" ht="12" customHeight="1" thickBot="1" x14ac:dyDescent="0.25">
      <c r="A25" s="18" t="s">
        <v>23</v>
      </c>
      <c r="B25" s="19" t="s">
        <v>205</v>
      </c>
      <c r="C25" s="130">
        <f t="shared" si="0"/>
        <v>47689834</v>
      </c>
      <c r="D25" s="298">
        <f>+D26+D27+D28+D29+D30</f>
        <v>36977634</v>
      </c>
      <c r="E25" s="130">
        <f>+E26+E27+E28+E29+E30</f>
        <v>0</v>
      </c>
      <c r="F25" s="130">
        <f>+F26+F27+F28+F29+F30</f>
        <v>10712200</v>
      </c>
      <c r="H25" s="414">
        <f>'1.2.sz.mell. '!C25+'1.3.sz.mell.'!C25+'1.4.sz.mell. '!C25+'1.5.sz.mell.'!C25</f>
        <v>47689834</v>
      </c>
      <c r="I25" s="414">
        <f t="shared" si="1"/>
        <v>0</v>
      </c>
    </row>
    <row r="26" spans="1:9" s="206" customFormat="1" ht="12" customHeight="1" thickBot="1" x14ac:dyDescent="0.25">
      <c r="A26" s="13" t="s">
        <v>89</v>
      </c>
      <c r="B26" s="207" t="s">
        <v>206</v>
      </c>
      <c r="C26" s="510">
        <f t="shared" si="0"/>
        <v>0</v>
      </c>
      <c r="D26" s="302"/>
      <c r="E26" s="666"/>
      <c r="F26" s="666"/>
      <c r="H26" s="414">
        <f>'1.2.sz.mell. '!C26+'1.3.sz.mell.'!C26+'1.4.sz.mell. '!C26+'1.5.sz.mell.'!C26</f>
        <v>0</v>
      </c>
      <c r="I26" s="415">
        <f t="shared" si="1"/>
        <v>0</v>
      </c>
    </row>
    <row r="27" spans="1:9" s="206" customFormat="1" ht="12" customHeight="1" thickBot="1" x14ac:dyDescent="0.25">
      <c r="A27" s="12" t="s">
        <v>90</v>
      </c>
      <c r="B27" s="208" t="s">
        <v>207</v>
      </c>
      <c r="C27" s="513">
        <f t="shared" si="0"/>
        <v>0</v>
      </c>
      <c r="D27" s="282"/>
      <c r="E27" s="134"/>
      <c r="F27" s="134"/>
      <c r="H27" s="414">
        <f>'1.2.sz.mell. '!C27+'1.3.sz.mell.'!C27+'1.4.sz.mell. '!C27+'1.5.sz.mell.'!C27</f>
        <v>0</v>
      </c>
      <c r="I27" s="416">
        <f t="shared" si="1"/>
        <v>0</v>
      </c>
    </row>
    <row r="28" spans="1:9" s="206" customFormat="1" ht="12" customHeight="1" thickBot="1" x14ac:dyDescent="0.25">
      <c r="A28" s="12" t="s">
        <v>91</v>
      </c>
      <c r="B28" s="208" t="s">
        <v>372</v>
      </c>
      <c r="C28" s="322">
        <f t="shared" si="0"/>
        <v>0</v>
      </c>
      <c r="D28" s="282"/>
      <c r="E28" s="134"/>
      <c r="F28" s="134"/>
      <c r="H28" s="414">
        <f>'1.2.sz.mell. '!C28+'1.3.sz.mell.'!C28+'1.4.sz.mell. '!C28+'1.5.sz.mell.'!C28</f>
        <v>0</v>
      </c>
      <c r="I28" s="416">
        <f t="shared" si="1"/>
        <v>0</v>
      </c>
    </row>
    <row r="29" spans="1:9" s="206" customFormat="1" ht="12" customHeight="1" thickBot="1" x14ac:dyDescent="0.25">
      <c r="A29" s="12" t="s">
        <v>92</v>
      </c>
      <c r="B29" s="208" t="s">
        <v>373</v>
      </c>
      <c r="C29" s="322">
        <f t="shared" si="0"/>
        <v>0</v>
      </c>
      <c r="D29" s="282"/>
      <c r="E29" s="134"/>
      <c r="F29" s="134"/>
      <c r="H29" s="414">
        <f>'1.2.sz.mell. '!C29+'1.3.sz.mell.'!C29+'1.4.sz.mell. '!C29+'1.5.sz.mell.'!C29</f>
        <v>0</v>
      </c>
      <c r="I29" s="416">
        <f t="shared" si="1"/>
        <v>0</v>
      </c>
    </row>
    <row r="30" spans="1:9" s="206" customFormat="1" ht="12" customHeight="1" thickBot="1" x14ac:dyDescent="0.25">
      <c r="A30" s="12" t="s">
        <v>137</v>
      </c>
      <c r="B30" s="208" t="s">
        <v>208</v>
      </c>
      <c r="C30" s="322">
        <f t="shared" si="0"/>
        <v>47689834</v>
      </c>
      <c r="D30" s="282">
        <v>36977634</v>
      </c>
      <c r="E30" s="134"/>
      <c r="F30" s="134">
        <f>10712200</f>
        <v>10712200</v>
      </c>
      <c r="H30" s="414">
        <f>'1.2.sz.mell. '!C30+'1.3.sz.mell.'!C30+'1.4.sz.mell. '!C30+'1.5.sz.mell.'!C30</f>
        <v>47689834</v>
      </c>
      <c r="I30" s="416">
        <f t="shared" si="1"/>
        <v>0</v>
      </c>
    </row>
    <row r="31" spans="1:9" s="206" customFormat="1" ht="12" customHeight="1" thickBot="1" x14ac:dyDescent="0.25">
      <c r="A31" s="14" t="s">
        <v>138</v>
      </c>
      <c r="B31" s="209" t="s">
        <v>209</v>
      </c>
      <c r="C31" s="511">
        <f t="shared" si="0"/>
        <v>38069834</v>
      </c>
      <c r="D31" s="286">
        <f>2634996+5500000+6350000+12274550+10218088</f>
        <v>36977634</v>
      </c>
      <c r="E31" s="196"/>
      <c r="F31" s="196">
        <f>1092200</f>
        <v>1092200</v>
      </c>
      <c r="H31" s="414">
        <f>'1.2.sz.mell. '!C31+'1.3.sz.mell.'!C31+'1.4.sz.mell. '!C31+'1.5.sz.mell.'!C31</f>
        <v>38069834</v>
      </c>
      <c r="I31" s="417">
        <f t="shared" si="1"/>
        <v>0</v>
      </c>
    </row>
    <row r="32" spans="1:9" s="206" customFormat="1" ht="12" customHeight="1" thickBot="1" x14ac:dyDescent="0.25">
      <c r="A32" s="18" t="s">
        <v>139</v>
      </c>
      <c r="B32" s="19" t="s">
        <v>661</v>
      </c>
      <c r="C32" s="130">
        <f t="shared" si="0"/>
        <v>538000000</v>
      </c>
      <c r="D32" s="301">
        <f>+D33+D37+D38+D39</f>
        <v>538000000</v>
      </c>
      <c r="E32" s="135">
        <f>+E33+E37+E38+E39</f>
        <v>0</v>
      </c>
      <c r="F32" s="135">
        <f>+F33+F37+F38+F39</f>
        <v>0</v>
      </c>
      <c r="H32" s="414">
        <f>'1.2.sz.mell. '!C32+'1.3.sz.mell.'!C32+'1.4.sz.mell. '!C32+'1.5.sz.mell.'!C32</f>
        <v>538000000</v>
      </c>
      <c r="I32" s="414">
        <f t="shared" si="1"/>
        <v>0</v>
      </c>
    </row>
    <row r="33" spans="1:9" s="206" customFormat="1" ht="12" customHeight="1" thickBot="1" x14ac:dyDescent="0.25">
      <c r="A33" s="13" t="s">
        <v>211</v>
      </c>
      <c r="B33" s="207" t="s">
        <v>656</v>
      </c>
      <c r="C33" s="510">
        <f>SUM(D33:F33)</f>
        <v>486000000</v>
      </c>
      <c r="D33" s="316">
        <f>SUM(D34:D35)</f>
        <v>486000000</v>
      </c>
      <c r="E33" s="316">
        <f t="shared" ref="E33" si="2">SUM(E34:E35)</f>
        <v>0</v>
      </c>
      <c r="F33" s="316">
        <f t="shared" ref="F33" si="3">SUM(F34:F35)</f>
        <v>0</v>
      </c>
      <c r="H33" s="414">
        <f>'1.2.sz.mell. '!C33+'1.3.sz.mell.'!C33+'1.4.sz.mell. '!C33+'1.5.sz.mell.'!C33</f>
        <v>486000000</v>
      </c>
      <c r="I33" s="415">
        <f t="shared" si="1"/>
        <v>0</v>
      </c>
    </row>
    <row r="34" spans="1:9" s="206" customFormat="1" ht="12" customHeight="1" thickBot="1" x14ac:dyDescent="0.25">
      <c r="A34" s="12" t="s">
        <v>212</v>
      </c>
      <c r="B34" s="208" t="s">
        <v>217</v>
      </c>
      <c r="C34" s="322">
        <f t="shared" ref="C34:C38" si="4">SUM(D34:F34)</f>
        <v>86000000</v>
      </c>
      <c r="D34" s="119">
        <f>80000000+6000000</f>
        <v>86000000</v>
      </c>
      <c r="E34" s="131"/>
      <c r="F34" s="131"/>
      <c r="H34" s="414">
        <f>'1.2.sz.mell. '!C34+'1.3.sz.mell.'!C34+'1.4.sz.mell. '!C34+'1.5.sz.mell.'!C34</f>
        <v>86000000</v>
      </c>
      <c r="I34" s="416">
        <f t="shared" si="1"/>
        <v>0</v>
      </c>
    </row>
    <row r="35" spans="1:9" s="206" customFormat="1" ht="12" customHeight="1" thickBot="1" x14ac:dyDescent="0.25">
      <c r="A35" s="12" t="s">
        <v>213</v>
      </c>
      <c r="B35" s="266" t="s">
        <v>655</v>
      </c>
      <c r="C35" s="321">
        <f t="shared" si="4"/>
        <v>400000000</v>
      </c>
      <c r="D35" s="119">
        <f>400000000</f>
        <v>400000000</v>
      </c>
      <c r="E35" s="131"/>
      <c r="F35" s="131"/>
      <c r="H35" s="414">
        <f>'1.2.sz.mell. '!C35+'1.3.sz.mell.'!C35+'1.4.sz.mell. '!C35+'1.5.sz.mell.'!C35</f>
        <v>400000000</v>
      </c>
      <c r="I35" s="416">
        <f t="shared" si="1"/>
        <v>0</v>
      </c>
    </row>
    <row r="36" spans="1:9" s="206" customFormat="1" ht="12" customHeight="1" thickBot="1" x14ac:dyDescent="0.25">
      <c r="A36" s="12" t="s">
        <v>214</v>
      </c>
      <c r="B36" s="208" t="s">
        <v>538</v>
      </c>
      <c r="C36" s="321">
        <f t="shared" si="4"/>
        <v>0</v>
      </c>
      <c r="D36" s="282"/>
      <c r="E36" s="134"/>
      <c r="F36" s="134"/>
      <c r="H36" s="414">
        <f>'1.2.sz.mell. '!C36+'1.3.sz.mell.'!C36+'1.4.sz.mell. '!C36+'1.5.sz.mell.'!C36</f>
        <v>0</v>
      </c>
      <c r="I36" s="416">
        <f t="shared" si="1"/>
        <v>0</v>
      </c>
    </row>
    <row r="37" spans="1:9" s="206" customFormat="1" ht="12" customHeight="1" thickBot="1" x14ac:dyDescent="0.25">
      <c r="A37" s="12" t="s">
        <v>539</v>
      </c>
      <c r="B37" s="208" t="s">
        <v>218</v>
      </c>
      <c r="C37" s="321">
        <f t="shared" si="4"/>
        <v>35000000</v>
      </c>
      <c r="D37" s="119">
        <f>35000000</f>
        <v>35000000</v>
      </c>
      <c r="E37" s="131"/>
      <c r="F37" s="131"/>
      <c r="H37" s="414">
        <f>'1.2.sz.mell. '!C37+'1.3.sz.mell.'!C37+'1.4.sz.mell. '!C37+'1.5.sz.mell.'!C37</f>
        <v>35000000</v>
      </c>
      <c r="I37" s="416">
        <f t="shared" si="1"/>
        <v>0</v>
      </c>
    </row>
    <row r="38" spans="1:9" s="206" customFormat="1" ht="12" customHeight="1" thickBot="1" x14ac:dyDescent="0.25">
      <c r="A38" s="12" t="s">
        <v>216</v>
      </c>
      <c r="B38" s="208" t="s">
        <v>219</v>
      </c>
      <c r="C38" s="321">
        <f t="shared" si="4"/>
        <v>1000000</v>
      </c>
      <c r="D38" s="119">
        <f>1000000</f>
        <v>1000000</v>
      </c>
      <c r="E38" s="131"/>
      <c r="F38" s="131"/>
      <c r="H38" s="414">
        <f>'1.2.sz.mell. '!C38+'1.3.sz.mell.'!C38+'1.4.sz.mell. '!C38+'1.5.sz.mell.'!C38</f>
        <v>1000000</v>
      </c>
      <c r="I38" s="416">
        <f t="shared" si="1"/>
        <v>0</v>
      </c>
    </row>
    <row r="39" spans="1:9" s="206" customFormat="1" ht="12" customHeight="1" thickBot="1" x14ac:dyDescent="0.25">
      <c r="A39" s="14" t="s">
        <v>540</v>
      </c>
      <c r="B39" s="209" t="s">
        <v>220</v>
      </c>
      <c r="C39" s="511">
        <f t="shared" si="0"/>
        <v>16000000</v>
      </c>
      <c r="D39" s="286">
        <v>16000000</v>
      </c>
      <c r="E39" s="196"/>
      <c r="F39" s="196"/>
      <c r="H39" s="414">
        <f>'1.2.sz.mell. '!C39+'1.3.sz.mell.'!C39+'1.4.sz.mell. '!C39+'1.5.sz.mell.'!C39</f>
        <v>16000000</v>
      </c>
      <c r="I39" s="417">
        <f t="shared" si="1"/>
        <v>0</v>
      </c>
    </row>
    <row r="40" spans="1:9" s="206" customFormat="1" ht="12" customHeight="1" thickBot="1" x14ac:dyDescent="0.25">
      <c r="A40" s="18" t="s">
        <v>25</v>
      </c>
      <c r="B40" s="19" t="s">
        <v>452</v>
      </c>
      <c r="C40" s="130">
        <f t="shared" si="0"/>
        <v>345277930</v>
      </c>
      <c r="D40" s="298">
        <f>SUM(D41:D51)</f>
        <v>47290226</v>
      </c>
      <c r="E40" s="130">
        <f>SUM(E41:E51)</f>
        <v>10182614</v>
      </c>
      <c r="F40" s="130">
        <f>SUM(F41:F51)</f>
        <v>287805090</v>
      </c>
      <c r="H40" s="414">
        <f>'1.2.sz.mell. '!C40+'1.3.sz.mell.'!C40+'1.4.sz.mell. '!C40+'1.5.sz.mell.'!C40</f>
        <v>345277930</v>
      </c>
      <c r="I40" s="414">
        <f t="shared" si="1"/>
        <v>0</v>
      </c>
    </row>
    <row r="41" spans="1:9" s="206" customFormat="1" ht="12" customHeight="1" thickBot="1" x14ac:dyDescent="0.25">
      <c r="A41" s="13" t="s">
        <v>93</v>
      </c>
      <c r="B41" s="207" t="s">
        <v>223</v>
      </c>
      <c r="C41" s="510">
        <f t="shared" si="0"/>
        <v>8195576</v>
      </c>
      <c r="D41" s="302">
        <v>8175576</v>
      </c>
      <c r="E41" s="245"/>
      <c r="F41" s="245">
        <f>20000</f>
        <v>20000</v>
      </c>
      <c r="H41" s="414">
        <f>'1.2.sz.mell. '!C41+'1.3.sz.mell.'!C41+'1.4.sz.mell. '!C41+'1.5.sz.mell.'!C41</f>
        <v>8195576</v>
      </c>
      <c r="I41" s="415">
        <f t="shared" si="1"/>
        <v>0</v>
      </c>
    </row>
    <row r="42" spans="1:9" s="206" customFormat="1" ht="12.75" customHeight="1" thickBot="1" x14ac:dyDescent="0.25">
      <c r="A42" s="12" t="s">
        <v>94</v>
      </c>
      <c r="B42" s="208" t="s">
        <v>224</v>
      </c>
      <c r="C42" s="322">
        <f t="shared" si="0"/>
        <v>76669769</v>
      </c>
      <c r="D42" s="282">
        <v>18821599</v>
      </c>
      <c r="E42" s="134">
        <f>5000000+2132550+432500</f>
        <v>7565050</v>
      </c>
      <c r="F42" s="245">
        <f>600000+11297400+27518165+10867555</f>
        <v>50283120</v>
      </c>
      <c r="H42" s="414">
        <f>'1.2.sz.mell. '!C42+'1.3.sz.mell.'!C42+'1.4.sz.mell. '!C42+'1.5.sz.mell.'!C42</f>
        <v>76669769</v>
      </c>
      <c r="I42" s="416">
        <f t="shared" si="1"/>
        <v>0</v>
      </c>
    </row>
    <row r="43" spans="1:9" s="206" customFormat="1" ht="12" customHeight="1" thickBot="1" x14ac:dyDescent="0.25">
      <c r="A43" s="12" t="s">
        <v>95</v>
      </c>
      <c r="B43" s="208" t="s">
        <v>225</v>
      </c>
      <c r="C43" s="322">
        <f t="shared" ref="C43:C93" si="5">SUM(D43:F43)</f>
        <v>27920669</v>
      </c>
      <c r="D43" s="282">
        <v>8868669</v>
      </c>
      <c r="E43" s="134">
        <f>200000</f>
        <v>200000</v>
      </c>
      <c r="F43" s="245">
        <f>4600000+5000+1547000+12700000</f>
        <v>18852000</v>
      </c>
      <c r="H43" s="414">
        <f>'1.2.sz.mell. '!C43+'1.3.sz.mell.'!C43+'1.4.sz.mell. '!C43+'1.5.sz.mell.'!C43</f>
        <v>27920669</v>
      </c>
      <c r="I43" s="416">
        <f t="shared" si="1"/>
        <v>0</v>
      </c>
    </row>
    <row r="44" spans="1:9" s="206" customFormat="1" ht="12" customHeight="1" thickBot="1" x14ac:dyDescent="0.25">
      <c r="A44" s="12" t="s">
        <v>141</v>
      </c>
      <c r="B44" s="208" t="s">
        <v>226</v>
      </c>
      <c r="C44" s="322">
        <f t="shared" si="5"/>
        <v>1006560</v>
      </c>
      <c r="D44" s="282">
        <v>1006560</v>
      </c>
      <c r="E44" s="134"/>
      <c r="F44" s="245"/>
      <c r="H44" s="414">
        <f>'1.2.sz.mell. '!C44+'1.3.sz.mell.'!C44+'1.4.sz.mell. '!C44+'1.5.sz.mell.'!C44</f>
        <v>1006560</v>
      </c>
      <c r="I44" s="416">
        <f t="shared" si="1"/>
        <v>0</v>
      </c>
    </row>
    <row r="45" spans="1:9" s="206" customFormat="1" ht="12" customHeight="1" thickBot="1" x14ac:dyDescent="0.25">
      <c r="A45" s="12" t="s">
        <v>142</v>
      </c>
      <c r="B45" s="208" t="s">
        <v>227</v>
      </c>
      <c r="C45" s="322">
        <f t="shared" si="5"/>
        <v>196813506</v>
      </c>
      <c r="D45" s="282"/>
      <c r="E45" s="134"/>
      <c r="F45" s="245">
        <f>1472860+20383499+173575135+1382012</f>
        <v>196813506</v>
      </c>
      <c r="H45" s="414">
        <f>'1.2.sz.mell. '!C45+'1.3.sz.mell.'!C45+'1.4.sz.mell. '!C45+'1.5.sz.mell.'!C45</f>
        <v>196813506</v>
      </c>
      <c r="I45" s="416">
        <f t="shared" si="1"/>
        <v>0</v>
      </c>
    </row>
    <row r="46" spans="1:9" s="206" customFormat="1" ht="12" customHeight="1" thickBot="1" x14ac:dyDescent="0.25">
      <c r="A46" s="12" t="s">
        <v>143</v>
      </c>
      <c r="B46" s="208" t="s">
        <v>228</v>
      </c>
      <c r="C46" s="322">
        <f t="shared" si="5"/>
        <v>23568249</v>
      </c>
      <c r="D46" s="282">
        <v>8330221</v>
      </c>
      <c r="E46" s="134">
        <f>1485000+575789+116775</f>
        <v>2177564</v>
      </c>
      <c r="F46" s="245">
        <f>1801672+1526150+5641812+4090830</f>
        <v>13060464</v>
      </c>
      <c r="H46" s="414">
        <f>'1.2.sz.mell. '!C46+'1.3.sz.mell.'!C46+'1.4.sz.mell. '!C46+'1.5.sz.mell.'!C46</f>
        <v>23568249</v>
      </c>
      <c r="I46" s="416">
        <f t="shared" si="1"/>
        <v>0</v>
      </c>
    </row>
    <row r="47" spans="1:9" s="206" customFormat="1" ht="12" customHeight="1" thickBot="1" x14ac:dyDescent="0.25">
      <c r="A47" s="12" t="s">
        <v>144</v>
      </c>
      <c r="B47" s="208" t="s">
        <v>229</v>
      </c>
      <c r="C47" s="322">
        <f t="shared" si="5"/>
        <v>8775000</v>
      </c>
      <c r="D47" s="282"/>
      <c r="E47" s="134"/>
      <c r="F47" s="245">
        <f>366000+680000+7729000</f>
        <v>8775000</v>
      </c>
      <c r="H47" s="414">
        <f>'1.2.sz.mell. '!C47+'1.3.sz.mell.'!C47+'1.4.sz.mell. '!C47+'1.5.sz.mell.'!C47</f>
        <v>8775000</v>
      </c>
      <c r="I47" s="416">
        <f t="shared" si="1"/>
        <v>0</v>
      </c>
    </row>
    <row r="48" spans="1:9" s="206" customFormat="1" ht="12" customHeight="1" thickBot="1" x14ac:dyDescent="0.25">
      <c r="A48" s="12" t="s">
        <v>145</v>
      </c>
      <c r="B48" s="208" t="s">
        <v>544</v>
      </c>
      <c r="C48" s="322">
        <f t="shared" si="5"/>
        <v>0</v>
      </c>
      <c r="D48" s="282"/>
      <c r="E48" s="134"/>
      <c r="F48" s="245"/>
      <c r="H48" s="414">
        <f>'1.2.sz.mell. '!C48+'1.3.sz.mell.'!C48+'1.4.sz.mell. '!C48+'1.5.sz.mell.'!C48</f>
        <v>0</v>
      </c>
      <c r="I48" s="416">
        <f t="shared" si="1"/>
        <v>0</v>
      </c>
    </row>
    <row r="49" spans="1:9" s="206" customFormat="1" ht="12" customHeight="1" thickBot="1" x14ac:dyDescent="0.25">
      <c r="A49" s="12" t="s">
        <v>221</v>
      </c>
      <c r="B49" s="208" t="s">
        <v>231</v>
      </c>
      <c r="C49" s="322">
        <f t="shared" si="5"/>
        <v>0</v>
      </c>
      <c r="D49" s="282"/>
      <c r="E49" s="134"/>
      <c r="F49" s="245"/>
      <c r="H49" s="414">
        <f>'1.2.sz.mell. '!C49+'1.3.sz.mell.'!C49+'1.4.sz.mell. '!C49+'1.5.sz.mell.'!C49</f>
        <v>0</v>
      </c>
      <c r="I49" s="416">
        <f t="shared" si="1"/>
        <v>0</v>
      </c>
    </row>
    <row r="50" spans="1:9" s="206" customFormat="1" ht="12" customHeight="1" thickBot="1" x14ac:dyDescent="0.25">
      <c r="A50" s="14" t="s">
        <v>222</v>
      </c>
      <c r="B50" s="209" t="s">
        <v>453</v>
      </c>
      <c r="C50" s="322">
        <f t="shared" si="5"/>
        <v>1000000</v>
      </c>
      <c r="D50" s="286">
        <v>1000000</v>
      </c>
      <c r="E50" s="196"/>
      <c r="F50" s="245"/>
      <c r="H50" s="414">
        <f>'1.2.sz.mell. '!C50+'1.3.sz.mell.'!C50+'1.4.sz.mell. '!C50+'1.5.sz.mell.'!C50</f>
        <v>1000000</v>
      </c>
      <c r="I50" s="416">
        <f t="shared" si="1"/>
        <v>0</v>
      </c>
    </row>
    <row r="51" spans="1:9" s="206" customFormat="1" ht="12" customHeight="1" thickBot="1" x14ac:dyDescent="0.25">
      <c r="A51" s="14" t="s">
        <v>454</v>
      </c>
      <c r="B51" s="127" t="s">
        <v>232</v>
      </c>
      <c r="C51" s="511">
        <f t="shared" si="5"/>
        <v>1328601</v>
      </c>
      <c r="D51" s="286">
        <v>1087601</v>
      </c>
      <c r="E51" s="196">
        <f>240000</f>
        <v>240000</v>
      </c>
      <c r="F51" s="245">
        <f>1000</f>
        <v>1000</v>
      </c>
      <c r="H51" s="414">
        <f>'1.2.sz.mell. '!C51+'1.3.sz.mell.'!C51+'1.4.sz.mell. '!C51+'1.5.sz.mell.'!C51</f>
        <v>1328601</v>
      </c>
      <c r="I51" s="417">
        <f t="shared" si="1"/>
        <v>0</v>
      </c>
    </row>
    <row r="52" spans="1:9" s="206" customFormat="1" ht="12" customHeight="1" thickBot="1" x14ac:dyDescent="0.25">
      <c r="A52" s="18" t="s">
        <v>26</v>
      </c>
      <c r="B52" s="19" t="s">
        <v>233</v>
      </c>
      <c r="C52" s="130">
        <f t="shared" si="5"/>
        <v>44604508</v>
      </c>
      <c r="D52" s="298">
        <f>SUM(D53:D57)</f>
        <v>44304508</v>
      </c>
      <c r="E52" s="130">
        <f>SUM(E53:E57)</f>
        <v>300000</v>
      </c>
      <c r="F52" s="130">
        <f>SUM(F53:F57)</f>
        <v>0</v>
      </c>
      <c r="H52" s="414">
        <f>'1.2.sz.mell. '!C52+'1.3.sz.mell.'!C52+'1.4.sz.mell. '!C52+'1.5.sz.mell.'!C52</f>
        <v>44604508</v>
      </c>
      <c r="I52" s="414">
        <f t="shared" si="1"/>
        <v>0</v>
      </c>
    </row>
    <row r="53" spans="1:9" s="206" customFormat="1" ht="12" customHeight="1" thickBot="1" x14ac:dyDescent="0.25">
      <c r="A53" s="13" t="s">
        <v>96</v>
      </c>
      <c r="B53" s="207" t="s">
        <v>237</v>
      </c>
      <c r="C53" s="512">
        <f t="shared" si="5"/>
        <v>0</v>
      </c>
      <c r="D53" s="302"/>
      <c r="E53" s="245"/>
      <c r="F53" s="245"/>
      <c r="H53" s="414">
        <f>'1.2.sz.mell. '!C53+'1.3.sz.mell.'!C53+'1.4.sz.mell. '!C53+'1.5.sz.mell.'!C53</f>
        <v>0</v>
      </c>
      <c r="I53" s="415">
        <f t="shared" si="1"/>
        <v>0</v>
      </c>
    </row>
    <row r="54" spans="1:9" s="206" customFormat="1" ht="12" customHeight="1" thickBot="1" x14ac:dyDescent="0.25">
      <c r="A54" s="12" t="s">
        <v>97</v>
      </c>
      <c r="B54" s="208" t="s">
        <v>238</v>
      </c>
      <c r="C54" s="322">
        <f t="shared" si="5"/>
        <v>44304508</v>
      </c>
      <c r="D54" s="282">
        <v>44304508</v>
      </c>
      <c r="E54" s="134"/>
      <c r="F54" s="134"/>
      <c r="H54" s="414">
        <f>'1.2.sz.mell. '!C54+'1.3.sz.mell.'!C54+'1.4.sz.mell. '!C54+'1.5.sz.mell.'!C54</f>
        <v>44304508</v>
      </c>
      <c r="I54" s="416">
        <f t="shared" si="1"/>
        <v>0</v>
      </c>
    </row>
    <row r="55" spans="1:9" s="206" customFormat="1" ht="12" customHeight="1" thickBot="1" x14ac:dyDescent="0.25">
      <c r="A55" s="12" t="s">
        <v>234</v>
      </c>
      <c r="B55" s="208" t="s">
        <v>239</v>
      </c>
      <c r="C55" s="322">
        <f t="shared" si="5"/>
        <v>300000</v>
      </c>
      <c r="D55" s="282"/>
      <c r="E55" s="134">
        <v>300000</v>
      </c>
      <c r="F55" s="134"/>
      <c r="H55" s="414">
        <f>'1.2.sz.mell. '!C55+'1.3.sz.mell.'!C55+'1.4.sz.mell. '!C55+'1.5.sz.mell.'!C55</f>
        <v>300000</v>
      </c>
      <c r="I55" s="416">
        <f t="shared" si="1"/>
        <v>0</v>
      </c>
    </row>
    <row r="56" spans="1:9" s="206" customFormat="1" ht="12" customHeight="1" thickBot="1" x14ac:dyDescent="0.25">
      <c r="A56" s="12" t="s">
        <v>235</v>
      </c>
      <c r="B56" s="208" t="s">
        <v>240</v>
      </c>
      <c r="C56" s="322">
        <f t="shared" si="5"/>
        <v>0</v>
      </c>
      <c r="D56" s="282"/>
      <c r="E56" s="134"/>
      <c r="F56" s="134"/>
      <c r="H56" s="414">
        <f>'1.2.sz.mell. '!C56+'1.3.sz.mell.'!C56+'1.4.sz.mell. '!C56+'1.5.sz.mell.'!C56</f>
        <v>0</v>
      </c>
      <c r="I56" s="416">
        <f t="shared" si="1"/>
        <v>0</v>
      </c>
    </row>
    <row r="57" spans="1:9" s="206" customFormat="1" ht="12" customHeight="1" thickBot="1" x14ac:dyDescent="0.25">
      <c r="A57" s="14" t="s">
        <v>236</v>
      </c>
      <c r="B57" s="127" t="s">
        <v>241</v>
      </c>
      <c r="C57" s="514">
        <f t="shared" si="5"/>
        <v>0</v>
      </c>
      <c r="D57" s="286"/>
      <c r="E57" s="196"/>
      <c r="F57" s="196"/>
      <c r="H57" s="414">
        <f>'1.2.sz.mell. '!C57+'1.3.sz.mell.'!C57+'1.4.sz.mell. '!C57+'1.5.sz.mell.'!C57</f>
        <v>0</v>
      </c>
      <c r="I57" s="417">
        <f t="shared" si="1"/>
        <v>0</v>
      </c>
    </row>
    <row r="58" spans="1:9" s="206" customFormat="1" ht="12" customHeight="1" thickBot="1" x14ac:dyDescent="0.25">
      <c r="A58" s="18" t="s">
        <v>146</v>
      </c>
      <c r="B58" s="489" t="s">
        <v>242</v>
      </c>
      <c r="C58" s="312">
        <f t="shared" si="5"/>
        <v>2175000</v>
      </c>
      <c r="D58" s="298">
        <f>SUM(D59:D61)</f>
        <v>2175000</v>
      </c>
      <c r="E58" s="130">
        <f>SUM(E59:E61)</f>
        <v>0</v>
      </c>
      <c r="F58" s="130">
        <f>SUM(F59:F61)</f>
        <v>0</v>
      </c>
      <c r="H58" s="414">
        <f>'1.2.sz.mell. '!C58+'1.3.sz.mell.'!C58+'1.4.sz.mell. '!C58+'1.5.sz.mell.'!C58</f>
        <v>2175000</v>
      </c>
      <c r="I58" s="414">
        <f t="shared" si="1"/>
        <v>0</v>
      </c>
    </row>
    <row r="59" spans="1:9" s="206" customFormat="1" ht="12" customHeight="1" thickBot="1" x14ac:dyDescent="0.25">
      <c r="A59" s="13" t="s">
        <v>98</v>
      </c>
      <c r="B59" s="207" t="s">
        <v>243</v>
      </c>
      <c r="C59" s="515">
        <f t="shared" si="5"/>
        <v>0</v>
      </c>
      <c r="D59" s="300"/>
      <c r="E59" s="132"/>
      <c r="F59" s="132"/>
      <c r="H59" s="414">
        <f>'1.2.sz.mell. '!C59+'1.3.sz.mell.'!C59+'1.4.sz.mell. '!C59+'1.5.sz.mell.'!C59</f>
        <v>0</v>
      </c>
      <c r="I59" s="415">
        <f t="shared" si="1"/>
        <v>0</v>
      </c>
    </row>
    <row r="60" spans="1:9" s="206" customFormat="1" ht="12" customHeight="1" thickBot="1" x14ac:dyDescent="0.25">
      <c r="A60" s="12" t="s">
        <v>99</v>
      </c>
      <c r="B60" s="208" t="s">
        <v>374</v>
      </c>
      <c r="C60" s="322">
        <f t="shared" si="5"/>
        <v>600000</v>
      </c>
      <c r="D60" s="282">
        <f>200000+400000</f>
        <v>600000</v>
      </c>
      <c r="E60" s="134"/>
      <c r="F60" s="134"/>
      <c r="H60" s="414">
        <f>'1.2.sz.mell. '!C60+'1.3.sz.mell.'!C60+'1.4.sz.mell. '!C60+'1.5.sz.mell.'!C60</f>
        <v>600000</v>
      </c>
      <c r="I60" s="416">
        <f t="shared" si="1"/>
        <v>0</v>
      </c>
    </row>
    <row r="61" spans="1:9" s="206" customFormat="1" ht="12" customHeight="1" thickBot="1" x14ac:dyDescent="0.25">
      <c r="A61" s="12" t="s">
        <v>246</v>
      </c>
      <c r="B61" s="208" t="s">
        <v>244</v>
      </c>
      <c r="C61" s="322">
        <f t="shared" si="5"/>
        <v>1575000</v>
      </c>
      <c r="D61" s="282">
        <f>675000+900000</f>
        <v>1575000</v>
      </c>
      <c r="E61" s="134"/>
      <c r="F61" s="134"/>
      <c r="H61" s="414">
        <f>'1.2.sz.mell. '!C61+'1.3.sz.mell.'!C61+'1.4.sz.mell. '!C61+'1.5.sz.mell.'!C61</f>
        <v>1575000</v>
      </c>
      <c r="I61" s="416">
        <f t="shared" si="1"/>
        <v>0</v>
      </c>
    </row>
    <row r="62" spans="1:9" s="206" customFormat="1" ht="12" customHeight="1" thickBot="1" x14ac:dyDescent="0.25">
      <c r="A62" s="14" t="s">
        <v>247</v>
      </c>
      <c r="B62" s="127" t="s">
        <v>245</v>
      </c>
      <c r="C62" s="511">
        <f t="shared" si="5"/>
        <v>0</v>
      </c>
      <c r="D62" s="120"/>
      <c r="E62" s="133"/>
      <c r="F62" s="133"/>
      <c r="H62" s="414">
        <f>'1.2.sz.mell. '!C62+'1.3.sz.mell.'!C62+'1.4.sz.mell. '!C62+'1.5.sz.mell.'!C62</f>
        <v>0</v>
      </c>
      <c r="I62" s="417">
        <f t="shared" si="1"/>
        <v>0</v>
      </c>
    </row>
    <row r="63" spans="1:9" s="206" customFormat="1" ht="12" customHeight="1" thickBot="1" x14ac:dyDescent="0.25">
      <c r="A63" s="18" t="s">
        <v>28</v>
      </c>
      <c r="B63" s="125" t="s">
        <v>248</v>
      </c>
      <c r="C63" s="130">
        <f t="shared" si="5"/>
        <v>0</v>
      </c>
      <c r="D63" s="298">
        <f>SUM(D64:D66)</f>
        <v>0</v>
      </c>
      <c r="E63" s="130">
        <f>SUM(E64:E66)</f>
        <v>0</v>
      </c>
      <c r="F63" s="130">
        <f>SUM(F64:F66)</f>
        <v>0</v>
      </c>
      <c r="H63" s="414">
        <f>'1.2.sz.mell. '!C63+'1.3.sz.mell.'!C63+'1.4.sz.mell. '!C63+'1.5.sz.mell.'!C63</f>
        <v>0</v>
      </c>
      <c r="I63" s="414">
        <f t="shared" si="1"/>
        <v>0</v>
      </c>
    </row>
    <row r="64" spans="1:9" s="206" customFormat="1" ht="12" customHeight="1" thickBot="1" x14ac:dyDescent="0.25">
      <c r="A64" s="13" t="s">
        <v>147</v>
      </c>
      <c r="B64" s="207" t="s">
        <v>250</v>
      </c>
      <c r="C64" s="512">
        <f t="shared" si="5"/>
        <v>0</v>
      </c>
      <c r="D64" s="282"/>
      <c r="E64" s="134"/>
      <c r="F64" s="134"/>
      <c r="H64" s="414">
        <f>'1.2.sz.mell. '!C64+'1.3.sz.mell.'!C64+'1.4.sz.mell. '!C64+'1.5.sz.mell.'!C64</f>
        <v>0</v>
      </c>
      <c r="I64" s="415">
        <f t="shared" si="1"/>
        <v>0</v>
      </c>
    </row>
    <row r="65" spans="1:9" s="206" customFormat="1" ht="12" customHeight="1" thickBot="1" x14ac:dyDescent="0.25">
      <c r="A65" s="12" t="s">
        <v>148</v>
      </c>
      <c r="B65" s="208" t="s">
        <v>375</v>
      </c>
      <c r="C65" s="513">
        <f t="shared" si="5"/>
        <v>0</v>
      </c>
      <c r="D65" s="282"/>
      <c r="E65" s="134"/>
      <c r="F65" s="134"/>
      <c r="H65" s="414">
        <f>'1.2.sz.mell. '!C65+'1.3.sz.mell.'!C65+'1.4.sz.mell. '!C65+'1.5.sz.mell.'!C65</f>
        <v>0</v>
      </c>
      <c r="I65" s="416">
        <f t="shared" si="1"/>
        <v>0</v>
      </c>
    </row>
    <row r="66" spans="1:9" s="206" customFormat="1" ht="12" customHeight="1" thickBot="1" x14ac:dyDescent="0.25">
      <c r="A66" s="12" t="s">
        <v>174</v>
      </c>
      <c r="B66" s="208" t="s">
        <v>251</v>
      </c>
      <c r="C66" s="513">
        <f t="shared" si="5"/>
        <v>0</v>
      </c>
      <c r="D66" s="282"/>
      <c r="E66" s="134"/>
      <c r="F66" s="134"/>
      <c r="H66" s="414">
        <f>'1.2.sz.mell. '!C66+'1.3.sz.mell.'!C66+'1.4.sz.mell. '!C66+'1.5.sz.mell.'!C66</f>
        <v>0</v>
      </c>
      <c r="I66" s="416">
        <f t="shared" si="1"/>
        <v>0</v>
      </c>
    </row>
    <row r="67" spans="1:9" s="206" customFormat="1" ht="12" customHeight="1" thickBot="1" x14ac:dyDescent="0.25">
      <c r="A67" s="14" t="s">
        <v>249</v>
      </c>
      <c r="B67" s="127" t="s">
        <v>252</v>
      </c>
      <c r="C67" s="514">
        <f t="shared" si="5"/>
        <v>0</v>
      </c>
      <c r="D67" s="282"/>
      <c r="E67" s="134"/>
      <c r="F67" s="134"/>
      <c r="H67" s="414">
        <f>'1.2.sz.mell. '!C67+'1.3.sz.mell.'!C67+'1.4.sz.mell. '!C67+'1.5.sz.mell.'!C67</f>
        <v>0</v>
      </c>
      <c r="I67" s="417">
        <f t="shared" si="1"/>
        <v>0</v>
      </c>
    </row>
    <row r="68" spans="1:9" s="206" customFormat="1" ht="12" customHeight="1" thickBot="1" x14ac:dyDescent="0.25">
      <c r="A68" s="267" t="s">
        <v>455</v>
      </c>
      <c r="B68" s="19" t="s">
        <v>253</v>
      </c>
      <c r="C68" s="130">
        <f t="shared" si="5"/>
        <v>2743416592</v>
      </c>
      <c r="D68" s="301">
        <f>+D11+D18+D25+D32+D40+D52+D58+D63</f>
        <v>2326722559</v>
      </c>
      <c r="E68" s="135">
        <f>+E11+E18+E25+E32+E40+E52+E58+E63</f>
        <v>10482614</v>
      </c>
      <c r="F68" s="135">
        <f>+F11+F18+F25+F32+F40+F52+F58+F63</f>
        <v>406211419</v>
      </c>
      <c r="H68" s="414">
        <f>'1.2.sz.mell. '!C68+'1.3.sz.mell.'!C68+'1.4.sz.mell. '!C68+'1.5.sz.mell.'!C68</f>
        <v>2743416592</v>
      </c>
      <c r="I68" s="414">
        <f t="shared" si="1"/>
        <v>0</v>
      </c>
    </row>
    <row r="69" spans="1:9" s="206" customFormat="1" ht="12" customHeight="1" thickBot="1" x14ac:dyDescent="0.25">
      <c r="A69" s="268" t="s">
        <v>254</v>
      </c>
      <c r="B69" s="125" t="s">
        <v>255</v>
      </c>
      <c r="C69" s="130">
        <f t="shared" si="5"/>
        <v>742411899</v>
      </c>
      <c r="D69" s="298">
        <f>SUM(D70:D72)</f>
        <v>742411899</v>
      </c>
      <c r="E69" s="130">
        <f>SUM(E70:E72)</f>
        <v>0</v>
      </c>
      <c r="F69" s="130">
        <f>SUM(F70:F72)</f>
        <v>0</v>
      </c>
      <c r="H69" s="414">
        <f>'1.2.sz.mell. '!C69+'1.3.sz.mell.'!C69+'1.4.sz.mell. '!C69+'1.5.sz.mell.'!C69</f>
        <v>742411899</v>
      </c>
      <c r="I69" s="414">
        <f t="shared" si="1"/>
        <v>0</v>
      </c>
    </row>
    <row r="70" spans="1:9" s="206" customFormat="1" ht="12" customHeight="1" thickBot="1" x14ac:dyDescent="0.25">
      <c r="A70" s="13" t="s">
        <v>286</v>
      </c>
      <c r="B70" s="207" t="s">
        <v>256</v>
      </c>
      <c r="C70" s="510">
        <f t="shared" si="5"/>
        <v>42411899</v>
      </c>
      <c r="D70" s="282">
        <f>44951899-2540000</f>
        <v>42411899</v>
      </c>
      <c r="E70" s="134"/>
      <c r="F70" s="134"/>
      <c r="H70" s="414">
        <f>'1.2.sz.mell. '!C70+'1.3.sz.mell.'!C70+'1.4.sz.mell. '!C70+'1.5.sz.mell.'!C70</f>
        <v>42411899</v>
      </c>
      <c r="I70" s="415">
        <f t="shared" si="1"/>
        <v>0</v>
      </c>
    </row>
    <row r="71" spans="1:9" s="206" customFormat="1" ht="12" customHeight="1" thickBot="1" x14ac:dyDescent="0.25">
      <c r="A71" s="12" t="s">
        <v>295</v>
      </c>
      <c r="B71" s="208" t="s">
        <v>257</v>
      </c>
      <c r="C71" s="322">
        <f t="shared" si="5"/>
        <v>700000000</v>
      </c>
      <c r="D71" s="282">
        <v>700000000</v>
      </c>
      <c r="E71" s="134"/>
      <c r="F71" s="134"/>
      <c r="H71" s="414">
        <f>'1.2.sz.mell. '!C71+'1.3.sz.mell.'!C71+'1.4.sz.mell. '!C71+'1.5.sz.mell.'!C71</f>
        <v>700000000</v>
      </c>
      <c r="I71" s="416">
        <f t="shared" si="1"/>
        <v>0</v>
      </c>
    </row>
    <row r="72" spans="1:9" s="206" customFormat="1" ht="12" customHeight="1" thickBot="1" x14ac:dyDescent="0.25">
      <c r="A72" s="14" t="s">
        <v>296</v>
      </c>
      <c r="B72" s="269" t="s">
        <v>456</v>
      </c>
      <c r="C72" s="514">
        <f t="shared" si="5"/>
        <v>0</v>
      </c>
      <c r="D72" s="282"/>
      <c r="E72" s="134"/>
      <c r="F72" s="134"/>
      <c r="H72" s="414">
        <f>'1.2.sz.mell. '!C72+'1.3.sz.mell.'!C72+'1.4.sz.mell. '!C72+'1.5.sz.mell.'!C72</f>
        <v>0</v>
      </c>
      <c r="I72" s="417">
        <f t="shared" si="1"/>
        <v>0</v>
      </c>
    </row>
    <row r="73" spans="1:9" s="206" customFormat="1" ht="12" customHeight="1" thickBot="1" x14ac:dyDescent="0.25">
      <c r="A73" s="268" t="s">
        <v>259</v>
      </c>
      <c r="B73" s="125" t="s">
        <v>260</v>
      </c>
      <c r="C73" s="130">
        <f t="shared" si="5"/>
        <v>0</v>
      </c>
      <c r="D73" s="298">
        <f>SUM(D74:D77)</f>
        <v>0</v>
      </c>
      <c r="E73" s="130">
        <f>SUM(E74:E77)</f>
        <v>0</v>
      </c>
      <c r="F73" s="130">
        <f>SUM(F74:F77)</f>
        <v>0</v>
      </c>
      <c r="H73" s="414">
        <f>'1.2.sz.mell. '!C73+'1.3.sz.mell.'!C73+'1.4.sz.mell. '!C73+'1.5.sz.mell.'!C73</f>
        <v>0</v>
      </c>
      <c r="I73" s="414">
        <f t="shared" si="1"/>
        <v>0</v>
      </c>
    </row>
    <row r="74" spans="1:9" s="206" customFormat="1" ht="12" customHeight="1" thickBot="1" x14ac:dyDescent="0.25">
      <c r="A74" s="13" t="s">
        <v>127</v>
      </c>
      <c r="B74" s="207" t="s">
        <v>261</v>
      </c>
      <c r="C74" s="512">
        <f t="shared" si="5"/>
        <v>0</v>
      </c>
      <c r="D74" s="282"/>
      <c r="E74" s="134"/>
      <c r="F74" s="134"/>
      <c r="H74" s="414">
        <f>'1.2.sz.mell. '!C74+'1.3.sz.mell.'!C74+'1.4.sz.mell. '!C74+'1.5.sz.mell.'!C74</f>
        <v>0</v>
      </c>
      <c r="I74" s="415">
        <f t="shared" si="1"/>
        <v>0</v>
      </c>
    </row>
    <row r="75" spans="1:9" s="206" customFormat="1" ht="12" customHeight="1" thickBot="1" x14ac:dyDescent="0.25">
      <c r="A75" s="12" t="s">
        <v>128</v>
      </c>
      <c r="B75" s="208" t="s">
        <v>262</v>
      </c>
      <c r="C75" s="513">
        <f t="shared" si="5"/>
        <v>0</v>
      </c>
      <c r="D75" s="282"/>
      <c r="E75" s="134"/>
      <c r="F75" s="134"/>
      <c r="H75" s="414">
        <f>'1.2.sz.mell. '!C75+'1.3.sz.mell.'!C75+'1.4.sz.mell. '!C75+'1.5.sz.mell.'!C75</f>
        <v>0</v>
      </c>
      <c r="I75" s="416">
        <f t="shared" ref="I75:I93" si="6">C75-H75</f>
        <v>0</v>
      </c>
    </row>
    <row r="76" spans="1:9" s="206" customFormat="1" ht="12" customHeight="1" thickBot="1" x14ac:dyDescent="0.25">
      <c r="A76" s="12" t="s">
        <v>287</v>
      </c>
      <c r="B76" s="208" t="s">
        <v>263</v>
      </c>
      <c r="C76" s="513">
        <f t="shared" si="5"/>
        <v>0</v>
      </c>
      <c r="D76" s="282"/>
      <c r="E76" s="134"/>
      <c r="F76" s="134"/>
      <c r="H76" s="414">
        <f>'1.2.sz.mell. '!C76+'1.3.sz.mell.'!C76+'1.4.sz.mell. '!C76+'1.5.sz.mell.'!C76</f>
        <v>0</v>
      </c>
      <c r="I76" s="416">
        <f t="shared" si="6"/>
        <v>0</v>
      </c>
    </row>
    <row r="77" spans="1:9" s="206" customFormat="1" ht="12" customHeight="1" thickBot="1" x14ac:dyDescent="0.25">
      <c r="A77" s="14" t="s">
        <v>288</v>
      </c>
      <c r="B77" s="127" t="s">
        <v>264</v>
      </c>
      <c r="C77" s="514">
        <f t="shared" si="5"/>
        <v>0</v>
      </c>
      <c r="D77" s="282"/>
      <c r="E77" s="134"/>
      <c r="F77" s="134"/>
      <c r="H77" s="414">
        <f>'1.2.sz.mell. '!C77+'1.3.sz.mell.'!C77+'1.4.sz.mell. '!C77+'1.5.sz.mell.'!C77</f>
        <v>0</v>
      </c>
      <c r="I77" s="417">
        <f t="shared" si="6"/>
        <v>0</v>
      </c>
    </row>
    <row r="78" spans="1:9" s="206" customFormat="1" ht="12" customHeight="1" thickBot="1" x14ac:dyDescent="0.25">
      <c r="A78" s="268" t="s">
        <v>265</v>
      </c>
      <c r="B78" s="125" t="s">
        <v>266</v>
      </c>
      <c r="C78" s="130">
        <f t="shared" si="5"/>
        <v>967968475</v>
      </c>
      <c r="D78" s="298">
        <f>SUM(D79:D80)</f>
        <v>941573826</v>
      </c>
      <c r="E78" s="130">
        <f>SUM(E79:E80)</f>
        <v>327465</v>
      </c>
      <c r="F78" s="130">
        <f>SUM(F79:F80)</f>
        <v>26067184</v>
      </c>
      <c r="H78" s="414">
        <f>'1.2.sz.mell. '!C78+'1.3.sz.mell.'!C78+'1.4.sz.mell. '!C78+'1.5.sz.mell.'!C78</f>
        <v>967968475</v>
      </c>
      <c r="I78" s="414">
        <f t="shared" si="6"/>
        <v>0</v>
      </c>
    </row>
    <row r="79" spans="1:9" s="206" customFormat="1" ht="12" customHeight="1" thickBot="1" x14ac:dyDescent="0.25">
      <c r="A79" s="13" t="s">
        <v>289</v>
      </c>
      <c r="B79" s="207" t="s">
        <v>267</v>
      </c>
      <c r="C79" s="510">
        <f t="shared" si="5"/>
        <v>967968475</v>
      </c>
      <c r="D79" s="282">
        <v>941573826</v>
      </c>
      <c r="E79" s="134">
        <f>327465</f>
        <v>327465</v>
      </c>
      <c r="F79" s="134">
        <f>20521695+3481566+752726+490516+820681</f>
        <v>26067184</v>
      </c>
      <c r="H79" s="414">
        <f>'1.2.sz.mell. '!C79+'1.3.sz.mell.'!C79+'1.4.sz.mell. '!C79+'1.5.sz.mell.'!C79</f>
        <v>967968475</v>
      </c>
      <c r="I79" s="415">
        <f t="shared" si="6"/>
        <v>0</v>
      </c>
    </row>
    <row r="80" spans="1:9" s="206" customFormat="1" ht="12" customHeight="1" thickBot="1" x14ac:dyDescent="0.25">
      <c r="A80" s="14" t="s">
        <v>290</v>
      </c>
      <c r="B80" s="127" t="s">
        <v>268</v>
      </c>
      <c r="C80" s="514">
        <f t="shared" si="5"/>
        <v>0</v>
      </c>
      <c r="D80" s="282"/>
      <c r="E80" s="134"/>
      <c r="F80" s="134"/>
      <c r="H80" s="414">
        <f>'1.2.sz.mell. '!C80+'1.3.sz.mell.'!C80+'1.4.sz.mell. '!C80+'1.5.sz.mell.'!C80</f>
        <v>0</v>
      </c>
      <c r="I80" s="417">
        <f t="shared" si="6"/>
        <v>0</v>
      </c>
    </row>
    <row r="81" spans="1:9" s="206" customFormat="1" ht="12" customHeight="1" thickBot="1" x14ac:dyDescent="0.25">
      <c r="A81" s="268" t="s">
        <v>269</v>
      </c>
      <c r="B81" s="125" t="s">
        <v>270</v>
      </c>
      <c r="C81" s="130">
        <f t="shared" si="5"/>
        <v>0</v>
      </c>
      <c r="D81" s="298">
        <f>SUM(D82:D84)</f>
        <v>0</v>
      </c>
      <c r="E81" s="130">
        <f>SUM(E82:E84)</f>
        <v>0</v>
      </c>
      <c r="F81" s="130">
        <f>SUM(F82:F84)</f>
        <v>0</v>
      </c>
      <c r="H81" s="414">
        <f>'1.2.sz.mell. '!C81+'1.3.sz.mell.'!C81+'1.4.sz.mell. '!C81+'1.5.sz.mell.'!C81</f>
        <v>0</v>
      </c>
      <c r="I81" s="414">
        <f t="shared" si="6"/>
        <v>0</v>
      </c>
    </row>
    <row r="82" spans="1:9" s="206" customFormat="1" ht="12" customHeight="1" thickBot="1" x14ac:dyDescent="0.25">
      <c r="A82" s="13" t="s">
        <v>291</v>
      </c>
      <c r="B82" s="207" t="s">
        <v>271</v>
      </c>
      <c r="C82" s="512">
        <f t="shared" si="5"/>
        <v>0</v>
      </c>
      <c r="D82" s="282"/>
      <c r="E82" s="134"/>
      <c r="F82" s="134"/>
      <c r="H82" s="414">
        <f>'1.2.sz.mell. '!C82+'1.3.sz.mell.'!C82+'1.4.sz.mell. '!C82+'1.5.sz.mell.'!C82</f>
        <v>0</v>
      </c>
      <c r="I82" s="415">
        <f t="shared" si="6"/>
        <v>0</v>
      </c>
    </row>
    <row r="83" spans="1:9" s="206" customFormat="1" ht="12" customHeight="1" thickBot="1" x14ac:dyDescent="0.25">
      <c r="A83" s="12" t="s">
        <v>292</v>
      </c>
      <c r="B83" s="208" t="s">
        <v>272</v>
      </c>
      <c r="C83" s="513">
        <f t="shared" si="5"/>
        <v>0</v>
      </c>
      <c r="D83" s="282"/>
      <c r="E83" s="134"/>
      <c r="F83" s="134"/>
      <c r="H83" s="414">
        <f>'1.2.sz.mell. '!C83+'1.3.sz.mell.'!C83+'1.4.sz.mell. '!C83+'1.5.sz.mell.'!C83</f>
        <v>0</v>
      </c>
      <c r="I83" s="416">
        <f t="shared" si="6"/>
        <v>0</v>
      </c>
    </row>
    <row r="84" spans="1:9" s="206" customFormat="1" ht="12" customHeight="1" thickBot="1" x14ac:dyDescent="0.25">
      <c r="A84" s="14" t="s">
        <v>293</v>
      </c>
      <c r="B84" s="127" t="s">
        <v>273</v>
      </c>
      <c r="C84" s="514">
        <f t="shared" si="5"/>
        <v>0</v>
      </c>
      <c r="D84" s="282"/>
      <c r="E84" s="134"/>
      <c r="F84" s="134"/>
      <c r="H84" s="414">
        <f>'1.2.sz.mell. '!C84+'1.3.sz.mell.'!C84+'1.4.sz.mell. '!C84+'1.5.sz.mell.'!C84</f>
        <v>0</v>
      </c>
      <c r="I84" s="417">
        <f t="shared" si="6"/>
        <v>0</v>
      </c>
    </row>
    <row r="85" spans="1:9" s="206" customFormat="1" ht="12" customHeight="1" thickBot="1" x14ac:dyDescent="0.25">
      <c r="A85" s="268" t="s">
        <v>274</v>
      </c>
      <c r="B85" s="125" t="s">
        <v>294</v>
      </c>
      <c r="C85" s="130">
        <f t="shared" si="5"/>
        <v>0</v>
      </c>
      <c r="D85" s="298">
        <f>SUM(D86:D89)</f>
        <v>0</v>
      </c>
      <c r="E85" s="130">
        <f>SUM(E86:E89)</f>
        <v>0</v>
      </c>
      <c r="F85" s="130">
        <f>SUM(F86:F89)</f>
        <v>0</v>
      </c>
      <c r="H85" s="414">
        <f>'1.2.sz.mell. '!C85+'1.3.sz.mell.'!C85+'1.4.sz.mell. '!C85+'1.5.sz.mell.'!C85</f>
        <v>0</v>
      </c>
      <c r="I85" s="414">
        <f t="shared" si="6"/>
        <v>0</v>
      </c>
    </row>
    <row r="86" spans="1:9" s="206" customFormat="1" ht="12" customHeight="1" thickBot="1" x14ac:dyDescent="0.25">
      <c r="A86" s="211" t="s">
        <v>275</v>
      </c>
      <c r="B86" s="207" t="s">
        <v>276</v>
      </c>
      <c r="C86" s="512">
        <f t="shared" si="5"/>
        <v>0</v>
      </c>
      <c r="D86" s="282"/>
      <c r="E86" s="134"/>
      <c r="F86" s="134"/>
      <c r="H86" s="414">
        <f>'1.2.sz.mell. '!C86+'1.3.sz.mell.'!C86+'1.4.sz.mell. '!C86+'1.5.sz.mell.'!C86</f>
        <v>0</v>
      </c>
      <c r="I86" s="415">
        <f t="shared" si="6"/>
        <v>0</v>
      </c>
    </row>
    <row r="87" spans="1:9" s="206" customFormat="1" ht="12" customHeight="1" thickBot="1" x14ac:dyDescent="0.25">
      <c r="A87" s="212" t="s">
        <v>277</v>
      </c>
      <c r="B87" s="208" t="s">
        <v>278</v>
      </c>
      <c r="C87" s="513">
        <f t="shared" si="5"/>
        <v>0</v>
      </c>
      <c r="D87" s="282"/>
      <c r="E87" s="134"/>
      <c r="F87" s="134"/>
      <c r="H87" s="414">
        <f>'1.2.sz.mell. '!C87+'1.3.sz.mell.'!C87+'1.4.sz.mell. '!C87+'1.5.sz.mell.'!C87</f>
        <v>0</v>
      </c>
      <c r="I87" s="416">
        <f t="shared" si="6"/>
        <v>0</v>
      </c>
    </row>
    <row r="88" spans="1:9" s="206" customFormat="1" ht="12" customHeight="1" thickBot="1" x14ac:dyDescent="0.25">
      <c r="A88" s="212" t="s">
        <v>279</v>
      </c>
      <c r="B88" s="208" t="s">
        <v>280</v>
      </c>
      <c r="C88" s="513">
        <f t="shared" si="5"/>
        <v>0</v>
      </c>
      <c r="D88" s="282"/>
      <c r="E88" s="134"/>
      <c r="F88" s="134"/>
      <c r="H88" s="414">
        <f>'1.2.sz.mell. '!C88+'1.3.sz.mell.'!C88+'1.4.sz.mell. '!C88+'1.5.sz.mell.'!C88</f>
        <v>0</v>
      </c>
      <c r="I88" s="416">
        <f t="shared" si="6"/>
        <v>0</v>
      </c>
    </row>
    <row r="89" spans="1:9" s="206" customFormat="1" ht="12" customHeight="1" thickBot="1" x14ac:dyDescent="0.25">
      <c r="A89" s="213" t="s">
        <v>281</v>
      </c>
      <c r="B89" s="127" t="s">
        <v>282</v>
      </c>
      <c r="C89" s="514">
        <f t="shared" si="5"/>
        <v>0</v>
      </c>
      <c r="D89" s="282"/>
      <c r="E89" s="134"/>
      <c r="F89" s="134"/>
      <c r="H89" s="414">
        <f>'1.2.sz.mell. '!C89+'1.3.sz.mell.'!C89+'1.4.sz.mell. '!C89+'1.5.sz.mell.'!C89</f>
        <v>0</v>
      </c>
      <c r="I89" s="417">
        <f t="shared" si="6"/>
        <v>0</v>
      </c>
    </row>
    <row r="90" spans="1:9" s="206" customFormat="1" ht="12" customHeight="1" thickBot="1" x14ac:dyDescent="0.25">
      <c r="A90" s="268" t="s">
        <v>283</v>
      </c>
      <c r="B90" s="125" t="s">
        <v>457</v>
      </c>
      <c r="C90" s="130">
        <f t="shared" si="5"/>
        <v>0</v>
      </c>
      <c r="D90" s="303"/>
      <c r="E90" s="246"/>
      <c r="F90" s="246"/>
      <c r="H90" s="414">
        <f>'1.2.sz.mell. '!C90+'1.3.sz.mell.'!C90+'1.4.sz.mell. '!C90+'1.5.sz.mell.'!C90</f>
        <v>0</v>
      </c>
      <c r="I90" s="414">
        <f t="shared" si="6"/>
        <v>0</v>
      </c>
    </row>
    <row r="91" spans="1:9" s="206" customFormat="1" ht="13.5" customHeight="1" thickBot="1" x14ac:dyDescent="0.25">
      <c r="A91" s="268" t="s">
        <v>285</v>
      </c>
      <c r="B91" s="125" t="s">
        <v>284</v>
      </c>
      <c r="C91" s="130">
        <f t="shared" si="5"/>
        <v>0</v>
      </c>
      <c r="D91" s="303"/>
      <c r="E91" s="246"/>
      <c r="F91" s="246"/>
      <c r="H91" s="414">
        <f>'1.2.sz.mell. '!C91+'1.3.sz.mell.'!C91+'1.4.sz.mell. '!C91+'1.5.sz.mell.'!C91</f>
        <v>0</v>
      </c>
      <c r="I91" s="414">
        <f t="shared" si="6"/>
        <v>0</v>
      </c>
    </row>
    <row r="92" spans="1:9" s="206" customFormat="1" ht="15.75" customHeight="1" thickBot="1" x14ac:dyDescent="0.25">
      <c r="A92" s="268" t="s">
        <v>297</v>
      </c>
      <c r="B92" s="214" t="s">
        <v>458</v>
      </c>
      <c r="C92" s="130">
        <f t="shared" si="5"/>
        <v>1710380374</v>
      </c>
      <c r="D92" s="301">
        <f>+D69+D73+D78+D81+D85+D91+D90</f>
        <v>1683985725</v>
      </c>
      <c r="E92" s="135">
        <f>+E69+E73+E78+E81+E85+E91+E90</f>
        <v>327465</v>
      </c>
      <c r="F92" s="135">
        <f>+F69+F73+F78+F81+F85+F91+F90</f>
        <v>26067184</v>
      </c>
      <c r="H92" s="414">
        <f>'1.2.sz.mell. '!C92+'1.3.sz.mell.'!C92+'1.4.sz.mell. '!C92+'1.5.sz.mell.'!C92</f>
        <v>1710380374</v>
      </c>
      <c r="I92" s="414">
        <f t="shared" si="6"/>
        <v>0</v>
      </c>
    </row>
    <row r="93" spans="1:9" s="206" customFormat="1" ht="16.5" customHeight="1" thickBot="1" x14ac:dyDescent="0.25">
      <c r="A93" s="270" t="s">
        <v>459</v>
      </c>
      <c r="B93" s="215" t="s">
        <v>460</v>
      </c>
      <c r="C93" s="130">
        <f t="shared" si="5"/>
        <v>4453796966</v>
      </c>
      <c r="D93" s="301">
        <f>+D68+D92</f>
        <v>4010708284</v>
      </c>
      <c r="E93" s="135">
        <f>+E68+E92</f>
        <v>10810079</v>
      </c>
      <c r="F93" s="135">
        <f>+F68+F92</f>
        <v>432278603</v>
      </c>
      <c r="H93" s="414">
        <f>'1.2.sz.mell. '!C93+'1.3.sz.mell.'!C93+'1.4.sz.mell. '!C93+'1.5.sz.mell.'!C93</f>
        <v>4453796966</v>
      </c>
      <c r="I93" s="414">
        <f t="shared" si="6"/>
        <v>0</v>
      </c>
    </row>
    <row r="94" spans="1:9" s="206" customFormat="1" ht="54" customHeight="1" thickBot="1" x14ac:dyDescent="0.25">
      <c r="A94" s="3"/>
      <c r="B94" s="4"/>
      <c r="C94" s="136"/>
      <c r="H94" s="414">
        <f>'1.2.sz.mell. '!C94+'1.3.sz.mell.'!C94+'1.4.sz.mell. '!C94+'1.5.sz.mell.'!C94</f>
        <v>0</v>
      </c>
      <c r="I94" s="412"/>
    </row>
    <row r="95" spans="1:9" ht="16.5" customHeight="1" thickBot="1" x14ac:dyDescent="0.3">
      <c r="A95" s="1498" t="s">
        <v>49</v>
      </c>
      <c r="B95" s="1498"/>
      <c r="C95" s="1498"/>
      <c r="D95" s="793"/>
      <c r="H95" s="414">
        <f>'1.2.sz.mell. '!C95+'1.3.sz.mell.'!C95+'1.4.sz.mell. '!C95+'1.5.sz.mell.'!C95</f>
        <v>0</v>
      </c>
      <c r="I95" s="412"/>
    </row>
    <row r="96" spans="1:9" s="668" customFormat="1" ht="16.5" customHeight="1" thickBot="1" x14ac:dyDescent="0.3">
      <c r="A96" s="1499" t="s">
        <v>130</v>
      </c>
      <c r="B96" s="1499"/>
      <c r="C96" s="68" t="s">
        <v>557</v>
      </c>
      <c r="H96" s="414" t="e">
        <f>'1.2.sz.mell. '!C96+'1.3.sz.mell.'!C96+'1.4.sz.mell. '!C96+'1.5.sz.mell.'!C96</f>
        <v>#VALUE!</v>
      </c>
      <c r="I96" s="412"/>
    </row>
    <row r="97" spans="1:9" ht="38.1" customHeight="1" thickBot="1" x14ac:dyDescent="0.3">
      <c r="A97" s="21" t="s">
        <v>72</v>
      </c>
      <c r="B97" s="22" t="s">
        <v>50</v>
      </c>
      <c r="C97" s="31" t="str">
        <f>+C9</f>
        <v>2020. évi előirányzat</v>
      </c>
      <c r="D97" s="193" t="s">
        <v>563</v>
      </c>
      <c r="E97" s="193" t="s">
        <v>564</v>
      </c>
      <c r="F97" s="193" t="s">
        <v>565</v>
      </c>
      <c r="H97" s="414" t="e">
        <f>'1.2.sz.mell. '!C97+'1.3.sz.mell.'!C97+'1.4.sz.mell. '!C97+'1.5.sz.mell.'!C97</f>
        <v>#VALUE!</v>
      </c>
      <c r="I97" s="412"/>
    </row>
    <row r="98" spans="1:9" s="205" customFormat="1" ht="12" customHeight="1" thickBot="1" x14ac:dyDescent="0.25">
      <c r="A98" s="27" t="s">
        <v>447</v>
      </c>
      <c r="B98" s="28" t="s">
        <v>448</v>
      </c>
      <c r="C98" s="201" t="s">
        <v>449</v>
      </c>
      <c r="H98" s="414" t="e">
        <f>'1.2.sz.mell. '!C98+'1.3.sz.mell.'!C98+'1.4.sz.mell. '!C98+'1.5.sz.mell.'!C98</f>
        <v>#VALUE!</v>
      </c>
      <c r="I98" s="412"/>
    </row>
    <row r="99" spans="1:9" ht="12" customHeight="1" thickBot="1" x14ac:dyDescent="0.3">
      <c r="A99" s="20" t="s">
        <v>21</v>
      </c>
      <c r="B99" s="24" t="s">
        <v>498</v>
      </c>
      <c r="C99" s="328">
        <f t="shared" ref="C99:C160" si="7">SUM(D99:F99)</f>
        <v>2777107681</v>
      </c>
      <c r="D99" s="306">
        <f>+D100+D101+D102+D103+D104+D117</f>
        <v>842994124</v>
      </c>
      <c r="E99" s="129">
        <f>+E100+E101+E102+E103+E104+E117</f>
        <v>238584857</v>
      </c>
      <c r="F99" s="312">
        <f>F100+F101+F102+F103+F104+F117</f>
        <v>1695528700</v>
      </c>
      <c r="H99" s="414">
        <f>'1.2.sz.mell. '!C99+'1.3.sz.mell.'!C99+'1.4.sz.mell. '!C99+'1.5.sz.mell.'!C99</f>
        <v>2777107681</v>
      </c>
      <c r="I99" s="414">
        <f t="shared" ref="I99:I160" si="8">C99-H99</f>
        <v>0</v>
      </c>
    </row>
    <row r="100" spans="1:9" ht="12" customHeight="1" thickBot="1" x14ac:dyDescent="0.3">
      <c r="A100" s="15" t="s">
        <v>100</v>
      </c>
      <c r="B100" s="8" t="s">
        <v>51</v>
      </c>
      <c r="C100" s="1483">
        <f t="shared" si="7"/>
        <v>1205958121</v>
      </c>
      <c r="D100" s="317">
        <f>58286055-89237</f>
        <v>58196818</v>
      </c>
      <c r="E100" s="290">
        <v>164405869</v>
      </c>
      <c r="F100" s="290">
        <f>559242888+69090783+200165718+55350452+71236352+28269241</f>
        <v>983355434</v>
      </c>
      <c r="H100" s="414">
        <f>'1.2.sz.mell. '!C100+'1.3.sz.mell.'!C100+'1.4.sz.mell. '!C100+'1.5.sz.mell.'!C100</f>
        <v>1205958121</v>
      </c>
      <c r="I100" s="415">
        <f t="shared" si="8"/>
        <v>0</v>
      </c>
    </row>
    <row r="101" spans="1:9" ht="12" customHeight="1" thickBot="1" x14ac:dyDescent="0.3">
      <c r="A101" s="12" t="s">
        <v>101</v>
      </c>
      <c r="B101" s="6" t="s">
        <v>149</v>
      </c>
      <c r="C101" s="1483">
        <f t="shared" si="7"/>
        <v>228956668</v>
      </c>
      <c r="D101" s="282">
        <f>10325339-97868</f>
        <v>10227471</v>
      </c>
      <c r="E101" s="134">
        <v>32731163</v>
      </c>
      <c r="F101" s="134">
        <f>105298280+12885750+40236890+9898597+12731399+4947118</f>
        <v>185998034</v>
      </c>
      <c r="H101" s="414">
        <f>'1.2.sz.mell. '!C101+'1.3.sz.mell.'!C101+'1.4.sz.mell. '!C101+'1.5.sz.mell.'!C101</f>
        <v>228956668</v>
      </c>
      <c r="I101" s="416">
        <f t="shared" si="8"/>
        <v>0</v>
      </c>
    </row>
    <row r="102" spans="1:9" ht="12" customHeight="1" thickBot="1" x14ac:dyDescent="0.3">
      <c r="A102" s="12" t="s">
        <v>102</v>
      </c>
      <c r="B102" s="6" t="s">
        <v>125</v>
      </c>
      <c r="C102" s="465">
        <f>SUM(D102:F102)</f>
        <v>937314096</v>
      </c>
      <c r="D102" s="286">
        <f>370342378+308-649147</f>
        <v>369693539</v>
      </c>
      <c r="E102" s="196">
        <v>41447825</v>
      </c>
      <c r="F102" s="134">
        <f>211087063+155755158+92726933+50681034+15922544</f>
        <v>526172732</v>
      </c>
      <c r="H102" s="414">
        <f>'1.2.sz.mell. '!C102+'1.3.sz.mell.'!C102+'1.4.sz.mell. '!C102+'1.5.sz.mell.'!C102</f>
        <v>937314096</v>
      </c>
      <c r="I102" s="416">
        <f t="shared" si="8"/>
        <v>0</v>
      </c>
    </row>
    <row r="103" spans="1:9" ht="12" customHeight="1" thickBot="1" x14ac:dyDescent="0.3">
      <c r="A103" s="12" t="s">
        <v>103</v>
      </c>
      <c r="B103" s="6" t="s">
        <v>150</v>
      </c>
      <c r="C103" s="465">
        <f t="shared" ref="C103:C119" si="9">SUM(D103:F103)</f>
        <v>61300000</v>
      </c>
      <c r="D103" s="286">
        <v>61300000</v>
      </c>
      <c r="E103" s="196"/>
      <c r="F103" s="196"/>
      <c r="H103" s="414">
        <f>'1.2.sz.mell. '!C103+'1.3.sz.mell.'!C103+'1.4.sz.mell. '!C103+'1.5.sz.mell.'!C103</f>
        <v>61300000</v>
      </c>
      <c r="I103" s="416">
        <f t="shared" si="8"/>
        <v>0</v>
      </c>
    </row>
    <row r="104" spans="1:9" ht="12" customHeight="1" thickBot="1" x14ac:dyDescent="0.3">
      <c r="A104" s="12" t="s">
        <v>114</v>
      </c>
      <c r="B104" s="5" t="s">
        <v>151</v>
      </c>
      <c r="C104" s="465">
        <f t="shared" si="9"/>
        <v>210337958</v>
      </c>
      <c r="D104" s="286">
        <f>SUM(D105:D116)</f>
        <v>210335458</v>
      </c>
      <c r="E104" s="286">
        <f t="shared" ref="E104:F104" si="10">SUM(E105:E116)</f>
        <v>0</v>
      </c>
      <c r="F104" s="286">
        <f t="shared" si="10"/>
        <v>2500</v>
      </c>
      <c r="H104" s="414">
        <f>'1.2.sz.mell. '!C104+'1.3.sz.mell.'!C104+'1.4.sz.mell. '!C104+'1.5.sz.mell.'!C104</f>
        <v>210337958</v>
      </c>
      <c r="I104" s="416">
        <f t="shared" si="8"/>
        <v>0</v>
      </c>
    </row>
    <row r="105" spans="1:9" ht="12" customHeight="1" thickBot="1" x14ac:dyDescent="0.3">
      <c r="A105" s="12" t="s">
        <v>104</v>
      </c>
      <c r="B105" s="6" t="s">
        <v>461</v>
      </c>
      <c r="C105" s="465">
        <f t="shared" si="9"/>
        <v>2500</v>
      </c>
      <c r="D105" s="286"/>
      <c r="E105" s="196"/>
      <c r="F105" s="196">
        <v>2500</v>
      </c>
      <c r="H105" s="414">
        <f>'1.2.sz.mell. '!C105+'1.3.sz.mell.'!C105+'1.4.sz.mell. '!C105+'1.5.sz.mell.'!C105</f>
        <v>2500</v>
      </c>
      <c r="I105" s="416">
        <f t="shared" si="8"/>
        <v>0</v>
      </c>
    </row>
    <row r="106" spans="1:9" ht="12" customHeight="1" thickBot="1" x14ac:dyDescent="0.3">
      <c r="A106" s="12" t="s">
        <v>105</v>
      </c>
      <c r="B106" s="72" t="s">
        <v>462</v>
      </c>
      <c r="C106" s="465">
        <f t="shared" si="9"/>
        <v>0</v>
      </c>
      <c r="D106" s="286"/>
      <c r="E106" s="196"/>
      <c r="F106" s="196"/>
      <c r="H106" s="414">
        <f>'1.2.sz.mell. '!C106+'1.3.sz.mell.'!C106+'1.4.sz.mell. '!C106+'1.5.sz.mell.'!C106</f>
        <v>0</v>
      </c>
      <c r="I106" s="416">
        <f t="shared" si="8"/>
        <v>0</v>
      </c>
    </row>
    <row r="107" spans="1:9" ht="12" customHeight="1" thickBot="1" x14ac:dyDescent="0.3">
      <c r="A107" s="12" t="s">
        <v>115</v>
      </c>
      <c r="B107" s="72" t="s">
        <v>463</v>
      </c>
      <c r="C107" s="465">
        <f t="shared" si="9"/>
        <v>0</v>
      </c>
      <c r="D107" s="286"/>
      <c r="E107" s="196"/>
      <c r="F107" s="196"/>
      <c r="H107" s="414">
        <f>'1.2.sz.mell. '!C107+'1.3.sz.mell.'!C107+'1.4.sz.mell. '!C107+'1.5.sz.mell.'!C107</f>
        <v>0</v>
      </c>
      <c r="I107" s="416">
        <f t="shared" si="8"/>
        <v>0</v>
      </c>
    </row>
    <row r="108" spans="1:9" ht="12" customHeight="1" thickBot="1" x14ac:dyDescent="0.3">
      <c r="A108" s="12" t="s">
        <v>116</v>
      </c>
      <c r="B108" s="70" t="s">
        <v>300</v>
      </c>
      <c r="C108" s="465">
        <f t="shared" si="9"/>
        <v>0</v>
      </c>
      <c r="D108" s="286"/>
      <c r="E108" s="196"/>
      <c r="F108" s="196"/>
      <c r="H108" s="414">
        <f>'1.2.sz.mell. '!C108+'1.3.sz.mell.'!C108+'1.4.sz.mell. '!C108+'1.5.sz.mell.'!C108</f>
        <v>0</v>
      </c>
      <c r="I108" s="416">
        <f t="shared" si="8"/>
        <v>0</v>
      </c>
    </row>
    <row r="109" spans="1:9" ht="12" customHeight="1" thickBot="1" x14ac:dyDescent="0.3">
      <c r="A109" s="12" t="s">
        <v>117</v>
      </c>
      <c r="B109" s="71" t="s">
        <v>301</v>
      </c>
      <c r="C109" s="465">
        <f t="shared" si="9"/>
        <v>0</v>
      </c>
      <c r="D109" s="286"/>
      <c r="E109" s="196"/>
      <c r="F109" s="196"/>
      <c r="H109" s="414">
        <f>'1.2.sz.mell. '!C109+'1.3.sz.mell.'!C109+'1.4.sz.mell. '!C109+'1.5.sz.mell.'!C109</f>
        <v>0</v>
      </c>
      <c r="I109" s="416">
        <f t="shared" si="8"/>
        <v>0</v>
      </c>
    </row>
    <row r="110" spans="1:9" ht="12" customHeight="1" thickBot="1" x14ac:dyDescent="0.3">
      <c r="A110" s="12" t="s">
        <v>118</v>
      </c>
      <c r="B110" s="71" t="s">
        <v>302</v>
      </c>
      <c r="C110" s="465">
        <f t="shared" si="9"/>
        <v>0</v>
      </c>
      <c r="D110" s="286"/>
      <c r="E110" s="196"/>
      <c r="F110" s="196"/>
      <c r="H110" s="414">
        <f>'1.2.sz.mell. '!C110+'1.3.sz.mell.'!C110+'1.4.sz.mell. '!C110+'1.5.sz.mell.'!C110</f>
        <v>0</v>
      </c>
      <c r="I110" s="416">
        <f t="shared" si="8"/>
        <v>0</v>
      </c>
    </row>
    <row r="111" spans="1:9" ht="12" customHeight="1" thickBot="1" x14ac:dyDescent="0.3">
      <c r="A111" s="12" t="s">
        <v>120</v>
      </c>
      <c r="B111" s="70" t="s">
        <v>303</v>
      </c>
      <c r="C111" s="465">
        <f t="shared" si="9"/>
        <v>526000</v>
      </c>
      <c r="D111" s="286">
        <v>526000</v>
      </c>
      <c r="E111" s="196"/>
      <c r="F111" s="196"/>
      <c r="H111" s="414">
        <f>'1.2.sz.mell. '!C111+'1.3.sz.mell.'!C111+'1.4.sz.mell. '!C111+'1.5.sz.mell.'!C111</f>
        <v>526000</v>
      </c>
      <c r="I111" s="416">
        <f t="shared" si="8"/>
        <v>0</v>
      </c>
    </row>
    <row r="112" spans="1:9" ht="12" customHeight="1" thickBot="1" x14ac:dyDescent="0.3">
      <c r="A112" s="12" t="s">
        <v>152</v>
      </c>
      <c r="B112" s="70" t="s">
        <v>304</v>
      </c>
      <c r="C112" s="465">
        <f t="shared" si="9"/>
        <v>0</v>
      </c>
      <c r="D112" s="286"/>
      <c r="E112" s="196"/>
      <c r="F112" s="196"/>
      <c r="H112" s="414">
        <f>'1.2.sz.mell. '!C112+'1.3.sz.mell.'!C112+'1.4.sz.mell. '!C112+'1.5.sz.mell.'!C112</f>
        <v>0</v>
      </c>
      <c r="I112" s="416">
        <f t="shared" si="8"/>
        <v>0</v>
      </c>
    </row>
    <row r="113" spans="1:9" ht="12" customHeight="1" thickBot="1" x14ac:dyDescent="0.3">
      <c r="A113" s="12" t="s">
        <v>298</v>
      </c>
      <c r="B113" s="71" t="s">
        <v>305</v>
      </c>
      <c r="C113" s="465">
        <f t="shared" si="9"/>
        <v>0</v>
      </c>
      <c r="D113" s="286"/>
      <c r="E113" s="196"/>
      <c r="F113" s="196"/>
      <c r="H113" s="414">
        <f>'1.2.sz.mell. '!C113+'1.3.sz.mell.'!C113+'1.4.sz.mell. '!C113+'1.5.sz.mell.'!C113</f>
        <v>0</v>
      </c>
      <c r="I113" s="416">
        <f t="shared" si="8"/>
        <v>0</v>
      </c>
    </row>
    <row r="114" spans="1:9" ht="12" customHeight="1" thickBot="1" x14ac:dyDescent="0.3">
      <c r="A114" s="11" t="s">
        <v>299</v>
      </c>
      <c r="B114" s="72" t="s">
        <v>306</v>
      </c>
      <c r="C114" s="465">
        <f t="shared" si="9"/>
        <v>0</v>
      </c>
      <c r="D114" s="286"/>
      <c r="E114" s="196"/>
      <c r="F114" s="196"/>
      <c r="H114" s="414">
        <f>'1.2.sz.mell. '!C114+'1.3.sz.mell.'!C114+'1.4.sz.mell. '!C114+'1.5.sz.mell.'!C114</f>
        <v>0</v>
      </c>
      <c r="I114" s="416">
        <f t="shared" si="8"/>
        <v>0</v>
      </c>
    </row>
    <row r="115" spans="1:9" ht="12" customHeight="1" thickBot="1" x14ac:dyDescent="0.3">
      <c r="A115" s="12" t="s">
        <v>464</v>
      </c>
      <c r="B115" s="72" t="s">
        <v>307</v>
      </c>
      <c r="C115" s="465">
        <f t="shared" si="9"/>
        <v>0</v>
      </c>
      <c r="D115" s="286"/>
      <c r="E115" s="196"/>
      <c r="F115" s="196"/>
      <c r="H115" s="414">
        <f>'1.2.sz.mell. '!C115+'1.3.sz.mell.'!C115+'1.4.sz.mell. '!C115+'1.5.sz.mell.'!C115</f>
        <v>0</v>
      </c>
      <c r="I115" s="416">
        <f t="shared" si="8"/>
        <v>0</v>
      </c>
    </row>
    <row r="116" spans="1:9" ht="12" customHeight="1" thickBot="1" x14ac:dyDescent="0.3">
      <c r="A116" s="14" t="s">
        <v>465</v>
      </c>
      <c r="B116" s="72" t="s">
        <v>308</v>
      </c>
      <c r="C116" s="465">
        <f t="shared" si="9"/>
        <v>209809458</v>
      </c>
      <c r="D116" s="282">
        <f>209809461-3</f>
        <v>209809458</v>
      </c>
      <c r="E116" s="134"/>
      <c r="F116" s="196"/>
      <c r="H116" s="414">
        <f>'1.2.sz.mell. '!C116+'1.3.sz.mell.'!C116+'1.4.sz.mell. '!C116+'1.5.sz.mell.'!C116</f>
        <v>209809458</v>
      </c>
      <c r="I116" s="416">
        <f t="shared" si="8"/>
        <v>0</v>
      </c>
    </row>
    <row r="117" spans="1:9" ht="12" customHeight="1" thickBot="1" x14ac:dyDescent="0.3">
      <c r="A117" s="12" t="s">
        <v>466</v>
      </c>
      <c r="B117" s="6" t="s">
        <v>52</v>
      </c>
      <c r="C117" s="465">
        <f t="shared" si="9"/>
        <v>133240838</v>
      </c>
      <c r="D117" s="282">
        <f>SUM(D118:D119)</f>
        <v>133240838</v>
      </c>
      <c r="E117" s="282">
        <f t="shared" ref="E117:F117" si="11">SUM(E118:E119)</f>
        <v>0</v>
      </c>
      <c r="F117" s="282">
        <f t="shared" si="11"/>
        <v>0</v>
      </c>
      <c r="H117" s="414">
        <f>'1.2.sz.mell. '!C117+'1.3.sz.mell.'!C117+'1.4.sz.mell. '!C117+'1.5.sz.mell.'!C117</f>
        <v>133240838</v>
      </c>
      <c r="I117" s="416">
        <f t="shared" si="8"/>
        <v>0</v>
      </c>
    </row>
    <row r="118" spans="1:9" ht="12" customHeight="1" thickBot="1" x14ac:dyDescent="0.3">
      <c r="A118" s="12" t="s">
        <v>467</v>
      </c>
      <c r="B118" s="6" t="s">
        <v>468</v>
      </c>
      <c r="C118" s="465">
        <f t="shared" si="9"/>
        <v>20000000</v>
      </c>
      <c r="D118" s="286">
        <v>20000000</v>
      </c>
      <c r="E118" s="196"/>
      <c r="F118" s="134"/>
      <c r="H118" s="414">
        <f>'1.2.sz.mell. '!C118+'1.3.sz.mell.'!C118+'1.4.sz.mell. '!C118+'1.5.sz.mell.'!C118</f>
        <v>20000000</v>
      </c>
      <c r="I118" s="416">
        <f t="shared" si="8"/>
        <v>0</v>
      </c>
    </row>
    <row r="119" spans="1:9" ht="12" customHeight="1" thickBot="1" x14ac:dyDescent="0.3">
      <c r="A119" s="16" t="s">
        <v>469</v>
      </c>
      <c r="B119" s="271" t="s">
        <v>470</v>
      </c>
      <c r="C119" s="465">
        <f t="shared" si="9"/>
        <v>113240838</v>
      </c>
      <c r="D119" s="318">
        <f>113540838-300000</f>
        <v>113240838</v>
      </c>
      <c r="E119" s="295"/>
      <c r="F119" s="295"/>
      <c r="H119" s="414">
        <f>'1.2.sz.mell. '!C119+'1.3.sz.mell.'!C119+'1.4.sz.mell. '!C119+'1.5.sz.mell.'!C119</f>
        <v>113240838</v>
      </c>
      <c r="I119" s="417">
        <f t="shared" si="8"/>
        <v>0</v>
      </c>
    </row>
    <row r="120" spans="1:9" ht="12" customHeight="1" thickBot="1" x14ac:dyDescent="0.3">
      <c r="A120" s="272" t="s">
        <v>22</v>
      </c>
      <c r="B120" s="467" t="s">
        <v>309</v>
      </c>
      <c r="C120" s="470">
        <f t="shared" si="7"/>
        <v>950650851</v>
      </c>
      <c r="D120" s="298">
        <f>+D121+D123+D125</f>
        <v>920919445</v>
      </c>
      <c r="E120" s="130">
        <f>+E121+E123+E125</f>
        <v>5047400</v>
      </c>
      <c r="F120" s="274">
        <f>+F121+F123+F125</f>
        <v>24684006</v>
      </c>
      <c r="H120" s="414">
        <f>'1.2.sz.mell. '!C120+'1.3.sz.mell.'!C120+'1.4.sz.mell. '!C120+'1.5.sz.mell.'!C120</f>
        <v>950650851</v>
      </c>
      <c r="I120" s="414">
        <f t="shared" si="8"/>
        <v>0</v>
      </c>
    </row>
    <row r="121" spans="1:9" ht="15" customHeight="1" thickBot="1" x14ac:dyDescent="0.3">
      <c r="A121" s="13" t="s">
        <v>106</v>
      </c>
      <c r="B121" s="6" t="s">
        <v>173</v>
      </c>
      <c r="C121" s="465">
        <f t="shared" si="7"/>
        <v>680503226</v>
      </c>
      <c r="D121" s="302">
        <f>654610183+580+530-539760-98930-2000000+109147</f>
        <v>652081750</v>
      </c>
      <c r="E121" s="245">
        <v>5047400</v>
      </c>
      <c r="F121" s="245">
        <f>18023451+2527155+1500000+712620+610850</f>
        <v>23374076</v>
      </c>
      <c r="H121" s="414">
        <f>'1.2.sz.mell. '!C121+'1.3.sz.mell.'!C121+'1.4.sz.mell. '!C121+'1.5.sz.mell.'!C121</f>
        <v>680503226</v>
      </c>
      <c r="I121" s="415">
        <f t="shared" si="8"/>
        <v>0</v>
      </c>
    </row>
    <row r="122" spans="1:9" ht="12" customHeight="1" thickBot="1" x14ac:dyDescent="0.3">
      <c r="A122" s="13" t="s">
        <v>107</v>
      </c>
      <c r="B122" s="10" t="s">
        <v>313</v>
      </c>
      <c r="C122" s="465">
        <f t="shared" si="7"/>
        <v>575467863</v>
      </c>
      <c r="D122" s="302">
        <f>31657596+61528400+19658504+13625846+9456548+14205118+15000000+675000+329670+4957172+59144+2074800+560196+16680000+320746696+1060000+4926102+81921456+4258963+1149920+544803+147097+580+530-539760-98930-30209788</f>
        <v>574375663</v>
      </c>
      <c r="E122" s="245"/>
      <c r="F122" s="245">
        <f>1092200</f>
        <v>1092200</v>
      </c>
      <c r="H122" s="414">
        <f>'1.2.sz.mell. '!C122+'1.3.sz.mell.'!C122+'1.4.sz.mell. '!C122+'1.5.sz.mell.'!C122</f>
        <v>575467863</v>
      </c>
      <c r="I122" s="416">
        <f t="shared" si="8"/>
        <v>0</v>
      </c>
    </row>
    <row r="123" spans="1:9" ht="12" customHeight="1" thickBot="1" x14ac:dyDescent="0.3">
      <c r="A123" s="13" t="s">
        <v>108</v>
      </c>
      <c r="B123" s="10" t="s">
        <v>153</v>
      </c>
      <c r="C123" s="465">
        <f t="shared" si="7"/>
        <v>262245726</v>
      </c>
      <c r="D123" s="282">
        <f>262142296-949999-256501</f>
        <v>260935796</v>
      </c>
      <c r="E123" s="134"/>
      <c r="F123" s="134">
        <f>600000+709930</f>
        <v>1309930</v>
      </c>
      <c r="H123" s="414">
        <f>'1.2.sz.mell. '!C123+'1.3.sz.mell.'!C123+'1.4.sz.mell. '!C123+'1.5.sz.mell.'!C123</f>
        <v>262245726</v>
      </c>
      <c r="I123" s="416">
        <f t="shared" si="8"/>
        <v>0</v>
      </c>
    </row>
    <row r="124" spans="1:9" ht="12" customHeight="1" thickBot="1" x14ac:dyDescent="0.3">
      <c r="A124" s="13" t="s">
        <v>109</v>
      </c>
      <c r="B124" s="10" t="s">
        <v>314</v>
      </c>
      <c r="C124" s="465">
        <f t="shared" si="7"/>
        <v>92353398</v>
      </c>
      <c r="D124" s="282">
        <f>63080502+17031736+10588708+2858952-949999-256501</f>
        <v>92353398</v>
      </c>
      <c r="E124" s="667"/>
      <c r="F124" s="282"/>
      <c r="H124" s="414">
        <f>'1.2.sz.mell. '!C124+'1.3.sz.mell.'!C124+'1.4.sz.mell. '!C124+'1.5.sz.mell.'!C124</f>
        <v>92353398</v>
      </c>
      <c r="I124" s="416">
        <f t="shared" si="8"/>
        <v>0</v>
      </c>
    </row>
    <row r="125" spans="1:9" ht="12" customHeight="1" thickBot="1" x14ac:dyDescent="0.3">
      <c r="A125" s="13" t="s">
        <v>110</v>
      </c>
      <c r="B125" s="127" t="s">
        <v>175</v>
      </c>
      <c r="C125" s="465">
        <f t="shared" si="7"/>
        <v>7901899</v>
      </c>
      <c r="D125" s="282">
        <f>SUM(D126:D133)</f>
        <v>7901899</v>
      </c>
      <c r="E125" s="282">
        <f t="shared" ref="E125:F125" si="12">SUM(E126:E133)</f>
        <v>0</v>
      </c>
      <c r="F125" s="282">
        <f t="shared" si="12"/>
        <v>0</v>
      </c>
      <c r="H125" s="414">
        <f>'1.2.sz.mell. '!C125+'1.3.sz.mell.'!C125+'1.4.sz.mell. '!C125+'1.5.sz.mell.'!C125</f>
        <v>7901899</v>
      </c>
      <c r="I125" s="416">
        <f t="shared" si="8"/>
        <v>0</v>
      </c>
    </row>
    <row r="126" spans="1:9" ht="12" customHeight="1" thickBot="1" x14ac:dyDescent="0.3">
      <c r="A126" s="13" t="s">
        <v>119</v>
      </c>
      <c r="B126" s="126" t="s">
        <v>376</v>
      </c>
      <c r="C126" s="465">
        <f t="shared" si="7"/>
        <v>0</v>
      </c>
      <c r="D126" s="119"/>
      <c r="E126" s="119"/>
      <c r="F126" s="282"/>
      <c r="H126" s="414">
        <f>'1.2.sz.mell. '!C126+'1.3.sz.mell.'!C126+'1.4.sz.mell. '!C126+'1.5.sz.mell.'!C126</f>
        <v>0</v>
      </c>
      <c r="I126" s="416">
        <f t="shared" si="8"/>
        <v>0</v>
      </c>
    </row>
    <row r="127" spans="1:9" ht="12" customHeight="1" thickBot="1" x14ac:dyDescent="0.3">
      <c r="A127" s="13" t="s">
        <v>121</v>
      </c>
      <c r="B127" s="203" t="s">
        <v>319</v>
      </c>
      <c r="C127" s="465">
        <f t="shared" si="7"/>
        <v>0</v>
      </c>
      <c r="D127" s="119"/>
      <c r="E127" s="119"/>
      <c r="F127" s="282"/>
      <c r="H127" s="414">
        <f>'1.2.sz.mell. '!C127+'1.3.sz.mell.'!C127+'1.4.sz.mell. '!C127+'1.5.sz.mell.'!C127</f>
        <v>0</v>
      </c>
      <c r="I127" s="416">
        <f t="shared" si="8"/>
        <v>0</v>
      </c>
    </row>
    <row r="128" spans="1:9" ht="16.5" thickBot="1" x14ac:dyDescent="0.3">
      <c r="A128" s="13" t="s">
        <v>154</v>
      </c>
      <c r="B128" s="71" t="s">
        <v>302</v>
      </c>
      <c r="C128" s="465">
        <f t="shared" si="7"/>
        <v>0</v>
      </c>
      <c r="D128" s="119"/>
      <c r="E128" s="119"/>
      <c r="F128" s="282"/>
      <c r="H128" s="414">
        <f>'1.2.sz.mell. '!C128+'1.3.sz.mell.'!C128+'1.4.sz.mell. '!C128+'1.5.sz.mell.'!C128</f>
        <v>0</v>
      </c>
      <c r="I128" s="416">
        <f t="shared" si="8"/>
        <v>0</v>
      </c>
    </row>
    <row r="129" spans="1:9" ht="12" customHeight="1" thickBot="1" x14ac:dyDescent="0.3">
      <c r="A129" s="13" t="s">
        <v>155</v>
      </c>
      <c r="B129" s="71" t="s">
        <v>318</v>
      </c>
      <c r="C129" s="465">
        <f t="shared" si="7"/>
        <v>0</v>
      </c>
      <c r="D129" s="119"/>
      <c r="E129" s="119"/>
      <c r="F129" s="282"/>
      <c r="H129" s="414">
        <f>'1.2.sz.mell. '!C129+'1.3.sz.mell.'!C129+'1.4.sz.mell. '!C129+'1.5.sz.mell.'!C129</f>
        <v>0</v>
      </c>
      <c r="I129" s="416">
        <f t="shared" si="8"/>
        <v>0</v>
      </c>
    </row>
    <row r="130" spans="1:9" ht="12" customHeight="1" thickBot="1" x14ac:dyDescent="0.3">
      <c r="A130" s="13" t="s">
        <v>156</v>
      </c>
      <c r="B130" s="71" t="s">
        <v>317</v>
      </c>
      <c r="C130" s="465">
        <f t="shared" si="7"/>
        <v>0</v>
      </c>
      <c r="D130" s="119"/>
      <c r="E130" s="119"/>
      <c r="F130" s="282"/>
      <c r="H130" s="414">
        <f>'1.2.sz.mell. '!C130+'1.3.sz.mell.'!C130+'1.4.sz.mell. '!C130+'1.5.sz.mell.'!C130</f>
        <v>0</v>
      </c>
      <c r="I130" s="416">
        <f t="shared" si="8"/>
        <v>0</v>
      </c>
    </row>
    <row r="131" spans="1:9" ht="12" customHeight="1" thickBot="1" x14ac:dyDescent="0.3">
      <c r="A131" s="13" t="s">
        <v>310</v>
      </c>
      <c r="B131" s="71" t="s">
        <v>305</v>
      </c>
      <c r="C131" s="465">
        <f t="shared" si="7"/>
        <v>0</v>
      </c>
      <c r="D131" s="119"/>
      <c r="E131" s="119"/>
      <c r="F131" s="282"/>
      <c r="H131" s="414">
        <f>'1.2.sz.mell. '!C131+'1.3.sz.mell.'!C131+'1.4.sz.mell. '!C131+'1.5.sz.mell.'!C131</f>
        <v>0</v>
      </c>
      <c r="I131" s="416">
        <f t="shared" si="8"/>
        <v>0</v>
      </c>
    </row>
    <row r="132" spans="1:9" ht="12" customHeight="1" thickBot="1" x14ac:dyDescent="0.3">
      <c r="A132" s="13" t="s">
        <v>311</v>
      </c>
      <c r="B132" s="71" t="s">
        <v>316</v>
      </c>
      <c r="C132" s="465">
        <f t="shared" si="7"/>
        <v>0</v>
      </c>
      <c r="D132" s="119"/>
      <c r="E132" s="119"/>
      <c r="F132" s="282"/>
      <c r="H132" s="414">
        <f>'1.2.sz.mell. '!C132+'1.3.sz.mell.'!C132+'1.4.sz.mell. '!C132+'1.5.sz.mell.'!C132</f>
        <v>0</v>
      </c>
      <c r="I132" s="416">
        <f t="shared" si="8"/>
        <v>0</v>
      </c>
    </row>
    <row r="133" spans="1:9" ht="16.5" thickBot="1" x14ac:dyDescent="0.3">
      <c r="A133" s="11" t="s">
        <v>312</v>
      </c>
      <c r="B133" s="71" t="s">
        <v>315</v>
      </c>
      <c r="C133" s="465">
        <f t="shared" si="7"/>
        <v>7901899</v>
      </c>
      <c r="D133" s="286">
        <f>7001899+900000</f>
        <v>7901899</v>
      </c>
      <c r="E133" s="286"/>
      <c r="F133" s="286"/>
      <c r="H133" s="414">
        <f>'1.2.sz.mell. '!C133+'1.3.sz.mell.'!C133+'1.4.sz.mell. '!C133+'1.5.sz.mell.'!C133</f>
        <v>7901899</v>
      </c>
      <c r="I133" s="417">
        <f t="shared" si="8"/>
        <v>0</v>
      </c>
    </row>
    <row r="134" spans="1:9" ht="12" customHeight="1" thickBot="1" x14ac:dyDescent="0.3">
      <c r="A134" s="18" t="s">
        <v>23</v>
      </c>
      <c r="B134" s="468" t="s">
        <v>471</v>
      </c>
      <c r="C134" s="470">
        <f t="shared" si="7"/>
        <v>3727758532</v>
      </c>
      <c r="D134" s="298">
        <f>+D99+D120</f>
        <v>1763913569</v>
      </c>
      <c r="E134" s="130">
        <f>+E99+E120</f>
        <v>243632257</v>
      </c>
      <c r="F134" s="130">
        <f>+F99+F120</f>
        <v>1720212706</v>
      </c>
      <c r="H134" s="414">
        <f>'1.2.sz.mell. '!C134+'1.3.sz.mell.'!C134+'1.4.sz.mell. '!C134+'1.5.sz.mell.'!C134</f>
        <v>3727758532</v>
      </c>
      <c r="I134" s="414">
        <f t="shared" si="8"/>
        <v>0</v>
      </c>
    </row>
    <row r="135" spans="1:9" ht="12" customHeight="1" thickBot="1" x14ac:dyDescent="0.3">
      <c r="A135" s="18" t="s">
        <v>24</v>
      </c>
      <c r="B135" s="468" t="s">
        <v>472</v>
      </c>
      <c r="C135" s="470">
        <f>SUM(D135:F135)</f>
        <v>726038434</v>
      </c>
      <c r="D135" s="298">
        <f>+D136+D137+D138</f>
        <v>726038434</v>
      </c>
      <c r="E135" s="130">
        <f>+E136+E137+E138</f>
        <v>0</v>
      </c>
      <c r="F135" s="130">
        <f>+F136+F137+F138</f>
        <v>0</v>
      </c>
      <c r="H135" s="414">
        <f>'1.2.sz.mell. '!C135+'1.3.sz.mell.'!C135+'1.4.sz.mell. '!C135+'1.5.sz.mell.'!C135</f>
        <v>726038434</v>
      </c>
      <c r="I135" s="414">
        <f t="shared" si="8"/>
        <v>0</v>
      </c>
    </row>
    <row r="136" spans="1:9" ht="12" customHeight="1" thickBot="1" x14ac:dyDescent="0.3">
      <c r="A136" s="13" t="s">
        <v>211</v>
      </c>
      <c r="B136" s="10" t="s">
        <v>473</v>
      </c>
      <c r="C136" s="465">
        <f>SUM(D136:F136)</f>
        <v>26038434</v>
      </c>
      <c r="D136" s="282">
        <v>26038434</v>
      </c>
      <c r="E136" s="282"/>
      <c r="F136" s="282"/>
      <c r="H136" s="414">
        <f>'1.2.sz.mell. '!C136+'1.3.sz.mell.'!C136+'1.4.sz.mell. '!C136+'1.5.sz.mell.'!C136</f>
        <v>26038434</v>
      </c>
      <c r="I136" s="415">
        <f t="shared" si="8"/>
        <v>0</v>
      </c>
    </row>
    <row r="137" spans="1:9" ht="12" customHeight="1" thickBot="1" x14ac:dyDescent="0.3">
      <c r="A137" s="13" t="s">
        <v>214</v>
      </c>
      <c r="B137" s="10" t="s">
        <v>474</v>
      </c>
      <c r="C137" s="465">
        <f>SUM(D137:F137)</f>
        <v>700000000</v>
      </c>
      <c r="D137" s="119">
        <v>700000000</v>
      </c>
      <c r="E137" s="119"/>
      <c r="F137" s="119"/>
      <c r="H137" s="414">
        <f>'1.2.sz.mell. '!C137+'1.3.sz.mell.'!C137+'1.4.sz.mell. '!C137+'1.5.sz.mell.'!C137</f>
        <v>700000000</v>
      </c>
      <c r="I137" s="416">
        <f t="shared" si="8"/>
        <v>0</v>
      </c>
    </row>
    <row r="138" spans="1:9" ht="12" customHeight="1" thickBot="1" x14ac:dyDescent="0.3">
      <c r="A138" s="11" t="s">
        <v>215</v>
      </c>
      <c r="B138" s="10" t="s">
        <v>475</v>
      </c>
      <c r="C138" s="541">
        <f t="shared" si="7"/>
        <v>0</v>
      </c>
      <c r="D138" s="119"/>
      <c r="E138" s="119"/>
      <c r="F138" s="119"/>
      <c r="H138" s="414">
        <f>'1.2.sz.mell. '!C138+'1.3.sz.mell.'!C138+'1.4.sz.mell. '!C138+'1.5.sz.mell.'!C138</f>
        <v>0</v>
      </c>
      <c r="I138" s="417">
        <f t="shared" si="8"/>
        <v>0</v>
      </c>
    </row>
    <row r="139" spans="1:9" ht="12" customHeight="1" thickBot="1" x14ac:dyDescent="0.3">
      <c r="A139" s="18" t="s">
        <v>25</v>
      </c>
      <c r="B139" s="468" t="s">
        <v>476</v>
      </c>
      <c r="C139" s="470">
        <f t="shared" si="7"/>
        <v>0</v>
      </c>
      <c r="D139" s="298">
        <f>+D140+D141+D142+D143+D144+D145</f>
        <v>0</v>
      </c>
      <c r="E139" s="130">
        <f>+E140+E141+E142+E143+E144+E145</f>
        <v>0</v>
      </c>
      <c r="F139" s="130">
        <f>SUM(F140:F145)</f>
        <v>0</v>
      </c>
      <c r="H139" s="414">
        <f>'1.2.sz.mell. '!C139+'1.3.sz.mell.'!C139+'1.4.sz.mell. '!C139+'1.5.sz.mell.'!C139</f>
        <v>0</v>
      </c>
      <c r="I139" s="414">
        <f t="shared" si="8"/>
        <v>0</v>
      </c>
    </row>
    <row r="140" spans="1:9" ht="12" customHeight="1" thickBot="1" x14ac:dyDescent="0.3">
      <c r="A140" s="13" t="s">
        <v>93</v>
      </c>
      <c r="B140" s="7" t="s">
        <v>477</v>
      </c>
      <c r="C140" s="465">
        <f t="shared" si="7"/>
        <v>0</v>
      </c>
      <c r="D140" s="119"/>
      <c r="E140" s="119"/>
      <c r="F140" s="119"/>
      <c r="H140" s="414">
        <f>'1.2.sz.mell. '!C140+'1.3.sz.mell.'!C140+'1.4.sz.mell. '!C140+'1.5.sz.mell.'!C140</f>
        <v>0</v>
      </c>
      <c r="I140" s="415">
        <f t="shared" si="8"/>
        <v>0</v>
      </c>
    </row>
    <row r="141" spans="1:9" ht="12" customHeight="1" thickBot="1" x14ac:dyDescent="0.3">
      <c r="A141" s="13" t="s">
        <v>94</v>
      </c>
      <c r="B141" s="7" t="s">
        <v>478</v>
      </c>
      <c r="C141" s="465">
        <f t="shared" si="7"/>
        <v>0</v>
      </c>
      <c r="D141" s="119"/>
      <c r="E141" s="119"/>
      <c r="F141" s="119"/>
      <c r="H141" s="414">
        <f>'1.2.sz.mell. '!C141+'1.3.sz.mell.'!C141+'1.4.sz.mell. '!C141+'1.5.sz.mell.'!C141</f>
        <v>0</v>
      </c>
      <c r="I141" s="416">
        <f t="shared" si="8"/>
        <v>0</v>
      </c>
    </row>
    <row r="142" spans="1:9" ht="12" customHeight="1" thickBot="1" x14ac:dyDescent="0.3">
      <c r="A142" s="13" t="s">
        <v>95</v>
      </c>
      <c r="B142" s="7" t="s">
        <v>479</v>
      </c>
      <c r="C142" s="465">
        <f t="shared" si="7"/>
        <v>0</v>
      </c>
      <c r="D142" s="119"/>
      <c r="E142" s="119"/>
      <c r="F142" s="119"/>
      <c r="H142" s="414">
        <f>'1.2.sz.mell. '!C142+'1.3.sz.mell.'!C142+'1.4.sz.mell. '!C142+'1.5.sz.mell.'!C142</f>
        <v>0</v>
      </c>
      <c r="I142" s="416">
        <f t="shared" si="8"/>
        <v>0</v>
      </c>
    </row>
    <row r="143" spans="1:9" ht="12" customHeight="1" thickBot="1" x14ac:dyDescent="0.3">
      <c r="A143" s="13" t="s">
        <v>141</v>
      </c>
      <c r="B143" s="7" t="s">
        <v>480</v>
      </c>
      <c r="C143" s="465">
        <f t="shared" si="7"/>
        <v>0</v>
      </c>
      <c r="D143" s="119"/>
      <c r="E143" s="119"/>
      <c r="F143" s="119"/>
      <c r="H143" s="414">
        <f>'1.2.sz.mell. '!C143+'1.3.sz.mell.'!C143+'1.4.sz.mell. '!C143+'1.5.sz.mell.'!C143</f>
        <v>0</v>
      </c>
      <c r="I143" s="416">
        <f t="shared" si="8"/>
        <v>0</v>
      </c>
    </row>
    <row r="144" spans="1:9" ht="12" customHeight="1" thickBot="1" x14ac:dyDescent="0.3">
      <c r="A144" s="13" t="s">
        <v>142</v>
      </c>
      <c r="B144" s="7" t="s">
        <v>481</v>
      </c>
      <c r="C144" s="465">
        <f t="shared" si="7"/>
        <v>0</v>
      </c>
      <c r="D144" s="119"/>
      <c r="E144" s="119"/>
      <c r="F144" s="119"/>
      <c r="H144" s="414">
        <f>'1.2.sz.mell. '!C144+'1.3.sz.mell.'!C144+'1.4.sz.mell. '!C144+'1.5.sz.mell.'!C144</f>
        <v>0</v>
      </c>
      <c r="I144" s="416">
        <f t="shared" si="8"/>
        <v>0</v>
      </c>
    </row>
    <row r="145" spans="1:9" ht="12" customHeight="1" thickBot="1" x14ac:dyDescent="0.3">
      <c r="A145" s="11" t="s">
        <v>143</v>
      </c>
      <c r="B145" s="7" t="s">
        <v>482</v>
      </c>
      <c r="C145" s="541">
        <f t="shared" si="7"/>
        <v>0</v>
      </c>
      <c r="D145" s="119"/>
      <c r="E145" s="119"/>
      <c r="F145" s="119"/>
      <c r="H145" s="414">
        <f>'1.2.sz.mell. '!C145+'1.3.sz.mell.'!C145+'1.4.sz.mell. '!C145+'1.5.sz.mell.'!C145</f>
        <v>0</v>
      </c>
      <c r="I145" s="417">
        <f t="shared" si="8"/>
        <v>0</v>
      </c>
    </row>
    <row r="146" spans="1:9" ht="12" customHeight="1" thickBot="1" x14ac:dyDescent="0.3">
      <c r="A146" s="18" t="s">
        <v>26</v>
      </c>
      <c r="B146" s="468" t="s">
        <v>483</v>
      </c>
      <c r="C146" s="470">
        <f t="shared" si="7"/>
        <v>0</v>
      </c>
      <c r="D146" s="301">
        <f>+D147+D148+D149+D150</f>
        <v>0</v>
      </c>
      <c r="E146" s="135">
        <f>+E147+E148+E149+E150</f>
        <v>0</v>
      </c>
      <c r="F146" s="135">
        <f>+F147+F148+F149+F150</f>
        <v>0</v>
      </c>
      <c r="H146" s="414">
        <f>'1.2.sz.mell. '!C146+'1.3.sz.mell.'!C146+'1.4.sz.mell. '!C146+'1.5.sz.mell.'!C146</f>
        <v>0</v>
      </c>
      <c r="I146" s="414">
        <f t="shared" si="8"/>
        <v>0</v>
      </c>
    </row>
    <row r="147" spans="1:9" ht="12" customHeight="1" thickBot="1" x14ac:dyDescent="0.3">
      <c r="A147" s="13" t="s">
        <v>96</v>
      </c>
      <c r="B147" s="7" t="s">
        <v>320</v>
      </c>
      <c r="C147" s="466">
        <f t="shared" si="7"/>
        <v>0</v>
      </c>
      <c r="D147" s="119"/>
      <c r="E147" s="119"/>
      <c r="F147" s="119"/>
      <c r="H147" s="414">
        <f>'1.2.sz.mell. '!C147+'1.3.sz.mell.'!C147+'1.4.sz.mell. '!C147+'1.5.sz.mell.'!C147</f>
        <v>0</v>
      </c>
      <c r="I147" s="415">
        <f t="shared" si="8"/>
        <v>0</v>
      </c>
    </row>
    <row r="148" spans="1:9" ht="12" customHeight="1" thickBot="1" x14ac:dyDescent="0.3">
      <c r="A148" s="13" t="s">
        <v>97</v>
      </c>
      <c r="B148" s="7" t="s">
        <v>321</v>
      </c>
      <c r="C148" s="465">
        <f t="shared" si="7"/>
        <v>0</v>
      </c>
      <c r="D148" s="119"/>
      <c r="E148" s="119"/>
      <c r="F148" s="119"/>
      <c r="H148" s="414">
        <f>'1.2.sz.mell. '!C148+'1.3.sz.mell.'!C148+'1.4.sz.mell. '!C148+'1.5.sz.mell.'!C148</f>
        <v>0</v>
      </c>
      <c r="I148" s="416">
        <f t="shared" si="8"/>
        <v>0</v>
      </c>
    </row>
    <row r="149" spans="1:9" ht="12" customHeight="1" thickBot="1" x14ac:dyDescent="0.3">
      <c r="A149" s="13" t="s">
        <v>234</v>
      </c>
      <c r="B149" s="7" t="s">
        <v>484</v>
      </c>
      <c r="C149" s="466">
        <f t="shared" si="7"/>
        <v>0</v>
      </c>
      <c r="D149" s="119"/>
      <c r="E149" s="119"/>
      <c r="F149" s="119"/>
      <c r="H149" s="414">
        <f>'1.2.sz.mell. '!C149+'1.3.sz.mell.'!C149+'1.4.sz.mell. '!C149+'1.5.sz.mell.'!C149</f>
        <v>0</v>
      </c>
      <c r="I149" s="416">
        <f t="shared" si="8"/>
        <v>0</v>
      </c>
    </row>
    <row r="150" spans="1:9" ht="12" customHeight="1" thickBot="1" x14ac:dyDescent="0.3">
      <c r="A150" s="11" t="s">
        <v>235</v>
      </c>
      <c r="B150" s="5" t="s">
        <v>339</v>
      </c>
      <c r="C150" s="469">
        <f t="shared" si="7"/>
        <v>0</v>
      </c>
      <c r="D150" s="119"/>
      <c r="E150" s="119"/>
      <c r="F150" s="119"/>
      <c r="H150" s="414">
        <f>'1.2.sz.mell. '!C150+'1.3.sz.mell.'!C150+'1.4.sz.mell. '!C150+'1.5.sz.mell.'!C150</f>
        <v>0</v>
      </c>
      <c r="I150" s="417">
        <f t="shared" si="8"/>
        <v>0</v>
      </c>
    </row>
    <row r="151" spans="1:9" ht="12" customHeight="1" thickBot="1" x14ac:dyDescent="0.3">
      <c r="A151" s="18" t="s">
        <v>27</v>
      </c>
      <c r="B151" s="468" t="s">
        <v>485</v>
      </c>
      <c r="C151" s="470">
        <f t="shared" si="7"/>
        <v>0</v>
      </c>
      <c r="D151" s="308">
        <f>+D152+D153+D154+D155+D156</f>
        <v>0</v>
      </c>
      <c r="E151" s="138">
        <f>+E152+E153+E154+E155+E156</f>
        <v>0</v>
      </c>
      <c r="F151" s="138">
        <f>SUM(F152:F156)</f>
        <v>0</v>
      </c>
      <c r="H151" s="414">
        <f>'1.2.sz.mell. '!C151+'1.3.sz.mell.'!C151+'1.4.sz.mell. '!C151+'1.5.sz.mell.'!C151</f>
        <v>0</v>
      </c>
      <c r="I151" s="414">
        <f t="shared" si="8"/>
        <v>0</v>
      </c>
    </row>
    <row r="152" spans="1:9" ht="12" customHeight="1" thickBot="1" x14ac:dyDescent="0.3">
      <c r="A152" s="13" t="s">
        <v>98</v>
      </c>
      <c r="B152" s="7" t="s">
        <v>486</v>
      </c>
      <c r="C152" s="466">
        <f t="shared" si="7"/>
        <v>0</v>
      </c>
      <c r="D152" s="119"/>
      <c r="E152" s="119"/>
      <c r="F152" s="119"/>
      <c r="H152" s="414">
        <f>'1.2.sz.mell. '!C152+'1.3.sz.mell.'!C152+'1.4.sz.mell. '!C152+'1.5.sz.mell.'!C152</f>
        <v>0</v>
      </c>
      <c r="I152" s="415">
        <f t="shared" si="8"/>
        <v>0</v>
      </c>
    </row>
    <row r="153" spans="1:9" ht="12" customHeight="1" thickBot="1" x14ac:dyDescent="0.3">
      <c r="A153" s="13" t="s">
        <v>99</v>
      </c>
      <c r="B153" s="7" t="s">
        <v>487</v>
      </c>
      <c r="C153" s="466">
        <f t="shared" si="7"/>
        <v>0</v>
      </c>
      <c r="D153" s="119"/>
      <c r="E153" s="119"/>
      <c r="F153" s="119"/>
      <c r="H153" s="414">
        <f>'1.2.sz.mell. '!C153+'1.3.sz.mell.'!C153+'1.4.sz.mell. '!C153+'1.5.sz.mell.'!C153</f>
        <v>0</v>
      </c>
      <c r="I153" s="416">
        <f t="shared" si="8"/>
        <v>0</v>
      </c>
    </row>
    <row r="154" spans="1:9" ht="12" customHeight="1" thickBot="1" x14ac:dyDescent="0.3">
      <c r="A154" s="13" t="s">
        <v>246</v>
      </c>
      <c r="B154" s="7" t="s">
        <v>488</v>
      </c>
      <c r="C154" s="466">
        <f t="shared" si="7"/>
        <v>0</v>
      </c>
      <c r="D154" s="119"/>
      <c r="E154" s="119"/>
      <c r="F154" s="119"/>
      <c r="H154" s="414">
        <f>'1.2.sz.mell. '!C154+'1.3.sz.mell.'!C154+'1.4.sz.mell. '!C154+'1.5.sz.mell.'!C154</f>
        <v>0</v>
      </c>
      <c r="I154" s="416">
        <f t="shared" si="8"/>
        <v>0</v>
      </c>
    </row>
    <row r="155" spans="1:9" ht="12" customHeight="1" thickBot="1" x14ac:dyDescent="0.3">
      <c r="A155" s="13" t="s">
        <v>247</v>
      </c>
      <c r="B155" s="7" t="s">
        <v>489</v>
      </c>
      <c r="C155" s="466">
        <f t="shared" si="7"/>
        <v>0</v>
      </c>
      <c r="D155" s="119"/>
      <c r="E155" s="119"/>
      <c r="F155" s="119"/>
      <c r="H155" s="414">
        <f>'1.2.sz.mell. '!C155+'1.3.sz.mell.'!C155+'1.4.sz.mell. '!C155+'1.5.sz.mell.'!C155</f>
        <v>0</v>
      </c>
      <c r="I155" s="416">
        <f t="shared" si="8"/>
        <v>0</v>
      </c>
    </row>
    <row r="156" spans="1:9" ht="12" customHeight="1" thickBot="1" x14ac:dyDescent="0.3">
      <c r="A156" s="13" t="s">
        <v>490</v>
      </c>
      <c r="B156" s="7" t="s">
        <v>491</v>
      </c>
      <c r="C156" s="469">
        <f t="shared" si="7"/>
        <v>0</v>
      </c>
      <c r="D156" s="120"/>
      <c r="E156" s="120"/>
      <c r="F156" s="119"/>
      <c r="H156" s="414">
        <f>'1.2.sz.mell. '!C156+'1.3.sz.mell.'!C156+'1.4.sz.mell. '!C156+'1.5.sz.mell.'!C156</f>
        <v>0</v>
      </c>
      <c r="I156" s="417">
        <f t="shared" si="8"/>
        <v>0</v>
      </c>
    </row>
    <row r="157" spans="1:9" ht="12" customHeight="1" thickBot="1" x14ac:dyDescent="0.3">
      <c r="A157" s="18" t="s">
        <v>28</v>
      </c>
      <c r="B157" s="468" t="s">
        <v>492</v>
      </c>
      <c r="C157" s="470">
        <f t="shared" si="7"/>
        <v>0</v>
      </c>
      <c r="D157" s="308"/>
      <c r="E157" s="138"/>
      <c r="F157" s="275"/>
      <c r="H157" s="414">
        <f>'1.2.sz.mell. '!C157+'1.3.sz.mell.'!C157+'1.4.sz.mell. '!C157+'1.5.sz.mell.'!C157</f>
        <v>0</v>
      </c>
      <c r="I157" s="414">
        <f t="shared" si="8"/>
        <v>0</v>
      </c>
    </row>
    <row r="158" spans="1:9" ht="12" customHeight="1" thickBot="1" x14ac:dyDescent="0.3">
      <c r="A158" s="18" t="s">
        <v>29</v>
      </c>
      <c r="B158" s="468" t="s">
        <v>493</v>
      </c>
      <c r="C158" s="470">
        <f t="shared" si="7"/>
        <v>0</v>
      </c>
      <c r="D158" s="308"/>
      <c r="E158" s="138"/>
      <c r="F158" s="275"/>
      <c r="H158" s="414">
        <f>'1.2.sz.mell. '!C158+'1.3.sz.mell.'!C158+'1.4.sz.mell. '!C158+'1.5.sz.mell.'!C158</f>
        <v>0</v>
      </c>
      <c r="I158" s="414">
        <f t="shared" si="8"/>
        <v>0</v>
      </c>
    </row>
    <row r="159" spans="1:9" ht="15" customHeight="1" thickBot="1" x14ac:dyDescent="0.3">
      <c r="A159" s="18" t="s">
        <v>30</v>
      </c>
      <c r="B159" s="468" t="s">
        <v>494</v>
      </c>
      <c r="C159" s="470">
        <f t="shared" si="7"/>
        <v>726038434</v>
      </c>
      <c r="D159" s="309">
        <f>+D135+D139+D146+D151+D157+D158</f>
        <v>726038434</v>
      </c>
      <c r="E159" s="217">
        <f>+E135+E139+E146+E151+E157+E158</f>
        <v>0</v>
      </c>
      <c r="F159" s="217">
        <f>+F135+F139+F146+F151+F157+F158</f>
        <v>0</v>
      </c>
      <c r="G159" s="218"/>
      <c r="H159" s="414">
        <f>'1.2.sz.mell. '!C159+'1.3.sz.mell.'!C159+'1.4.sz.mell. '!C159+'1.5.sz.mell.'!C159</f>
        <v>726038434</v>
      </c>
      <c r="I159" s="414">
        <f t="shared" si="8"/>
        <v>0</v>
      </c>
    </row>
    <row r="160" spans="1:9" s="206" customFormat="1" ht="12.95" customHeight="1" thickBot="1" x14ac:dyDescent="0.25">
      <c r="A160" s="128" t="s">
        <v>31</v>
      </c>
      <c r="B160" s="471" t="s">
        <v>495</v>
      </c>
      <c r="C160" s="470">
        <f t="shared" si="7"/>
        <v>4453796966</v>
      </c>
      <c r="D160" s="309">
        <f>+D134+D159</f>
        <v>2489952003</v>
      </c>
      <c r="E160" s="217">
        <f>+E134+E159</f>
        <v>243632257</v>
      </c>
      <c r="F160" s="217">
        <f>+F134+F159</f>
        <v>1720212706</v>
      </c>
      <c r="H160" s="414">
        <f>'1.2.sz.mell. '!C160+'1.3.sz.mell.'!C160+'1.4.sz.mell. '!C160+'1.5.sz.mell.'!C160</f>
        <v>4453796966</v>
      </c>
      <c r="I160" s="414">
        <f t="shared" si="8"/>
        <v>0</v>
      </c>
    </row>
    <row r="161" spans="1:4" ht="7.5" customHeight="1" x14ac:dyDescent="0.25">
      <c r="C161" s="194"/>
    </row>
    <row r="162" spans="1:4" x14ac:dyDescent="0.25">
      <c r="A162" s="1495" t="s">
        <v>322</v>
      </c>
      <c r="B162" s="1495"/>
      <c r="C162" s="1495"/>
    </row>
    <row r="163" spans="1:4" ht="15" customHeight="1" thickBot="1" x14ac:dyDescent="0.3">
      <c r="A163" s="1497" t="s">
        <v>131</v>
      </c>
      <c r="B163" s="1497"/>
      <c r="C163" s="139" t="s">
        <v>557</v>
      </c>
    </row>
    <row r="164" spans="1:4" ht="13.5" customHeight="1" thickBot="1" x14ac:dyDescent="0.3">
      <c r="A164" s="18">
        <v>1</v>
      </c>
      <c r="B164" s="23" t="s">
        <v>496</v>
      </c>
      <c r="C164" s="130">
        <f>+C68-C134</f>
        <v>-984341940</v>
      </c>
      <c r="D164" s="793"/>
    </row>
    <row r="165" spans="1:4" ht="15" customHeight="1" thickBot="1" x14ac:dyDescent="0.3">
      <c r="A165" s="18" t="s">
        <v>22</v>
      </c>
      <c r="B165" s="23" t="s">
        <v>1005</v>
      </c>
      <c r="C165" s="130">
        <f>+C92-C159</f>
        <v>984341940</v>
      </c>
    </row>
  </sheetData>
  <mergeCells count="10">
    <mergeCell ref="A3:C3"/>
    <mergeCell ref="A4:C4"/>
    <mergeCell ref="A5:C5"/>
    <mergeCell ref="A1:C1"/>
    <mergeCell ref="A163:B163"/>
    <mergeCell ref="A7:C7"/>
    <mergeCell ref="A8:B8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2" manualBreakCount="2">
    <brk id="72" max="2" man="1"/>
    <brk id="94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zoomScaleNormal="100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1423" customWidth="1"/>
    <col min="2" max="5" width="13.83203125" style="1423" customWidth="1"/>
    <col min="6" max="16384" width="9.33203125" style="1423"/>
  </cols>
  <sheetData>
    <row r="1" spans="1:6" x14ac:dyDescent="0.2">
      <c r="A1" s="1535" t="str">
        <f>CONCATENATE("8.5. melléklet ",ALAPADATOK!A7," ",ALAPADATOK!B7," ",ALAPADATOK!C7," ",ALAPADATOK!D7," ",ALAPADATOK!E7," ",ALAPADATOK!F7," ",ALAPADATOK!G7," ",ALAPADATOK!H7)</f>
        <v>8.5. melléklet a 6 / 2020. ( II.27 ) önkormányzati határozathoz</v>
      </c>
      <c r="B1" s="1535"/>
      <c r="C1" s="1535"/>
      <c r="D1" s="1535"/>
      <c r="E1" s="1535"/>
    </row>
    <row r="2" spans="1:6" x14ac:dyDescent="0.2">
      <c r="A2" s="1422"/>
      <c r="B2" s="1422"/>
      <c r="C2" s="1422"/>
      <c r="D2" s="1422"/>
      <c r="E2" s="1422"/>
    </row>
    <row r="3" spans="1:6" ht="74.25" customHeight="1" x14ac:dyDescent="0.25">
      <c r="A3" s="1536" t="s">
        <v>1008</v>
      </c>
      <c r="B3" s="1536"/>
      <c r="C3" s="1536"/>
      <c r="D3" s="1536"/>
      <c r="E3" s="1536"/>
      <c r="F3" s="1424"/>
    </row>
    <row r="4" spans="1:6" ht="14.25" thickBot="1" x14ac:dyDescent="0.3">
      <c r="A4" s="1446"/>
      <c r="B4" s="1446"/>
      <c r="C4" s="1446"/>
      <c r="D4" s="1537" t="s">
        <v>566</v>
      </c>
      <c r="E4" s="1537"/>
      <c r="F4" s="1424"/>
    </row>
    <row r="5" spans="1:6" ht="15" customHeight="1" thickBot="1" x14ac:dyDescent="0.25">
      <c r="A5" s="1447" t="s">
        <v>608</v>
      </c>
      <c r="B5" s="1448" t="s">
        <v>884</v>
      </c>
      <c r="C5" s="1448" t="s">
        <v>821</v>
      </c>
      <c r="D5" s="1448" t="s">
        <v>885</v>
      </c>
      <c r="E5" s="1449" t="s">
        <v>53</v>
      </c>
      <c r="F5" s="1424"/>
    </row>
    <row r="6" spans="1:6" x14ac:dyDescent="0.2">
      <c r="A6" s="1450" t="s">
        <v>609</v>
      </c>
      <c r="B6" s="1451">
        <v>9291638</v>
      </c>
      <c r="C6" s="1451">
        <v>-8393400</v>
      </c>
      <c r="D6" s="1451"/>
      <c r="E6" s="1452">
        <v>898238</v>
      </c>
      <c r="F6" s="1424"/>
    </row>
    <row r="7" spans="1:6" x14ac:dyDescent="0.2">
      <c r="A7" s="1453" t="s">
        <v>610</v>
      </c>
      <c r="B7" s="1454"/>
      <c r="C7" s="1454"/>
      <c r="D7" s="1454"/>
      <c r="E7" s="1455">
        <v>0</v>
      </c>
      <c r="F7" s="1424"/>
    </row>
    <row r="8" spans="1:6" x14ac:dyDescent="0.2">
      <c r="A8" s="1456" t="s">
        <v>611</v>
      </c>
      <c r="B8" s="1457"/>
      <c r="C8" s="1458">
        <v>8393400</v>
      </c>
      <c r="D8" s="1457"/>
      <c r="E8" s="1459">
        <v>8393400</v>
      </c>
      <c r="F8" s="1424"/>
    </row>
    <row r="9" spans="1:6" x14ac:dyDescent="0.2">
      <c r="A9" s="1456" t="s">
        <v>612</v>
      </c>
      <c r="B9" s="1457"/>
      <c r="C9" s="1457"/>
      <c r="D9" s="1457"/>
      <c r="E9" s="1459">
        <v>0</v>
      </c>
      <c r="F9" s="1424"/>
    </row>
    <row r="10" spans="1:6" x14ac:dyDescent="0.2">
      <c r="A10" s="1456" t="s">
        <v>124</v>
      </c>
      <c r="B10" s="1457"/>
      <c r="C10" s="1457"/>
      <c r="D10" s="1457"/>
      <c r="E10" s="1459">
        <v>0</v>
      </c>
      <c r="F10" s="1424"/>
    </row>
    <row r="11" spans="1:6" x14ac:dyDescent="0.2">
      <c r="A11" s="1456" t="s">
        <v>613</v>
      </c>
      <c r="B11" s="1457"/>
      <c r="C11" s="1457"/>
      <c r="D11" s="1457"/>
      <c r="E11" s="1459">
        <v>0</v>
      </c>
      <c r="F11" s="1424"/>
    </row>
    <row r="12" spans="1:6" ht="13.5" thickBot="1" x14ac:dyDescent="0.25">
      <c r="A12" s="1460"/>
      <c r="B12" s="1461"/>
      <c r="C12" s="1461"/>
      <c r="D12" s="1461"/>
      <c r="E12" s="1459">
        <v>0</v>
      </c>
      <c r="F12" s="1424"/>
    </row>
    <row r="13" spans="1:6" ht="13.5" thickBot="1" x14ac:dyDescent="0.25">
      <c r="A13" s="1462" t="s">
        <v>614</v>
      </c>
      <c r="B13" s="1463">
        <v>9291638</v>
      </c>
      <c r="C13" s="1463">
        <v>0</v>
      </c>
      <c r="D13" s="1463">
        <v>0</v>
      </c>
      <c r="E13" s="1464">
        <v>9291638</v>
      </c>
      <c r="F13" s="1424"/>
    </row>
    <row r="14" spans="1:6" ht="13.5" thickBot="1" x14ac:dyDescent="0.25">
      <c r="A14" s="1465"/>
      <c r="B14" s="1465"/>
      <c r="C14" s="1465"/>
      <c r="D14" s="1465"/>
      <c r="E14" s="1465"/>
      <c r="F14" s="1424"/>
    </row>
    <row r="15" spans="1:6" ht="15" customHeight="1" thickBot="1" x14ac:dyDescent="0.25">
      <c r="A15" s="1447" t="s">
        <v>615</v>
      </c>
      <c r="B15" s="1448" t="s">
        <v>884</v>
      </c>
      <c r="C15" s="1448" t="s">
        <v>821</v>
      </c>
      <c r="D15" s="1448" t="s">
        <v>885</v>
      </c>
      <c r="E15" s="1449" t="s">
        <v>53</v>
      </c>
      <c r="F15" s="1424"/>
    </row>
    <row r="16" spans="1:6" x14ac:dyDescent="0.2">
      <c r="A16" s="1450" t="s">
        <v>616</v>
      </c>
      <c r="B16" s="1451">
        <v>110000</v>
      </c>
      <c r="C16" s="1466"/>
      <c r="D16" s="1451"/>
      <c r="E16" s="1452">
        <v>110000</v>
      </c>
      <c r="F16" s="1424"/>
    </row>
    <row r="17" spans="1:6" x14ac:dyDescent="0.2">
      <c r="A17" s="1467" t="s">
        <v>617</v>
      </c>
      <c r="B17" s="1457"/>
      <c r="C17" s="1458"/>
      <c r="D17" s="1457"/>
      <c r="E17" s="1459">
        <v>0</v>
      </c>
      <c r="F17" s="1424"/>
    </row>
    <row r="18" spans="1:6" x14ac:dyDescent="0.2">
      <c r="A18" s="1456" t="s">
        <v>618</v>
      </c>
      <c r="B18" s="1457">
        <v>9181638</v>
      </c>
      <c r="C18" s="1458"/>
      <c r="D18" s="1457"/>
      <c r="E18" s="1459">
        <v>9181638</v>
      </c>
      <c r="F18" s="1424"/>
    </row>
    <row r="19" spans="1:6" x14ac:dyDescent="0.2">
      <c r="A19" s="1456" t="s">
        <v>619</v>
      </c>
      <c r="B19" s="1457"/>
      <c r="C19" s="1457"/>
      <c r="D19" s="1457"/>
      <c r="E19" s="1459">
        <v>0</v>
      </c>
      <c r="F19" s="1424"/>
    </row>
    <row r="20" spans="1:6" x14ac:dyDescent="0.2">
      <c r="A20" s="1468" t="s">
        <v>620</v>
      </c>
      <c r="B20" s="1457"/>
      <c r="C20" s="1457"/>
      <c r="D20" s="1457"/>
      <c r="E20" s="1459">
        <v>0</v>
      </c>
      <c r="F20" s="1424"/>
    </row>
    <row r="21" spans="1:6" x14ac:dyDescent="0.2">
      <c r="A21" s="1468" t="s">
        <v>621</v>
      </c>
      <c r="B21" s="1457"/>
      <c r="C21" s="1457"/>
      <c r="D21" s="1457"/>
      <c r="E21" s="1459">
        <v>0</v>
      </c>
      <c r="F21" s="1424"/>
    </row>
    <row r="22" spans="1:6" ht="13.5" thickBot="1" x14ac:dyDescent="0.25">
      <c r="A22" s="1460"/>
      <c r="B22" s="1461"/>
      <c r="C22" s="1461"/>
      <c r="D22" s="1461"/>
      <c r="E22" s="1459">
        <v>0</v>
      </c>
      <c r="F22" s="1424"/>
    </row>
    <row r="23" spans="1:6" ht="13.5" thickBot="1" x14ac:dyDescent="0.25">
      <c r="A23" s="1462" t="s">
        <v>54</v>
      </c>
      <c r="B23" s="1463">
        <v>9291638</v>
      </c>
      <c r="C23" s="1463">
        <v>0</v>
      </c>
      <c r="D23" s="1463">
        <v>0</v>
      </c>
      <c r="E23" s="1464">
        <v>9291638</v>
      </c>
      <c r="F23" s="1424"/>
    </row>
    <row r="24" spans="1:6" x14ac:dyDescent="0.2">
      <c r="A24" s="1422"/>
      <c r="B24" s="1422"/>
      <c r="C24" s="1422"/>
      <c r="D24" s="1422"/>
      <c r="E24" s="1422"/>
    </row>
    <row r="25" spans="1:6" ht="48.75" customHeight="1" x14ac:dyDescent="0.2">
      <c r="A25" s="1538"/>
      <c r="B25" s="1538"/>
      <c r="C25" s="1538"/>
      <c r="D25" s="1538"/>
      <c r="E25" s="1538"/>
    </row>
    <row r="26" spans="1:6" ht="14.25" thickBot="1" x14ac:dyDescent="0.3">
      <c r="A26" s="1425"/>
      <c r="B26" s="1425"/>
      <c r="C26" s="1425"/>
      <c r="D26" s="1537" t="s">
        <v>566</v>
      </c>
      <c r="E26" s="1537"/>
    </row>
    <row r="27" spans="1:6" ht="13.5" thickBot="1" x14ac:dyDescent="0.25">
      <c r="A27" s="1426" t="s">
        <v>608</v>
      </c>
      <c r="B27" s="1427" t="s">
        <v>884</v>
      </c>
      <c r="C27" s="1427" t="s">
        <v>821</v>
      </c>
      <c r="D27" s="1427" t="s">
        <v>885</v>
      </c>
      <c r="E27" s="1428" t="s">
        <v>53</v>
      </c>
    </row>
    <row r="28" spans="1:6" x14ac:dyDescent="0.2">
      <c r="A28" s="1429" t="s">
        <v>609</v>
      </c>
      <c r="B28" s="1430"/>
      <c r="C28" s="1430"/>
      <c r="D28" s="1430"/>
      <c r="E28" s="1431"/>
    </row>
    <row r="29" spans="1:6" x14ac:dyDescent="0.2">
      <c r="A29" s="1432" t="s">
        <v>610</v>
      </c>
      <c r="B29" s="1433"/>
      <c r="C29" s="1433"/>
      <c r="D29" s="1433"/>
      <c r="E29" s="1434"/>
    </row>
    <row r="30" spans="1:6" x14ac:dyDescent="0.2">
      <c r="A30" s="1435" t="s">
        <v>611</v>
      </c>
      <c r="B30" s="1436"/>
      <c r="C30" s="1436"/>
      <c r="D30" s="1436"/>
      <c r="E30" s="1437"/>
    </row>
    <row r="31" spans="1:6" x14ac:dyDescent="0.2">
      <c r="A31" s="1435" t="s">
        <v>612</v>
      </c>
      <c r="B31" s="1436"/>
      <c r="C31" s="1436"/>
      <c r="D31" s="1436"/>
      <c r="E31" s="1437">
        <v>0</v>
      </c>
    </row>
    <row r="32" spans="1:6" x14ac:dyDescent="0.2">
      <c r="A32" s="1435" t="s">
        <v>124</v>
      </c>
      <c r="B32" s="1436"/>
      <c r="C32" s="1436"/>
      <c r="D32" s="1436"/>
      <c r="E32" s="1437">
        <v>0</v>
      </c>
    </row>
    <row r="33" spans="1:5" x14ac:dyDescent="0.2">
      <c r="A33" s="1435" t="s">
        <v>613</v>
      </c>
      <c r="B33" s="1436"/>
      <c r="C33" s="1436"/>
      <c r="D33" s="1436"/>
      <c r="E33" s="1437">
        <v>0</v>
      </c>
    </row>
    <row r="34" spans="1:5" ht="13.5" thickBot="1" x14ac:dyDescent="0.25">
      <c r="A34" s="1438"/>
      <c r="B34" s="1439"/>
      <c r="C34" s="1439"/>
      <c r="D34" s="1439"/>
      <c r="E34" s="1437">
        <v>0</v>
      </c>
    </row>
    <row r="35" spans="1:5" ht="13.5" thickBot="1" x14ac:dyDescent="0.25">
      <c r="A35" s="1440" t="s">
        <v>614</v>
      </c>
      <c r="B35" s="1441"/>
      <c r="C35" s="1441">
        <v>0</v>
      </c>
      <c r="D35" s="1441">
        <v>0</v>
      </c>
      <c r="E35" s="1442"/>
    </row>
    <row r="36" spans="1:5" ht="13.5" thickBot="1" x14ac:dyDescent="0.25">
      <c r="A36" s="1443"/>
      <c r="B36" s="1443"/>
      <c r="C36" s="1443"/>
      <c r="D36" s="1443"/>
      <c r="E36" s="1443"/>
    </row>
    <row r="37" spans="1:5" ht="13.5" thickBot="1" x14ac:dyDescent="0.25">
      <c r="A37" s="1426" t="s">
        <v>615</v>
      </c>
      <c r="B37" s="1427" t="s">
        <v>884</v>
      </c>
      <c r="C37" s="1427" t="s">
        <v>821</v>
      </c>
      <c r="D37" s="1427" t="s">
        <v>885</v>
      </c>
      <c r="E37" s="1428" t="s">
        <v>53</v>
      </c>
    </row>
    <row r="38" spans="1:5" x14ac:dyDescent="0.2">
      <c r="A38" s="1429" t="s">
        <v>616</v>
      </c>
      <c r="B38" s="1430"/>
      <c r="C38" s="1430"/>
      <c r="D38" s="1430"/>
      <c r="E38" s="1431"/>
    </row>
    <row r="39" spans="1:5" x14ac:dyDescent="0.2">
      <c r="A39" s="1444" t="s">
        <v>617</v>
      </c>
      <c r="B39" s="1436"/>
      <c r="C39" s="1436"/>
      <c r="D39" s="1436"/>
      <c r="E39" s="1437"/>
    </row>
    <row r="40" spans="1:5" x14ac:dyDescent="0.2">
      <c r="A40" s="1435" t="s">
        <v>618</v>
      </c>
      <c r="B40" s="1436"/>
      <c r="C40" s="1436"/>
      <c r="D40" s="1436"/>
      <c r="E40" s="1437"/>
    </row>
    <row r="41" spans="1:5" x14ac:dyDescent="0.2">
      <c r="A41" s="1435" t="s">
        <v>619</v>
      </c>
      <c r="B41" s="1436"/>
      <c r="C41" s="1436"/>
      <c r="D41" s="1436"/>
      <c r="E41" s="1437"/>
    </row>
    <row r="42" spans="1:5" x14ac:dyDescent="0.2">
      <c r="A42" s="1445" t="s">
        <v>620</v>
      </c>
      <c r="B42" s="1436"/>
      <c r="C42" s="1436"/>
      <c r="D42" s="1436"/>
      <c r="E42" s="1437"/>
    </row>
    <row r="43" spans="1:5" x14ac:dyDescent="0.2">
      <c r="A43" s="1445" t="s">
        <v>621</v>
      </c>
      <c r="B43" s="1436"/>
      <c r="C43" s="1436"/>
      <c r="D43" s="1436"/>
      <c r="E43" s="1437"/>
    </row>
    <row r="44" spans="1:5" ht="13.5" thickBot="1" x14ac:dyDescent="0.25">
      <c r="A44" s="1438"/>
      <c r="B44" s="1439"/>
      <c r="C44" s="1439"/>
      <c r="D44" s="1439"/>
      <c r="E44" s="1437"/>
    </row>
    <row r="45" spans="1:5" ht="13.5" thickBot="1" x14ac:dyDescent="0.25">
      <c r="A45" s="1440" t="s">
        <v>54</v>
      </c>
      <c r="B45" s="1441"/>
      <c r="C45" s="1441"/>
      <c r="D45" s="1441"/>
      <c r="E45" s="1442"/>
    </row>
    <row r="46" spans="1:5" x14ac:dyDescent="0.2">
      <c r="A46" s="1422"/>
      <c r="B46" s="1422"/>
      <c r="C46" s="1422"/>
      <c r="D46" s="1422"/>
      <c r="E46" s="1422"/>
    </row>
  </sheetData>
  <mergeCells count="5">
    <mergeCell ref="A1:E1"/>
    <mergeCell ref="A25:E25"/>
    <mergeCell ref="D26:E26"/>
    <mergeCell ref="A3:E3"/>
    <mergeCell ref="D4:E4"/>
  </mergeCells>
  <conditionalFormatting sqref="E6:E13 B13:D13 B23:E23 E16:E22">
    <cfRule type="cellIs" dxfId="2" priority="2" stopIfTrue="1" operator="equal">
      <formula>0</formula>
    </cfRule>
  </conditionalFormatting>
  <conditionalFormatting sqref="E28:E35 B35:D35 B45:E45 E38:E44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zoomScale="115" zoomScaleNormal="115" zoomScaleSheetLayoutView="85" workbookViewId="0">
      <selection activeCell="B16" sqref="B16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393" customWidth="1"/>
    <col min="4" max="4" width="16.6640625" style="420" hidden="1" customWidth="1"/>
    <col min="5" max="5" width="11.83203125" style="420" hidden="1" customWidth="1"/>
    <col min="6" max="6" width="11.83203125" style="419" hidden="1" customWidth="1"/>
    <col min="7" max="7" width="15.33203125" style="1172" hidden="1" customWidth="1"/>
    <col min="8" max="8" width="17.6640625" style="2" hidden="1" customWidth="1"/>
    <col min="9" max="16384" width="9.33203125" style="2"/>
  </cols>
  <sheetData>
    <row r="1" spans="1:8" s="1250" customFormat="1" x14ac:dyDescent="0.2">
      <c r="A1" s="1539" t="str">
        <f>CONCATENATE("6. melléklet ",ALAPADATOK!A7," ",ALAPADATOK!B7," ",ALAPADATOK!C7," ",ALAPADATOK!D7," ",ALAPADATOK!E7," ",ALAPADATOK!F7," ",ALAPADATOK!G7," ",ALAPADATOK!H7)</f>
        <v>6. melléklet a 6 / 2020. ( II.27 ) önkormányzati határozathoz</v>
      </c>
      <c r="B1" s="1539"/>
      <c r="C1" s="1539"/>
      <c r="D1" s="1263"/>
      <c r="E1" s="1263"/>
      <c r="F1" s="1262"/>
      <c r="G1" s="1172"/>
    </row>
    <row r="2" spans="1:8" s="1" customFormat="1" ht="16.5" customHeight="1" thickBot="1" x14ac:dyDescent="0.25">
      <c r="A2" s="92"/>
      <c r="B2" s="94"/>
      <c r="C2" s="117"/>
      <c r="D2" s="420"/>
      <c r="E2" s="420"/>
      <c r="F2" s="419"/>
      <c r="G2" s="1177"/>
    </row>
    <row r="3" spans="1:8" s="46" customFormat="1" ht="21" customHeight="1" x14ac:dyDescent="0.2">
      <c r="A3" s="197" t="s">
        <v>64</v>
      </c>
      <c r="B3" s="175" t="s">
        <v>170</v>
      </c>
      <c r="C3" s="177" t="s">
        <v>55</v>
      </c>
      <c r="D3" s="422"/>
      <c r="E3" s="422"/>
      <c r="F3" s="421"/>
      <c r="G3" s="1175"/>
    </row>
    <row r="4" spans="1:8" s="46" customFormat="1" ht="16.5" thickBot="1" x14ac:dyDescent="0.25">
      <c r="A4" s="95" t="s">
        <v>166</v>
      </c>
      <c r="B4" s="176" t="s">
        <v>347</v>
      </c>
      <c r="C4" s="278" t="s">
        <v>55</v>
      </c>
      <c r="D4" s="422"/>
      <c r="E4" s="422"/>
      <c r="F4" s="421"/>
      <c r="G4" s="1175"/>
    </row>
    <row r="5" spans="1:8" s="47" customFormat="1" ht="15.95" customHeight="1" thickBot="1" x14ac:dyDescent="0.3">
      <c r="A5" s="96"/>
      <c r="B5" s="96"/>
      <c r="C5" s="97" t="s">
        <v>557</v>
      </c>
      <c r="D5" s="422"/>
      <c r="E5" s="422"/>
      <c r="F5" s="421"/>
      <c r="G5" s="1175"/>
    </row>
    <row r="6" spans="1:8" ht="13.5" thickBot="1" x14ac:dyDescent="0.25">
      <c r="A6" s="198" t="s">
        <v>168</v>
      </c>
      <c r="B6" s="98" t="s">
        <v>56</v>
      </c>
      <c r="C6" s="178" t="s">
        <v>57</v>
      </c>
    </row>
    <row r="7" spans="1:8" s="39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420"/>
      <c r="E7" s="420"/>
      <c r="F7" s="423"/>
      <c r="G7" s="1176"/>
    </row>
    <row r="8" spans="1:8" s="39" customFormat="1" ht="15.95" customHeight="1" thickBot="1" x14ac:dyDescent="0.25">
      <c r="A8" s="100"/>
      <c r="B8" s="101" t="s">
        <v>58</v>
      </c>
      <c r="C8" s="179"/>
      <c r="D8" s="420"/>
      <c r="E8" s="420"/>
      <c r="F8" s="423"/>
      <c r="G8" s="1176"/>
    </row>
    <row r="9" spans="1:8" s="39" customFormat="1" ht="12" customHeight="1" thickBot="1" x14ac:dyDescent="0.25">
      <c r="A9" s="27" t="s">
        <v>21</v>
      </c>
      <c r="B9" s="19" t="s">
        <v>195</v>
      </c>
      <c r="C9" s="298">
        <f>+C10+C11+C12+C13+C14+C15</f>
        <v>1425055633</v>
      </c>
      <c r="D9" s="424">
        <f>'9.1.1. sz. mell. '!C9+'9.1.2. sz. mell.'!C9</f>
        <v>1425055633</v>
      </c>
      <c r="E9" s="424">
        <f t="shared" ref="E9:E72" si="0">C9-D9</f>
        <v>0</v>
      </c>
      <c r="F9" s="423">
        <f>C9-D9</f>
        <v>0</v>
      </c>
      <c r="G9" s="1176">
        <f>'1.1.sz.mell. '!D11</f>
        <v>1425055633</v>
      </c>
      <c r="H9" s="1173">
        <f>G9-C9</f>
        <v>0</v>
      </c>
    </row>
    <row r="10" spans="1:8" s="48" customFormat="1" ht="12" customHeight="1" thickBot="1" x14ac:dyDescent="0.25">
      <c r="A10" s="221" t="s">
        <v>100</v>
      </c>
      <c r="B10" s="207" t="s">
        <v>196</v>
      </c>
      <c r="C10" s="245">
        <v>229318994</v>
      </c>
      <c r="D10" s="424">
        <f>'9.1.1. sz. mell. '!C10+'9.1.2. sz. mell.'!C10</f>
        <v>229318994</v>
      </c>
      <c r="E10" s="425">
        <f t="shared" si="0"/>
        <v>0</v>
      </c>
      <c r="F10" s="423">
        <f t="shared" ref="F10:F73" si="1">C10-D10</f>
        <v>0</v>
      </c>
      <c r="G10" s="1174">
        <f>'1.1.sz.mell. '!D12</f>
        <v>229318994</v>
      </c>
      <c r="H10" s="1173">
        <f t="shared" ref="H10:H73" si="2">G10-C10</f>
        <v>0</v>
      </c>
    </row>
    <row r="11" spans="1:8" s="49" customFormat="1" ht="12" customHeight="1" thickBot="1" x14ac:dyDescent="0.25">
      <c r="A11" s="222" t="s">
        <v>101</v>
      </c>
      <c r="B11" s="208" t="s">
        <v>197</v>
      </c>
      <c r="C11" s="134">
        <v>229603230</v>
      </c>
      <c r="D11" s="424">
        <f>'9.1.1. sz. mell. '!C11+'9.1.2. sz. mell.'!C11</f>
        <v>229603230</v>
      </c>
      <c r="E11" s="426">
        <f t="shared" si="0"/>
        <v>0</v>
      </c>
      <c r="F11" s="423">
        <f t="shared" si="1"/>
        <v>0</v>
      </c>
      <c r="G11" s="1172">
        <f>'1.1.sz.mell. '!D13</f>
        <v>229603230</v>
      </c>
      <c r="H11" s="1173">
        <f t="shared" si="2"/>
        <v>0</v>
      </c>
    </row>
    <row r="12" spans="1:8" s="49" customFormat="1" ht="12" customHeight="1" thickBot="1" x14ac:dyDescent="0.25">
      <c r="A12" s="222" t="s">
        <v>102</v>
      </c>
      <c r="B12" s="208" t="s">
        <v>198</v>
      </c>
      <c r="C12" s="1486">
        <f>751998665+33216359</f>
        <v>785215024</v>
      </c>
      <c r="D12" s="424">
        <f>'9.1.1. sz. mell. '!C12+'9.1.2. sz. mell.'!C12</f>
        <v>785215024</v>
      </c>
      <c r="E12" s="426">
        <f t="shared" si="0"/>
        <v>0</v>
      </c>
      <c r="F12" s="423">
        <f t="shared" si="1"/>
        <v>0</v>
      </c>
      <c r="G12" s="1172">
        <f>'1.1.sz.mell. '!D14</f>
        <v>785215024</v>
      </c>
      <c r="H12" s="1173">
        <f t="shared" si="2"/>
        <v>0</v>
      </c>
    </row>
    <row r="13" spans="1:8" s="49" customFormat="1" ht="12" customHeight="1" thickBot="1" x14ac:dyDescent="0.25">
      <c r="A13" s="222" t="s">
        <v>103</v>
      </c>
      <c r="B13" s="208" t="s">
        <v>199</v>
      </c>
      <c r="C13" s="134">
        <v>20802409</v>
      </c>
      <c r="D13" s="424">
        <f>'9.1.1. sz. mell. '!C13+'9.1.2. sz. mell.'!C13</f>
        <v>20802409</v>
      </c>
      <c r="E13" s="426">
        <f t="shared" si="0"/>
        <v>0</v>
      </c>
      <c r="F13" s="423">
        <f t="shared" si="1"/>
        <v>0</v>
      </c>
      <c r="G13" s="1172">
        <f>'1.1.sz.mell. '!D15</f>
        <v>20802409</v>
      </c>
      <c r="H13" s="1173">
        <f t="shared" si="2"/>
        <v>0</v>
      </c>
    </row>
    <row r="14" spans="1:8" s="49" customFormat="1" ht="12" customHeight="1" thickBot="1" x14ac:dyDescent="0.25">
      <c r="A14" s="222" t="s">
        <v>126</v>
      </c>
      <c r="B14" s="208" t="s">
        <v>508</v>
      </c>
      <c r="C14" s="134">
        <f>159215979+899997</f>
        <v>160115976</v>
      </c>
      <c r="D14" s="424">
        <f>'9.1.1. sz. mell. '!C14+'9.1.2. sz. mell.'!C14</f>
        <v>160115976</v>
      </c>
      <c r="E14" s="426">
        <f t="shared" si="0"/>
        <v>0</v>
      </c>
      <c r="F14" s="423">
        <f t="shared" si="1"/>
        <v>0</v>
      </c>
      <c r="G14" s="1172">
        <f>'1.1.sz.mell. '!D16</f>
        <v>160115976</v>
      </c>
      <c r="H14" s="1173">
        <f t="shared" si="2"/>
        <v>0</v>
      </c>
    </row>
    <row r="15" spans="1:8" s="48" customFormat="1" ht="12" customHeight="1" thickBot="1" x14ac:dyDescent="0.25">
      <c r="A15" s="223" t="s">
        <v>104</v>
      </c>
      <c r="B15" s="209" t="s">
        <v>451</v>
      </c>
      <c r="C15" s="119"/>
      <c r="D15" s="424">
        <f>'9.1.1. sz. mell. '!C15+'9.1.2. sz. mell.'!C15</f>
        <v>0</v>
      </c>
      <c r="E15" s="427">
        <f t="shared" si="0"/>
        <v>0</v>
      </c>
      <c r="F15" s="423">
        <f t="shared" si="1"/>
        <v>0</v>
      </c>
      <c r="G15" s="1174">
        <f>'1.1.sz.mell. '!D17</f>
        <v>0</v>
      </c>
      <c r="H15" s="1173">
        <f t="shared" si="2"/>
        <v>0</v>
      </c>
    </row>
    <row r="16" spans="1:8" s="48" customFormat="1" ht="12" customHeight="1" thickBot="1" x14ac:dyDescent="0.25">
      <c r="A16" s="27" t="s">
        <v>22</v>
      </c>
      <c r="B16" s="125" t="s">
        <v>200</v>
      </c>
      <c r="C16" s="298">
        <f>+C17+C18+C19+C20+C21</f>
        <v>232919558</v>
      </c>
      <c r="D16" s="424">
        <f>'9.1.1. sz. mell. '!C16+'9.1.2. sz. mell.'!C16</f>
        <v>232919558</v>
      </c>
      <c r="E16" s="424">
        <f t="shared" si="0"/>
        <v>0</v>
      </c>
      <c r="F16" s="423">
        <f t="shared" si="1"/>
        <v>0</v>
      </c>
      <c r="G16" s="1174">
        <f>'1.1.sz.mell. '!D18</f>
        <v>232919558</v>
      </c>
      <c r="H16" s="1173">
        <f t="shared" si="2"/>
        <v>0</v>
      </c>
    </row>
    <row r="17" spans="1:8" s="48" customFormat="1" ht="12" customHeight="1" thickBot="1" x14ac:dyDescent="0.25">
      <c r="A17" s="221" t="s">
        <v>106</v>
      </c>
      <c r="B17" s="207" t="s">
        <v>201</v>
      </c>
      <c r="C17" s="300"/>
      <c r="D17" s="424">
        <f>'9.1.1. sz. mell. '!C17+'9.1.2. sz. mell.'!C17</f>
        <v>0</v>
      </c>
      <c r="E17" s="425">
        <f t="shared" si="0"/>
        <v>0</v>
      </c>
      <c r="F17" s="423">
        <f t="shared" si="1"/>
        <v>0</v>
      </c>
      <c r="G17" s="1174">
        <f>'1.1.sz.mell. '!D19</f>
        <v>0</v>
      </c>
      <c r="H17" s="1173">
        <f t="shared" si="2"/>
        <v>0</v>
      </c>
    </row>
    <row r="18" spans="1:8" s="48" customFormat="1" ht="12" customHeight="1" thickBot="1" x14ac:dyDescent="0.25">
      <c r="A18" s="222" t="s">
        <v>107</v>
      </c>
      <c r="B18" s="208" t="s">
        <v>202</v>
      </c>
      <c r="C18" s="119"/>
      <c r="D18" s="424">
        <f>'9.1.1. sz. mell. '!C18+'9.1.2. sz. mell.'!C18</f>
        <v>0</v>
      </c>
      <c r="E18" s="426">
        <f t="shared" si="0"/>
        <v>0</v>
      </c>
      <c r="F18" s="423">
        <f t="shared" si="1"/>
        <v>0</v>
      </c>
      <c r="G18" s="1174">
        <f>'1.1.sz.mell. '!D20</f>
        <v>0</v>
      </c>
      <c r="H18" s="1173">
        <f t="shared" si="2"/>
        <v>0</v>
      </c>
    </row>
    <row r="19" spans="1:8" s="48" customFormat="1" ht="12" customHeight="1" thickBot="1" x14ac:dyDescent="0.25">
      <c r="A19" s="222" t="s">
        <v>108</v>
      </c>
      <c r="B19" s="208" t="s">
        <v>370</v>
      </c>
      <c r="C19" s="119"/>
      <c r="D19" s="424">
        <f>'9.1.1. sz. mell. '!C19+'9.1.2. sz. mell.'!C19</f>
        <v>0</v>
      </c>
      <c r="E19" s="426">
        <f t="shared" si="0"/>
        <v>0</v>
      </c>
      <c r="F19" s="423">
        <f t="shared" si="1"/>
        <v>0</v>
      </c>
      <c r="G19" s="1174">
        <f>'1.1.sz.mell. '!D21</f>
        <v>0</v>
      </c>
      <c r="H19" s="1173">
        <f t="shared" si="2"/>
        <v>0</v>
      </c>
    </row>
    <row r="20" spans="1:8" s="48" customFormat="1" ht="12" customHeight="1" thickBot="1" x14ac:dyDescent="0.25">
      <c r="A20" s="222" t="s">
        <v>109</v>
      </c>
      <c r="B20" s="208" t="s">
        <v>371</v>
      </c>
      <c r="C20" s="119"/>
      <c r="D20" s="424">
        <f>'9.1.1. sz. mell. '!C20+'9.1.2. sz. mell.'!C20</f>
        <v>0</v>
      </c>
      <c r="E20" s="426">
        <f t="shared" si="0"/>
        <v>0</v>
      </c>
      <c r="F20" s="423">
        <f t="shared" si="1"/>
        <v>0</v>
      </c>
      <c r="G20" s="1174">
        <f>'1.1.sz.mell. '!D22</f>
        <v>0</v>
      </c>
      <c r="H20" s="1173">
        <f t="shared" si="2"/>
        <v>0</v>
      </c>
    </row>
    <row r="21" spans="1:8" s="48" customFormat="1" ht="12" customHeight="1" thickBot="1" x14ac:dyDescent="0.25">
      <c r="A21" s="222" t="s">
        <v>110</v>
      </c>
      <c r="B21" s="208" t="s">
        <v>203</v>
      </c>
      <c r="C21" s="282">
        <v>232919558</v>
      </c>
      <c r="D21" s="424">
        <f>'9.1.1. sz. mell. '!C21+'9.1.2. sz. mell.'!C21</f>
        <v>232919558</v>
      </c>
      <c r="E21" s="426">
        <f t="shared" si="0"/>
        <v>0</v>
      </c>
      <c r="F21" s="423">
        <f t="shared" si="1"/>
        <v>0</v>
      </c>
      <c r="G21" s="1174">
        <f>'1.1.sz.mell. '!D23</f>
        <v>232919558</v>
      </c>
      <c r="H21" s="1173">
        <f t="shared" si="2"/>
        <v>0</v>
      </c>
    </row>
    <row r="22" spans="1:8" s="49" customFormat="1" ht="12" customHeight="1" thickBot="1" x14ac:dyDescent="0.25">
      <c r="A22" s="223" t="s">
        <v>119</v>
      </c>
      <c r="B22" s="209" t="s">
        <v>204</v>
      </c>
      <c r="C22" s="286">
        <f>16392698+36497760+62436432</f>
        <v>115326890</v>
      </c>
      <c r="D22" s="424">
        <f>'9.1.1. sz. mell. '!C22+'9.1.2. sz. mell.'!C22</f>
        <v>115326890</v>
      </c>
      <c r="E22" s="427">
        <f t="shared" si="0"/>
        <v>0</v>
      </c>
      <c r="F22" s="423">
        <f t="shared" si="1"/>
        <v>0</v>
      </c>
      <c r="G22" s="1172">
        <f>'1.1.sz.mell. '!D24</f>
        <v>115326890</v>
      </c>
      <c r="H22" s="1173">
        <f t="shared" si="2"/>
        <v>0</v>
      </c>
    </row>
    <row r="23" spans="1:8" s="49" customFormat="1" ht="12" customHeight="1" thickBot="1" x14ac:dyDescent="0.25">
      <c r="A23" s="27" t="s">
        <v>23</v>
      </c>
      <c r="B23" s="19" t="s">
        <v>205</v>
      </c>
      <c r="C23" s="298">
        <f>+C24+C25+C26+C27+C28</f>
        <v>36977634</v>
      </c>
      <c r="D23" s="424">
        <f>'9.1.1. sz. mell. '!C23+'9.1.2. sz. mell.'!C23</f>
        <v>36977634</v>
      </c>
      <c r="E23" s="424">
        <f t="shared" si="0"/>
        <v>0</v>
      </c>
      <c r="F23" s="423">
        <f t="shared" si="1"/>
        <v>0</v>
      </c>
      <c r="G23" s="1172">
        <f>'1.1.sz.mell. '!D25</f>
        <v>36977634</v>
      </c>
      <c r="H23" s="1173">
        <f t="shared" si="2"/>
        <v>0</v>
      </c>
    </row>
    <row r="24" spans="1:8" s="49" customFormat="1" ht="12" customHeight="1" thickBot="1" x14ac:dyDescent="0.25">
      <c r="A24" s="221" t="s">
        <v>89</v>
      </c>
      <c r="B24" s="207" t="s">
        <v>206</v>
      </c>
      <c r="C24" s="302"/>
      <c r="D24" s="424">
        <f>'9.1.1. sz. mell. '!C24+'9.1.2. sz. mell.'!C24</f>
        <v>0</v>
      </c>
      <c r="E24" s="425">
        <f t="shared" si="0"/>
        <v>0</v>
      </c>
      <c r="F24" s="423">
        <f t="shared" si="1"/>
        <v>0</v>
      </c>
      <c r="G24" s="1172">
        <f>'1.1.sz.mell. '!D26</f>
        <v>0</v>
      </c>
      <c r="H24" s="1173">
        <f t="shared" si="2"/>
        <v>0</v>
      </c>
    </row>
    <row r="25" spans="1:8" s="48" customFormat="1" ht="12" customHeight="1" thickBot="1" x14ac:dyDescent="0.25">
      <c r="A25" s="222" t="s">
        <v>90</v>
      </c>
      <c r="B25" s="208" t="s">
        <v>207</v>
      </c>
      <c r="C25" s="282"/>
      <c r="D25" s="424">
        <f>'9.1.1. sz. mell. '!C25+'9.1.2. sz. mell.'!C25</f>
        <v>0</v>
      </c>
      <c r="E25" s="426">
        <f t="shared" si="0"/>
        <v>0</v>
      </c>
      <c r="F25" s="423">
        <f t="shared" si="1"/>
        <v>0</v>
      </c>
      <c r="G25" s="1174">
        <f>'1.1.sz.mell. '!D27</f>
        <v>0</v>
      </c>
      <c r="H25" s="1173">
        <f t="shared" si="2"/>
        <v>0</v>
      </c>
    </row>
    <row r="26" spans="1:8" s="49" customFormat="1" ht="12" customHeight="1" thickBot="1" x14ac:dyDescent="0.25">
      <c r="A26" s="222" t="s">
        <v>91</v>
      </c>
      <c r="B26" s="208" t="s">
        <v>372</v>
      </c>
      <c r="C26" s="282"/>
      <c r="D26" s="424">
        <f>'9.1.1. sz. mell. '!C26+'9.1.2. sz. mell.'!C26</f>
        <v>0</v>
      </c>
      <c r="E26" s="426">
        <f t="shared" si="0"/>
        <v>0</v>
      </c>
      <c r="F26" s="423">
        <f t="shared" si="1"/>
        <v>0</v>
      </c>
      <c r="G26" s="1172">
        <f>'1.1.sz.mell. '!D28</f>
        <v>0</v>
      </c>
      <c r="H26" s="1173">
        <f t="shared" si="2"/>
        <v>0</v>
      </c>
    </row>
    <row r="27" spans="1:8" s="49" customFormat="1" ht="12" customHeight="1" thickBot="1" x14ac:dyDescent="0.25">
      <c r="A27" s="222" t="s">
        <v>92</v>
      </c>
      <c r="B27" s="208" t="s">
        <v>373</v>
      </c>
      <c r="C27" s="282"/>
      <c r="D27" s="424">
        <f>'9.1.1. sz. mell. '!C27+'9.1.2. sz. mell.'!C27</f>
        <v>0</v>
      </c>
      <c r="E27" s="426">
        <f t="shared" si="0"/>
        <v>0</v>
      </c>
      <c r="F27" s="423">
        <f t="shared" si="1"/>
        <v>0</v>
      </c>
      <c r="G27" s="1172">
        <f>'1.1.sz.mell. '!D29</f>
        <v>0</v>
      </c>
      <c r="H27" s="1173">
        <f t="shared" si="2"/>
        <v>0</v>
      </c>
    </row>
    <row r="28" spans="1:8" s="49" customFormat="1" ht="12" customHeight="1" thickBot="1" x14ac:dyDescent="0.25">
      <c r="A28" s="222" t="s">
        <v>137</v>
      </c>
      <c r="B28" s="208" t="s">
        <v>208</v>
      </c>
      <c r="C28" s="282">
        <v>36977634</v>
      </c>
      <c r="D28" s="424">
        <f>'9.1.1. sz. mell. '!C28+'9.1.2. sz. mell.'!C28</f>
        <v>36977634</v>
      </c>
      <c r="E28" s="426">
        <f t="shared" si="0"/>
        <v>0</v>
      </c>
      <c r="F28" s="423">
        <f t="shared" si="1"/>
        <v>0</v>
      </c>
      <c r="G28" s="1172">
        <f>'1.1.sz.mell. '!D30</f>
        <v>36977634</v>
      </c>
      <c r="H28" s="1173">
        <f t="shared" si="2"/>
        <v>0</v>
      </c>
    </row>
    <row r="29" spans="1:8" s="49" customFormat="1" ht="12" customHeight="1" thickBot="1" x14ac:dyDescent="0.25">
      <c r="A29" s="223" t="s">
        <v>138</v>
      </c>
      <c r="B29" s="209" t="s">
        <v>209</v>
      </c>
      <c r="C29" s="286">
        <v>36977634</v>
      </c>
      <c r="D29" s="424">
        <f>'9.1.1. sz. mell. '!C29+'9.1.2. sz. mell.'!C29</f>
        <v>36977634</v>
      </c>
      <c r="E29" s="427">
        <f t="shared" si="0"/>
        <v>0</v>
      </c>
      <c r="F29" s="423">
        <f t="shared" si="1"/>
        <v>0</v>
      </c>
      <c r="G29" s="1172">
        <f>'1.1.sz.mell. '!D31</f>
        <v>36977634</v>
      </c>
      <c r="H29" s="1173">
        <f t="shared" si="2"/>
        <v>0</v>
      </c>
    </row>
    <row r="30" spans="1:8" s="49" customFormat="1" ht="12" customHeight="1" thickBot="1" x14ac:dyDescent="0.25">
      <c r="A30" s="27" t="s">
        <v>139</v>
      </c>
      <c r="B30" s="19" t="s">
        <v>661</v>
      </c>
      <c r="C30" s="301">
        <f>+C31+C35+C36+C37</f>
        <v>538000000</v>
      </c>
      <c r="D30" s="424">
        <f>'9.1.1. sz. mell. '!C30+'9.1.2. sz. mell.'!C30</f>
        <v>538000000</v>
      </c>
      <c r="E30" s="424">
        <f t="shared" si="0"/>
        <v>0</v>
      </c>
      <c r="F30" s="423">
        <f t="shared" si="1"/>
        <v>0</v>
      </c>
      <c r="G30" s="1172">
        <f>'1.1.sz.mell. '!D32</f>
        <v>538000000</v>
      </c>
      <c r="H30" s="1173">
        <f t="shared" si="2"/>
        <v>0</v>
      </c>
    </row>
    <row r="31" spans="1:8" s="49" customFormat="1" ht="12" customHeight="1" thickBot="1" x14ac:dyDescent="0.25">
      <c r="A31" s="221" t="s">
        <v>211</v>
      </c>
      <c r="B31" s="207" t="s">
        <v>656</v>
      </c>
      <c r="C31" s="316">
        <f>SUM(C32:C33)</f>
        <v>486000000</v>
      </c>
      <c r="D31" s="424">
        <f>'9.1.1. sz. mell. '!C31+'9.1.2. sz. mell.'!C31</f>
        <v>486000000</v>
      </c>
      <c r="E31" s="425">
        <f t="shared" si="0"/>
        <v>0</v>
      </c>
      <c r="F31" s="423">
        <f t="shared" si="1"/>
        <v>0</v>
      </c>
      <c r="G31" s="1172">
        <f>'1.1.sz.mell. '!D33</f>
        <v>486000000</v>
      </c>
      <c r="H31" s="1173">
        <f t="shared" si="2"/>
        <v>0</v>
      </c>
    </row>
    <row r="32" spans="1:8" s="49" customFormat="1" ht="12" customHeight="1" thickBot="1" x14ac:dyDescent="0.25">
      <c r="A32" s="222" t="s">
        <v>212</v>
      </c>
      <c r="B32" s="208" t="s">
        <v>217</v>
      </c>
      <c r="C32" s="119">
        <f>80000000+6000000</f>
        <v>86000000</v>
      </c>
      <c r="D32" s="424">
        <f>'9.1.1. sz. mell. '!C32+'9.1.2. sz. mell.'!C32</f>
        <v>86000000</v>
      </c>
      <c r="E32" s="426">
        <f t="shared" si="0"/>
        <v>0</v>
      </c>
      <c r="F32" s="423">
        <f t="shared" si="1"/>
        <v>0</v>
      </c>
      <c r="G32" s="1172">
        <f>'1.1.sz.mell. '!D34</f>
        <v>86000000</v>
      </c>
      <c r="H32" s="1173">
        <f t="shared" si="2"/>
        <v>0</v>
      </c>
    </row>
    <row r="33" spans="1:8" s="49" customFormat="1" ht="12" customHeight="1" thickBot="1" x14ac:dyDescent="0.25">
      <c r="A33" s="222" t="s">
        <v>213</v>
      </c>
      <c r="B33" s="266" t="s">
        <v>655</v>
      </c>
      <c r="C33" s="119">
        <v>400000000</v>
      </c>
      <c r="D33" s="424">
        <f>'9.1.1. sz. mell. '!C33+'9.1.2. sz. mell.'!C33</f>
        <v>400000000</v>
      </c>
      <c r="E33" s="426">
        <f t="shared" si="0"/>
        <v>0</v>
      </c>
      <c r="F33" s="423">
        <f t="shared" si="1"/>
        <v>0</v>
      </c>
      <c r="G33" s="1172">
        <f>'1.1.sz.mell. '!D35</f>
        <v>400000000</v>
      </c>
      <c r="H33" s="1173">
        <f t="shared" si="2"/>
        <v>0</v>
      </c>
    </row>
    <row r="34" spans="1:8" s="49" customFormat="1" ht="12" customHeight="1" thickBot="1" x14ac:dyDescent="0.25">
      <c r="A34" s="222" t="s">
        <v>214</v>
      </c>
      <c r="B34" s="208" t="s">
        <v>538</v>
      </c>
      <c r="C34" s="282"/>
      <c r="D34" s="424">
        <f>'9.1.1. sz. mell. '!C34+'9.1.2. sz. mell.'!C34</f>
        <v>0</v>
      </c>
      <c r="E34" s="426">
        <f t="shared" si="0"/>
        <v>0</v>
      </c>
      <c r="F34" s="423">
        <f t="shared" si="1"/>
        <v>0</v>
      </c>
      <c r="G34" s="1172">
        <f>'1.1.sz.mell. '!D36</f>
        <v>0</v>
      </c>
      <c r="H34" s="1173">
        <f t="shared" si="2"/>
        <v>0</v>
      </c>
    </row>
    <row r="35" spans="1:8" s="49" customFormat="1" ht="12" customHeight="1" thickBot="1" x14ac:dyDescent="0.25">
      <c r="A35" s="222" t="s">
        <v>539</v>
      </c>
      <c r="B35" s="208" t="s">
        <v>218</v>
      </c>
      <c r="C35" s="119">
        <v>35000000</v>
      </c>
      <c r="D35" s="424">
        <f>'9.1.1. sz. mell. '!C35+'9.1.2. sz. mell.'!C35</f>
        <v>35000000</v>
      </c>
      <c r="E35" s="426">
        <f t="shared" si="0"/>
        <v>0</v>
      </c>
      <c r="F35" s="423">
        <f t="shared" si="1"/>
        <v>0</v>
      </c>
      <c r="G35" s="1172">
        <f>'1.1.sz.mell. '!D37</f>
        <v>35000000</v>
      </c>
      <c r="H35" s="1173">
        <f t="shared" si="2"/>
        <v>0</v>
      </c>
    </row>
    <row r="36" spans="1:8" s="49" customFormat="1" ht="12" customHeight="1" thickBot="1" x14ac:dyDescent="0.25">
      <c r="A36" s="222" t="s">
        <v>216</v>
      </c>
      <c r="B36" s="208" t="s">
        <v>219</v>
      </c>
      <c r="C36" s="119">
        <v>1000000</v>
      </c>
      <c r="D36" s="424">
        <f>'9.1.1. sz. mell. '!C36+'9.1.2. sz. mell.'!C36</f>
        <v>1000000</v>
      </c>
      <c r="E36" s="426">
        <f t="shared" si="0"/>
        <v>0</v>
      </c>
      <c r="F36" s="423">
        <f t="shared" si="1"/>
        <v>0</v>
      </c>
      <c r="G36" s="1172">
        <f>'1.1.sz.mell. '!D38</f>
        <v>1000000</v>
      </c>
      <c r="H36" s="1173">
        <f t="shared" si="2"/>
        <v>0</v>
      </c>
    </row>
    <row r="37" spans="1:8" s="49" customFormat="1" ht="12" customHeight="1" thickBot="1" x14ac:dyDescent="0.25">
      <c r="A37" s="223" t="s">
        <v>540</v>
      </c>
      <c r="B37" s="209" t="s">
        <v>220</v>
      </c>
      <c r="C37" s="286">
        <v>16000000</v>
      </c>
      <c r="D37" s="424">
        <f>'9.1.1. sz. mell. '!C37+'9.1.2. sz. mell.'!C37</f>
        <v>16000000</v>
      </c>
      <c r="E37" s="427">
        <f t="shared" si="0"/>
        <v>0</v>
      </c>
      <c r="F37" s="423">
        <f t="shared" si="1"/>
        <v>0</v>
      </c>
      <c r="G37" s="1172">
        <f>'1.1.sz.mell. '!D39</f>
        <v>16000000</v>
      </c>
      <c r="H37" s="1173">
        <f t="shared" si="2"/>
        <v>0</v>
      </c>
    </row>
    <row r="38" spans="1:8" s="49" customFormat="1" ht="12" customHeight="1" thickBot="1" x14ac:dyDescent="0.25">
      <c r="A38" s="27" t="s">
        <v>25</v>
      </c>
      <c r="B38" s="19" t="s">
        <v>452</v>
      </c>
      <c r="C38" s="298">
        <f>SUM(C39:C49)</f>
        <v>47290226</v>
      </c>
      <c r="D38" s="424">
        <f>'9.1.1. sz. mell. '!C38+'9.1.2. sz. mell.'!C38</f>
        <v>47290226</v>
      </c>
      <c r="E38" s="424">
        <f t="shared" si="0"/>
        <v>0</v>
      </c>
      <c r="F38" s="423">
        <f t="shared" si="1"/>
        <v>0</v>
      </c>
      <c r="G38" s="1172">
        <f>'1.1.sz.mell. '!D40</f>
        <v>47290226</v>
      </c>
      <c r="H38" s="1173">
        <f t="shared" si="2"/>
        <v>0</v>
      </c>
    </row>
    <row r="39" spans="1:8" s="49" customFormat="1" ht="12" customHeight="1" thickBot="1" x14ac:dyDescent="0.25">
      <c r="A39" s="221" t="s">
        <v>93</v>
      </c>
      <c r="B39" s="207" t="s">
        <v>223</v>
      </c>
      <c r="C39" s="302">
        <v>8175576</v>
      </c>
      <c r="D39" s="424">
        <f>'9.1.1. sz. mell. '!C39+'9.1.2. sz. mell.'!C39</f>
        <v>8175576</v>
      </c>
      <c r="E39" s="425">
        <f t="shared" si="0"/>
        <v>0</v>
      </c>
      <c r="F39" s="423">
        <f t="shared" si="1"/>
        <v>0</v>
      </c>
      <c r="G39" s="1172">
        <f>'1.1.sz.mell. '!D41</f>
        <v>8175576</v>
      </c>
      <c r="H39" s="1173">
        <f t="shared" si="2"/>
        <v>0</v>
      </c>
    </row>
    <row r="40" spans="1:8" s="49" customFormat="1" ht="12" customHeight="1" thickBot="1" x14ac:dyDescent="0.25">
      <c r="A40" s="222" t="s">
        <v>94</v>
      </c>
      <c r="B40" s="208" t="s">
        <v>224</v>
      </c>
      <c r="C40" s="282">
        <v>18821599</v>
      </c>
      <c r="D40" s="424">
        <f>'9.1.1. sz. mell. '!C40+'9.1.2. sz. mell.'!C40</f>
        <v>18821599</v>
      </c>
      <c r="E40" s="426">
        <f t="shared" si="0"/>
        <v>0</v>
      </c>
      <c r="F40" s="423">
        <f t="shared" si="1"/>
        <v>0</v>
      </c>
      <c r="G40" s="1172">
        <f>'1.1.sz.mell. '!D42</f>
        <v>18821599</v>
      </c>
      <c r="H40" s="1173">
        <f t="shared" si="2"/>
        <v>0</v>
      </c>
    </row>
    <row r="41" spans="1:8" s="49" customFormat="1" ht="12" customHeight="1" thickBot="1" x14ac:dyDescent="0.25">
      <c r="A41" s="222" t="s">
        <v>95</v>
      </c>
      <c r="B41" s="208" t="s">
        <v>225</v>
      </c>
      <c r="C41" s="282">
        <v>8868669</v>
      </c>
      <c r="D41" s="424">
        <f>'9.1.1. sz. mell. '!C41+'9.1.2. sz. mell.'!C41</f>
        <v>8868669</v>
      </c>
      <c r="E41" s="426">
        <f t="shared" si="0"/>
        <v>0</v>
      </c>
      <c r="F41" s="423">
        <f t="shared" si="1"/>
        <v>0</v>
      </c>
      <c r="G41" s="1172">
        <f>'1.1.sz.mell. '!D43</f>
        <v>8868669</v>
      </c>
      <c r="H41" s="1173">
        <f t="shared" si="2"/>
        <v>0</v>
      </c>
    </row>
    <row r="42" spans="1:8" s="49" customFormat="1" ht="12" customHeight="1" thickBot="1" x14ac:dyDescent="0.25">
      <c r="A42" s="222" t="s">
        <v>141</v>
      </c>
      <c r="B42" s="208" t="s">
        <v>226</v>
      </c>
      <c r="C42" s="282">
        <v>1006560</v>
      </c>
      <c r="D42" s="424">
        <f>'9.1.1. sz. mell. '!C42+'9.1.2. sz. mell.'!C42</f>
        <v>1006560</v>
      </c>
      <c r="E42" s="426">
        <f t="shared" si="0"/>
        <v>0</v>
      </c>
      <c r="F42" s="423">
        <f t="shared" si="1"/>
        <v>0</v>
      </c>
      <c r="G42" s="1172">
        <f>'1.1.sz.mell. '!D44</f>
        <v>1006560</v>
      </c>
      <c r="H42" s="1173">
        <f t="shared" si="2"/>
        <v>0</v>
      </c>
    </row>
    <row r="43" spans="1:8" s="49" customFormat="1" ht="12" customHeight="1" thickBot="1" x14ac:dyDescent="0.25">
      <c r="A43" s="222" t="s">
        <v>142</v>
      </c>
      <c r="B43" s="208" t="s">
        <v>227</v>
      </c>
      <c r="C43" s="282"/>
      <c r="D43" s="424">
        <f>'9.1.1. sz. mell. '!C43+'9.1.2. sz. mell.'!C43</f>
        <v>0</v>
      </c>
      <c r="E43" s="426">
        <f t="shared" si="0"/>
        <v>0</v>
      </c>
      <c r="F43" s="423">
        <f t="shared" si="1"/>
        <v>0</v>
      </c>
      <c r="G43" s="1172">
        <f>'1.1.sz.mell. '!D45</f>
        <v>0</v>
      </c>
      <c r="H43" s="1173">
        <f t="shared" si="2"/>
        <v>0</v>
      </c>
    </row>
    <row r="44" spans="1:8" s="49" customFormat="1" ht="12" customHeight="1" thickBot="1" x14ac:dyDescent="0.25">
      <c r="A44" s="222" t="s">
        <v>143</v>
      </c>
      <c r="B44" s="208" t="s">
        <v>228</v>
      </c>
      <c r="C44" s="282">
        <v>8330221</v>
      </c>
      <c r="D44" s="424">
        <f>'9.1.1. sz. mell. '!C44+'9.1.2. sz. mell.'!C44</f>
        <v>8330221</v>
      </c>
      <c r="E44" s="426">
        <f t="shared" si="0"/>
        <v>0</v>
      </c>
      <c r="F44" s="423">
        <f t="shared" si="1"/>
        <v>0</v>
      </c>
      <c r="G44" s="1172">
        <f>'1.1.sz.mell. '!D46</f>
        <v>8330221</v>
      </c>
      <c r="H44" s="1173">
        <f t="shared" si="2"/>
        <v>0</v>
      </c>
    </row>
    <row r="45" spans="1:8" s="49" customFormat="1" ht="12" customHeight="1" thickBot="1" x14ac:dyDescent="0.25">
      <c r="A45" s="222" t="s">
        <v>144</v>
      </c>
      <c r="B45" s="208" t="s">
        <v>229</v>
      </c>
      <c r="C45" s="282"/>
      <c r="D45" s="424">
        <f>'9.1.1. sz. mell. '!C45+'9.1.2. sz. mell.'!C45</f>
        <v>0</v>
      </c>
      <c r="E45" s="426">
        <f t="shared" si="0"/>
        <v>0</v>
      </c>
      <c r="F45" s="423">
        <f t="shared" si="1"/>
        <v>0</v>
      </c>
      <c r="G45" s="1172">
        <f>'1.1.sz.mell. '!D47</f>
        <v>0</v>
      </c>
      <c r="H45" s="1173">
        <f t="shared" si="2"/>
        <v>0</v>
      </c>
    </row>
    <row r="46" spans="1:8" s="49" customFormat="1" ht="12" customHeight="1" thickBot="1" x14ac:dyDescent="0.25">
      <c r="A46" s="222" t="s">
        <v>145</v>
      </c>
      <c r="B46" s="208" t="s">
        <v>230</v>
      </c>
      <c r="C46" s="282"/>
      <c r="D46" s="424">
        <f>'9.1.1. sz. mell. '!C46+'9.1.2. sz. mell.'!C46</f>
        <v>0</v>
      </c>
      <c r="E46" s="426">
        <f t="shared" si="0"/>
        <v>0</v>
      </c>
      <c r="F46" s="423">
        <f t="shared" si="1"/>
        <v>0</v>
      </c>
      <c r="G46" s="1172">
        <f>'1.1.sz.mell. '!D48</f>
        <v>0</v>
      </c>
      <c r="H46" s="1173">
        <f t="shared" si="2"/>
        <v>0</v>
      </c>
    </row>
    <row r="47" spans="1:8" s="49" customFormat="1" ht="12" customHeight="1" thickBot="1" x14ac:dyDescent="0.25">
      <c r="A47" s="222" t="s">
        <v>221</v>
      </c>
      <c r="B47" s="208" t="s">
        <v>231</v>
      </c>
      <c r="C47" s="282"/>
      <c r="D47" s="424">
        <f>'9.1.1. sz. mell. '!C47+'9.1.2. sz. mell.'!C47</f>
        <v>0</v>
      </c>
      <c r="E47" s="426">
        <f t="shared" si="0"/>
        <v>0</v>
      </c>
      <c r="F47" s="423">
        <f t="shared" si="1"/>
        <v>0</v>
      </c>
      <c r="G47" s="1172">
        <f>'1.1.sz.mell. '!D49</f>
        <v>0</v>
      </c>
      <c r="H47" s="1173">
        <f t="shared" si="2"/>
        <v>0</v>
      </c>
    </row>
    <row r="48" spans="1:8" s="49" customFormat="1" ht="12" customHeight="1" thickBot="1" x14ac:dyDescent="0.25">
      <c r="A48" s="223" t="s">
        <v>222</v>
      </c>
      <c r="B48" s="209" t="s">
        <v>453</v>
      </c>
      <c r="C48" s="286">
        <v>1000000</v>
      </c>
      <c r="D48" s="424">
        <f>'9.1.1. sz. mell. '!C48+'9.1.2. sz. mell.'!C48</f>
        <v>1000000</v>
      </c>
      <c r="E48" s="426">
        <f t="shared" si="0"/>
        <v>0</v>
      </c>
      <c r="F48" s="423">
        <f t="shared" si="1"/>
        <v>0</v>
      </c>
      <c r="G48" s="1172">
        <f>'1.1.sz.mell. '!D50</f>
        <v>1000000</v>
      </c>
      <c r="H48" s="1173">
        <f t="shared" si="2"/>
        <v>0</v>
      </c>
    </row>
    <row r="49" spans="1:8" s="49" customFormat="1" ht="12" customHeight="1" thickBot="1" x14ac:dyDescent="0.25">
      <c r="A49" s="223" t="s">
        <v>454</v>
      </c>
      <c r="B49" s="209" t="s">
        <v>232</v>
      </c>
      <c r="C49" s="286">
        <v>1087601</v>
      </c>
      <c r="D49" s="424">
        <f>'9.1.1. sz. mell. '!C49+'9.1.2. sz. mell.'!C49</f>
        <v>1087601</v>
      </c>
      <c r="E49" s="427">
        <f t="shared" si="0"/>
        <v>0</v>
      </c>
      <c r="F49" s="423">
        <f t="shared" si="1"/>
        <v>0</v>
      </c>
      <c r="G49" s="1172">
        <f>'1.1.sz.mell. '!D51</f>
        <v>1087601</v>
      </c>
      <c r="H49" s="1173">
        <f t="shared" si="2"/>
        <v>0</v>
      </c>
    </row>
    <row r="50" spans="1:8" s="49" customFormat="1" ht="12" customHeight="1" thickBot="1" x14ac:dyDescent="0.25">
      <c r="A50" s="27" t="s">
        <v>26</v>
      </c>
      <c r="B50" s="19" t="s">
        <v>233</v>
      </c>
      <c r="C50" s="298">
        <f>SUM(C51:C55)</f>
        <v>44304508</v>
      </c>
      <c r="D50" s="424">
        <f>'9.1.1. sz. mell. '!C50+'9.1.2. sz. mell.'!C50</f>
        <v>44304508</v>
      </c>
      <c r="E50" s="424">
        <f t="shared" si="0"/>
        <v>0</v>
      </c>
      <c r="F50" s="423">
        <f t="shared" si="1"/>
        <v>0</v>
      </c>
      <c r="G50" s="1172">
        <f>'1.1.sz.mell. '!D52</f>
        <v>44304508</v>
      </c>
      <c r="H50" s="1173">
        <f t="shared" si="2"/>
        <v>0</v>
      </c>
    </row>
    <row r="51" spans="1:8" s="49" customFormat="1" ht="12" customHeight="1" thickBot="1" x14ac:dyDescent="0.25">
      <c r="A51" s="221" t="s">
        <v>96</v>
      </c>
      <c r="B51" s="207" t="s">
        <v>237</v>
      </c>
      <c r="C51" s="302"/>
      <c r="D51" s="424">
        <f>'9.1.1. sz. mell. '!C51+'9.1.2. sz. mell.'!C51</f>
        <v>0</v>
      </c>
      <c r="E51" s="425">
        <f t="shared" si="0"/>
        <v>0</v>
      </c>
      <c r="F51" s="423">
        <f t="shared" si="1"/>
        <v>0</v>
      </c>
      <c r="G51" s="1172">
        <f>'1.1.sz.mell. '!D53</f>
        <v>0</v>
      </c>
      <c r="H51" s="1173">
        <f t="shared" si="2"/>
        <v>0</v>
      </c>
    </row>
    <row r="52" spans="1:8" s="49" customFormat="1" ht="12" customHeight="1" thickBot="1" x14ac:dyDescent="0.25">
      <c r="A52" s="222" t="s">
        <v>97</v>
      </c>
      <c r="B52" s="208" t="s">
        <v>238</v>
      </c>
      <c r="C52" s="282">
        <v>44304508</v>
      </c>
      <c r="D52" s="424">
        <f>'9.1.1. sz. mell. '!C52+'9.1.2. sz. mell.'!C52</f>
        <v>44304508</v>
      </c>
      <c r="E52" s="426">
        <f t="shared" si="0"/>
        <v>0</v>
      </c>
      <c r="F52" s="423">
        <f t="shared" si="1"/>
        <v>0</v>
      </c>
      <c r="G52" s="1172">
        <f>'1.1.sz.mell. '!D54</f>
        <v>44304508</v>
      </c>
      <c r="H52" s="1173">
        <f t="shared" si="2"/>
        <v>0</v>
      </c>
    </row>
    <row r="53" spans="1:8" s="49" customFormat="1" ht="12" customHeight="1" thickBot="1" x14ac:dyDescent="0.25">
      <c r="A53" s="222" t="s">
        <v>234</v>
      </c>
      <c r="B53" s="208" t="s">
        <v>239</v>
      </c>
      <c r="C53" s="282"/>
      <c r="D53" s="424">
        <f>'9.1.1. sz. mell. '!C53+'9.1.2. sz. mell.'!C53</f>
        <v>0</v>
      </c>
      <c r="E53" s="426">
        <f t="shared" si="0"/>
        <v>0</v>
      </c>
      <c r="F53" s="423">
        <f t="shared" si="1"/>
        <v>0</v>
      </c>
      <c r="G53" s="1172">
        <f>'1.1.sz.mell. '!D55</f>
        <v>0</v>
      </c>
      <c r="H53" s="1173">
        <f t="shared" si="2"/>
        <v>0</v>
      </c>
    </row>
    <row r="54" spans="1:8" s="49" customFormat="1" ht="12" customHeight="1" thickBot="1" x14ac:dyDescent="0.25">
      <c r="A54" s="222" t="s">
        <v>235</v>
      </c>
      <c r="B54" s="208" t="s">
        <v>240</v>
      </c>
      <c r="C54" s="282"/>
      <c r="D54" s="424">
        <f>'9.1.1. sz. mell. '!C54+'9.1.2. sz. mell.'!C54</f>
        <v>0</v>
      </c>
      <c r="E54" s="426">
        <f t="shared" si="0"/>
        <v>0</v>
      </c>
      <c r="F54" s="423">
        <f t="shared" si="1"/>
        <v>0</v>
      </c>
      <c r="G54" s="1172">
        <f>'1.1.sz.mell. '!D56</f>
        <v>0</v>
      </c>
      <c r="H54" s="1173">
        <f t="shared" si="2"/>
        <v>0</v>
      </c>
    </row>
    <row r="55" spans="1:8" s="49" customFormat="1" ht="12" customHeight="1" thickBot="1" x14ac:dyDescent="0.25">
      <c r="A55" s="223" t="s">
        <v>236</v>
      </c>
      <c r="B55" s="209" t="s">
        <v>241</v>
      </c>
      <c r="C55" s="286"/>
      <c r="D55" s="424">
        <f>'9.1.1. sz. mell. '!C55+'9.1.2. sz. mell.'!C55</f>
        <v>0</v>
      </c>
      <c r="E55" s="427">
        <f t="shared" si="0"/>
        <v>0</v>
      </c>
      <c r="F55" s="423">
        <f t="shared" si="1"/>
        <v>0</v>
      </c>
      <c r="G55" s="1172">
        <f>'1.1.sz.mell. '!D57</f>
        <v>0</v>
      </c>
      <c r="H55" s="1173">
        <f t="shared" si="2"/>
        <v>0</v>
      </c>
    </row>
    <row r="56" spans="1:8" s="49" customFormat="1" ht="12" customHeight="1" thickBot="1" x14ac:dyDescent="0.25">
      <c r="A56" s="27" t="s">
        <v>146</v>
      </c>
      <c r="B56" s="19" t="s">
        <v>242</v>
      </c>
      <c r="C56" s="298">
        <f>SUM(C57:C59)</f>
        <v>2175000</v>
      </c>
      <c r="D56" s="424">
        <f>'9.1.1. sz. mell. '!C56+'9.1.2. sz. mell.'!C56</f>
        <v>2175000</v>
      </c>
      <c r="E56" s="424">
        <f t="shared" si="0"/>
        <v>0</v>
      </c>
      <c r="F56" s="423">
        <f t="shared" si="1"/>
        <v>0</v>
      </c>
      <c r="G56" s="1172">
        <f>'1.1.sz.mell. '!D58</f>
        <v>2175000</v>
      </c>
      <c r="H56" s="1173">
        <f t="shared" si="2"/>
        <v>0</v>
      </c>
    </row>
    <row r="57" spans="1:8" s="49" customFormat="1" ht="12" customHeight="1" thickBot="1" x14ac:dyDescent="0.25">
      <c r="A57" s="221" t="s">
        <v>98</v>
      </c>
      <c r="B57" s="207" t="s">
        <v>243</v>
      </c>
      <c r="C57" s="300"/>
      <c r="D57" s="424">
        <f>'9.1.1. sz. mell. '!C57+'9.1.2. sz. mell.'!C57</f>
        <v>0</v>
      </c>
      <c r="E57" s="425">
        <f t="shared" si="0"/>
        <v>0</v>
      </c>
      <c r="F57" s="423">
        <f t="shared" si="1"/>
        <v>0</v>
      </c>
      <c r="G57" s="1172">
        <f>'1.1.sz.mell. '!D59</f>
        <v>0</v>
      </c>
      <c r="H57" s="1173">
        <f t="shared" si="2"/>
        <v>0</v>
      </c>
    </row>
    <row r="58" spans="1:8" s="49" customFormat="1" ht="12" customHeight="1" thickBot="1" x14ac:dyDescent="0.25">
      <c r="A58" s="222" t="s">
        <v>99</v>
      </c>
      <c r="B58" s="208" t="s">
        <v>374</v>
      </c>
      <c r="C58" s="282">
        <f>600000</f>
        <v>600000</v>
      </c>
      <c r="D58" s="424">
        <f>'9.1.1. sz. mell. '!C58+'9.1.2. sz. mell.'!C58</f>
        <v>600000</v>
      </c>
      <c r="E58" s="426">
        <f t="shared" si="0"/>
        <v>0</v>
      </c>
      <c r="F58" s="423">
        <f t="shared" si="1"/>
        <v>0</v>
      </c>
      <c r="G58" s="1172">
        <f>'1.1.sz.mell. '!D60</f>
        <v>600000</v>
      </c>
      <c r="H58" s="1173">
        <f t="shared" si="2"/>
        <v>0</v>
      </c>
    </row>
    <row r="59" spans="1:8" s="49" customFormat="1" ht="12" customHeight="1" thickBot="1" x14ac:dyDescent="0.25">
      <c r="A59" s="222" t="s">
        <v>246</v>
      </c>
      <c r="B59" s="208" t="s">
        <v>244</v>
      </c>
      <c r="C59" s="282">
        <v>1575000</v>
      </c>
      <c r="D59" s="424">
        <f>'9.1.1. sz. mell. '!C59+'9.1.2. sz. mell.'!C59</f>
        <v>1575000</v>
      </c>
      <c r="E59" s="426">
        <f t="shared" si="0"/>
        <v>0</v>
      </c>
      <c r="F59" s="423">
        <f t="shared" si="1"/>
        <v>0</v>
      </c>
      <c r="G59" s="1172">
        <f>'1.1.sz.mell. '!D61</f>
        <v>1575000</v>
      </c>
      <c r="H59" s="1173">
        <f t="shared" si="2"/>
        <v>0</v>
      </c>
    </row>
    <row r="60" spans="1:8" s="49" customFormat="1" ht="12" customHeight="1" thickBot="1" x14ac:dyDescent="0.25">
      <c r="A60" s="223" t="s">
        <v>247</v>
      </c>
      <c r="B60" s="209" t="s">
        <v>245</v>
      </c>
      <c r="C60" s="120"/>
      <c r="D60" s="424">
        <f>'9.1.1. sz. mell. '!C60+'9.1.2. sz. mell.'!C60</f>
        <v>0</v>
      </c>
      <c r="E60" s="427">
        <f t="shared" si="0"/>
        <v>0</v>
      </c>
      <c r="F60" s="423">
        <f t="shared" si="1"/>
        <v>0</v>
      </c>
      <c r="G60" s="1172">
        <f>'1.1.sz.mell. '!D62</f>
        <v>0</v>
      </c>
      <c r="H60" s="1173">
        <f t="shared" si="2"/>
        <v>0</v>
      </c>
    </row>
    <row r="61" spans="1:8" s="49" customFormat="1" ht="12" customHeight="1" thickBot="1" x14ac:dyDescent="0.25">
      <c r="A61" s="27" t="s">
        <v>28</v>
      </c>
      <c r="B61" s="125" t="s">
        <v>248</v>
      </c>
      <c r="C61" s="298">
        <f>SUM(C62:C64)</f>
        <v>0</v>
      </c>
      <c r="D61" s="424">
        <f>'9.1.1. sz. mell. '!C61+'9.1.2. sz. mell.'!C61</f>
        <v>0</v>
      </c>
      <c r="E61" s="424">
        <f t="shared" si="0"/>
        <v>0</v>
      </c>
      <c r="F61" s="423">
        <f t="shared" si="1"/>
        <v>0</v>
      </c>
      <c r="G61" s="1172">
        <f>'1.1.sz.mell. '!D63</f>
        <v>0</v>
      </c>
      <c r="H61" s="1173">
        <f t="shared" si="2"/>
        <v>0</v>
      </c>
    </row>
    <row r="62" spans="1:8" s="49" customFormat="1" ht="12" customHeight="1" thickBot="1" x14ac:dyDescent="0.25">
      <c r="A62" s="221" t="s">
        <v>147</v>
      </c>
      <c r="B62" s="207" t="s">
        <v>250</v>
      </c>
      <c r="C62" s="282"/>
      <c r="D62" s="424">
        <f>'9.1.1. sz. mell. '!C62+'9.1.2. sz. mell.'!C62</f>
        <v>0</v>
      </c>
      <c r="E62" s="425">
        <f t="shared" si="0"/>
        <v>0</v>
      </c>
      <c r="F62" s="423">
        <f t="shared" si="1"/>
        <v>0</v>
      </c>
      <c r="G62" s="1172">
        <f>'1.1.sz.mell. '!D64</f>
        <v>0</v>
      </c>
      <c r="H62" s="1173">
        <f t="shared" si="2"/>
        <v>0</v>
      </c>
    </row>
    <row r="63" spans="1:8" s="49" customFormat="1" ht="12" customHeight="1" thickBot="1" x14ac:dyDescent="0.25">
      <c r="A63" s="222" t="s">
        <v>148</v>
      </c>
      <c r="B63" s="208" t="s">
        <v>375</v>
      </c>
      <c r="C63" s="282"/>
      <c r="D63" s="424">
        <f>'9.1.1. sz. mell. '!C63+'9.1.2. sz. mell.'!C63</f>
        <v>0</v>
      </c>
      <c r="E63" s="426">
        <f t="shared" si="0"/>
        <v>0</v>
      </c>
      <c r="F63" s="423">
        <f t="shared" si="1"/>
        <v>0</v>
      </c>
      <c r="G63" s="1172">
        <f>'1.1.sz.mell. '!D65</f>
        <v>0</v>
      </c>
      <c r="H63" s="1173">
        <f t="shared" si="2"/>
        <v>0</v>
      </c>
    </row>
    <row r="64" spans="1:8" s="49" customFormat="1" ht="12" customHeight="1" thickBot="1" x14ac:dyDescent="0.25">
      <c r="A64" s="222" t="s">
        <v>174</v>
      </c>
      <c r="B64" s="208" t="s">
        <v>251</v>
      </c>
      <c r="C64" s="282"/>
      <c r="D64" s="424">
        <f>'9.1.1. sz. mell. '!C64+'9.1.2. sz. mell.'!C64</f>
        <v>0</v>
      </c>
      <c r="E64" s="426">
        <f t="shared" si="0"/>
        <v>0</v>
      </c>
      <c r="F64" s="423">
        <f t="shared" si="1"/>
        <v>0</v>
      </c>
      <c r="G64" s="1172">
        <f>'1.1.sz.mell. '!D66</f>
        <v>0</v>
      </c>
      <c r="H64" s="1173">
        <f t="shared" si="2"/>
        <v>0</v>
      </c>
    </row>
    <row r="65" spans="1:8" s="49" customFormat="1" ht="12" customHeight="1" thickBot="1" x14ac:dyDescent="0.25">
      <c r="A65" s="223" t="s">
        <v>249</v>
      </c>
      <c r="B65" s="209" t="s">
        <v>252</v>
      </c>
      <c r="C65" s="282"/>
      <c r="D65" s="424">
        <f>'9.1.1. sz. mell. '!C65+'9.1.2. sz. mell.'!C65</f>
        <v>0</v>
      </c>
      <c r="E65" s="427">
        <f t="shared" si="0"/>
        <v>0</v>
      </c>
      <c r="F65" s="423">
        <f t="shared" si="1"/>
        <v>0</v>
      </c>
      <c r="G65" s="1172">
        <f>'1.1.sz.mell. '!D67</f>
        <v>0</v>
      </c>
      <c r="H65" s="1173">
        <f t="shared" si="2"/>
        <v>0</v>
      </c>
    </row>
    <row r="66" spans="1:8" s="49" customFormat="1" ht="12" customHeight="1" thickBot="1" x14ac:dyDescent="0.25">
      <c r="A66" s="27" t="s">
        <v>29</v>
      </c>
      <c r="B66" s="19" t="s">
        <v>253</v>
      </c>
      <c r="C66" s="301">
        <f>+C9+C16+C23+C30+C38+C50+C56+C61</f>
        <v>2326722559</v>
      </c>
      <c r="D66" s="424">
        <f>'9.1.1. sz. mell. '!C66+'9.1.2. sz. mell.'!C66</f>
        <v>2326722559</v>
      </c>
      <c r="E66" s="424">
        <f t="shared" si="0"/>
        <v>0</v>
      </c>
      <c r="F66" s="423">
        <f t="shared" si="1"/>
        <v>0</v>
      </c>
      <c r="G66" s="1172">
        <f>'1.1.sz.mell. '!D68</f>
        <v>2326722559</v>
      </c>
      <c r="H66" s="1173">
        <f t="shared" si="2"/>
        <v>0</v>
      </c>
    </row>
    <row r="67" spans="1:8" s="49" customFormat="1" ht="12" customHeight="1" thickBot="1" x14ac:dyDescent="0.2">
      <c r="A67" s="224" t="s">
        <v>343</v>
      </c>
      <c r="B67" s="125" t="s">
        <v>255</v>
      </c>
      <c r="C67" s="298">
        <f>SUM(C68:C70)</f>
        <v>742411899</v>
      </c>
      <c r="D67" s="424">
        <f>'9.1.1. sz. mell. '!C67+'9.1.2. sz. mell.'!C67</f>
        <v>742411899</v>
      </c>
      <c r="E67" s="424">
        <f t="shared" si="0"/>
        <v>0</v>
      </c>
      <c r="F67" s="423">
        <f t="shared" si="1"/>
        <v>0</v>
      </c>
      <c r="G67" s="1172">
        <f>'1.1.sz.mell. '!D69</f>
        <v>742411899</v>
      </c>
      <c r="H67" s="1173">
        <f t="shared" si="2"/>
        <v>0</v>
      </c>
    </row>
    <row r="68" spans="1:8" s="49" customFormat="1" ht="12" customHeight="1" thickBot="1" x14ac:dyDescent="0.25">
      <c r="A68" s="221" t="s">
        <v>286</v>
      </c>
      <c r="B68" s="207" t="s">
        <v>256</v>
      </c>
      <c r="C68" s="282">
        <f>44951899-2540000</f>
        <v>42411899</v>
      </c>
      <c r="D68" s="424">
        <f>'9.1.1. sz. mell. '!C68+'9.1.2. sz. mell.'!C68</f>
        <v>42411899</v>
      </c>
      <c r="E68" s="425">
        <f t="shared" si="0"/>
        <v>0</v>
      </c>
      <c r="F68" s="423">
        <f t="shared" si="1"/>
        <v>0</v>
      </c>
      <c r="G68" s="1172">
        <f>'1.1.sz.mell. '!D70</f>
        <v>42411899</v>
      </c>
      <c r="H68" s="1173">
        <f t="shared" si="2"/>
        <v>0</v>
      </c>
    </row>
    <row r="69" spans="1:8" s="49" customFormat="1" ht="12" customHeight="1" thickBot="1" x14ac:dyDescent="0.25">
      <c r="A69" s="222" t="s">
        <v>295</v>
      </c>
      <c r="B69" s="208" t="s">
        <v>257</v>
      </c>
      <c r="C69" s="282">
        <v>700000000</v>
      </c>
      <c r="D69" s="424">
        <f>'9.1.1. sz. mell. '!C69+'9.1.2. sz. mell.'!C69</f>
        <v>700000000</v>
      </c>
      <c r="E69" s="426">
        <f t="shared" si="0"/>
        <v>0</v>
      </c>
      <c r="F69" s="423">
        <f t="shared" si="1"/>
        <v>0</v>
      </c>
      <c r="G69" s="1172">
        <f>'1.1.sz.mell. '!D71</f>
        <v>700000000</v>
      </c>
      <c r="H69" s="1173">
        <f t="shared" si="2"/>
        <v>0</v>
      </c>
    </row>
    <row r="70" spans="1:8" s="49" customFormat="1" ht="12" customHeight="1" thickBot="1" x14ac:dyDescent="0.25">
      <c r="A70" s="223" t="s">
        <v>296</v>
      </c>
      <c r="B70" s="210" t="s">
        <v>258</v>
      </c>
      <c r="C70" s="282"/>
      <c r="D70" s="424">
        <f>'9.1.1. sz. mell. '!C70+'9.1.2. sz. mell.'!C70</f>
        <v>0</v>
      </c>
      <c r="E70" s="427">
        <f t="shared" si="0"/>
        <v>0</v>
      </c>
      <c r="F70" s="423">
        <f t="shared" si="1"/>
        <v>0</v>
      </c>
      <c r="G70" s="1172">
        <f>'1.1.sz.mell. '!D72</f>
        <v>0</v>
      </c>
      <c r="H70" s="1173">
        <f t="shared" si="2"/>
        <v>0</v>
      </c>
    </row>
    <row r="71" spans="1:8" s="49" customFormat="1" ht="12" customHeight="1" thickBot="1" x14ac:dyDescent="0.2">
      <c r="A71" s="224" t="s">
        <v>259</v>
      </c>
      <c r="B71" s="125" t="s">
        <v>260</v>
      </c>
      <c r="C71" s="298">
        <f>SUM(C72:C75)</f>
        <v>0</v>
      </c>
      <c r="D71" s="424">
        <f>'9.1.1. sz. mell. '!C71+'9.1.2. sz. mell.'!C71</f>
        <v>0</v>
      </c>
      <c r="E71" s="424">
        <f t="shared" si="0"/>
        <v>0</v>
      </c>
      <c r="F71" s="423">
        <f t="shared" si="1"/>
        <v>0</v>
      </c>
      <c r="G71" s="1172">
        <f>'1.1.sz.mell. '!D73</f>
        <v>0</v>
      </c>
      <c r="H71" s="1173">
        <f t="shared" si="2"/>
        <v>0</v>
      </c>
    </row>
    <row r="72" spans="1:8" s="49" customFormat="1" ht="12" customHeight="1" thickBot="1" x14ac:dyDescent="0.25">
      <c r="A72" s="221" t="s">
        <v>127</v>
      </c>
      <c r="B72" s="207" t="s">
        <v>261</v>
      </c>
      <c r="C72" s="282"/>
      <c r="D72" s="424">
        <f>'9.1.1. sz. mell. '!C72+'9.1.2. sz. mell.'!C72</f>
        <v>0</v>
      </c>
      <c r="E72" s="425">
        <f t="shared" si="0"/>
        <v>0</v>
      </c>
      <c r="F72" s="423">
        <f t="shared" si="1"/>
        <v>0</v>
      </c>
      <c r="G72" s="1172">
        <f>'1.1.sz.mell. '!D74</f>
        <v>0</v>
      </c>
      <c r="H72" s="1173">
        <f t="shared" si="2"/>
        <v>0</v>
      </c>
    </row>
    <row r="73" spans="1:8" s="49" customFormat="1" ht="12" customHeight="1" thickBot="1" x14ac:dyDescent="0.25">
      <c r="A73" s="222" t="s">
        <v>128</v>
      </c>
      <c r="B73" s="208" t="s">
        <v>262</v>
      </c>
      <c r="C73" s="282"/>
      <c r="D73" s="424">
        <f>'9.1.1. sz. mell. '!C73+'9.1.2. sz. mell.'!C73</f>
        <v>0</v>
      </c>
      <c r="E73" s="426">
        <f t="shared" ref="E73:E91" si="3">C73-D73</f>
        <v>0</v>
      </c>
      <c r="F73" s="423">
        <f t="shared" si="1"/>
        <v>0</v>
      </c>
      <c r="G73" s="1172">
        <f>'1.1.sz.mell. '!D75</f>
        <v>0</v>
      </c>
      <c r="H73" s="1173">
        <f t="shared" si="2"/>
        <v>0</v>
      </c>
    </row>
    <row r="74" spans="1:8" s="49" customFormat="1" ht="12" customHeight="1" thickBot="1" x14ac:dyDescent="0.25">
      <c r="A74" s="222" t="s">
        <v>287</v>
      </c>
      <c r="B74" s="208" t="s">
        <v>263</v>
      </c>
      <c r="C74" s="282"/>
      <c r="D74" s="424">
        <f>'9.1.1. sz. mell. '!C74+'9.1.2. sz. mell.'!C74</f>
        <v>0</v>
      </c>
      <c r="E74" s="426">
        <f t="shared" si="3"/>
        <v>0</v>
      </c>
      <c r="F74" s="423">
        <f t="shared" ref="F74:F137" si="4">C74-D74</f>
        <v>0</v>
      </c>
      <c r="G74" s="1172">
        <f>'1.1.sz.mell. '!D76</f>
        <v>0</v>
      </c>
      <c r="H74" s="1173">
        <f t="shared" ref="H74:H137" si="5">G74-C74</f>
        <v>0</v>
      </c>
    </row>
    <row r="75" spans="1:8" s="49" customFormat="1" ht="12" customHeight="1" thickBot="1" x14ac:dyDescent="0.25">
      <c r="A75" s="223" t="s">
        <v>288</v>
      </c>
      <c r="B75" s="209" t="s">
        <v>264</v>
      </c>
      <c r="C75" s="282"/>
      <c r="D75" s="424">
        <f>'9.1.1. sz. mell. '!C75+'9.1.2. sz. mell.'!C75</f>
        <v>0</v>
      </c>
      <c r="E75" s="427">
        <f t="shared" si="3"/>
        <v>0</v>
      </c>
      <c r="F75" s="423">
        <f t="shared" si="4"/>
        <v>0</v>
      </c>
      <c r="G75" s="1172">
        <f>'1.1.sz.mell. '!D77</f>
        <v>0</v>
      </c>
      <c r="H75" s="1173">
        <f t="shared" si="5"/>
        <v>0</v>
      </c>
    </row>
    <row r="76" spans="1:8" s="49" customFormat="1" ht="12" customHeight="1" thickBot="1" x14ac:dyDescent="0.2">
      <c r="A76" s="224" t="s">
        <v>265</v>
      </c>
      <c r="B76" s="125" t="s">
        <v>266</v>
      </c>
      <c r="C76" s="298">
        <f>SUM(C77:C78)</f>
        <v>941573826</v>
      </c>
      <c r="D76" s="424">
        <f>'9.1.1. sz. mell. '!C76+'9.1.2. sz. mell.'!C76</f>
        <v>941573826</v>
      </c>
      <c r="E76" s="424">
        <f t="shared" si="3"/>
        <v>0</v>
      </c>
      <c r="F76" s="423">
        <f t="shared" si="4"/>
        <v>0</v>
      </c>
      <c r="G76" s="1172">
        <f>'1.1.sz.mell. '!D78</f>
        <v>941573826</v>
      </c>
      <c r="H76" s="1173">
        <f t="shared" si="5"/>
        <v>0</v>
      </c>
    </row>
    <row r="77" spans="1:8" s="49" customFormat="1" ht="12" customHeight="1" thickBot="1" x14ac:dyDescent="0.25">
      <c r="A77" s="221" t="s">
        <v>289</v>
      </c>
      <c r="B77" s="207" t="s">
        <v>267</v>
      </c>
      <c r="C77" s="282">
        <v>941573826</v>
      </c>
      <c r="D77" s="424">
        <f>'9.1.1. sz. mell. '!C77+'9.1.2. sz. mell.'!C77</f>
        <v>941573826</v>
      </c>
      <c r="E77" s="425">
        <f t="shared" si="3"/>
        <v>0</v>
      </c>
      <c r="F77" s="423">
        <f t="shared" si="4"/>
        <v>0</v>
      </c>
      <c r="G77" s="1172">
        <f>'1.1.sz.mell. '!D79</f>
        <v>941573826</v>
      </c>
      <c r="H77" s="1173">
        <f t="shared" si="5"/>
        <v>0</v>
      </c>
    </row>
    <row r="78" spans="1:8" s="49" customFormat="1" ht="12" customHeight="1" thickBot="1" x14ac:dyDescent="0.25">
      <c r="A78" s="223" t="s">
        <v>290</v>
      </c>
      <c r="B78" s="209" t="s">
        <v>268</v>
      </c>
      <c r="C78" s="282"/>
      <c r="D78" s="424">
        <f>'9.1.1. sz. mell. '!C78+'9.1.2. sz. mell.'!C78</f>
        <v>0</v>
      </c>
      <c r="E78" s="427">
        <f t="shared" si="3"/>
        <v>0</v>
      </c>
      <c r="F78" s="423">
        <f t="shared" si="4"/>
        <v>0</v>
      </c>
      <c r="G78" s="1172">
        <f>'1.1.sz.mell. '!D80</f>
        <v>0</v>
      </c>
      <c r="H78" s="1173">
        <f t="shared" si="5"/>
        <v>0</v>
      </c>
    </row>
    <row r="79" spans="1:8" s="48" customFormat="1" ht="12" customHeight="1" thickBot="1" x14ac:dyDescent="0.2">
      <c r="A79" s="224" t="s">
        <v>269</v>
      </c>
      <c r="B79" s="125" t="s">
        <v>270</v>
      </c>
      <c r="C79" s="298">
        <f>SUM(C80:C82)</f>
        <v>0</v>
      </c>
      <c r="D79" s="424">
        <f>'9.1.1. sz. mell. '!C79+'9.1.2. sz. mell.'!C79</f>
        <v>0</v>
      </c>
      <c r="E79" s="424">
        <f t="shared" si="3"/>
        <v>0</v>
      </c>
      <c r="F79" s="423">
        <f t="shared" si="4"/>
        <v>0</v>
      </c>
      <c r="G79" s="1174">
        <f>'1.1.sz.mell. '!D81</f>
        <v>0</v>
      </c>
      <c r="H79" s="1173">
        <f t="shared" si="5"/>
        <v>0</v>
      </c>
    </row>
    <row r="80" spans="1:8" s="49" customFormat="1" ht="12" customHeight="1" thickBot="1" x14ac:dyDescent="0.25">
      <c r="A80" s="221" t="s">
        <v>291</v>
      </c>
      <c r="B80" s="207" t="s">
        <v>271</v>
      </c>
      <c r="C80" s="282"/>
      <c r="D80" s="424">
        <f>'9.1.1. sz. mell. '!C80+'9.1.2. sz. mell.'!C80</f>
        <v>0</v>
      </c>
      <c r="E80" s="425">
        <f t="shared" si="3"/>
        <v>0</v>
      </c>
      <c r="F80" s="423">
        <f t="shared" si="4"/>
        <v>0</v>
      </c>
      <c r="G80" s="1172">
        <f>'1.1.sz.mell. '!D82</f>
        <v>0</v>
      </c>
      <c r="H80" s="1173">
        <f t="shared" si="5"/>
        <v>0</v>
      </c>
    </row>
    <row r="81" spans="1:8" s="49" customFormat="1" ht="12" customHeight="1" thickBot="1" x14ac:dyDescent="0.25">
      <c r="A81" s="222" t="s">
        <v>292</v>
      </c>
      <c r="B81" s="208" t="s">
        <v>272</v>
      </c>
      <c r="C81" s="282"/>
      <c r="D81" s="424">
        <f>'9.1.1. sz. mell. '!C81+'9.1.2. sz. mell.'!C81</f>
        <v>0</v>
      </c>
      <c r="E81" s="426">
        <f t="shared" si="3"/>
        <v>0</v>
      </c>
      <c r="F81" s="423">
        <f t="shared" si="4"/>
        <v>0</v>
      </c>
      <c r="G81" s="1172">
        <f>'1.1.sz.mell. '!D83</f>
        <v>0</v>
      </c>
      <c r="H81" s="1173">
        <f t="shared" si="5"/>
        <v>0</v>
      </c>
    </row>
    <row r="82" spans="1:8" s="49" customFormat="1" ht="12" customHeight="1" thickBot="1" x14ac:dyDescent="0.25">
      <c r="A82" s="223" t="s">
        <v>293</v>
      </c>
      <c r="B82" s="209" t="s">
        <v>273</v>
      </c>
      <c r="C82" s="282"/>
      <c r="D82" s="424">
        <f>'9.1.1. sz. mell. '!C82+'9.1.2. sz. mell.'!C82</f>
        <v>0</v>
      </c>
      <c r="E82" s="427">
        <f t="shared" si="3"/>
        <v>0</v>
      </c>
      <c r="F82" s="423">
        <f t="shared" si="4"/>
        <v>0</v>
      </c>
      <c r="G82" s="1172">
        <f>'1.1.sz.mell. '!D84</f>
        <v>0</v>
      </c>
      <c r="H82" s="1173">
        <f t="shared" si="5"/>
        <v>0</v>
      </c>
    </row>
    <row r="83" spans="1:8" s="49" customFormat="1" ht="12" customHeight="1" thickBot="1" x14ac:dyDescent="0.2">
      <c r="A83" s="224" t="s">
        <v>274</v>
      </c>
      <c r="B83" s="125" t="s">
        <v>294</v>
      </c>
      <c r="C83" s="298">
        <f>SUM(C84:C87)</f>
        <v>0</v>
      </c>
      <c r="D83" s="424">
        <f>'9.1.1. sz. mell. '!C83+'9.1.2. sz. mell.'!C83</f>
        <v>0</v>
      </c>
      <c r="E83" s="424">
        <f t="shared" si="3"/>
        <v>0</v>
      </c>
      <c r="F83" s="423">
        <f t="shared" si="4"/>
        <v>0</v>
      </c>
      <c r="G83" s="1172">
        <f>'1.1.sz.mell. '!D85</f>
        <v>0</v>
      </c>
      <c r="H83" s="1173">
        <f t="shared" si="5"/>
        <v>0</v>
      </c>
    </row>
    <row r="84" spans="1:8" s="49" customFormat="1" ht="12" customHeight="1" thickBot="1" x14ac:dyDescent="0.25">
      <c r="A84" s="225" t="s">
        <v>275</v>
      </c>
      <c r="B84" s="207" t="s">
        <v>276</v>
      </c>
      <c r="C84" s="282"/>
      <c r="D84" s="424">
        <f>'9.1.1. sz. mell. '!C84+'9.1.2. sz. mell.'!C84</f>
        <v>0</v>
      </c>
      <c r="E84" s="425">
        <f t="shared" si="3"/>
        <v>0</v>
      </c>
      <c r="F84" s="423">
        <f t="shared" si="4"/>
        <v>0</v>
      </c>
      <c r="G84" s="1172">
        <f>'1.1.sz.mell. '!D86</f>
        <v>0</v>
      </c>
      <c r="H84" s="1173">
        <f t="shared" si="5"/>
        <v>0</v>
      </c>
    </row>
    <row r="85" spans="1:8" s="49" customFormat="1" ht="12" customHeight="1" thickBot="1" x14ac:dyDescent="0.25">
      <c r="A85" s="226" t="s">
        <v>277</v>
      </c>
      <c r="B85" s="208" t="s">
        <v>278</v>
      </c>
      <c r="C85" s="282"/>
      <c r="D85" s="424">
        <f>'9.1.1. sz. mell. '!C85+'9.1.2. sz. mell.'!C85</f>
        <v>0</v>
      </c>
      <c r="E85" s="426">
        <f t="shared" si="3"/>
        <v>0</v>
      </c>
      <c r="F85" s="423">
        <f t="shared" si="4"/>
        <v>0</v>
      </c>
      <c r="G85" s="1172">
        <f>'1.1.sz.mell. '!D87</f>
        <v>0</v>
      </c>
      <c r="H85" s="1173">
        <f t="shared" si="5"/>
        <v>0</v>
      </c>
    </row>
    <row r="86" spans="1:8" s="49" customFormat="1" ht="12" customHeight="1" thickBot="1" x14ac:dyDescent="0.25">
      <c r="A86" s="226" t="s">
        <v>279</v>
      </c>
      <c r="B86" s="208" t="s">
        <v>280</v>
      </c>
      <c r="C86" s="282"/>
      <c r="D86" s="424">
        <f>'9.1.1. sz. mell. '!C86+'9.1.2. sz. mell.'!C86</f>
        <v>0</v>
      </c>
      <c r="E86" s="426">
        <f t="shared" si="3"/>
        <v>0</v>
      </c>
      <c r="F86" s="423">
        <f t="shared" si="4"/>
        <v>0</v>
      </c>
      <c r="G86" s="1172">
        <f>'1.1.sz.mell. '!D88</f>
        <v>0</v>
      </c>
      <c r="H86" s="1173">
        <f t="shared" si="5"/>
        <v>0</v>
      </c>
    </row>
    <row r="87" spans="1:8" s="48" customFormat="1" ht="12" customHeight="1" thickBot="1" x14ac:dyDescent="0.25">
      <c r="A87" s="227" t="s">
        <v>281</v>
      </c>
      <c r="B87" s="209" t="s">
        <v>282</v>
      </c>
      <c r="C87" s="282"/>
      <c r="D87" s="424">
        <f>'9.1.1. sz. mell. '!C87+'9.1.2. sz. mell.'!C87</f>
        <v>0</v>
      </c>
      <c r="E87" s="427">
        <f t="shared" si="3"/>
        <v>0</v>
      </c>
      <c r="F87" s="423">
        <f t="shared" si="4"/>
        <v>0</v>
      </c>
      <c r="G87" s="1174">
        <f>'1.1.sz.mell. '!D89</f>
        <v>0</v>
      </c>
      <c r="H87" s="1173">
        <f t="shared" si="5"/>
        <v>0</v>
      </c>
    </row>
    <row r="88" spans="1:8" s="48" customFormat="1" ht="12" customHeight="1" thickBot="1" x14ac:dyDescent="0.2">
      <c r="A88" s="224" t="s">
        <v>283</v>
      </c>
      <c r="B88" s="125" t="s">
        <v>457</v>
      </c>
      <c r="C88" s="303"/>
      <c r="D88" s="424">
        <f>'9.1.1. sz. mell. '!C88+'9.1.2. sz. mell.'!C88</f>
        <v>0</v>
      </c>
      <c r="E88" s="424">
        <f t="shared" si="3"/>
        <v>0</v>
      </c>
      <c r="F88" s="423">
        <f t="shared" si="4"/>
        <v>0</v>
      </c>
      <c r="G88" s="1174">
        <f>'1.1.sz.mell. '!D90</f>
        <v>0</v>
      </c>
      <c r="H88" s="1173">
        <f t="shared" si="5"/>
        <v>0</v>
      </c>
    </row>
    <row r="89" spans="1:8" s="48" customFormat="1" ht="12" customHeight="1" thickBot="1" x14ac:dyDescent="0.2">
      <c r="A89" s="224" t="s">
        <v>509</v>
      </c>
      <c r="B89" s="125" t="s">
        <v>284</v>
      </c>
      <c r="C89" s="303"/>
      <c r="D89" s="424">
        <f>'9.1.1. sz. mell. '!C89+'9.1.2. sz. mell.'!C89</f>
        <v>0</v>
      </c>
      <c r="E89" s="424">
        <f t="shared" si="3"/>
        <v>0</v>
      </c>
      <c r="F89" s="423">
        <f t="shared" si="4"/>
        <v>0</v>
      </c>
      <c r="G89" s="1174">
        <f>'1.1.sz.mell. '!D91</f>
        <v>0</v>
      </c>
      <c r="H89" s="1173">
        <f t="shared" si="5"/>
        <v>0</v>
      </c>
    </row>
    <row r="90" spans="1:8" s="48" customFormat="1" ht="12" customHeight="1" thickBot="1" x14ac:dyDescent="0.2">
      <c r="A90" s="224" t="s">
        <v>510</v>
      </c>
      <c r="B90" s="214" t="s">
        <v>458</v>
      </c>
      <c r="C90" s="301">
        <f>+C67+C71+C76+C79+C83+C89+C88</f>
        <v>1683985725</v>
      </c>
      <c r="D90" s="424">
        <f>'9.1.1. sz. mell. '!C90+'9.1.2. sz. mell.'!C90</f>
        <v>1683985725</v>
      </c>
      <c r="E90" s="424">
        <f t="shared" si="3"/>
        <v>0</v>
      </c>
      <c r="F90" s="423">
        <f t="shared" si="4"/>
        <v>0</v>
      </c>
      <c r="G90" s="1174">
        <f>'1.1.sz.mell. '!D92</f>
        <v>1683985725</v>
      </c>
      <c r="H90" s="1173">
        <f t="shared" si="5"/>
        <v>0</v>
      </c>
    </row>
    <row r="91" spans="1:8" s="48" customFormat="1" ht="12" customHeight="1" thickBot="1" x14ac:dyDescent="0.2">
      <c r="A91" s="228" t="s">
        <v>511</v>
      </c>
      <c r="B91" s="215" t="s">
        <v>512</v>
      </c>
      <c r="C91" s="301">
        <f>+C66+C90</f>
        <v>4010708284</v>
      </c>
      <c r="D91" s="424">
        <f>'9.1.1. sz. mell. '!C91+'9.1.2. sz. mell.'!C91</f>
        <v>4010708284</v>
      </c>
      <c r="E91" s="424">
        <f t="shared" si="3"/>
        <v>0</v>
      </c>
      <c r="F91" s="423">
        <f t="shared" si="4"/>
        <v>0</v>
      </c>
      <c r="G91" s="1174">
        <f>'1.1.sz.mell. '!D93</f>
        <v>4010708284</v>
      </c>
      <c r="H91" s="1173">
        <f t="shared" si="5"/>
        <v>0</v>
      </c>
    </row>
    <row r="92" spans="1:8" s="49" customFormat="1" ht="15" customHeight="1" thickBot="1" x14ac:dyDescent="0.25">
      <c r="A92" s="106"/>
      <c r="B92" s="107"/>
      <c r="C92" s="184"/>
      <c r="D92" s="424">
        <f>'9.1.1. sz. mell. '!C92+'9.1.2. sz. mell.'!C92</f>
        <v>0</v>
      </c>
      <c r="E92" s="420"/>
      <c r="F92" s="423">
        <f t="shared" si="4"/>
        <v>0</v>
      </c>
      <c r="G92" s="1172">
        <f>'1.1.sz.mell. '!D94</f>
        <v>0</v>
      </c>
      <c r="H92" s="1173">
        <f t="shared" si="5"/>
        <v>0</v>
      </c>
    </row>
    <row r="93" spans="1:8" s="39" customFormat="1" ht="16.5" customHeight="1" thickBot="1" x14ac:dyDescent="0.25">
      <c r="A93" s="110"/>
      <c r="B93" s="111" t="s">
        <v>59</v>
      </c>
      <c r="C93" s="186"/>
      <c r="D93" s="424">
        <f>'9.1.1. sz. mell. '!C93+'9.1.2. sz. mell.'!C93</f>
        <v>0</v>
      </c>
      <c r="E93" s="420"/>
      <c r="F93" s="423">
        <f t="shared" si="4"/>
        <v>0</v>
      </c>
      <c r="G93" s="1176">
        <f>'1.1.sz.mell. '!D95</f>
        <v>0</v>
      </c>
      <c r="H93" s="1173">
        <f t="shared" si="5"/>
        <v>0</v>
      </c>
    </row>
    <row r="94" spans="1:8" s="50" customFormat="1" ht="12" customHeight="1" thickBot="1" x14ac:dyDescent="0.25">
      <c r="A94" s="199" t="s">
        <v>21</v>
      </c>
      <c r="B94" s="24" t="s">
        <v>522</v>
      </c>
      <c r="C94" s="306">
        <f>+C95+C96+C97+C98+C99+C112</f>
        <v>842994124</v>
      </c>
      <c r="D94" s="424">
        <f>'9.1.1. sz. mell. '!C94+'9.1.2. sz. mell.'!C94</f>
        <v>842994124</v>
      </c>
      <c r="E94" s="424">
        <f t="shared" ref="E94:E157" si="6">C94-D94</f>
        <v>0</v>
      </c>
      <c r="F94" s="423">
        <f t="shared" si="4"/>
        <v>0</v>
      </c>
      <c r="G94" s="1174">
        <f>'1.1.sz.mell. '!D99</f>
        <v>842994124</v>
      </c>
      <c r="H94" s="1173">
        <f t="shared" si="5"/>
        <v>0</v>
      </c>
    </row>
    <row r="95" spans="1:8" ht="12" customHeight="1" thickBot="1" x14ac:dyDescent="0.25">
      <c r="A95" s="229" t="s">
        <v>100</v>
      </c>
      <c r="B95" s="8" t="s">
        <v>51</v>
      </c>
      <c r="C95" s="317">
        <v>58196818</v>
      </c>
      <c r="D95" s="424">
        <f>'9.1.1. sz. mell. '!C95+'9.1.2. sz. mell.'!C95</f>
        <v>58196818</v>
      </c>
      <c r="E95" s="425">
        <f t="shared" si="6"/>
        <v>0</v>
      </c>
      <c r="F95" s="423">
        <f t="shared" si="4"/>
        <v>0</v>
      </c>
      <c r="G95" s="1174">
        <f>'1.1.sz.mell. '!D100</f>
        <v>58196818</v>
      </c>
      <c r="H95" s="1173">
        <f t="shared" si="5"/>
        <v>0</v>
      </c>
    </row>
    <row r="96" spans="1:8" ht="12" customHeight="1" thickBot="1" x14ac:dyDescent="0.25">
      <c r="A96" s="222" t="s">
        <v>101</v>
      </c>
      <c r="B96" s="6" t="s">
        <v>149</v>
      </c>
      <c r="C96" s="282">
        <v>10227471</v>
      </c>
      <c r="D96" s="424">
        <f>'9.1.1. sz. mell. '!C96+'9.1.2. sz. mell.'!C96</f>
        <v>10227471</v>
      </c>
      <c r="E96" s="426">
        <f t="shared" si="6"/>
        <v>0</v>
      </c>
      <c r="F96" s="423">
        <f t="shared" si="4"/>
        <v>0</v>
      </c>
      <c r="G96" s="1174">
        <f>'1.1.sz.mell. '!D101</f>
        <v>10227471</v>
      </c>
      <c r="H96" s="1173">
        <f t="shared" si="5"/>
        <v>0</v>
      </c>
    </row>
    <row r="97" spans="1:8" ht="12" customHeight="1" thickBot="1" x14ac:dyDescent="0.25">
      <c r="A97" s="222" t="s">
        <v>102</v>
      </c>
      <c r="B97" s="6" t="s">
        <v>125</v>
      </c>
      <c r="C97" s="286">
        <f>370342686-649147</f>
        <v>369693539</v>
      </c>
      <c r="D97" s="424">
        <f>'9.1.1. sz. mell. '!C97+'9.1.2. sz. mell.'!C97</f>
        <v>369693539</v>
      </c>
      <c r="E97" s="426">
        <f t="shared" si="6"/>
        <v>0</v>
      </c>
      <c r="F97" s="423">
        <f t="shared" si="4"/>
        <v>0</v>
      </c>
      <c r="G97" s="1174">
        <f>'1.1.sz.mell. '!D102</f>
        <v>369693539</v>
      </c>
      <c r="H97" s="1173">
        <f t="shared" si="5"/>
        <v>0</v>
      </c>
    </row>
    <row r="98" spans="1:8" ht="12" customHeight="1" thickBot="1" x14ac:dyDescent="0.25">
      <c r="A98" s="222" t="s">
        <v>103</v>
      </c>
      <c r="B98" s="9" t="s">
        <v>150</v>
      </c>
      <c r="C98" s="286">
        <v>61300000</v>
      </c>
      <c r="D98" s="424">
        <f>'9.1.1. sz. mell. '!C98+'9.1.2. sz. mell.'!C98</f>
        <v>61300000</v>
      </c>
      <c r="E98" s="426">
        <f t="shared" si="6"/>
        <v>0</v>
      </c>
      <c r="F98" s="423">
        <f t="shared" si="4"/>
        <v>0</v>
      </c>
      <c r="G98" s="1174">
        <f>'1.1.sz.mell. '!D103</f>
        <v>61300000</v>
      </c>
      <c r="H98" s="1173">
        <f t="shared" si="5"/>
        <v>0</v>
      </c>
    </row>
    <row r="99" spans="1:8" ht="12" customHeight="1" thickBot="1" x14ac:dyDescent="0.25">
      <c r="A99" s="222" t="s">
        <v>114</v>
      </c>
      <c r="B99" s="17" t="s">
        <v>151</v>
      </c>
      <c r="C99" s="286">
        <f>SUM(C100:C111)</f>
        <v>210335458</v>
      </c>
      <c r="D99" s="424">
        <f>'9.1.1. sz. mell. '!C99+'9.1.2. sz. mell.'!C99</f>
        <v>210335458</v>
      </c>
      <c r="E99" s="426">
        <f t="shared" si="6"/>
        <v>0</v>
      </c>
      <c r="F99" s="423">
        <f t="shared" si="4"/>
        <v>0</v>
      </c>
      <c r="G99" s="1174">
        <f>'1.1.sz.mell. '!D104</f>
        <v>210335458</v>
      </c>
      <c r="H99" s="1173">
        <f t="shared" si="5"/>
        <v>0</v>
      </c>
    </row>
    <row r="100" spans="1:8" ht="12" customHeight="1" thickBot="1" x14ac:dyDescent="0.25">
      <c r="A100" s="222" t="s">
        <v>104</v>
      </c>
      <c r="B100" s="6" t="s">
        <v>513</v>
      </c>
      <c r="C100" s="286"/>
      <c r="D100" s="424">
        <f>'9.1.1. sz. mell. '!C100+'9.1.2. sz. mell.'!C100</f>
        <v>0</v>
      </c>
      <c r="E100" s="426">
        <f t="shared" si="6"/>
        <v>0</v>
      </c>
      <c r="F100" s="423">
        <f t="shared" si="4"/>
        <v>0</v>
      </c>
      <c r="G100" s="1174">
        <f>'1.1.sz.mell. '!D105</f>
        <v>0</v>
      </c>
      <c r="H100" s="1173">
        <f t="shared" si="5"/>
        <v>0</v>
      </c>
    </row>
    <row r="101" spans="1:8" ht="12" customHeight="1" thickBot="1" x14ac:dyDescent="0.25">
      <c r="A101" s="222" t="s">
        <v>105</v>
      </c>
      <c r="B101" s="70" t="s">
        <v>462</v>
      </c>
      <c r="C101" s="286"/>
      <c r="D101" s="424">
        <f>'9.1.1. sz. mell. '!C101+'9.1.2. sz. mell.'!C101</f>
        <v>0</v>
      </c>
      <c r="E101" s="426">
        <f t="shared" si="6"/>
        <v>0</v>
      </c>
      <c r="F101" s="423">
        <f t="shared" si="4"/>
        <v>0</v>
      </c>
      <c r="G101" s="1174">
        <f>'1.1.sz.mell. '!D106</f>
        <v>0</v>
      </c>
      <c r="H101" s="1173">
        <f t="shared" si="5"/>
        <v>0</v>
      </c>
    </row>
    <row r="102" spans="1:8" ht="12" customHeight="1" thickBot="1" x14ac:dyDescent="0.25">
      <c r="A102" s="222" t="s">
        <v>115</v>
      </c>
      <c r="B102" s="70" t="s">
        <v>463</v>
      </c>
      <c r="C102" s="286"/>
      <c r="D102" s="424">
        <f>'9.1.1. sz. mell. '!C102+'9.1.2. sz. mell.'!C102</f>
        <v>0</v>
      </c>
      <c r="E102" s="426">
        <f t="shared" si="6"/>
        <v>0</v>
      </c>
      <c r="F102" s="423">
        <f t="shared" si="4"/>
        <v>0</v>
      </c>
      <c r="G102" s="1174">
        <f>'1.1.sz.mell. '!D107</f>
        <v>0</v>
      </c>
      <c r="H102" s="1173">
        <f t="shared" si="5"/>
        <v>0</v>
      </c>
    </row>
    <row r="103" spans="1:8" ht="12" customHeight="1" thickBot="1" x14ac:dyDescent="0.25">
      <c r="A103" s="222" t="s">
        <v>116</v>
      </c>
      <c r="B103" s="70" t="s">
        <v>300</v>
      </c>
      <c r="C103" s="286"/>
      <c r="D103" s="424">
        <f>'9.1.1. sz. mell. '!C103+'9.1.2. sz. mell.'!C103</f>
        <v>0</v>
      </c>
      <c r="E103" s="426">
        <f t="shared" si="6"/>
        <v>0</v>
      </c>
      <c r="F103" s="423">
        <f t="shared" si="4"/>
        <v>0</v>
      </c>
      <c r="G103" s="1174">
        <f>'1.1.sz.mell. '!D108</f>
        <v>0</v>
      </c>
      <c r="H103" s="1173">
        <f t="shared" si="5"/>
        <v>0</v>
      </c>
    </row>
    <row r="104" spans="1:8" ht="12" customHeight="1" thickBot="1" x14ac:dyDescent="0.25">
      <c r="A104" s="222" t="s">
        <v>117</v>
      </c>
      <c r="B104" s="71" t="s">
        <v>301</v>
      </c>
      <c r="C104" s="286"/>
      <c r="D104" s="424">
        <f>'9.1.1. sz. mell. '!C104+'9.1.2. sz. mell.'!C104</f>
        <v>0</v>
      </c>
      <c r="E104" s="426">
        <f t="shared" si="6"/>
        <v>0</v>
      </c>
      <c r="F104" s="423">
        <f t="shared" si="4"/>
        <v>0</v>
      </c>
      <c r="G104" s="1174">
        <f>'1.1.sz.mell. '!D109</f>
        <v>0</v>
      </c>
      <c r="H104" s="1173">
        <f t="shared" si="5"/>
        <v>0</v>
      </c>
    </row>
    <row r="105" spans="1:8" ht="12" customHeight="1" thickBot="1" x14ac:dyDescent="0.25">
      <c r="A105" s="222" t="s">
        <v>118</v>
      </c>
      <c r="B105" s="71" t="s">
        <v>302</v>
      </c>
      <c r="C105" s="286"/>
      <c r="D105" s="424">
        <f>'9.1.1. sz. mell. '!C105+'9.1.2. sz. mell.'!C105</f>
        <v>0</v>
      </c>
      <c r="E105" s="426">
        <f t="shared" si="6"/>
        <v>0</v>
      </c>
      <c r="F105" s="423">
        <f t="shared" si="4"/>
        <v>0</v>
      </c>
      <c r="G105" s="1174">
        <f>'1.1.sz.mell. '!D110</f>
        <v>0</v>
      </c>
      <c r="H105" s="1173">
        <f t="shared" si="5"/>
        <v>0</v>
      </c>
    </row>
    <row r="106" spans="1:8" ht="12" customHeight="1" thickBot="1" x14ac:dyDescent="0.25">
      <c r="A106" s="222" t="s">
        <v>120</v>
      </c>
      <c r="B106" s="70" t="s">
        <v>303</v>
      </c>
      <c r="C106" s="286">
        <v>526000</v>
      </c>
      <c r="D106" s="424">
        <f>'9.1.1. sz. mell. '!C106+'9.1.2. sz. mell.'!C106</f>
        <v>526000</v>
      </c>
      <c r="E106" s="426">
        <f t="shared" si="6"/>
        <v>0</v>
      </c>
      <c r="F106" s="423">
        <f t="shared" si="4"/>
        <v>0</v>
      </c>
      <c r="G106" s="1174">
        <f>'1.1.sz.mell. '!D111</f>
        <v>526000</v>
      </c>
      <c r="H106" s="1173">
        <f t="shared" si="5"/>
        <v>0</v>
      </c>
    </row>
    <row r="107" spans="1:8" ht="12" customHeight="1" thickBot="1" x14ac:dyDescent="0.25">
      <c r="A107" s="222" t="s">
        <v>152</v>
      </c>
      <c r="B107" s="70" t="s">
        <v>304</v>
      </c>
      <c r="C107" s="286"/>
      <c r="D107" s="424">
        <f>'9.1.1. sz. mell. '!C107+'9.1.2. sz. mell.'!C107</f>
        <v>0</v>
      </c>
      <c r="E107" s="426">
        <f t="shared" si="6"/>
        <v>0</v>
      </c>
      <c r="F107" s="423">
        <f t="shared" si="4"/>
        <v>0</v>
      </c>
      <c r="G107" s="1174">
        <f>'1.1.sz.mell. '!D112</f>
        <v>0</v>
      </c>
      <c r="H107" s="1173">
        <f t="shared" si="5"/>
        <v>0</v>
      </c>
    </row>
    <row r="108" spans="1:8" ht="12" customHeight="1" thickBot="1" x14ac:dyDescent="0.25">
      <c r="A108" s="222" t="s">
        <v>298</v>
      </c>
      <c r="B108" s="71" t="s">
        <v>305</v>
      </c>
      <c r="C108" s="286"/>
      <c r="D108" s="424">
        <f>'9.1.1. sz. mell. '!C108+'9.1.2. sz. mell.'!C108</f>
        <v>0</v>
      </c>
      <c r="E108" s="426">
        <f t="shared" si="6"/>
        <v>0</v>
      </c>
      <c r="F108" s="423">
        <f t="shared" si="4"/>
        <v>0</v>
      </c>
      <c r="G108" s="1174">
        <f>'1.1.sz.mell. '!D113</f>
        <v>0</v>
      </c>
      <c r="H108" s="1173">
        <f t="shared" si="5"/>
        <v>0</v>
      </c>
    </row>
    <row r="109" spans="1:8" ht="12" customHeight="1" thickBot="1" x14ac:dyDescent="0.25">
      <c r="A109" s="230" t="s">
        <v>299</v>
      </c>
      <c r="B109" s="72" t="s">
        <v>306</v>
      </c>
      <c r="C109" s="286"/>
      <c r="D109" s="424">
        <f>'9.1.1. sz. mell. '!C109+'9.1.2. sz. mell.'!C109</f>
        <v>0</v>
      </c>
      <c r="E109" s="426">
        <f t="shared" si="6"/>
        <v>0</v>
      </c>
      <c r="F109" s="423">
        <f t="shared" si="4"/>
        <v>0</v>
      </c>
      <c r="G109" s="1174">
        <f>'1.1.sz.mell. '!D114</f>
        <v>0</v>
      </c>
      <c r="H109" s="1173">
        <f t="shared" si="5"/>
        <v>0</v>
      </c>
    </row>
    <row r="110" spans="1:8" ht="12" customHeight="1" thickBot="1" x14ac:dyDescent="0.25">
      <c r="A110" s="222" t="s">
        <v>464</v>
      </c>
      <c r="B110" s="72" t="s">
        <v>307</v>
      </c>
      <c r="C110" s="286"/>
      <c r="D110" s="424">
        <f>'9.1.1. sz. mell. '!C110+'9.1.2. sz. mell.'!C110</f>
        <v>0</v>
      </c>
      <c r="E110" s="426">
        <f t="shared" si="6"/>
        <v>0</v>
      </c>
      <c r="F110" s="423">
        <f t="shared" si="4"/>
        <v>0</v>
      </c>
      <c r="G110" s="1174">
        <f>'1.1.sz.mell. '!D115</f>
        <v>0</v>
      </c>
      <c r="H110" s="1173">
        <f t="shared" si="5"/>
        <v>0</v>
      </c>
    </row>
    <row r="111" spans="1:8" ht="12" customHeight="1" thickBot="1" x14ac:dyDescent="0.25">
      <c r="A111" s="222" t="s">
        <v>465</v>
      </c>
      <c r="B111" s="71" t="s">
        <v>308</v>
      </c>
      <c r="C111" s="282">
        <f>209809461-3</f>
        <v>209809458</v>
      </c>
      <c r="D111" s="424">
        <f>'9.1.1. sz. mell. '!C111+'9.1.2. sz. mell.'!C111</f>
        <v>209809458</v>
      </c>
      <c r="E111" s="426">
        <f t="shared" si="6"/>
        <v>0</v>
      </c>
      <c r="F111" s="423">
        <f t="shared" si="4"/>
        <v>0</v>
      </c>
      <c r="G111" s="1174">
        <f>'1.1.sz.mell. '!D116</f>
        <v>209809458</v>
      </c>
      <c r="H111" s="1173">
        <f t="shared" si="5"/>
        <v>0</v>
      </c>
    </row>
    <row r="112" spans="1:8" ht="12" customHeight="1" thickBot="1" x14ac:dyDescent="0.25">
      <c r="A112" s="222" t="s">
        <v>466</v>
      </c>
      <c r="B112" s="9" t="s">
        <v>52</v>
      </c>
      <c r="C112" s="282">
        <f>SUM(C113:C114)</f>
        <v>133240838</v>
      </c>
      <c r="D112" s="424">
        <f>'9.1.1. sz. mell. '!C112+'9.1.2. sz. mell.'!C112</f>
        <v>133240838</v>
      </c>
      <c r="E112" s="426">
        <f t="shared" si="6"/>
        <v>0</v>
      </c>
      <c r="F112" s="423">
        <f t="shared" si="4"/>
        <v>0</v>
      </c>
      <c r="G112" s="1174">
        <f>'1.1.sz.mell. '!D117</f>
        <v>133240838</v>
      </c>
      <c r="H112" s="1173">
        <f t="shared" si="5"/>
        <v>0</v>
      </c>
    </row>
    <row r="113" spans="1:8" ht="12" customHeight="1" thickBot="1" x14ac:dyDescent="0.25">
      <c r="A113" s="223" t="s">
        <v>467</v>
      </c>
      <c r="B113" s="6" t="s">
        <v>514</v>
      </c>
      <c r="C113" s="286">
        <v>20000000</v>
      </c>
      <c r="D113" s="424">
        <f>'9.1.1. sz. mell. '!C113+'9.1.2. sz. mell.'!C113</f>
        <v>20000000</v>
      </c>
      <c r="E113" s="426">
        <f t="shared" si="6"/>
        <v>0</v>
      </c>
      <c r="F113" s="423">
        <f t="shared" si="4"/>
        <v>0</v>
      </c>
      <c r="G113" s="1174">
        <f>'1.1.sz.mell. '!D118</f>
        <v>20000000</v>
      </c>
      <c r="H113" s="1173">
        <f t="shared" si="5"/>
        <v>0</v>
      </c>
    </row>
    <row r="114" spans="1:8" ht="12" customHeight="1" thickBot="1" x14ac:dyDescent="0.25">
      <c r="A114" s="231" t="s">
        <v>469</v>
      </c>
      <c r="B114" s="73" t="s">
        <v>515</v>
      </c>
      <c r="C114" s="318">
        <v>113240838</v>
      </c>
      <c r="D114" s="424">
        <f>'9.1.1. sz. mell. '!C114+'9.1.2. sz. mell.'!C114</f>
        <v>113240838</v>
      </c>
      <c r="E114" s="427">
        <f t="shared" si="6"/>
        <v>0</v>
      </c>
      <c r="F114" s="423">
        <f t="shared" si="4"/>
        <v>0</v>
      </c>
      <c r="G114" s="1174">
        <f>'1.1.sz.mell. '!D119</f>
        <v>113240838</v>
      </c>
      <c r="H114" s="1173">
        <f t="shared" si="5"/>
        <v>0</v>
      </c>
    </row>
    <row r="115" spans="1:8" ht="12" customHeight="1" thickBot="1" x14ac:dyDescent="0.25">
      <c r="A115" s="27" t="s">
        <v>22</v>
      </c>
      <c r="B115" s="23" t="s">
        <v>309</v>
      </c>
      <c r="C115" s="298">
        <f>+C116+C118+C120</f>
        <v>920919445</v>
      </c>
      <c r="D115" s="424">
        <f>'9.1.1. sz. mell. '!C115+'9.1.2. sz. mell.'!C115</f>
        <v>920919445</v>
      </c>
      <c r="E115" s="424">
        <f t="shared" si="6"/>
        <v>0</v>
      </c>
      <c r="F115" s="423">
        <f t="shared" si="4"/>
        <v>0</v>
      </c>
      <c r="G115" s="1174">
        <f>'1.1.sz.mell. '!D120</f>
        <v>920919445</v>
      </c>
      <c r="H115" s="1173">
        <f t="shared" si="5"/>
        <v>0</v>
      </c>
    </row>
    <row r="116" spans="1:8" ht="12" customHeight="1" thickBot="1" x14ac:dyDescent="0.25">
      <c r="A116" s="221" t="s">
        <v>106</v>
      </c>
      <c r="B116" s="6" t="s">
        <v>173</v>
      </c>
      <c r="C116" s="302">
        <f>653972603-2000000+109147</f>
        <v>652081750</v>
      </c>
      <c r="D116" s="424">
        <f>'9.1.1. sz. mell. '!C116+'9.1.2. sz. mell.'!C116</f>
        <v>652081750</v>
      </c>
      <c r="E116" s="425">
        <f t="shared" si="6"/>
        <v>0</v>
      </c>
      <c r="F116" s="423">
        <f t="shared" si="4"/>
        <v>0</v>
      </c>
      <c r="G116" s="1174">
        <f>'1.1.sz.mell. '!D121</f>
        <v>652081750</v>
      </c>
      <c r="H116" s="1173">
        <f t="shared" si="5"/>
        <v>0</v>
      </c>
    </row>
    <row r="117" spans="1:8" ht="12" customHeight="1" thickBot="1" x14ac:dyDescent="0.25">
      <c r="A117" s="221" t="s">
        <v>107</v>
      </c>
      <c r="B117" s="10" t="s">
        <v>313</v>
      </c>
      <c r="C117" s="302">
        <f>135288734+5016896+2634996+425334254+5408883+691900</f>
        <v>574375663</v>
      </c>
      <c r="D117" s="424">
        <f>'9.1.1. sz. mell. '!C117+'9.1.2. sz. mell.'!C117</f>
        <v>574375663</v>
      </c>
      <c r="E117" s="426">
        <f t="shared" si="6"/>
        <v>0</v>
      </c>
      <c r="F117" s="423">
        <f t="shared" si="4"/>
        <v>0</v>
      </c>
      <c r="G117" s="1174">
        <f>'1.1.sz.mell. '!D122</f>
        <v>574375663</v>
      </c>
      <c r="H117" s="1173">
        <f t="shared" si="5"/>
        <v>0</v>
      </c>
    </row>
    <row r="118" spans="1:8" ht="12" customHeight="1" thickBot="1" x14ac:dyDescent="0.25">
      <c r="A118" s="221" t="s">
        <v>108</v>
      </c>
      <c r="B118" s="10" t="s">
        <v>153</v>
      </c>
      <c r="C118" s="282">
        <v>260935796</v>
      </c>
      <c r="D118" s="424">
        <f>'9.1.1. sz. mell. '!C118+'9.1.2. sz. mell.'!C118</f>
        <v>260935796</v>
      </c>
      <c r="E118" s="426">
        <f t="shared" si="6"/>
        <v>0</v>
      </c>
      <c r="F118" s="423">
        <f t="shared" si="4"/>
        <v>0</v>
      </c>
      <c r="G118" s="1174">
        <f>'1.1.sz.mell. '!D123</f>
        <v>260935796</v>
      </c>
      <c r="H118" s="1173">
        <f t="shared" si="5"/>
        <v>0</v>
      </c>
    </row>
    <row r="119" spans="1:8" ht="12" customHeight="1" thickBot="1" x14ac:dyDescent="0.25">
      <c r="A119" s="221" t="s">
        <v>109</v>
      </c>
      <c r="B119" s="10" t="s">
        <v>314</v>
      </c>
      <c r="C119" s="282">
        <f>80112238+12241160</f>
        <v>92353398</v>
      </c>
      <c r="D119" s="424">
        <f>'9.1.1. sz. mell. '!C119+'9.1.2. sz. mell.'!C119</f>
        <v>92353398</v>
      </c>
      <c r="E119" s="426">
        <f t="shared" si="6"/>
        <v>0</v>
      </c>
      <c r="F119" s="423">
        <f t="shared" si="4"/>
        <v>0</v>
      </c>
      <c r="G119" s="1174">
        <f>'1.1.sz.mell. '!D124</f>
        <v>92353398</v>
      </c>
      <c r="H119" s="1173">
        <f t="shared" si="5"/>
        <v>0</v>
      </c>
    </row>
    <row r="120" spans="1:8" ht="12" customHeight="1" thickBot="1" x14ac:dyDescent="0.25">
      <c r="A120" s="221" t="s">
        <v>110</v>
      </c>
      <c r="B120" s="127" t="s">
        <v>175</v>
      </c>
      <c r="C120" s="282">
        <f>SUM(C121:C128)</f>
        <v>7901899</v>
      </c>
      <c r="D120" s="424">
        <f>'9.1.1. sz. mell. '!C120+'9.1.2. sz. mell.'!C120</f>
        <v>7901899</v>
      </c>
      <c r="E120" s="426">
        <f t="shared" si="6"/>
        <v>0</v>
      </c>
      <c r="F120" s="423">
        <f t="shared" si="4"/>
        <v>0</v>
      </c>
      <c r="G120" s="1174">
        <f>'1.1.sz.mell. '!D125</f>
        <v>7901899</v>
      </c>
      <c r="H120" s="1173">
        <f t="shared" si="5"/>
        <v>0</v>
      </c>
    </row>
    <row r="121" spans="1:8" ht="12" customHeight="1" thickBot="1" x14ac:dyDescent="0.25">
      <c r="A121" s="221" t="s">
        <v>119</v>
      </c>
      <c r="B121" s="126" t="s">
        <v>376</v>
      </c>
      <c r="C121" s="119"/>
      <c r="D121" s="424">
        <f>'9.1.1. sz. mell. '!C121+'9.1.2. sz. mell.'!C121</f>
        <v>0</v>
      </c>
      <c r="E121" s="426">
        <f t="shared" si="6"/>
        <v>0</v>
      </c>
      <c r="F121" s="423">
        <f t="shared" si="4"/>
        <v>0</v>
      </c>
      <c r="G121" s="1174">
        <f>'1.1.sz.mell. '!D126</f>
        <v>0</v>
      </c>
      <c r="H121" s="1173">
        <f t="shared" si="5"/>
        <v>0</v>
      </c>
    </row>
    <row r="122" spans="1:8" ht="12" customHeight="1" thickBot="1" x14ac:dyDescent="0.25">
      <c r="A122" s="221" t="s">
        <v>121</v>
      </c>
      <c r="B122" s="203" t="s">
        <v>319</v>
      </c>
      <c r="C122" s="119"/>
      <c r="D122" s="424">
        <f>'9.1.1. sz. mell. '!C122+'9.1.2. sz. mell.'!C122</f>
        <v>0</v>
      </c>
      <c r="E122" s="426">
        <f t="shared" si="6"/>
        <v>0</v>
      </c>
      <c r="F122" s="423">
        <f t="shared" si="4"/>
        <v>0</v>
      </c>
      <c r="G122" s="1174">
        <f>'1.1.sz.mell. '!D127</f>
        <v>0</v>
      </c>
      <c r="H122" s="1173">
        <f t="shared" si="5"/>
        <v>0</v>
      </c>
    </row>
    <row r="123" spans="1:8" ht="12" customHeight="1" thickBot="1" x14ac:dyDescent="0.25">
      <c r="A123" s="221" t="s">
        <v>154</v>
      </c>
      <c r="B123" s="71" t="s">
        <v>302</v>
      </c>
      <c r="C123" s="119"/>
      <c r="D123" s="424">
        <f>'9.1.1. sz. mell. '!C123+'9.1.2. sz. mell.'!C123</f>
        <v>0</v>
      </c>
      <c r="E123" s="426">
        <f t="shared" si="6"/>
        <v>0</v>
      </c>
      <c r="F123" s="423">
        <f t="shared" si="4"/>
        <v>0</v>
      </c>
      <c r="G123" s="1174">
        <f>'1.1.sz.mell. '!D128</f>
        <v>0</v>
      </c>
      <c r="H123" s="1173">
        <f t="shared" si="5"/>
        <v>0</v>
      </c>
    </row>
    <row r="124" spans="1:8" ht="12" customHeight="1" thickBot="1" x14ac:dyDescent="0.25">
      <c r="A124" s="221" t="s">
        <v>155</v>
      </c>
      <c r="B124" s="71" t="s">
        <v>318</v>
      </c>
      <c r="C124" s="119"/>
      <c r="D124" s="424">
        <f>'9.1.1. sz. mell. '!C124+'9.1.2. sz. mell.'!C124</f>
        <v>0</v>
      </c>
      <c r="E124" s="426">
        <f t="shared" si="6"/>
        <v>0</v>
      </c>
      <c r="F124" s="423">
        <f t="shared" si="4"/>
        <v>0</v>
      </c>
      <c r="G124" s="1174">
        <f>'1.1.sz.mell. '!D129</f>
        <v>0</v>
      </c>
      <c r="H124" s="1173">
        <f t="shared" si="5"/>
        <v>0</v>
      </c>
    </row>
    <row r="125" spans="1:8" ht="12" customHeight="1" thickBot="1" x14ac:dyDescent="0.25">
      <c r="A125" s="221" t="s">
        <v>156</v>
      </c>
      <c r="B125" s="71" t="s">
        <v>317</v>
      </c>
      <c r="C125" s="119"/>
      <c r="D125" s="424">
        <f>'9.1.1. sz. mell. '!C125+'9.1.2. sz. mell.'!C125</f>
        <v>0</v>
      </c>
      <c r="E125" s="426">
        <f t="shared" si="6"/>
        <v>0</v>
      </c>
      <c r="F125" s="423">
        <f t="shared" si="4"/>
        <v>0</v>
      </c>
      <c r="G125" s="1174">
        <f>'1.1.sz.mell. '!D130</f>
        <v>0</v>
      </c>
      <c r="H125" s="1173">
        <f t="shared" si="5"/>
        <v>0</v>
      </c>
    </row>
    <row r="126" spans="1:8" ht="12" customHeight="1" thickBot="1" x14ac:dyDescent="0.25">
      <c r="A126" s="221" t="s">
        <v>310</v>
      </c>
      <c r="B126" s="71" t="s">
        <v>305</v>
      </c>
      <c r="C126" s="119"/>
      <c r="D126" s="424">
        <f>'9.1.1. sz. mell. '!C126+'9.1.2. sz. mell.'!C126</f>
        <v>0</v>
      </c>
      <c r="E126" s="426">
        <f t="shared" si="6"/>
        <v>0</v>
      </c>
      <c r="F126" s="423">
        <f t="shared" si="4"/>
        <v>0</v>
      </c>
      <c r="G126" s="1174">
        <f>'1.1.sz.mell. '!D131</f>
        <v>0</v>
      </c>
      <c r="H126" s="1173">
        <f t="shared" si="5"/>
        <v>0</v>
      </c>
    </row>
    <row r="127" spans="1:8" ht="12" customHeight="1" thickBot="1" x14ac:dyDescent="0.25">
      <c r="A127" s="221" t="s">
        <v>311</v>
      </c>
      <c r="B127" s="71" t="s">
        <v>316</v>
      </c>
      <c r="C127" s="119"/>
      <c r="D127" s="424">
        <f>'9.1.1. sz. mell. '!C127+'9.1.2. sz. mell.'!C127</f>
        <v>0</v>
      </c>
      <c r="E127" s="426">
        <f t="shared" si="6"/>
        <v>0</v>
      </c>
      <c r="F127" s="423">
        <f t="shared" si="4"/>
        <v>0</v>
      </c>
      <c r="G127" s="1174">
        <f>'1.1.sz.mell. '!D132</f>
        <v>0</v>
      </c>
      <c r="H127" s="1173">
        <f t="shared" si="5"/>
        <v>0</v>
      </c>
    </row>
    <row r="128" spans="1:8" ht="12" customHeight="1" thickBot="1" x14ac:dyDescent="0.25">
      <c r="A128" s="230" t="s">
        <v>312</v>
      </c>
      <c r="B128" s="71" t="s">
        <v>315</v>
      </c>
      <c r="C128" s="286">
        <f>7001899+900000</f>
        <v>7901899</v>
      </c>
      <c r="D128" s="424">
        <f>'9.1.1. sz. mell. '!C128+'9.1.2. sz. mell.'!C128</f>
        <v>7901899</v>
      </c>
      <c r="E128" s="427">
        <f t="shared" si="6"/>
        <v>0</v>
      </c>
      <c r="F128" s="423">
        <f t="shared" si="4"/>
        <v>0</v>
      </c>
      <c r="G128" s="1174">
        <f>'1.1.sz.mell. '!D133</f>
        <v>7901899</v>
      </c>
      <c r="H128" s="1173">
        <f t="shared" si="5"/>
        <v>0</v>
      </c>
    </row>
    <row r="129" spans="1:9" ht="12" customHeight="1" thickBot="1" x14ac:dyDescent="0.25">
      <c r="A129" s="27" t="s">
        <v>23</v>
      </c>
      <c r="B129" s="66" t="s">
        <v>471</v>
      </c>
      <c r="C129" s="298">
        <f>+C94+C115</f>
        <v>1763913569</v>
      </c>
      <c r="D129" s="424">
        <f>'9.1.1. sz. mell. '!C129+'9.1.2. sz. mell.'!C129</f>
        <v>1763913569</v>
      </c>
      <c r="E129" s="424">
        <f t="shared" si="6"/>
        <v>0</v>
      </c>
      <c r="F129" s="423">
        <f t="shared" si="4"/>
        <v>0</v>
      </c>
      <c r="G129" s="1174">
        <f>'1.1.sz.mell. '!D134</f>
        <v>1763913569</v>
      </c>
      <c r="H129" s="1173">
        <f t="shared" si="5"/>
        <v>0</v>
      </c>
    </row>
    <row r="130" spans="1:9" ht="12" customHeight="1" thickBot="1" x14ac:dyDescent="0.25">
      <c r="A130" s="27" t="s">
        <v>24</v>
      </c>
      <c r="B130" s="66" t="s">
        <v>472</v>
      </c>
      <c r="C130" s="298">
        <f>+C131+C132+C133</f>
        <v>726038434</v>
      </c>
      <c r="D130" s="424">
        <f>'9.1.1. sz. mell. '!C130+'9.1.2. sz. mell.'!C130</f>
        <v>726038434</v>
      </c>
      <c r="E130" s="424">
        <f t="shared" si="6"/>
        <v>0</v>
      </c>
      <c r="F130" s="423">
        <f t="shared" si="4"/>
        <v>0</v>
      </c>
      <c r="G130" s="1174">
        <f>'1.1.sz.mell. '!D135</f>
        <v>726038434</v>
      </c>
      <c r="H130" s="1173">
        <f t="shared" si="5"/>
        <v>0</v>
      </c>
    </row>
    <row r="131" spans="1:9" s="50" customFormat="1" ht="12" customHeight="1" thickBot="1" x14ac:dyDescent="0.25">
      <c r="A131" s="221" t="s">
        <v>211</v>
      </c>
      <c r="B131" s="7" t="s">
        <v>516</v>
      </c>
      <c r="C131" s="282">
        <v>26038434</v>
      </c>
      <c r="D131" s="424">
        <f>'9.1.1. sz. mell. '!C131+'9.1.2. sz. mell.'!C131</f>
        <v>26038434</v>
      </c>
      <c r="E131" s="425">
        <f t="shared" si="6"/>
        <v>0</v>
      </c>
      <c r="F131" s="423">
        <f t="shared" si="4"/>
        <v>0</v>
      </c>
      <c r="G131" s="1174">
        <f>'1.1.sz.mell. '!D136</f>
        <v>26038434</v>
      </c>
      <c r="H131" s="1173">
        <f t="shared" si="5"/>
        <v>0</v>
      </c>
    </row>
    <row r="132" spans="1:9" ht="12" customHeight="1" thickBot="1" x14ac:dyDescent="0.25">
      <c r="A132" s="221" t="s">
        <v>214</v>
      </c>
      <c r="B132" s="7" t="s">
        <v>474</v>
      </c>
      <c r="C132" s="119">
        <v>700000000</v>
      </c>
      <c r="D132" s="424">
        <f>'9.1.1. sz. mell. '!C132+'9.1.2. sz. mell.'!C132</f>
        <v>700000000</v>
      </c>
      <c r="E132" s="426">
        <f t="shared" si="6"/>
        <v>0</v>
      </c>
      <c r="F132" s="423">
        <f t="shared" si="4"/>
        <v>0</v>
      </c>
      <c r="G132" s="1174">
        <f>'1.1.sz.mell. '!D137</f>
        <v>700000000</v>
      </c>
      <c r="H132" s="1173">
        <f t="shared" si="5"/>
        <v>0</v>
      </c>
    </row>
    <row r="133" spans="1:9" ht="12" customHeight="1" thickBot="1" x14ac:dyDescent="0.25">
      <c r="A133" s="230" t="s">
        <v>215</v>
      </c>
      <c r="B133" s="5" t="s">
        <v>517</v>
      </c>
      <c r="C133" s="119"/>
      <c r="D133" s="424">
        <f>'9.1.1. sz. mell. '!C133+'9.1.2. sz. mell.'!C133</f>
        <v>0</v>
      </c>
      <c r="E133" s="427">
        <f t="shared" si="6"/>
        <v>0</v>
      </c>
      <c r="F133" s="423">
        <f t="shared" si="4"/>
        <v>0</v>
      </c>
      <c r="G133" s="1174">
        <f>'1.1.sz.mell. '!D138</f>
        <v>0</v>
      </c>
      <c r="H133" s="1173">
        <f t="shared" si="5"/>
        <v>0</v>
      </c>
    </row>
    <row r="134" spans="1:9" ht="12" customHeight="1" thickBot="1" x14ac:dyDescent="0.25">
      <c r="A134" s="27" t="s">
        <v>25</v>
      </c>
      <c r="B134" s="66" t="s">
        <v>476</v>
      </c>
      <c r="C134" s="298">
        <f>+C135+C136+C137+C138+C139+C140</f>
        <v>0</v>
      </c>
      <c r="D134" s="424">
        <f>'9.1.1. sz. mell. '!C134+'9.1.2. sz. mell.'!C134</f>
        <v>0</v>
      </c>
      <c r="E134" s="424">
        <f t="shared" si="6"/>
        <v>0</v>
      </c>
      <c r="F134" s="423">
        <f t="shared" si="4"/>
        <v>0</v>
      </c>
      <c r="G134" s="1174">
        <f>'1.1.sz.mell. '!D139</f>
        <v>0</v>
      </c>
      <c r="H134" s="1173">
        <f t="shared" si="5"/>
        <v>0</v>
      </c>
    </row>
    <row r="135" spans="1:9" ht="12" customHeight="1" thickBot="1" x14ac:dyDescent="0.25">
      <c r="A135" s="221" t="s">
        <v>93</v>
      </c>
      <c r="B135" s="7" t="s">
        <v>477</v>
      </c>
      <c r="C135" s="119"/>
      <c r="D135" s="424">
        <f>'9.1.1. sz. mell. '!C135+'9.1.2. sz. mell.'!C135</f>
        <v>0</v>
      </c>
      <c r="E135" s="425">
        <f t="shared" si="6"/>
        <v>0</v>
      </c>
      <c r="F135" s="423">
        <f t="shared" si="4"/>
        <v>0</v>
      </c>
      <c r="G135" s="1174">
        <f>'1.1.sz.mell. '!D140</f>
        <v>0</v>
      </c>
      <c r="H135" s="1173">
        <f t="shared" si="5"/>
        <v>0</v>
      </c>
    </row>
    <row r="136" spans="1:9" ht="12" customHeight="1" thickBot="1" x14ac:dyDescent="0.25">
      <c r="A136" s="221" t="s">
        <v>94</v>
      </c>
      <c r="B136" s="7" t="s">
        <v>478</v>
      </c>
      <c r="C136" s="119"/>
      <c r="D136" s="424">
        <f>'9.1.1. sz. mell. '!C136+'9.1.2. sz. mell.'!C136</f>
        <v>0</v>
      </c>
      <c r="E136" s="426">
        <f t="shared" si="6"/>
        <v>0</v>
      </c>
      <c r="F136" s="423">
        <f t="shared" si="4"/>
        <v>0</v>
      </c>
      <c r="G136" s="1174">
        <f>'1.1.sz.mell. '!D141</f>
        <v>0</v>
      </c>
      <c r="H136" s="1173">
        <f t="shared" si="5"/>
        <v>0</v>
      </c>
    </row>
    <row r="137" spans="1:9" ht="12" customHeight="1" thickBot="1" x14ac:dyDescent="0.25">
      <c r="A137" s="221" t="s">
        <v>95</v>
      </c>
      <c r="B137" s="7" t="s">
        <v>479</v>
      </c>
      <c r="C137" s="119"/>
      <c r="D137" s="424">
        <f>'9.1.1. sz. mell. '!C137+'9.1.2. sz. mell.'!C137</f>
        <v>0</v>
      </c>
      <c r="E137" s="426">
        <f t="shared" si="6"/>
        <v>0</v>
      </c>
      <c r="F137" s="423">
        <f t="shared" si="4"/>
        <v>0</v>
      </c>
      <c r="G137" s="1174">
        <f>'1.1.sz.mell. '!D142</f>
        <v>0</v>
      </c>
      <c r="H137" s="1173">
        <f t="shared" si="5"/>
        <v>0</v>
      </c>
    </row>
    <row r="138" spans="1:9" ht="12" customHeight="1" thickBot="1" x14ac:dyDescent="0.25">
      <c r="A138" s="221" t="s">
        <v>141</v>
      </c>
      <c r="B138" s="7" t="s">
        <v>518</v>
      </c>
      <c r="C138" s="119"/>
      <c r="D138" s="424">
        <f>'9.1.1. sz. mell. '!C138+'9.1.2. sz. mell.'!C138</f>
        <v>0</v>
      </c>
      <c r="E138" s="426">
        <f t="shared" si="6"/>
        <v>0</v>
      </c>
      <c r="F138" s="423">
        <f t="shared" ref="F138:F157" si="7">C138-D138</f>
        <v>0</v>
      </c>
      <c r="G138" s="1174">
        <f>'1.1.sz.mell. '!D143</f>
        <v>0</v>
      </c>
      <c r="H138" s="1173">
        <f t="shared" ref="H138:H157" si="8">G138-C138</f>
        <v>0</v>
      </c>
    </row>
    <row r="139" spans="1:9" ht="12" customHeight="1" thickBot="1" x14ac:dyDescent="0.25">
      <c r="A139" s="221" t="s">
        <v>142</v>
      </c>
      <c r="B139" s="7" t="s">
        <v>481</v>
      </c>
      <c r="C139" s="119"/>
      <c r="D139" s="424">
        <f>'9.1.1. sz. mell. '!C139+'9.1.2. sz. mell.'!C139</f>
        <v>0</v>
      </c>
      <c r="E139" s="426">
        <f t="shared" si="6"/>
        <v>0</v>
      </c>
      <c r="F139" s="423">
        <f t="shared" si="7"/>
        <v>0</v>
      </c>
      <c r="G139" s="1174">
        <f>'1.1.sz.mell. '!D144</f>
        <v>0</v>
      </c>
      <c r="H139" s="1173">
        <f t="shared" si="8"/>
        <v>0</v>
      </c>
    </row>
    <row r="140" spans="1:9" s="50" customFormat="1" ht="12" customHeight="1" thickBot="1" x14ac:dyDescent="0.25">
      <c r="A140" s="230" t="s">
        <v>143</v>
      </c>
      <c r="B140" s="5" t="s">
        <v>482</v>
      </c>
      <c r="C140" s="119"/>
      <c r="D140" s="424">
        <f>'9.1.1. sz. mell. '!C140+'9.1.2. sz. mell.'!C140</f>
        <v>0</v>
      </c>
      <c r="E140" s="427">
        <f t="shared" si="6"/>
        <v>0</v>
      </c>
      <c r="F140" s="423">
        <f t="shared" si="7"/>
        <v>0</v>
      </c>
      <c r="G140" s="1174">
        <f>'1.1.sz.mell. '!D145</f>
        <v>0</v>
      </c>
      <c r="H140" s="1173">
        <f t="shared" si="8"/>
        <v>0</v>
      </c>
    </row>
    <row r="141" spans="1:9" ht="12" customHeight="1" thickBot="1" x14ac:dyDescent="0.25">
      <c r="A141" s="27" t="s">
        <v>26</v>
      </c>
      <c r="B141" s="66" t="s">
        <v>519</v>
      </c>
      <c r="C141" s="301">
        <f>+C142+C143+C144+C145</f>
        <v>0</v>
      </c>
      <c r="D141" s="424">
        <f>'9.1.1. sz. mell. '!C141+'9.1.2. sz. mell.'!C141</f>
        <v>0</v>
      </c>
      <c r="E141" s="424">
        <f t="shared" si="6"/>
        <v>0</v>
      </c>
      <c r="F141" s="423">
        <f t="shared" si="7"/>
        <v>0</v>
      </c>
      <c r="G141" s="1174">
        <f>'1.1.sz.mell. '!D146</f>
        <v>0</v>
      </c>
      <c r="H141" s="1173">
        <f t="shared" si="8"/>
        <v>0</v>
      </c>
      <c r="I141" s="118"/>
    </row>
    <row r="142" spans="1:9" ht="16.5" thickBot="1" x14ac:dyDescent="0.25">
      <c r="A142" s="221" t="s">
        <v>96</v>
      </c>
      <c r="B142" s="7" t="s">
        <v>320</v>
      </c>
      <c r="C142" s="119"/>
      <c r="D142" s="424">
        <f>'9.1.1. sz. mell. '!C142+'9.1.2. sz. mell.'!C142</f>
        <v>0</v>
      </c>
      <c r="E142" s="425">
        <f t="shared" si="6"/>
        <v>0</v>
      </c>
      <c r="F142" s="423">
        <f t="shared" si="7"/>
        <v>0</v>
      </c>
      <c r="G142" s="1174">
        <f>'1.1.sz.mell. '!D147</f>
        <v>0</v>
      </c>
      <c r="H142" s="1173">
        <f t="shared" si="8"/>
        <v>0</v>
      </c>
    </row>
    <row r="143" spans="1:9" ht="12" customHeight="1" thickBot="1" x14ac:dyDescent="0.25">
      <c r="A143" s="221" t="s">
        <v>97</v>
      </c>
      <c r="B143" s="7" t="s">
        <v>321</v>
      </c>
      <c r="C143" s="119"/>
      <c r="D143" s="424">
        <f>'9.1.1. sz. mell. '!C143+'9.1.2. sz. mell.'!C143</f>
        <v>0</v>
      </c>
      <c r="E143" s="426">
        <f t="shared" si="6"/>
        <v>0</v>
      </c>
      <c r="F143" s="423">
        <f t="shared" si="7"/>
        <v>0</v>
      </c>
      <c r="G143" s="1174">
        <f>'1.1.sz.mell. '!D148</f>
        <v>0</v>
      </c>
      <c r="H143" s="1173">
        <f t="shared" si="8"/>
        <v>0</v>
      </c>
    </row>
    <row r="144" spans="1:9" s="50" customFormat="1" ht="12" customHeight="1" thickBot="1" x14ac:dyDescent="0.25">
      <c r="A144" s="221" t="s">
        <v>234</v>
      </c>
      <c r="B144" s="7" t="s">
        <v>484</v>
      </c>
      <c r="C144" s="119"/>
      <c r="D144" s="424">
        <f>'9.1.1. sz. mell. '!C144+'9.1.2. sz. mell.'!C144</f>
        <v>0</v>
      </c>
      <c r="E144" s="426">
        <f t="shared" si="6"/>
        <v>0</v>
      </c>
      <c r="F144" s="423">
        <f t="shared" si="7"/>
        <v>0</v>
      </c>
      <c r="G144" s="1174">
        <f>'1.1.sz.mell. '!D149</f>
        <v>0</v>
      </c>
      <c r="H144" s="1173">
        <f t="shared" si="8"/>
        <v>0</v>
      </c>
    </row>
    <row r="145" spans="1:8" s="50" customFormat="1" ht="12" customHeight="1" thickBot="1" x14ac:dyDescent="0.25">
      <c r="A145" s="230" t="s">
        <v>235</v>
      </c>
      <c r="B145" s="5" t="s">
        <v>339</v>
      </c>
      <c r="C145" s="119"/>
      <c r="D145" s="424">
        <f>'9.1.1. sz. mell. '!C145+'9.1.2. sz. mell.'!C145</f>
        <v>0</v>
      </c>
      <c r="E145" s="427">
        <f t="shared" si="6"/>
        <v>0</v>
      </c>
      <c r="F145" s="423">
        <f t="shared" si="7"/>
        <v>0</v>
      </c>
      <c r="G145" s="1174">
        <f>'1.1.sz.mell. '!D150</f>
        <v>0</v>
      </c>
      <c r="H145" s="1173">
        <f t="shared" si="8"/>
        <v>0</v>
      </c>
    </row>
    <row r="146" spans="1:8" s="50" customFormat="1" ht="12" customHeight="1" thickBot="1" x14ac:dyDescent="0.25">
      <c r="A146" s="27" t="s">
        <v>27</v>
      </c>
      <c r="B146" s="66" t="s">
        <v>485</v>
      </c>
      <c r="C146" s="308">
        <f>+C147+C148+C149+C150+C151</f>
        <v>0</v>
      </c>
      <c r="D146" s="424">
        <f>'9.1.1. sz. mell. '!C146+'9.1.2. sz. mell.'!C146</f>
        <v>0</v>
      </c>
      <c r="E146" s="424">
        <f t="shared" si="6"/>
        <v>0</v>
      </c>
      <c r="F146" s="423">
        <f t="shared" si="7"/>
        <v>0</v>
      </c>
      <c r="G146" s="1174">
        <f>'1.1.sz.mell. '!D151</f>
        <v>0</v>
      </c>
      <c r="H146" s="1173">
        <f t="shared" si="8"/>
        <v>0</v>
      </c>
    </row>
    <row r="147" spans="1:8" s="50" customFormat="1" ht="12" customHeight="1" thickBot="1" x14ac:dyDescent="0.25">
      <c r="A147" s="221" t="s">
        <v>98</v>
      </c>
      <c r="B147" s="7" t="s">
        <v>486</v>
      </c>
      <c r="C147" s="119"/>
      <c r="D147" s="424">
        <f>'9.1.1. sz. mell. '!C147+'9.1.2. sz. mell.'!C147</f>
        <v>0</v>
      </c>
      <c r="E147" s="425">
        <f t="shared" si="6"/>
        <v>0</v>
      </c>
      <c r="F147" s="423">
        <f t="shared" si="7"/>
        <v>0</v>
      </c>
      <c r="G147" s="1174">
        <f>'1.1.sz.mell. '!D152</f>
        <v>0</v>
      </c>
      <c r="H147" s="1173">
        <f t="shared" si="8"/>
        <v>0</v>
      </c>
    </row>
    <row r="148" spans="1:8" s="50" customFormat="1" ht="12" customHeight="1" thickBot="1" x14ac:dyDescent="0.25">
      <c r="A148" s="221" t="s">
        <v>99</v>
      </c>
      <c r="B148" s="7" t="s">
        <v>487</v>
      </c>
      <c r="C148" s="119"/>
      <c r="D148" s="424">
        <f>'9.1.1. sz. mell. '!C148+'9.1.2. sz. mell.'!C148</f>
        <v>0</v>
      </c>
      <c r="E148" s="426">
        <f t="shared" si="6"/>
        <v>0</v>
      </c>
      <c r="F148" s="423">
        <f t="shared" si="7"/>
        <v>0</v>
      </c>
      <c r="G148" s="1174">
        <f>'1.1.sz.mell. '!D153</f>
        <v>0</v>
      </c>
      <c r="H148" s="1173">
        <f t="shared" si="8"/>
        <v>0</v>
      </c>
    </row>
    <row r="149" spans="1:8" s="50" customFormat="1" ht="12" customHeight="1" thickBot="1" x14ac:dyDescent="0.25">
      <c r="A149" s="221" t="s">
        <v>246</v>
      </c>
      <c r="B149" s="7" t="s">
        <v>488</v>
      </c>
      <c r="C149" s="119"/>
      <c r="D149" s="424">
        <f>'9.1.1. sz. mell. '!C149+'9.1.2. sz. mell.'!C149</f>
        <v>0</v>
      </c>
      <c r="E149" s="426">
        <f t="shared" si="6"/>
        <v>0</v>
      </c>
      <c r="F149" s="423">
        <f t="shared" si="7"/>
        <v>0</v>
      </c>
      <c r="G149" s="1174">
        <f>'1.1.sz.mell. '!D154</f>
        <v>0</v>
      </c>
      <c r="H149" s="1173">
        <f t="shared" si="8"/>
        <v>0</v>
      </c>
    </row>
    <row r="150" spans="1:8" s="50" customFormat="1" ht="12" customHeight="1" thickBot="1" x14ac:dyDescent="0.25">
      <c r="A150" s="221" t="s">
        <v>247</v>
      </c>
      <c r="B150" s="7" t="s">
        <v>520</v>
      </c>
      <c r="C150" s="119"/>
      <c r="D150" s="424">
        <f>'9.1.1. sz. mell. '!C150+'9.1.2. sz. mell.'!C150</f>
        <v>0</v>
      </c>
      <c r="E150" s="426">
        <f t="shared" si="6"/>
        <v>0</v>
      </c>
      <c r="F150" s="423">
        <f t="shared" si="7"/>
        <v>0</v>
      </c>
      <c r="G150" s="1174">
        <f>'1.1.sz.mell. '!D155</f>
        <v>0</v>
      </c>
      <c r="H150" s="1173">
        <f t="shared" si="8"/>
        <v>0</v>
      </c>
    </row>
    <row r="151" spans="1:8" ht="12.75" customHeight="1" thickBot="1" x14ac:dyDescent="0.25">
      <c r="A151" s="230" t="s">
        <v>490</v>
      </c>
      <c r="B151" s="5" t="s">
        <v>491</v>
      </c>
      <c r="C151" s="120"/>
      <c r="D151" s="424">
        <f>'9.1.1. sz. mell. '!C151+'9.1.2. sz. mell.'!C151</f>
        <v>0</v>
      </c>
      <c r="E151" s="427">
        <f t="shared" si="6"/>
        <v>0</v>
      </c>
      <c r="F151" s="423">
        <f t="shared" si="7"/>
        <v>0</v>
      </c>
      <c r="G151" s="1174">
        <f>'1.1.sz.mell. '!D156</f>
        <v>0</v>
      </c>
      <c r="H151" s="1173">
        <f t="shared" si="8"/>
        <v>0</v>
      </c>
    </row>
    <row r="152" spans="1:8" ht="12.75" customHeight="1" thickBot="1" x14ac:dyDescent="0.25">
      <c r="A152" s="279" t="s">
        <v>28</v>
      </c>
      <c r="B152" s="66" t="s">
        <v>492</v>
      </c>
      <c r="C152" s="308"/>
      <c r="D152" s="424">
        <f>'9.1.1. sz. mell. '!C152+'9.1.2. sz. mell.'!C152</f>
        <v>0</v>
      </c>
      <c r="E152" s="424">
        <f t="shared" si="6"/>
        <v>0</v>
      </c>
      <c r="F152" s="423">
        <f t="shared" si="7"/>
        <v>0</v>
      </c>
      <c r="G152" s="1174">
        <f>'1.1.sz.mell. '!D157</f>
        <v>0</v>
      </c>
      <c r="H152" s="1173">
        <f t="shared" si="8"/>
        <v>0</v>
      </c>
    </row>
    <row r="153" spans="1:8" ht="12.75" customHeight="1" thickBot="1" x14ac:dyDescent="0.25">
      <c r="A153" s="279" t="s">
        <v>29</v>
      </c>
      <c r="B153" s="66" t="s">
        <v>493</v>
      </c>
      <c r="C153" s="308"/>
      <c r="D153" s="424">
        <f>'9.1.1. sz. mell. '!C153+'9.1.2. sz. mell.'!C153</f>
        <v>0</v>
      </c>
      <c r="E153" s="428">
        <f t="shared" si="6"/>
        <v>0</v>
      </c>
      <c r="F153" s="423">
        <f t="shared" si="7"/>
        <v>0</v>
      </c>
      <c r="G153" s="1174">
        <f>'1.1.sz.mell. '!D158</f>
        <v>0</v>
      </c>
      <c r="H153" s="1173">
        <f t="shared" si="8"/>
        <v>0</v>
      </c>
    </row>
    <row r="154" spans="1:8" ht="12" customHeight="1" thickBot="1" x14ac:dyDescent="0.25">
      <c r="A154" s="27" t="s">
        <v>30</v>
      </c>
      <c r="B154" s="66" t="s">
        <v>494</v>
      </c>
      <c r="C154" s="309">
        <f>+C130+C134+C141+C146+C152+C153</f>
        <v>726038434</v>
      </c>
      <c r="D154" s="424">
        <f>'9.1.1. sz. mell. '!C154+'9.1.2. sz. mell.'!C154</f>
        <v>726038434</v>
      </c>
      <c r="E154" s="424">
        <f t="shared" si="6"/>
        <v>0</v>
      </c>
      <c r="F154" s="423">
        <f t="shared" si="7"/>
        <v>0</v>
      </c>
      <c r="G154" s="1174">
        <f>'1.1.sz.mell. '!D159</f>
        <v>726038434</v>
      </c>
      <c r="H154" s="1173">
        <f t="shared" si="8"/>
        <v>0</v>
      </c>
    </row>
    <row r="155" spans="1:8" ht="15" customHeight="1" thickBot="1" x14ac:dyDescent="0.25">
      <c r="A155" s="232" t="s">
        <v>31</v>
      </c>
      <c r="B155" s="192" t="s">
        <v>495</v>
      </c>
      <c r="C155" s="309">
        <f>+C129+C154</f>
        <v>2489952003</v>
      </c>
      <c r="D155" s="424">
        <f>'9.1.1. sz. mell. '!C155+'9.1.2. sz. mell.'!C155</f>
        <v>2489952003</v>
      </c>
      <c r="E155" s="424">
        <f t="shared" si="6"/>
        <v>0</v>
      </c>
      <c r="F155" s="423">
        <f t="shared" si="7"/>
        <v>0</v>
      </c>
      <c r="G155" s="1174">
        <f>'1.1.sz.mell. '!D160</f>
        <v>2489952003</v>
      </c>
      <c r="H155" s="1173">
        <f t="shared" si="8"/>
        <v>0</v>
      </c>
    </row>
    <row r="156" spans="1:8" ht="16.5" thickBot="1" x14ac:dyDescent="0.25">
      <c r="D156" s="424">
        <f>'9.1.1. sz. mell. '!C156+'9.1.2. sz. mell.'!C156</f>
        <v>0</v>
      </c>
      <c r="E156" s="424">
        <f t="shared" si="6"/>
        <v>0</v>
      </c>
      <c r="F156" s="423">
        <f t="shared" si="7"/>
        <v>0</v>
      </c>
      <c r="G156" s="1174">
        <f>'1.1.sz.mell. '!D161</f>
        <v>0</v>
      </c>
      <c r="H156" s="1173">
        <f t="shared" si="8"/>
        <v>0</v>
      </c>
    </row>
    <row r="157" spans="1:8" ht="15" customHeight="1" thickBot="1" x14ac:dyDescent="0.25">
      <c r="A157" s="115" t="s">
        <v>521</v>
      </c>
      <c r="B157" s="116"/>
      <c r="C157" s="65">
        <v>5</v>
      </c>
      <c r="D157" s="1355">
        <f>'9.1.1. sz. mell. '!C157+'9.1.2. sz. mell.'!C157</f>
        <v>6.125</v>
      </c>
      <c r="E157" s="424">
        <f t="shared" si="6"/>
        <v>-1.125</v>
      </c>
      <c r="F157" s="423">
        <f t="shared" si="7"/>
        <v>-1.125</v>
      </c>
      <c r="G157" s="1174">
        <f>'1.1.sz.mell. '!D162</f>
        <v>0</v>
      </c>
      <c r="H157" s="1173">
        <f t="shared" si="8"/>
        <v>-5</v>
      </c>
    </row>
    <row r="158" spans="1:8" s="1250" customFormat="1" ht="15" customHeight="1" thickBot="1" x14ac:dyDescent="0.25">
      <c r="A158" s="115" t="s">
        <v>958</v>
      </c>
      <c r="B158" s="116"/>
      <c r="C158" s="1354">
        <v>1.125</v>
      </c>
      <c r="D158" s="424">
        <f>'9.1.1. sz. mell. '!C158+'9.1.2. sz. mell.'!C158</f>
        <v>0</v>
      </c>
      <c r="E158" s="424">
        <f t="shared" ref="E158" si="9">C158-D158</f>
        <v>1.125</v>
      </c>
      <c r="F158" s="423">
        <f t="shared" ref="F158" si="10">C158-D158</f>
        <v>1.125</v>
      </c>
      <c r="G158" s="1174">
        <f>'1.1.sz.mell. '!D163</f>
        <v>0</v>
      </c>
      <c r="H158" s="1173">
        <f t="shared" ref="H158" si="11">G158-C158</f>
        <v>-1.125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2" max="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115" zoomScaleNormal="115" zoomScaleSheetLayoutView="85" workbookViewId="0">
      <selection activeCell="B19" sqref="B19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431" customWidth="1"/>
    <col min="4" max="4" width="15.33203125" style="1172" hidden="1" customWidth="1"/>
    <col min="5" max="5" width="12.5" style="2" hidden="1" customWidth="1"/>
    <col min="6" max="6" width="17.33203125" style="2" bestFit="1" customWidth="1"/>
    <col min="7" max="16384" width="9.33203125" style="2"/>
  </cols>
  <sheetData>
    <row r="1" spans="1:5" s="1250" customFormat="1" x14ac:dyDescent="0.2">
      <c r="A1" s="1539" t="str">
        <f>CONCATENATE("7. melléklet ",ALAPADATOK!A7," ",ALAPADATOK!B7," ",ALAPADATOK!C7," ",ALAPADATOK!D7," ",ALAPADATOK!E7," ",ALAPADATOK!F7," ",ALAPADATOK!G7," ",ALAPADATOK!H7)</f>
        <v>7. melléklet a 6 / 2020. ( II.27 ) önkormányzati határozathoz</v>
      </c>
      <c r="B1" s="1539"/>
      <c r="C1" s="1539"/>
      <c r="D1" s="1172"/>
    </row>
    <row r="2" spans="1:5" s="1" customFormat="1" ht="16.5" customHeight="1" thickBot="1" x14ac:dyDescent="0.25">
      <c r="A2" s="92"/>
      <c r="B2" s="94"/>
      <c r="C2" s="117"/>
      <c r="D2" s="1177"/>
    </row>
    <row r="3" spans="1:5" s="46" customFormat="1" ht="21" customHeight="1" x14ac:dyDescent="0.2">
      <c r="A3" s="197" t="s">
        <v>64</v>
      </c>
      <c r="B3" s="175" t="s">
        <v>170</v>
      </c>
      <c r="C3" s="177" t="s">
        <v>55</v>
      </c>
      <c r="D3" s="1175"/>
    </row>
    <row r="4" spans="1:5" s="46" customFormat="1" ht="16.5" thickBot="1" x14ac:dyDescent="0.25">
      <c r="A4" s="95" t="s">
        <v>166</v>
      </c>
      <c r="B4" s="176" t="s">
        <v>377</v>
      </c>
      <c r="C4" s="278" t="s">
        <v>62</v>
      </c>
      <c r="D4" s="1175"/>
    </row>
    <row r="5" spans="1:5" s="47" customFormat="1" ht="15.95" customHeight="1" thickBot="1" x14ac:dyDescent="0.3">
      <c r="A5" s="96"/>
      <c r="B5" s="96"/>
      <c r="C5" s="97" t="s">
        <v>558</v>
      </c>
      <c r="D5" s="1175"/>
    </row>
    <row r="6" spans="1:5" ht="13.5" thickBot="1" x14ac:dyDescent="0.25">
      <c r="A6" s="198" t="s">
        <v>168</v>
      </c>
      <c r="B6" s="98" t="s">
        <v>56</v>
      </c>
      <c r="C6" s="178" t="s">
        <v>57</v>
      </c>
    </row>
    <row r="7" spans="1:5" s="39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1176"/>
    </row>
    <row r="8" spans="1:5" s="39" customFormat="1" ht="15.95" customHeight="1" thickBot="1" x14ac:dyDescent="0.25">
      <c r="A8" s="100"/>
      <c r="B8" s="101" t="s">
        <v>58</v>
      </c>
      <c r="C8" s="179"/>
      <c r="D8" s="1176"/>
    </row>
    <row r="9" spans="1:5" s="39" customFormat="1" ht="12" customHeight="1" thickBot="1" x14ac:dyDescent="0.25">
      <c r="A9" s="27" t="s">
        <v>21</v>
      </c>
      <c r="B9" s="19" t="s">
        <v>195</v>
      </c>
      <c r="C9" s="298">
        <f>+C10+C11+C12+C13+C14+C15</f>
        <v>1241652273</v>
      </c>
      <c r="D9" s="1176">
        <f>'1.2.sz.mell. '!D11</f>
        <v>1241652273</v>
      </c>
      <c r="E9" s="1173">
        <f>C9-D9</f>
        <v>0</v>
      </c>
    </row>
    <row r="10" spans="1:5" s="48" customFormat="1" ht="12" customHeight="1" x14ac:dyDescent="0.2">
      <c r="A10" s="221" t="s">
        <v>100</v>
      </c>
      <c r="B10" s="207" t="s">
        <v>196</v>
      </c>
      <c r="C10" s="302">
        <v>229318994</v>
      </c>
      <c r="D10" s="1176">
        <f>'1.2.sz.mell. '!D12</f>
        <v>229318994</v>
      </c>
      <c r="E10" s="1173">
        <f t="shared" ref="E10:E73" si="0">C10-D10</f>
        <v>0</v>
      </c>
    </row>
    <row r="11" spans="1:5" s="49" customFormat="1" ht="12" customHeight="1" x14ac:dyDescent="0.2">
      <c r="A11" s="222" t="s">
        <v>101</v>
      </c>
      <c r="B11" s="208" t="s">
        <v>197</v>
      </c>
      <c r="C11" s="282">
        <v>229603230</v>
      </c>
      <c r="D11" s="1176">
        <f>'1.2.sz.mell. '!D13</f>
        <v>229603230</v>
      </c>
      <c r="E11" s="1173">
        <f t="shared" si="0"/>
        <v>0</v>
      </c>
    </row>
    <row r="12" spans="1:5" s="49" customFormat="1" ht="12" customHeight="1" x14ac:dyDescent="0.2">
      <c r="A12" s="222" t="s">
        <v>102</v>
      </c>
      <c r="B12" s="208" t="s">
        <v>198</v>
      </c>
      <c r="C12" s="1487">
        <f>568595305+33216359</f>
        <v>601811664</v>
      </c>
      <c r="D12" s="1176">
        <f>'1.2.sz.mell. '!D14</f>
        <v>601811664</v>
      </c>
      <c r="E12" s="1173">
        <f t="shared" si="0"/>
        <v>0</v>
      </c>
    </row>
    <row r="13" spans="1:5" s="49" customFormat="1" ht="12" customHeight="1" x14ac:dyDescent="0.2">
      <c r="A13" s="222" t="s">
        <v>103</v>
      </c>
      <c r="B13" s="208" t="s">
        <v>199</v>
      </c>
      <c r="C13" s="282">
        <v>20802409</v>
      </c>
      <c r="D13" s="1176">
        <f>'1.2.sz.mell. '!D15</f>
        <v>20802409</v>
      </c>
      <c r="E13" s="1173">
        <f t="shared" si="0"/>
        <v>0</v>
      </c>
    </row>
    <row r="14" spans="1:5" s="49" customFormat="1" ht="12" customHeight="1" x14ac:dyDescent="0.2">
      <c r="A14" s="222" t="s">
        <v>126</v>
      </c>
      <c r="B14" s="208" t="s">
        <v>508</v>
      </c>
      <c r="C14" s="282">
        <f>159215979+899997</f>
        <v>160115976</v>
      </c>
      <c r="D14" s="1176">
        <f>'1.2.sz.mell. '!D16</f>
        <v>160115976</v>
      </c>
      <c r="E14" s="1173">
        <f t="shared" si="0"/>
        <v>0</v>
      </c>
    </row>
    <row r="15" spans="1:5" s="48" customFormat="1" ht="12" customHeight="1" thickBot="1" x14ac:dyDescent="0.25">
      <c r="A15" s="223" t="s">
        <v>104</v>
      </c>
      <c r="B15" s="209" t="s">
        <v>451</v>
      </c>
      <c r="C15" s="119"/>
      <c r="D15" s="1176">
        <f>'1.2.sz.mell. '!D17</f>
        <v>0</v>
      </c>
      <c r="E15" s="1173">
        <f t="shared" si="0"/>
        <v>0</v>
      </c>
    </row>
    <row r="16" spans="1:5" s="48" customFormat="1" ht="12" customHeight="1" thickBot="1" x14ac:dyDescent="0.25">
      <c r="A16" s="27" t="s">
        <v>22</v>
      </c>
      <c r="B16" s="125" t="s">
        <v>200</v>
      </c>
      <c r="C16" s="298">
        <f>+C17+C18+C19+C20+C21</f>
        <v>119646890</v>
      </c>
      <c r="D16" s="1176">
        <f>'1.2.sz.mell. '!D18</f>
        <v>119646890</v>
      </c>
      <c r="E16" s="1173">
        <f t="shared" si="0"/>
        <v>0</v>
      </c>
    </row>
    <row r="17" spans="1:5" s="48" customFormat="1" ht="12" customHeight="1" x14ac:dyDescent="0.2">
      <c r="A17" s="221" t="s">
        <v>106</v>
      </c>
      <c r="B17" s="207" t="s">
        <v>201</v>
      </c>
      <c r="C17" s="300"/>
      <c r="D17" s="1176">
        <f>'1.2.sz.mell. '!D19</f>
        <v>0</v>
      </c>
      <c r="E17" s="1173">
        <f t="shared" si="0"/>
        <v>0</v>
      </c>
    </row>
    <row r="18" spans="1:5" s="48" customFormat="1" ht="12" customHeight="1" x14ac:dyDescent="0.2">
      <c r="A18" s="222" t="s">
        <v>107</v>
      </c>
      <c r="B18" s="208" t="s">
        <v>202</v>
      </c>
      <c r="C18" s="119"/>
      <c r="D18" s="1176">
        <f>'1.2.sz.mell. '!D20</f>
        <v>0</v>
      </c>
      <c r="E18" s="1173">
        <f t="shared" si="0"/>
        <v>0</v>
      </c>
    </row>
    <row r="19" spans="1:5" s="48" customFormat="1" ht="12" customHeight="1" x14ac:dyDescent="0.2">
      <c r="A19" s="222" t="s">
        <v>108</v>
      </c>
      <c r="B19" s="208" t="s">
        <v>370</v>
      </c>
      <c r="C19" s="119"/>
      <c r="D19" s="1176">
        <f>'1.2.sz.mell. '!D21</f>
        <v>0</v>
      </c>
      <c r="E19" s="1173">
        <f t="shared" si="0"/>
        <v>0</v>
      </c>
    </row>
    <row r="20" spans="1:5" s="48" customFormat="1" ht="12" customHeight="1" x14ac:dyDescent="0.2">
      <c r="A20" s="222" t="s">
        <v>109</v>
      </c>
      <c r="B20" s="208" t="s">
        <v>371</v>
      </c>
      <c r="C20" s="119"/>
      <c r="D20" s="1176">
        <f>'1.2.sz.mell. '!D22</f>
        <v>0</v>
      </c>
      <c r="E20" s="1173">
        <f t="shared" si="0"/>
        <v>0</v>
      </c>
    </row>
    <row r="21" spans="1:5" s="48" customFormat="1" ht="12" customHeight="1" x14ac:dyDescent="0.2">
      <c r="A21" s="222" t="s">
        <v>110</v>
      </c>
      <c r="B21" s="208" t="s">
        <v>203</v>
      </c>
      <c r="C21" s="282">
        <v>119646890</v>
      </c>
      <c r="D21" s="1176">
        <f>'1.2.sz.mell. '!D23</f>
        <v>119646890</v>
      </c>
      <c r="E21" s="1173">
        <f t="shared" si="0"/>
        <v>0</v>
      </c>
    </row>
    <row r="22" spans="1:5" s="49" customFormat="1" ht="12" customHeight="1" thickBot="1" x14ac:dyDescent="0.25">
      <c r="A22" s="223" t="s">
        <v>119</v>
      </c>
      <c r="B22" s="209" t="s">
        <v>204</v>
      </c>
      <c r="C22" s="120">
        <f>16392698+36497760+62436432</f>
        <v>115326890</v>
      </c>
      <c r="D22" s="1176">
        <f>'1.2.sz.mell. '!D24</f>
        <v>115326890</v>
      </c>
      <c r="E22" s="1173">
        <f t="shared" si="0"/>
        <v>0</v>
      </c>
    </row>
    <row r="23" spans="1:5" s="49" customFormat="1" ht="12" customHeight="1" thickBot="1" x14ac:dyDescent="0.25">
      <c r="A23" s="27" t="s">
        <v>23</v>
      </c>
      <c r="B23" s="19" t="s">
        <v>205</v>
      </c>
      <c r="C23" s="298">
        <f>+C24+C25+C26+C27+C28</f>
        <v>36977634</v>
      </c>
      <c r="D23" s="1176">
        <f>'1.2.sz.mell. '!D25</f>
        <v>36977634</v>
      </c>
      <c r="E23" s="1173">
        <f t="shared" si="0"/>
        <v>0</v>
      </c>
    </row>
    <row r="24" spans="1:5" s="49" customFormat="1" ht="12" customHeight="1" x14ac:dyDescent="0.2">
      <c r="A24" s="221" t="s">
        <v>89</v>
      </c>
      <c r="B24" s="207" t="s">
        <v>206</v>
      </c>
      <c r="C24" s="302"/>
      <c r="D24" s="1176">
        <f>'1.2.sz.mell. '!D26</f>
        <v>0</v>
      </c>
      <c r="E24" s="1173">
        <f t="shared" si="0"/>
        <v>0</v>
      </c>
    </row>
    <row r="25" spans="1:5" s="48" customFormat="1" ht="12" customHeight="1" x14ac:dyDescent="0.2">
      <c r="A25" s="222" t="s">
        <v>90</v>
      </c>
      <c r="B25" s="208" t="s">
        <v>207</v>
      </c>
      <c r="C25" s="282"/>
      <c r="D25" s="1176">
        <f>'1.2.sz.mell. '!D27</f>
        <v>0</v>
      </c>
      <c r="E25" s="1173">
        <f t="shared" si="0"/>
        <v>0</v>
      </c>
    </row>
    <row r="26" spans="1:5" s="49" customFormat="1" ht="12" customHeight="1" x14ac:dyDescent="0.2">
      <c r="A26" s="222" t="s">
        <v>91</v>
      </c>
      <c r="B26" s="208" t="s">
        <v>372</v>
      </c>
      <c r="C26" s="282"/>
      <c r="D26" s="1176">
        <f>'1.2.sz.mell. '!D28</f>
        <v>0</v>
      </c>
      <c r="E26" s="1173">
        <f t="shared" si="0"/>
        <v>0</v>
      </c>
    </row>
    <row r="27" spans="1:5" s="49" customFormat="1" ht="12" customHeight="1" x14ac:dyDescent="0.2">
      <c r="A27" s="222" t="s">
        <v>92</v>
      </c>
      <c r="B27" s="208" t="s">
        <v>373</v>
      </c>
      <c r="C27" s="282"/>
      <c r="D27" s="1176">
        <f>'1.2.sz.mell. '!D29</f>
        <v>0</v>
      </c>
      <c r="E27" s="1173">
        <f t="shared" si="0"/>
        <v>0</v>
      </c>
    </row>
    <row r="28" spans="1:5" s="49" customFormat="1" ht="12" customHeight="1" x14ac:dyDescent="0.2">
      <c r="A28" s="222" t="s">
        <v>137</v>
      </c>
      <c r="B28" s="208" t="s">
        <v>208</v>
      </c>
      <c r="C28" s="282">
        <v>36977634</v>
      </c>
      <c r="D28" s="1176">
        <f>'1.2.sz.mell. '!D30</f>
        <v>36977634</v>
      </c>
      <c r="E28" s="1173">
        <f t="shared" si="0"/>
        <v>0</v>
      </c>
    </row>
    <row r="29" spans="1:5" s="49" customFormat="1" ht="12" customHeight="1" thickBot="1" x14ac:dyDescent="0.25">
      <c r="A29" s="223" t="s">
        <v>138</v>
      </c>
      <c r="B29" s="209" t="s">
        <v>209</v>
      </c>
      <c r="C29" s="286">
        <v>36977634</v>
      </c>
      <c r="D29" s="1176">
        <f>'1.2.sz.mell. '!D31</f>
        <v>36977634</v>
      </c>
      <c r="E29" s="1173">
        <f t="shared" si="0"/>
        <v>0</v>
      </c>
    </row>
    <row r="30" spans="1:5" s="49" customFormat="1" ht="12" customHeight="1" thickBot="1" x14ac:dyDescent="0.25">
      <c r="A30" s="27" t="s">
        <v>139</v>
      </c>
      <c r="B30" s="19" t="s">
        <v>661</v>
      </c>
      <c r="C30" s="301">
        <f>+C31+C35+C36+C37</f>
        <v>538000000</v>
      </c>
      <c r="D30" s="1176">
        <f>'1.2.sz.mell. '!D32</f>
        <v>538000000</v>
      </c>
      <c r="E30" s="1173">
        <f t="shared" si="0"/>
        <v>0</v>
      </c>
    </row>
    <row r="31" spans="1:5" s="49" customFormat="1" ht="12" customHeight="1" x14ac:dyDescent="0.2">
      <c r="A31" s="221" t="s">
        <v>211</v>
      </c>
      <c r="B31" s="207" t="s">
        <v>656</v>
      </c>
      <c r="C31" s="316">
        <f>SUM(C32:C33)</f>
        <v>486000000</v>
      </c>
      <c r="D31" s="1176">
        <f>'1.2.sz.mell. '!D33</f>
        <v>486000000</v>
      </c>
      <c r="E31" s="1173">
        <f t="shared" si="0"/>
        <v>0</v>
      </c>
    </row>
    <row r="32" spans="1:5" s="49" customFormat="1" ht="12" customHeight="1" x14ac:dyDescent="0.2">
      <c r="A32" s="222" t="s">
        <v>212</v>
      </c>
      <c r="B32" s="208" t="s">
        <v>217</v>
      </c>
      <c r="C32" s="119">
        <v>86000000</v>
      </c>
      <c r="D32" s="1176">
        <f>'1.2.sz.mell. '!D34</f>
        <v>86000000</v>
      </c>
      <c r="E32" s="1173">
        <f t="shared" si="0"/>
        <v>0</v>
      </c>
    </row>
    <row r="33" spans="1:5" s="49" customFormat="1" ht="12" customHeight="1" x14ac:dyDescent="0.2">
      <c r="A33" s="222" t="s">
        <v>213</v>
      </c>
      <c r="B33" s="266" t="s">
        <v>655</v>
      </c>
      <c r="C33" s="119">
        <v>400000000</v>
      </c>
      <c r="D33" s="1176">
        <f>'1.2.sz.mell. '!D35</f>
        <v>400000000</v>
      </c>
      <c r="E33" s="1173">
        <f t="shared" si="0"/>
        <v>0</v>
      </c>
    </row>
    <row r="34" spans="1:5" s="49" customFormat="1" ht="12" customHeight="1" x14ac:dyDescent="0.2">
      <c r="A34" s="222" t="s">
        <v>214</v>
      </c>
      <c r="B34" s="208" t="s">
        <v>538</v>
      </c>
      <c r="C34" s="282"/>
      <c r="D34" s="1176">
        <f>'1.2.sz.mell. '!D36</f>
        <v>0</v>
      </c>
      <c r="E34" s="1173">
        <f t="shared" si="0"/>
        <v>0</v>
      </c>
    </row>
    <row r="35" spans="1:5" s="49" customFormat="1" ht="12" customHeight="1" x14ac:dyDescent="0.2">
      <c r="A35" s="222" t="s">
        <v>539</v>
      </c>
      <c r="B35" s="208" t="s">
        <v>218</v>
      </c>
      <c r="C35" s="119">
        <v>35000000</v>
      </c>
      <c r="D35" s="1176">
        <f>'1.2.sz.mell. '!D37</f>
        <v>35000000</v>
      </c>
      <c r="E35" s="1173">
        <f t="shared" si="0"/>
        <v>0</v>
      </c>
    </row>
    <row r="36" spans="1:5" s="49" customFormat="1" ht="12" customHeight="1" x14ac:dyDescent="0.2">
      <c r="A36" s="222" t="s">
        <v>216</v>
      </c>
      <c r="B36" s="208" t="s">
        <v>219</v>
      </c>
      <c r="C36" s="119">
        <v>1000000</v>
      </c>
      <c r="D36" s="1176">
        <f>'1.2.sz.mell. '!D38</f>
        <v>1000000</v>
      </c>
      <c r="E36" s="1173">
        <f t="shared" si="0"/>
        <v>0</v>
      </c>
    </row>
    <row r="37" spans="1:5" s="49" customFormat="1" ht="12" customHeight="1" thickBot="1" x14ac:dyDescent="0.25">
      <c r="A37" s="223" t="s">
        <v>540</v>
      </c>
      <c r="B37" s="209" t="s">
        <v>220</v>
      </c>
      <c r="C37" s="286">
        <v>16000000</v>
      </c>
      <c r="D37" s="1176">
        <f>'1.2.sz.mell. '!D39</f>
        <v>16000000</v>
      </c>
      <c r="E37" s="1173">
        <f t="shared" si="0"/>
        <v>0</v>
      </c>
    </row>
    <row r="38" spans="1:5" s="49" customFormat="1" ht="12" customHeight="1" thickBot="1" x14ac:dyDescent="0.25">
      <c r="A38" s="27" t="s">
        <v>25</v>
      </c>
      <c r="B38" s="19" t="s">
        <v>452</v>
      </c>
      <c r="C38" s="298">
        <f>SUM(C39:C49)</f>
        <v>41825226</v>
      </c>
      <c r="D38" s="1176">
        <f>'1.2.sz.mell. '!D40</f>
        <v>41825226</v>
      </c>
      <c r="E38" s="1173">
        <f t="shared" si="0"/>
        <v>0</v>
      </c>
    </row>
    <row r="39" spans="1:5" s="49" customFormat="1" ht="12" customHeight="1" x14ac:dyDescent="0.2">
      <c r="A39" s="221" t="s">
        <v>93</v>
      </c>
      <c r="B39" s="207" t="s">
        <v>223</v>
      </c>
      <c r="C39" s="302">
        <v>8175576</v>
      </c>
      <c r="D39" s="1176">
        <f>'1.2.sz.mell. '!D41</f>
        <v>8175576</v>
      </c>
      <c r="E39" s="1173">
        <f t="shared" si="0"/>
        <v>0</v>
      </c>
    </row>
    <row r="40" spans="1:5" s="49" customFormat="1" ht="12" customHeight="1" x14ac:dyDescent="0.2">
      <c r="A40" s="222" t="s">
        <v>94</v>
      </c>
      <c r="B40" s="208" t="s">
        <v>224</v>
      </c>
      <c r="C40" s="282">
        <v>14518450</v>
      </c>
      <c r="D40" s="1176">
        <f>'1.2.sz.mell. '!D42</f>
        <v>14518450</v>
      </c>
      <c r="E40" s="1173">
        <f t="shared" si="0"/>
        <v>0</v>
      </c>
    </row>
    <row r="41" spans="1:5" s="49" customFormat="1" ht="12" customHeight="1" x14ac:dyDescent="0.2">
      <c r="A41" s="222" t="s">
        <v>95</v>
      </c>
      <c r="B41" s="208" t="s">
        <v>225</v>
      </c>
      <c r="C41" s="282">
        <v>8868669</v>
      </c>
      <c r="D41" s="1176">
        <f>'1.2.sz.mell. '!D43</f>
        <v>8868669</v>
      </c>
      <c r="E41" s="1173">
        <f t="shared" si="0"/>
        <v>0</v>
      </c>
    </row>
    <row r="42" spans="1:5" s="49" customFormat="1" ht="12" customHeight="1" x14ac:dyDescent="0.2">
      <c r="A42" s="222" t="s">
        <v>141</v>
      </c>
      <c r="B42" s="208" t="s">
        <v>226</v>
      </c>
      <c r="C42" s="282">
        <v>1006560</v>
      </c>
      <c r="D42" s="1176">
        <f>'1.2.sz.mell. '!D44</f>
        <v>1006560</v>
      </c>
      <c r="E42" s="1173">
        <f t="shared" si="0"/>
        <v>0</v>
      </c>
    </row>
    <row r="43" spans="1:5" s="49" customFormat="1" ht="12" customHeight="1" x14ac:dyDescent="0.2">
      <c r="A43" s="222" t="s">
        <v>142</v>
      </c>
      <c r="B43" s="208" t="s">
        <v>227</v>
      </c>
      <c r="C43" s="282"/>
      <c r="D43" s="1176">
        <f>'1.2.sz.mell. '!D45</f>
        <v>0</v>
      </c>
      <c r="E43" s="1173">
        <f t="shared" si="0"/>
        <v>0</v>
      </c>
    </row>
    <row r="44" spans="1:5" s="49" customFormat="1" ht="12" customHeight="1" x14ac:dyDescent="0.2">
      <c r="A44" s="222" t="s">
        <v>143</v>
      </c>
      <c r="B44" s="208" t="s">
        <v>228</v>
      </c>
      <c r="C44" s="282">
        <v>7168370</v>
      </c>
      <c r="D44" s="1176">
        <f>'1.2.sz.mell. '!D46</f>
        <v>7168370</v>
      </c>
      <c r="E44" s="1173">
        <f t="shared" si="0"/>
        <v>0</v>
      </c>
    </row>
    <row r="45" spans="1:5" s="49" customFormat="1" ht="12" customHeight="1" x14ac:dyDescent="0.2">
      <c r="A45" s="222" t="s">
        <v>144</v>
      </c>
      <c r="B45" s="208" t="s">
        <v>229</v>
      </c>
      <c r="C45" s="282"/>
      <c r="D45" s="1176">
        <f>'1.2.sz.mell. '!D47</f>
        <v>0</v>
      </c>
      <c r="E45" s="1173">
        <f t="shared" si="0"/>
        <v>0</v>
      </c>
    </row>
    <row r="46" spans="1:5" s="49" customFormat="1" ht="12" customHeight="1" x14ac:dyDescent="0.2">
      <c r="A46" s="222" t="s">
        <v>145</v>
      </c>
      <c r="B46" s="208" t="s">
        <v>230</v>
      </c>
      <c r="C46" s="282"/>
      <c r="D46" s="1176">
        <f>'1.2.sz.mell. '!D48</f>
        <v>0</v>
      </c>
      <c r="E46" s="1173">
        <f t="shared" si="0"/>
        <v>0</v>
      </c>
    </row>
    <row r="47" spans="1:5" s="49" customFormat="1" ht="12" customHeight="1" x14ac:dyDescent="0.2">
      <c r="A47" s="222" t="s">
        <v>221</v>
      </c>
      <c r="B47" s="208" t="s">
        <v>231</v>
      </c>
      <c r="C47" s="282"/>
      <c r="D47" s="1176">
        <f>'1.2.sz.mell. '!D49</f>
        <v>0</v>
      </c>
      <c r="E47" s="1173">
        <f t="shared" si="0"/>
        <v>0</v>
      </c>
    </row>
    <row r="48" spans="1:5" s="49" customFormat="1" ht="12" customHeight="1" x14ac:dyDescent="0.2">
      <c r="A48" s="223" t="s">
        <v>222</v>
      </c>
      <c r="B48" s="209" t="s">
        <v>453</v>
      </c>
      <c r="C48" s="286">
        <v>1000000</v>
      </c>
      <c r="D48" s="1176">
        <f>'1.2.sz.mell. '!D50</f>
        <v>1000000</v>
      </c>
      <c r="E48" s="1173">
        <f t="shared" si="0"/>
        <v>0</v>
      </c>
    </row>
    <row r="49" spans="1:5" s="49" customFormat="1" ht="12" customHeight="1" thickBot="1" x14ac:dyDescent="0.25">
      <c r="A49" s="223" t="s">
        <v>454</v>
      </c>
      <c r="B49" s="209" t="s">
        <v>232</v>
      </c>
      <c r="C49" s="286">
        <v>1087601</v>
      </c>
      <c r="D49" s="1176">
        <f>'1.2.sz.mell. '!D51</f>
        <v>1087601</v>
      </c>
      <c r="E49" s="1173">
        <f t="shared" si="0"/>
        <v>0</v>
      </c>
    </row>
    <row r="50" spans="1:5" s="49" customFormat="1" ht="12" customHeight="1" thickBot="1" x14ac:dyDescent="0.25">
      <c r="A50" s="27" t="s">
        <v>26</v>
      </c>
      <c r="B50" s="19" t="s">
        <v>233</v>
      </c>
      <c r="C50" s="298">
        <f>SUM(C51:C55)</f>
        <v>44304508</v>
      </c>
      <c r="D50" s="1176">
        <f>'1.2.sz.mell. '!D52</f>
        <v>44304508</v>
      </c>
      <c r="E50" s="1173">
        <f t="shared" si="0"/>
        <v>0</v>
      </c>
    </row>
    <row r="51" spans="1:5" s="49" customFormat="1" ht="12" customHeight="1" x14ac:dyDescent="0.2">
      <c r="A51" s="221" t="s">
        <v>96</v>
      </c>
      <c r="B51" s="207" t="s">
        <v>237</v>
      </c>
      <c r="C51" s="302"/>
      <c r="D51" s="1176">
        <f>'1.2.sz.mell. '!D53</f>
        <v>0</v>
      </c>
      <c r="E51" s="1173">
        <f t="shared" si="0"/>
        <v>0</v>
      </c>
    </row>
    <row r="52" spans="1:5" s="49" customFormat="1" ht="12" customHeight="1" x14ac:dyDescent="0.2">
      <c r="A52" s="222" t="s">
        <v>97</v>
      </c>
      <c r="B52" s="208" t="s">
        <v>238</v>
      </c>
      <c r="C52" s="282">
        <v>44304508</v>
      </c>
      <c r="D52" s="1176">
        <f>'1.2.sz.mell. '!D54</f>
        <v>44304508</v>
      </c>
      <c r="E52" s="1173">
        <f t="shared" si="0"/>
        <v>0</v>
      </c>
    </row>
    <row r="53" spans="1:5" s="49" customFormat="1" ht="12" customHeight="1" x14ac:dyDescent="0.2">
      <c r="A53" s="222" t="s">
        <v>234</v>
      </c>
      <c r="B53" s="208" t="s">
        <v>239</v>
      </c>
      <c r="C53" s="282"/>
      <c r="D53" s="1176">
        <f>'1.2.sz.mell. '!D55</f>
        <v>0</v>
      </c>
      <c r="E53" s="1173">
        <f t="shared" si="0"/>
        <v>0</v>
      </c>
    </row>
    <row r="54" spans="1:5" s="49" customFormat="1" ht="12" customHeight="1" x14ac:dyDescent="0.2">
      <c r="A54" s="222" t="s">
        <v>235</v>
      </c>
      <c r="B54" s="208" t="s">
        <v>240</v>
      </c>
      <c r="C54" s="282"/>
      <c r="D54" s="1176">
        <f>'1.2.sz.mell. '!D56</f>
        <v>0</v>
      </c>
      <c r="E54" s="1173">
        <f t="shared" si="0"/>
        <v>0</v>
      </c>
    </row>
    <row r="55" spans="1:5" s="49" customFormat="1" ht="12" customHeight="1" thickBot="1" x14ac:dyDescent="0.25">
      <c r="A55" s="223" t="s">
        <v>236</v>
      </c>
      <c r="B55" s="209" t="s">
        <v>241</v>
      </c>
      <c r="C55" s="286"/>
      <c r="D55" s="1176">
        <f>'1.2.sz.mell. '!D57</f>
        <v>0</v>
      </c>
      <c r="E55" s="1173">
        <f t="shared" si="0"/>
        <v>0</v>
      </c>
    </row>
    <row r="56" spans="1:5" s="49" customFormat="1" ht="12" customHeight="1" thickBot="1" x14ac:dyDescent="0.25">
      <c r="A56" s="27" t="s">
        <v>146</v>
      </c>
      <c r="B56" s="19" t="s">
        <v>242</v>
      </c>
      <c r="C56" s="298">
        <f>SUM(C57:C59)</f>
        <v>1100000</v>
      </c>
      <c r="D56" s="1176">
        <f>'1.2.sz.mell. '!D58</f>
        <v>1100000</v>
      </c>
      <c r="E56" s="1173">
        <f t="shared" si="0"/>
        <v>0</v>
      </c>
    </row>
    <row r="57" spans="1:5" s="49" customFormat="1" ht="12" customHeight="1" x14ac:dyDescent="0.2">
      <c r="A57" s="221" t="s">
        <v>98</v>
      </c>
      <c r="B57" s="207" t="s">
        <v>243</v>
      </c>
      <c r="C57" s="300"/>
      <c r="D57" s="1176">
        <f>'1.2.sz.mell. '!D59</f>
        <v>0</v>
      </c>
      <c r="E57" s="1173">
        <f t="shared" si="0"/>
        <v>0</v>
      </c>
    </row>
    <row r="58" spans="1:5" s="49" customFormat="1" ht="12" customHeight="1" x14ac:dyDescent="0.2">
      <c r="A58" s="222" t="s">
        <v>99</v>
      </c>
      <c r="B58" s="208" t="s">
        <v>374</v>
      </c>
      <c r="C58" s="282">
        <v>200000</v>
      </c>
      <c r="D58" s="1176">
        <f>'1.2.sz.mell. '!D60</f>
        <v>200000</v>
      </c>
      <c r="E58" s="1173">
        <f t="shared" si="0"/>
        <v>0</v>
      </c>
    </row>
    <row r="59" spans="1:5" s="49" customFormat="1" ht="12" customHeight="1" x14ac:dyDescent="0.2">
      <c r="A59" s="222" t="s">
        <v>246</v>
      </c>
      <c r="B59" s="208" t="s">
        <v>244</v>
      </c>
      <c r="C59" s="282">
        <v>900000</v>
      </c>
      <c r="D59" s="1176">
        <f>'1.2.sz.mell. '!D61</f>
        <v>900000</v>
      </c>
      <c r="E59" s="1173">
        <f t="shared" si="0"/>
        <v>0</v>
      </c>
    </row>
    <row r="60" spans="1:5" s="49" customFormat="1" ht="12" customHeight="1" thickBot="1" x14ac:dyDescent="0.25">
      <c r="A60" s="223" t="s">
        <v>247</v>
      </c>
      <c r="B60" s="209" t="s">
        <v>245</v>
      </c>
      <c r="C60" s="120"/>
      <c r="D60" s="1176">
        <f>'1.2.sz.mell. '!D62</f>
        <v>0</v>
      </c>
      <c r="E60" s="1173">
        <f t="shared" si="0"/>
        <v>0</v>
      </c>
    </row>
    <row r="61" spans="1:5" s="49" customFormat="1" ht="12" customHeight="1" thickBot="1" x14ac:dyDescent="0.25">
      <c r="A61" s="27" t="s">
        <v>28</v>
      </c>
      <c r="B61" s="125" t="s">
        <v>248</v>
      </c>
      <c r="C61" s="298">
        <f>SUM(C62:C64)</f>
        <v>0</v>
      </c>
      <c r="D61" s="1176">
        <f>'1.2.sz.mell. '!D63</f>
        <v>0</v>
      </c>
      <c r="E61" s="1173">
        <f t="shared" si="0"/>
        <v>0</v>
      </c>
    </row>
    <row r="62" spans="1:5" s="49" customFormat="1" ht="12" customHeight="1" x14ac:dyDescent="0.2">
      <c r="A62" s="221" t="s">
        <v>147</v>
      </c>
      <c r="B62" s="207" t="s">
        <v>250</v>
      </c>
      <c r="C62" s="282"/>
      <c r="D62" s="1176">
        <f>'1.2.sz.mell. '!D64</f>
        <v>0</v>
      </c>
      <c r="E62" s="1173">
        <f t="shared" si="0"/>
        <v>0</v>
      </c>
    </row>
    <row r="63" spans="1:5" s="49" customFormat="1" ht="12" customHeight="1" x14ac:dyDescent="0.2">
      <c r="A63" s="222" t="s">
        <v>148</v>
      </c>
      <c r="B63" s="208" t="s">
        <v>375</v>
      </c>
      <c r="C63" s="282"/>
      <c r="D63" s="1176">
        <f>'1.2.sz.mell. '!D65</f>
        <v>0</v>
      </c>
      <c r="E63" s="1173">
        <f t="shared" si="0"/>
        <v>0</v>
      </c>
    </row>
    <row r="64" spans="1:5" s="49" customFormat="1" ht="12" customHeight="1" x14ac:dyDescent="0.2">
      <c r="A64" s="222" t="s">
        <v>174</v>
      </c>
      <c r="B64" s="208" t="s">
        <v>251</v>
      </c>
      <c r="C64" s="282"/>
      <c r="D64" s="1176">
        <f>'1.2.sz.mell. '!D66</f>
        <v>0</v>
      </c>
      <c r="E64" s="1173">
        <f t="shared" si="0"/>
        <v>0</v>
      </c>
    </row>
    <row r="65" spans="1:5" s="49" customFormat="1" ht="12" customHeight="1" thickBot="1" x14ac:dyDescent="0.25">
      <c r="A65" s="223" t="s">
        <v>249</v>
      </c>
      <c r="B65" s="209" t="s">
        <v>252</v>
      </c>
      <c r="C65" s="282"/>
      <c r="D65" s="1176">
        <f>'1.2.sz.mell. '!D67</f>
        <v>0</v>
      </c>
      <c r="E65" s="1173">
        <f t="shared" si="0"/>
        <v>0</v>
      </c>
    </row>
    <row r="66" spans="1:5" s="49" customFormat="1" ht="12" customHeight="1" thickBot="1" x14ac:dyDescent="0.25">
      <c r="A66" s="27" t="s">
        <v>29</v>
      </c>
      <c r="B66" s="19" t="s">
        <v>253</v>
      </c>
      <c r="C66" s="301">
        <f>+C9+C16+C23+C30+C38+C50+C56+C61</f>
        <v>2023506531</v>
      </c>
      <c r="D66" s="1176">
        <f>'1.2.sz.mell. '!D68</f>
        <v>2023506531</v>
      </c>
      <c r="E66" s="1173">
        <f t="shared" si="0"/>
        <v>0</v>
      </c>
    </row>
    <row r="67" spans="1:5" s="49" customFormat="1" ht="12" customHeight="1" thickBot="1" x14ac:dyDescent="0.2">
      <c r="A67" s="224" t="s">
        <v>343</v>
      </c>
      <c r="B67" s="125" t="s">
        <v>255</v>
      </c>
      <c r="C67" s="298">
        <f>SUM(C68:C70)</f>
        <v>742411899</v>
      </c>
      <c r="D67" s="1176">
        <f>'1.2.sz.mell. '!D69</f>
        <v>742411899</v>
      </c>
      <c r="E67" s="1173">
        <f t="shared" si="0"/>
        <v>0</v>
      </c>
    </row>
    <row r="68" spans="1:5" s="49" customFormat="1" ht="12" customHeight="1" x14ac:dyDescent="0.2">
      <c r="A68" s="221" t="s">
        <v>286</v>
      </c>
      <c r="B68" s="207" t="s">
        <v>256</v>
      </c>
      <c r="C68" s="282">
        <f>44951899-2540000</f>
        <v>42411899</v>
      </c>
      <c r="D68" s="1176">
        <f>'1.2.sz.mell. '!D70</f>
        <v>42411899</v>
      </c>
      <c r="E68" s="1173">
        <f t="shared" si="0"/>
        <v>0</v>
      </c>
    </row>
    <row r="69" spans="1:5" s="49" customFormat="1" ht="12" customHeight="1" x14ac:dyDescent="0.2">
      <c r="A69" s="222" t="s">
        <v>295</v>
      </c>
      <c r="B69" s="208" t="s">
        <v>257</v>
      </c>
      <c r="C69" s="282">
        <v>700000000</v>
      </c>
      <c r="D69" s="1176">
        <f>'1.2.sz.mell. '!D71</f>
        <v>700000000</v>
      </c>
      <c r="E69" s="1173">
        <f t="shared" si="0"/>
        <v>0</v>
      </c>
    </row>
    <row r="70" spans="1:5" s="49" customFormat="1" ht="12" customHeight="1" thickBot="1" x14ac:dyDescent="0.25">
      <c r="A70" s="223" t="s">
        <v>296</v>
      </c>
      <c r="B70" s="210" t="s">
        <v>258</v>
      </c>
      <c r="C70" s="282"/>
      <c r="D70" s="1176">
        <f>'1.2.sz.mell. '!D72</f>
        <v>0</v>
      </c>
      <c r="E70" s="1173">
        <f t="shared" si="0"/>
        <v>0</v>
      </c>
    </row>
    <row r="71" spans="1:5" s="49" customFormat="1" ht="12" customHeight="1" thickBot="1" x14ac:dyDescent="0.2">
      <c r="A71" s="224" t="s">
        <v>259</v>
      </c>
      <c r="B71" s="125" t="s">
        <v>260</v>
      </c>
      <c r="C71" s="298">
        <f>SUM(C72:C75)</f>
        <v>0</v>
      </c>
      <c r="D71" s="1176">
        <f>'1.2.sz.mell. '!D73</f>
        <v>0</v>
      </c>
      <c r="E71" s="1173">
        <f t="shared" si="0"/>
        <v>0</v>
      </c>
    </row>
    <row r="72" spans="1:5" s="49" customFormat="1" ht="12" customHeight="1" x14ac:dyDescent="0.2">
      <c r="A72" s="221" t="s">
        <v>127</v>
      </c>
      <c r="B72" s="207" t="s">
        <v>261</v>
      </c>
      <c r="C72" s="282"/>
      <c r="D72" s="1176">
        <f>'1.2.sz.mell. '!D74</f>
        <v>0</v>
      </c>
      <c r="E72" s="1173">
        <f t="shared" si="0"/>
        <v>0</v>
      </c>
    </row>
    <row r="73" spans="1:5" s="49" customFormat="1" ht="12" customHeight="1" x14ac:dyDescent="0.2">
      <c r="A73" s="222" t="s">
        <v>128</v>
      </c>
      <c r="B73" s="208" t="s">
        <v>262</v>
      </c>
      <c r="C73" s="282"/>
      <c r="D73" s="1176">
        <f>'1.2.sz.mell. '!D75</f>
        <v>0</v>
      </c>
      <c r="E73" s="1173">
        <f t="shared" si="0"/>
        <v>0</v>
      </c>
    </row>
    <row r="74" spans="1:5" s="49" customFormat="1" ht="12" customHeight="1" x14ac:dyDescent="0.2">
      <c r="A74" s="222" t="s">
        <v>287</v>
      </c>
      <c r="B74" s="208" t="s">
        <v>263</v>
      </c>
      <c r="C74" s="282"/>
      <c r="D74" s="1176">
        <f>'1.2.sz.mell. '!D76</f>
        <v>0</v>
      </c>
      <c r="E74" s="1173">
        <f t="shared" ref="E74:E137" si="1">C74-D74</f>
        <v>0</v>
      </c>
    </row>
    <row r="75" spans="1:5" s="49" customFormat="1" ht="12" customHeight="1" thickBot="1" x14ac:dyDescent="0.25">
      <c r="A75" s="223" t="s">
        <v>288</v>
      </c>
      <c r="B75" s="209" t="s">
        <v>264</v>
      </c>
      <c r="C75" s="282"/>
      <c r="D75" s="1176">
        <f>'1.2.sz.mell. '!D77</f>
        <v>0</v>
      </c>
      <c r="E75" s="1173">
        <f t="shared" si="1"/>
        <v>0</v>
      </c>
    </row>
    <row r="76" spans="1:5" s="49" customFormat="1" ht="12" customHeight="1" thickBot="1" x14ac:dyDescent="0.2">
      <c r="A76" s="224" t="s">
        <v>265</v>
      </c>
      <c r="B76" s="125" t="s">
        <v>266</v>
      </c>
      <c r="C76" s="298">
        <f>SUM(C77:C78)</f>
        <v>933393998</v>
      </c>
      <c r="D76" s="1176">
        <f>'1.2.sz.mell. '!D78</f>
        <v>933393998</v>
      </c>
      <c r="E76" s="1173">
        <f t="shared" si="1"/>
        <v>0</v>
      </c>
    </row>
    <row r="77" spans="1:5" s="49" customFormat="1" ht="12" customHeight="1" x14ac:dyDescent="0.2">
      <c r="A77" s="221" t="s">
        <v>289</v>
      </c>
      <c r="B77" s="207" t="s">
        <v>267</v>
      </c>
      <c r="C77" s="282">
        <v>933393998</v>
      </c>
      <c r="D77" s="1176">
        <f>'1.2.sz.mell. '!D79</f>
        <v>933393998</v>
      </c>
      <c r="E77" s="1173">
        <f t="shared" si="1"/>
        <v>0</v>
      </c>
    </row>
    <row r="78" spans="1:5" s="49" customFormat="1" ht="12" customHeight="1" thickBot="1" x14ac:dyDescent="0.25">
      <c r="A78" s="223" t="s">
        <v>290</v>
      </c>
      <c r="B78" s="209" t="s">
        <v>268</v>
      </c>
      <c r="C78" s="282"/>
      <c r="D78" s="1176">
        <f>'1.2.sz.mell. '!D80</f>
        <v>0</v>
      </c>
      <c r="E78" s="1173">
        <f t="shared" si="1"/>
        <v>0</v>
      </c>
    </row>
    <row r="79" spans="1:5" s="48" customFormat="1" ht="12" customHeight="1" thickBot="1" x14ac:dyDescent="0.2">
      <c r="A79" s="224" t="s">
        <v>269</v>
      </c>
      <c r="B79" s="125" t="s">
        <v>270</v>
      </c>
      <c r="C79" s="298">
        <f>SUM(C80:C82)</f>
        <v>0</v>
      </c>
      <c r="D79" s="1176">
        <f>'1.2.sz.mell. '!D81</f>
        <v>0</v>
      </c>
      <c r="E79" s="1173">
        <f t="shared" si="1"/>
        <v>0</v>
      </c>
    </row>
    <row r="80" spans="1:5" s="49" customFormat="1" ht="12" customHeight="1" x14ac:dyDescent="0.2">
      <c r="A80" s="221" t="s">
        <v>291</v>
      </c>
      <c r="B80" s="207" t="s">
        <v>271</v>
      </c>
      <c r="C80" s="282"/>
      <c r="D80" s="1176">
        <f>'1.2.sz.mell. '!D82</f>
        <v>0</v>
      </c>
      <c r="E80" s="1173">
        <f t="shared" si="1"/>
        <v>0</v>
      </c>
    </row>
    <row r="81" spans="1:6" s="49" customFormat="1" ht="12" customHeight="1" x14ac:dyDescent="0.2">
      <c r="A81" s="222" t="s">
        <v>292</v>
      </c>
      <c r="B81" s="208" t="s">
        <v>272</v>
      </c>
      <c r="C81" s="282"/>
      <c r="D81" s="1176">
        <f>'1.2.sz.mell. '!D83</f>
        <v>0</v>
      </c>
      <c r="E81" s="1173">
        <f t="shared" si="1"/>
        <v>0</v>
      </c>
    </row>
    <row r="82" spans="1:6" s="49" customFormat="1" ht="12" customHeight="1" thickBot="1" x14ac:dyDescent="0.25">
      <c r="A82" s="223" t="s">
        <v>293</v>
      </c>
      <c r="B82" s="209" t="s">
        <v>273</v>
      </c>
      <c r="C82" s="282"/>
      <c r="D82" s="1176">
        <f>'1.2.sz.mell. '!D84</f>
        <v>0</v>
      </c>
      <c r="E82" s="1173">
        <f t="shared" si="1"/>
        <v>0</v>
      </c>
    </row>
    <row r="83" spans="1:6" s="49" customFormat="1" ht="12" customHeight="1" thickBot="1" x14ac:dyDescent="0.2">
      <c r="A83" s="224" t="s">
        <v>274</v>
      </c>
      <c r="B83" s="125" t="s">
        <v>294</v>
      </c>
      <c r="C83" s="298">
        <f>SUM(C84:C87)</f>
        <v>0</v>
      </c>
      <c r="D83" s="1176">
        <f>'1.2.sz.mell. '!D85</f>
        <v>0</v>
      </c>
      <c r="E83" s="1173">
        <f t="shared" si="1"/>
        <v>0</v>
      </c>
    </row>
    <row r="84" spans="1:6" s="49" customFormat="1" ht="12" customHeight="1" x14ac:dyDescent="0.2">
      <c r="A84" s="225" t="s">
        <v>275</v>
      </c>
      <c r="B84" s="207" t="s">
        <v>276</v>
      </c>
      <c r="C84" s="282"/>
      <c r="D84" s="1176">
        <f>'1.2.sz.mell. '!D86</f>
        <v>0</v>
      </c>
      <c r="E84" s="1173">
        <f t="shared" si="1"/>
        <v>0</v>
      </c>
    </row>
    <row r="85" spans="1:6" s="49" customFormat="1" ht="12" customHeight="1" x14ac:dyDescent="0.2">
      <c r="A85" s="226" t="s">
        <v>277</v>
      </c>
      <c r="B85" s="208" t="s">
        <v>278</v>
      </c>
      <c r="C85" s="282"/>
      <c r="D85" s="1176">
        <f>'1.2.sz.mell. '!D87</f>
        <v>0</v>
      </c>
      <c r="E85" s="1173">
        <f t="shared" si="1"/>
        <v>0</v>
      </c>
    </row>
    <row r="86" spans="1:6" s="49" customFormat="1" ht="12" customHeight="1" x14ac:dyDescent="0.2">
      <c r="A86" s="226" t="s">
        <v>279</v>
      </c>
      <c r="B86" s="208" t="s">
        <v>280</v>
      </c>
      <c r="C86" s="282"/>
      <c r="D86" s="1176">
        <f>'1.2.sz.mell. '!D88</f>
        <v>0</v>
      </c>
      <c r="E86" s="1173">
        <f t="shared" si="1"/>
        <v>0</v>
      </c>
    </row>
    <row r="87" spans="1:6" s="48" customFormat="1" ht="12" customHeight="1" thickBot="1" x14ac:dyDescent="0.25">
      <c r="A87" s="227" t="s">
        <v>281</v>
      </c>
      <c r="B87" s="209" t="s">
        <v>282</v>
      </c>
      <c r="C87" s="282"/>
      <c r="D87" s="1176">
        <f>'1.2.sz.mell. '!D89</f>
        <v>0</v>
      </c>
      <c r="E87" s="1173">
        <f t="shared" si="1"/>
        <v>0</v>
      </c>
    </row>
    <row r="88" spans="1:6" s="48" customFormat="1" ht="12" customHeight="1" thickBot="1" x14ac:dyDescent="0.2">
      <c r="A88" s="224" t="s">
        <v>283</v>
      </c>
      <c r="B88" s="125" t="s">
        <v>457</v>
      </c>
      <c r="C88" s="303"/>
      <c r="D88" s="1176">
        <f>'1.2.sz.mell. '!D90</f>
        <v>0</v>
      </c>
      <c r="E88" s="1173">
        <f t="shared" si="1"/>
        <v>0</v>
      </c>
    </row>
    <row r="89" spans="1:6" s="48" customFormat="1" ht="12" customHeight="1" thickBot="1" x14ac:dyDescent="0.2">
      <c r="A89" s="224" t="s">
        <v>509</v>
      </c>
      <c r="B89" s="125" t="s">
        <v>284</v>
      </c>
      <c r="C89" s="303"/>
      <c r="D89" s="1176">
        <f>'1.2.sz.mell. '!D91</f>
        <v>0</v>
      </c>
      <c r="E89" s="1173">
        <f t="shared" si="1"/>
        <v>0</v>
      </c>
    </row>
    <row r="90" spans="1:6" s="48" customFormat="1" ht="12" customHeight="1" thickBot="1" x14ac:dyDescent="0.2">
      <c r="A90" s="224" t="s">
        <v>510</v>
      </c>
      <c r="B90" s="214" t="s">
        <v>458</v>
      </c>
      <c r="C90" s="301">
        <f>+C67+C71+C76+C79+C83+C89+C88</f>
        <v>1675805897</v>
      </c>
      <c r="D90" s="1176">
        <f>'1.2.sz.mell. '!D92</f>
        <v>1675805897</v>
      </c>
      <c r="E90" s="1173">
        <f t="shared" si="1"/>
        <v>0</v>
      </c>
    </row>
    <row r="91" spans="1:6" s="48" customFormat="1" ht="12" customHeight="1" thickBot="1" x14ac:dyDescent="0.2">
      <c r="A91" s="228" t="s">
        <v>511</v>
      </c>
      <c r="B91" s="215" t="s">
        <v>512</v>
      </c>
      <c r="C91" s="301">
        <f>+C66+C90</f>
        <v>3699312428</v>
      </c>
      <c r="D91" s="1176">
        <f>'1.2.sz.mell. '!D93</f>
        <v>3699312428</v>
      </c>
      <c r="E91" s="1173">
        <f t="shared" si="1"/>
        <v>0</v>
      </c>
      <c r="F91" s="40"/>
    </row>
    <row r="92" spans="1:6" s="49" customFormat="1" ht="15" customHeight="1" thickBot="1" x14ac:dyDescent="0.25">
      <c r="A92" s="106"/>
      <c r="B92" s="107"/>
      <c r="C92" s="184"/>
      <c r="D92" s="1172"/>
      <c r="E92" s="1173">
        <f t="shared" si="1"/>
        <v>0</v>
      </c>
    </row>
    <row r="93" spans="1:6" s="39" customFormat="1" ht="16.5" customHeight="1" thickBot="1" x14ac:dyDescent="0.25">
      <c r="A93" s="110"/>
      <c r="B93" s="111" t="s">
        <v>59</v>
      </c>
      <c r="C93" s="186"/>
      <c r="D93" s="1176"/>
      <c r="E93" s="1173">
        <f t="shared" si="1"/>
        <v>0</v>
      </c>
    </row>
    <row r="94" spans="1:6" s="50" customFormat="1" ht="12" customHeight="1" thickBot="1" x14ac:dyDescent="0.25">
      <c r="A94" s="199" t="s">
        <v>21</v>
      </c>
      <c r="B94" s="24" t="s">
        <v>522</v>
      </c>
      <c r="C94" s="306">
        <f>+C95+C96+C97+C98+C99+C112</f>
        <v>762011382</v>
      </c>
      <c r="D94" s="1174">
        <f>'1.2.sz.mell. '!D99</f>
        <v>762011382</v>
      </c>
      <c r="E94" s="1173">
        <f t="shared" si="1"/>
        <v>0</v>
      </c>
    </row>
    <row r="95" spans="1:6" ht="12" customHeight="1" x14ac:dyDescent="0.2">
      <c r="A95" s="229" t="s">
        <v>100</v>
      </c>
      <c r="B95" s="8" t="s">
        <v>51</v>
      </c>
      <c r="C95" s="317">
        <v>50032580</v>
      </c>
      <c r="D95" s="1174">
        <f>'1.2.sz.mell. '!D100</f>
        <v>50032580</v>
      </c>
      <c r="E95" s="1173">
        <f t="shared" si="1"/>
        <v>0</v>
      </c>
    </row>
    <row r="96" spans="1:6" ht="12" customHeight="1" x14ac:dyDescent="0.2">
      <c r="A96" s="222" t="s">
        <v>101</v>
      </c>
      <c r="B96" s="6" t="s">
        <v>149</v>
      </c>
      <c r="C96" s="282">
        <v>8216281</v>
      </c>
      <c r="D96" s="1174">
        <f>'1.2.sz.mell. '!D101</f>
        <v>8216281</v>
      </c>
      <c r="E96" s="1173">
        <f t="shared" si="1"/>
        <v>0</v>
      </c>
    </row>
    <row r="97" spans="1:5" ht="12" customHeight="1" x14ac:dyDescent="0.2">
      <c r="A97" s="222" t="s">
        <v>102</v>
      </c>
      <c r="B97" s="6" t="s">
        <v>125</v>
      </c>
      <c r="C97" s="286">
        <f>307535372-649147</f>
        <v>306886225</v>
      </c>
      <c r="D97" s="1174">
        <f>'1.2.sz.mell. '!D102</f>
        <v>306886225</v>
      </c>
      <c r="E97" s="1173">
        <f t="shared" si="1"/>
        <v>0</v>
      </c>
    </row>
    <row r="98" spans="1:5" ht="12" customHeight="1" x14ac:dyDescent="0.2">
      <c r="A98" s="222" t="s">
        <v>103</v>
      </c>
      <c r="B98" s="9" t="s">
        <v>150</v>
      </c>
      <c r="C98" s="286">
        <v>61300000</v>
      </c>
      <c r="D98" s="1174">
        <f>'1.2.sz.mell. '!D103</f>
        <v>61300000</v>
      </c>
      <c r="E98" s="1173">
        <f t="shared" si="1"/>
        <v>0</v>
      </c>
    </row>
    <row r="99" spans="1:5" ht="12" customHeight="1" x14ac:dyDescent="0.2">
      <c r="A99" s="222" t="s">
        <v>114</v>
      </c>
      <c r="B99" s="17" t="s">
        <v>151</v>
      </c>
      <c r="C99" s="286">
        <f>SUM(C100:C111)</f>
        <v>202335458</v>
      </c>
      <c r="D99" s="1174">
        <f>'1.2.sz.mell. '!D104</f>
        <v>202335458</v>
      </c>
      <c r="E99" s="1173">
        <f t="shared" si="1"/>
        <v>0</v>
      </c>
    </row>
    <row r="100" spans="1:5" ht="12" customHeight="1" x14ac:dyDescent="0.2">
      <c r="A100" s="222" t="s">
        <v>104</v>
      </c>
      <c r="B100" s="6" t="s">
        <v>513</v>
      </c>
      <c r="C100" s="286"/>
      <c r="D100" s="1174">
        <f>'1.2.sz.mell. '!D105</f>
        <v>0</v>
      </c>
      <c r="E100" s="1173">
        <f t="shared" si="1"/>
        <v>0</v>
      </c>
    </row>
    <row r="101" spans="1:5" ht="12" customHeight="1" x14ac:dyDescent="0.2">
      <c r="A101" s="222" t="s">
        <v>105</v>
      </c>
      <c r="B101" s="70" t="s">
        <v>462</v>
      </c>
      <c r="C101" s="286"/>
      <c r="D101" s="1174">
        <f>'1.2.sz.mell. '!D106</f>
        <v>0</v>
      </c>
      <c r="E101" s="1173">
        <f t="shared" si="1"/>
        <v>0</v>
      </c>
    </row>
    <row r="102" spans="1:5" ht="12" customHeight="1" x14ac:dyDescent="0.2">
      <c r="A102" s="222" t="s">
        <v>115</v>
      </c>
      <c r="B102" s="70" t="s">
        <v>463</v>
      </c>
      <c r="C102" s="286"/>
      <c r="D102" s="1174">
        <f>'1.2.sz.mell. '!D107</f>
        <v>0</v>
      </c>
      <c r="E102" s="1173">
        <f t="shared" si="1"/>
        <v>0</v>
      </c>
    </row>
    <row r="103" spans="1:5" ht="12" customHeight="1" x14ac:dyDescent="0.2">
      <c r="A103" s="222" t="s">
        <v>116</v>
      </c>
      <c r="B103" s="70" t="s">
        <v>300</v>
      </c>
      <c r="C103" s="286"/>
      <c r="D103" s="1174">
        <f>'1.2.sz.mell. '!D108</f>
        <v>0</v>
      </c>
      <c r="E103" s="1173">
        <f t="shared" si="1"/>
        <v>0</v>
      </c>
    </row>
    <row r="104" spans="1:5" ht="12" customHeight="1" x14ac:dyDescent="0.2">
      <c r="A104" s="222" t="s">
        <v>117</v>
      </c>
      <c r="B104" s="71" t="s">
        <v>301</v>
      </c>
      <c r="C104" s="286"/>
      <c r="D104" s="1174">
        <f>'1.2.sz.mell. '!D109</f>
        <v>0</v>
      </c>
      <c r="E104" s="1173">
        <f t="shared" si="1"/>
        <v>0</v>
      </c>
    </row>
    <row r="105" spans="1:5" ht="12" customHeight="1" x14ac:dyDescent="0.2">
      <c r="A105" s="222" t="s">
        <v>118</v>
      </c>
      <c r="B105" s="71" t="s">
        <v>302</v>
      </c>
      <c r="C105" s="286"/>
      <c r="D105" s="1174">
        <f>'1.2.sz.mell. '!D110</f>
        <v>0</v>
      </c>
      <c r="E105" s="1173">
        <f t="shared" si="1"/>
        <v>0</v>
      </c>
    </row>
    <row r="106" spans="1:5" ht="12" customHeight="1" x14ac:dyDescent="0.2">
      <c r="A106" s="222" t="s">
        <v>120</v>
      </c>
      <c r="B106" s="70" t="s">
        <v>303</v>
      </c>
      <c r="C106" s="286">
        <v>526000</v>
      </c>
      <c r="D106" s="1174">
        <f>'1.2.sz.mell. '!D111</f>
        <v>526000</v>
      </c>
      <c r="E106" s="1173">
        <f t="shared" si="1"/>
        <v>0</v>
      </c>
    </row>
    <row r="107" spans="1:5" ht="12" customHeight="1" x14ac:dyDescent="0.2">
      <c r="A107" s="222" t="s">
        <v>152</v>
      </c>
      <c r="B107" s="70" t="s">
        <v>304</v>
      </c>
      <c r="C107" s="669"/>
      <c r="D107" s="1174">
        <f>'1.2.sz.mell. '!D112</f>
        <v>0</v>
      </c>
      <c r="E107" s="1173">
        <f t="shared" si="1"/>
        <v>0</v>
      </c>
    </row>
    <row r="108" spans="1:5" ht="12" customHeight="1" x14ac:dyDescent="0.2">
      <c r="A108" s="222" t="s">
        <v>298</v>
      </c>
      <c r="B108" s="71" t="s">
        <v>305</v>
      </c>
      <c r="C108" s="286"/>
      <c r="D108" s="1174">
        <f>'1.2.sz.mell. '!D113</f>
        <v>0</v>
      </c>
      <c r="E108" s="1173">
        <f t="shared" si="1"/>
        <v>0</v>
      </c>
    </row>
    <row r="109" spans="1:5" ht="12" customHeight="1" x14ac:dyDescent="0.2">
      <c r="A109" s="230" t="s">
        <v>299</v>
      </c>
      <c r="B109" s="72" t="s">
        <v>306</v>
      </c>
      <c r="C109" s="286"/>
      <c r="D109" s="1174">
        <f>'1.2.sz.mell. '!D114</f>
        <v>0</v>
      </c>
      <c r="E109" s="1173">
        <f t="shared" si="1"/>
        <v>0</v>
      </c>
    </row>
    <row r="110" spans="1:5" ht="12" customHeight="1" x14ac:dyDescent="0.2">
      <c r="A110" s="222" t="s">
        <v>464</v>
      </c>
      <c r="B110" s="72" t="s">
        <v>307</v>
      </c>
      <c r="C110" s="286"/>
      <c r="D110" s="1174">
        <f>'1.2.sz.mell. '!D115</f>
        <v>0</v>
      </c>
      <c r="E110" s="1173">
        <f t="shared" si="1"/>
        <v>0</v>
      </c>
    </row>
    <row r="111" spans="1:5" ht="12" customHeight="1" x14ac:dyDescent="0.2">
      <c r="A111" s="222" t="s">
        <v>465</v>
      </c>
      <c r="B111" s="71" t="s">
        <v>308</v>
      </c>
      <c r="C111" s="282">
        <f>201809461-3</f>
        <v>201809458</v>
      </c>
      <c r="D111" s="1174">
        <f>'1.2.sz.mell. '!D116</f>
        <v>201809458</v>
      </c>
      <c r="E111" s="1173">
        <f t="shared" si="1"/>
        <v>0</v>
      </c>
    </row>
    <row r="112" spans="1:5" ht="12" customHeight="1" x14ac:dyDescent="0.2">
      <c r="A112" s="222" t="s">
        <v>466</v>
      </c>
      <c r="B112" s="9" t="s">
        <v>52</v>
      </c>
      <c r="C112" s="282">
        <f>SUM(C113:C114)</f>
        <v>133240838</v>
      </c>
      <c r="D112" s="1174">
        <f>'1.2.sz.mell. '!D117</f>
        <v>133240838</v>
      </c>
      <c r="E112" s="1173">
        <f t="shared" si="1"/>
        <v>0</v>
      </c>
    </row>
    <row r="113" spans="1:5" ht="12" customHeight="1" x14ac:dyDescent="0.2">
      <c r="A113" s="223" t="s">
        <v>467</v>
      </c>
      <c r="B113" s="6" t="s">
        <v>514</v>
      </c>
      <c r="C113" s="286">
        <v>20000000</v>
      </c>
      <c r="D113" s="1174">
        <f>'1.2.sz.mell. '!D118</f>
        <v>20000000</v>
      </c>
      <c r="E113" s="1173">
        <f t="shared" si="1"/>
        <v>0</v>
      </c>
    </row>
    <row r="114" spans="1:5" ht="12" customHeight="1" thickBot="1" x14ac:dyDescent="0.25">
      <c r="A114" s="231" t="s">
        <v>469</v>
      </c>
      <c r="B114" s="73" t="s">
        <v>515</v>
      </c>
      <c r="C114" s="318">
        <v>113240838</v>
      </c>
      <c r="D114" s="1174">
        <f>'1.2.sz.mell. '!D119</f>
        <v>113240838</v>
      </c>
      <c r="E114" s="1173">
        <f t="shared" si="1"/>
        <v>0</v>
      </c>
    </row>
    <row r="115" spans="1:5" ht="12" customHeight="1" thickBot="1" x14ac:dyDescent="0.25">
      <c r="A115" s="27" t="s">
        <v>22</v>
      </c>
      <c r="B115" s="23" t="s">
        <v>309</v>
      </c>
      <c r="C115" s="298">
        <f>+C116+C118+C120</f>
        <v>915508061</v>
      </c>
      <c r="D115" s="1174">
        <f>'1.2.sz.mell. '!D120</f>
        <v>915508061</v>
      </c>
      <c r="E115" s="1173">
        <f t="shared" si="1"/>
        <v>0</v>
      </c>
    </row>
    <row r="116" spans="1:5" ht="12" customHeight="1" x14ac:dyDescent="0.2">
      <c r="A116" s="221" t="s">
        <v>106</v>
      </c>
      <c r="B116" s="6" t="s">
        <v>173</v>
      </c>
      <c r="C116" s="302">
        <f>648561219-2000000+109147</f>
        <v>646670366</v>
      </c>
      <c r="D116" s="1174">
        <f>'1.2.sz.mell. '!D121</f>
        <v>646670366</v>
      </c>
      <c r="E116" s="1173">
        <f t="shared" si="1"/>
        <v>0</v>
      </c>
    </row>
    <row r="117" spans="1:5" ht="12" customHeight="1" x14ac:dyDescent="0.2">
      <c r="A117" s="221" t="s">
        <v>107</v>
      </c>
      <c r="B117" s="10" t="s">
        <v>313</v>
      </c>
      <c r="C117" s="302">
        <f>135288734+2634996+425334254+5408883+691900</f>
        <v>569358767</v>
      </c>
      <c r="D117" s="1174">
        <f>'1.2.sz.mell. '!D122</f>
        <v>569358767</v>
      </c>
      <c r="E117" s="1173">
        <f t="shared" si="1"/>
        <v>0</v>
      </c>
    </row>
    <row r="118" spans="1:5" ht="12" customHeight="1" x14ac:dyDescent="0.2">
      <c r="A118" s="221" t="s">
        <v>108</v>
      </c>
      <c r="B118" s="10" t="s">
        <v>153</v>
      </c>
      <c r="C118" s="282">
        <v>260935796</v>
      </c>
      <c r="D118" s="1174">
        <f>'1.2.sz.mell. '!D123</f>
        <v>260935796</v>
      </c>
      <c r="E118" s="1173">
        <f t="shared" si="1"/>
        <v>0</v>
      </c>
    </row>
    <row r="119" spans="1:5" ht="12" customHeight="1" x14ac:dyDescent="0.2">
      <c r="A119" s="221" t="s">
        <v>109</v>
      </c>
      <c r="B119" s="10" t="s">
        <v>314</v>
      </c>
      <c r="C119" s="282">
        <f>80112238+12241160</f>
        <v>92353398</v>
      </c>
      <c r="D119" s="1174">
        <f>'1.2.sz.mell. '!D124</f>
        <v>92353398</v>
      </c>
      <c r="E119" s="1173">
        <f t="shared" si="1"/>
        <v>0</v>
      </c>
    </row>
    <row r="120" spans="1:5" ht="12" customHeight="1" x14ac:dyDescent="0.2">
      <c r="A120" s="221" t="s">
        <v>110</v>
      </c>
      <c r="B120" s="127" t="s">
        <v>175</v>
      </c>
      <c r="C120" s="286">
        <f>SUM(C121:C128)</f>
        <v>7901899</v>
      </c>
      <c r="D120" s="1174">
        <f>'1.2.sz.mell. '!D125</f>
        <v>7901899</v>
      </c>
      <c r="E120" s="1173">
        <f t="shared" si="1"/>
        <v>0</v>
      </c>
    </row>
    <row r="121" spans="1:5" ht="12" customHeight="1" x14ac:dyDescent="0.2">
      <c r="A121" s="221" t="s">
        <v>119</v>
      </c>
      <c r="B121" s="126" t="s">
        <v>376</v>
      </c>
      <c r="C121" s="119"/>
      <c r="D121" s="1174">
        <f>'1.2.sz.mell. '!D126</f>
        <v>0</v>
      </c>
      <c r="E121" s="1173">
        <f t="shared" si="1"/>
        <v>0</v>
      </c>
    </row>
    <row r="122" spans="1:5" ht="12" customHeight="1" x14ac:dyDescent="0.2">
      <c r="A122" s="221" t="s">
        <v>121</v>
      </c>
      <c r="B122" s="203" t="s">
        <v>319</v>
      </c>
      <c r="C122" s="119"/>
      <c r="D122" s="1174">
        <f>'1.2.sz.mell. '!D127</f>
        <v>0</v>
      </c>
      <c r="E122" s="1173">
        <f t="shared" si="1"/>
        <v>0</v>
      </c>
    </row>
    <row r="123" spans="1:5" ht="12" customHeight="1" x14ac:dyDescent="0.2">
      <c r="A123" s="221" t="s">
        <v>154</v>
      </c>
      <c r="B123" s="71" t="s">
        <v>302</v>
      </c>
      <c r="C123" s="119"/>
      <c r="D123" s="1174">
        <f>'1.2.sz.mell. '!D128</f>
        <v>0</v>
      </c>
      <c r="E123" s="1173">
        <f t="shared" si="1"/>
        <v>0</v>
      </c>
    </row>
    <row r="124" spans="1:5" ht="12" customHeight="1" x14ac:dyDescent="0.2">
      <c r="A124" s="221" t="s">
        <v>155</v>
      </c>
      <c r="B124" s="71" t="s">
        <v>318</v>
      </c>
      <c r="C124" s="119"/>
      <c r="D124" s="1174">
        <f>'1.2.sz.mell. '!D129</f>
        <v>0</v>
      </c>
      <c r="E124" s="1173">
        <f t="shared" si="1"/>
        <v>0</v>
      </c>
    </row>
    <row r="125" spans="1:5" ht="12" customHeight="1" x14ac:dyDescent="0.2">
      <c r="A125" s="221" t="s">
        <v>156</v>
      </c>
      <c r="B125" s="71" t="s">
        <v>317</v>
      </c>
      <c r="C125" s="119"/>
      <c r="D125" s="1174">
        <f>'1.2.sz.mell. '!D130</f>
        <v>0</v>
      </c>
      <c r="E125" s="1173">
        <f t="shared" si="1"/>
        <v>0</v>
      </c>
    </row>
    <row r="126" spans="1:5" ht="12" customHeight="1" x14ac:dyDescent="0.2">
      <c r="A126" s="221" t="s">
        <v>310</v>
      </c>
      <c r="B126" s="71" t="s">
        <v>305</v>
      </c>
      <c r="C126" s="119"/>
      <c r="D126" s="1174">
        <f>'1.2.sz.mell. '!D131</f>
        <v>0</v>
      </c>
      <c r="E126" s="1173">
        <f t="shared" si="1"/>
        <v>0</v>
      </c>
    </row>
    <row r="127" spans="1:5" ht="12" customHeight="1" x14ac:dyDescent="0.2">
      <c r="A127" s="221" t="s">
        <v>311</v>
      </c>
      <c r="B127" s="71" t="s">
        <v>316</v>
      </c>
      <c r="C127" s="119"/>
      <c r="D127" s="1174">
        <f>'1.2.sz.mell. '!D132</f>
        <v>0</v>
      </c>
      <c r="E127" s="1173">
        <f t="shared" si="1"/>
        <v>0</v>
      </c>
    </row>
    <row r="128" spans="1:5" ht="12" customHeight="1" thickBot="1" x14ac:dyDescent="0.25">
      <c r="A128" s="230" t="s">
        <v>312</v>
      </c>
      <c r="B128" s="71" t="s">
        <v>315</v>
      </c>
      <c r="C128" s="120">
        <f>7001899+900000</f>
        <v>7901899</v>
      </c>
      <c r="D128" s="1174">
        <f>'1.2.sz.mell. '!D133</f>
        <v>7901899</v>
      </c>
      <c r="E128" s="1173">
        <f t="shared" si="1"/>
        <v>0</v>
      </c>
    </row>
    <row r="129" spans="1:11" ht="12" customHeight="1" thickBot="1" x14ac:dyDescent="0.25">
      <c r="A129" s="27" t="s">
        <v>23</v>
      </c>
      <c r="B129" s="66" t="s">
        <v>471</v>
      </c>
      <c r="C129" s="298">
        <f>+C94+C115</f>
        <v>1677519443</v>
      </c>
      <c r="D129" s="1174">
        <f>'1.2.sz.mell. '!D134</f>
        <v>1677519443</v>
      </c>
      <c r="E129" s="1173">
        <f t="shared" si="1"/>
        <v>0</v>
      </c>
      <c r="F129" s="289"/>
    </row>
    <row r="130" spans="1:11" ht="12" customHeight="1" thickBot="1" x14ac:dyDescent="0.25">
      <c r="A130" s="27" t="s">
        <v>24</v>
      </c>
      <c r="B130" s="66" t="s">
        <v>472</v>
      </c>
      <c r="C130" s="298">
        <f>+C131+C132+C133</f>
        <v>722563844</v>
      </c>
      <c r="D130" s="1174">
        <f>'1.2.sz.mell. '!D135</f>
        <v>722563844</v>
      </c>
      <c r="E130" s="1173">
        <f t="shared" si="1"/>
        <v>0</v>
      </c>
    </row>
    <row r="131" spans="1:11" s="50" customFormat="1" ht="12" customHeight="1" x14ac:dyDescent="0.2">
      <c r="A131" s="221" t="s">
        <v>211</v>
      </c>
      <c r="B131" s="7" t="s">
        <v>516</v>
      </c>
      <c r="C131" s="282">
        <v>22563844</v>
      </c>
      <c r="D131" s="1174">
        <f>'1.2.sz.mell. '!D136</f>
        <v>22563844</v>
      </c>
      <c r="E131" s="1173">
        <f t="shared" si="1"/>
        <v>0</v>
      </c>
    </row>
    <row r="132" spans="1:11" ht="12" customHeight="1" x14ac:dyDescent="0.2">
      <c r="A132" s="221" t="s">
        <v>214</v>
      </c>
      <c r="B132" s="7" t="s">
        <v>474</v>
      </c>
      <c r="C132" s="119">
        <v>700000000</v>
      </c>
      <c r="D132" s="1174">
        <f>'1.2.sz.mell. '!D137</f>
        <v>700000000</v>
      </c>
      <c r="E132" s="1173">
        <f t="shared" si="1"/>
        <v>0</v>
      </c>
    </row>
    <row r="133" spans="1:11" ht="12" customHeight="1" thickBot="1" x14ac:dyDescent="0.25">
      <c r="A133" s="230" t="s">
        <v>215</v>
      </c>
      <c r="B133" s="5" t="s">
        <v>517</v>
      </c>
      <c r="C133" s="119"/>
      <c r="D133" s="1174">
        <f>'1.2.sz.mell. '!D138</f>
        <v>0</v>
      </c>
      <c r="E133" s="1173">
        <f t="shared" si="1"/>
        <v>0</v>
      </c>
    </row>
    <row r="134" spans="1:11" ht="12" customHeight="1" thickBot="1" x14ac:dyDescent="0.25">
      <c r="A134" s="27" t="s">
        <v>25</v>
      </c>
      <c r="B134" s="66" t="s">
        <v>476</v>
      </c>
      <c r="C134" s="298">
        <f>+C135+C136+C137+C138+C139+C140</f>
        <v>0</v>
      </c>
      <c r="D134" s="1174">
        <f>'1.2.sz.mell. '!D139</f>
        <v>0</v>
      </c>
      <c r="E134" s="1173">
        <f t="shared" si="1"/>
        <v>0</v>
      </c>
    </row>
    <row r="135" spans="1:11" ht="12" customHeight="1" x14ac:dyDescent="0.2">
      <c r="A135" s="221" t="s">
        <v>93</v>
      </c>
      <c r="B135" s="7" t="s">
        <v>477</v>
      </c>
      <c r="C135" s="119"/>
      <c r="D135" s="1174">
        <f>'1.2.sz.mell. '!D140</f>
        <v>0</v>
      </c>
      <c r="E135" s="1173">
        <f t="shared" si="1"/>
        <v>0</v>
      </c>
    </row>
    <row r="136" spans="1:11" ht="12" customHeight="1" x14ac:dyDescent="0.2">
      <c r="A136" s="221" t="s">
        <v>94</v>
      </c>
      <c r="B136" s="7" t="s">
        <v>478</v>
      </c>
      <c r="C136" s="119"/>
      <c r="D136" s="1174">
        <f>'1.2.sz.mell. '!D141</f>
        <v>0</v>
      </c>
      <c r="E136" s="1173">
        <f t="shared" si="1"/>
        <v>0</v>
      </c>
    </row>
    <row r="137" spans="1:11" ht="12" customHeight="1" x14ac:dyDescent="0.2">
      <c r="A137" s="221" t="s">
        <v>95</v>
      </c>
      <c r="B137" s="7" t="s">
        <v>479</v>
      </c>
      <c r="C137" s="119"/>
      <c r="D137" s="1174">
        <f>'1.2.sz.mell. '!D142</f>
        <v>0</v>
      </c>
      <c r="E137" s="1173">
        <f t="shared" si="1"/>
        <v>0</v>
      </c>
    </row>
    <row r="138" spans="1:11" ht="12" customHeight="1" x14ac:dyDescent="0.2">
      <c r="A138" s="221" t="s">
        <v>141</v>
      </c>
      <c r="B138" s="7" t="s">
        <v>518</v>
      </c>
      <c r="C138" s="119"/>
      <c r="D138" s="1174">
        <f>'1.2.sz.mell. '!D143</f>
        <v>0</v>
      </c>
      <c r="E138" s="1173">
        <f t="shared" ref="E138:E155" si="2">C138-D138</f>
        <v>0</v>
      </c>
    </row>
    <row r="139" spans="1:11" ht="12" customHeight="1" x14ac:dyDescent="0.2">
      <c r="A139" s="221" t="s">
        <v>142</v>
      </c>
      <c r="B139" s="7" t="s">
        <v>481</v>
      </c>
      <c r="C139" s="119"/>
      <c r="D139" s="1174">
        <f>'1.2.sz.mell. '!D144</f>
        <v>0</v>
      </c>
      <c r="E139" s="1173">
        <f t="shared" si="2"/>
        <v>0</v>
      </c>
    </row>
    <row r="140" spans="1:11" s="50" customFormat="1" ht="12" customHeight="1" thickBot="1" x14ac:dyDescent="0.25">
      <c r="A140" s="230" t="s">
        <v>143</v>
      </c>
      <c r="B140" s="5" t="s">
        <v>482</v>
      </c>
      <c r="C140" s="119"/>
      <c r="D140" s="1174">
        <f>'1.2.sz.mell. '!D145</f>
        <v>0</v>
      </c>
      <c r="E140" s="1173">
        <f t="shared" si="2"/>
        <v>0</v>
      </c>
    </row>
    <row r="141" spans="1:11" ht="12" customHeight="1" thickBot="1" x14ac:dyDescent="0.25">
      <c r="A141" s="27" t="s">
        <v>26</v>
      </c>
      <c r="B141" s="66" t="s">
        <v>519</v>
      </c>
      <c r="C141" s="301">
        <f>+C142+C143+C144+C145</f>
        <v>0</v>
      </c>
      <c r="D141" s="1174">
        <f>'1.2.sz.mell. '!D146</f>
        <v>0</v>
      </c>
      <c r="E141" s="1173">
        <f t="shared" si="2"/>
        <v>0</v>
      </c>
      <c r="K141" s="118"/>
    </row>
    <row r="142" spans="1:11" ht="15.75" x14ac:dyDescent="0.2">
      <c r="A142" s="221" t="s">
        <v>96</v>
      </c>
      <c r="B142" s="7" t="s">
        <v>320</v>
      </c>
      <c r="C142" s="119"/>
      <c r="D142" s="1174">
        <f>'1.2.sz.mell. '!D147</f>
        <v>0</v>
      </c>
      <c r="E142" s="1173">
        <f t="shared" si="2"/>
        <v>0</v>
      </c>
    </row>
    <row r="143" spans="1:11" ht="12" customHeight="1" x14ac:dyDescent="0.2">
      <c r="A143" s="221" t="s">
        <v>97</v>
      </c>
      <c r="B143" s="7" t="s">
        <v>321</v>
      </c>
      <c r="C143" s="119"/>
      <c r="D143" s="1174">
        <f>'1.2.sz.mell. '!D148</f>
        <v>0</v>
      </c>
      <c r="E143" s="1173">
        <f t="shared" si="2"/>
        <v>0</v>
      </c>
    </row>
    <row r="144" spans="1:11" s="50" customFormat="1" ht="12" customHeight="1" x14ac:dyDescent="0.2">
      <c r="A144" s="221" t="s">
        <v>234</v>
      </c>
      <c r="B144" s="7" t="s">
        <v>484</v>
      </c>
      <c r="C144" s="119"/>
      <c r="D144" s="1174">
        <f>'1.2.sz.mell. '!D149</f>
        <v>0</v>
      </c>
      <c r="E144" s="1173">
        <f t="shared" si="2"/>
        <v>0</v>
      </c>
    </row>
    <row r="145" spans="1:6" s="50" customFormat="1" ht="12" customHeight="1" thickBot="1" x14ac:dyDescent="0.25">
      <c r="A145" s="230" t="s">
        <v>235</v>
      </c>
      <c r="B145" s="5" t="s">
        <v>339</v>
      </c>
      <c r="C145" s="119"/>
      <c r="D145" s="1174">
        <f>'1.2.sz.mell. '!D150</f>
        <v>0</v>
      </c>
      <c r="E145" s="1173">
        <f t="shared" si="2"/>
        <v>0</v>
      </c>
    </row>
    <row r="146" spans="1:6" s="50" customFormat="1" ht="12" customHeight="1" thickBot="1" x14ac:dyDescent="0.25">
      <c r="A146" s="27" t="s">
        <v>27</v>
      </c>
      <c r="B146" s="66" t="s">
        <v>485</v>
      </c>
      <c r="C146" s="308">
        <f>+C147+C148+C149+C150+C151</f>
        <v>0</v>
      </c>
      <c r="D146" s="1174">
        <f>'1.2.sz.mell. '!D151</f>
        <v>0</v>
      </c>
      <c r="E146" s="1173">
        <f t="shared" si="2"/>
        <v>0</v>
      </c>
    </row>
    <row r="147" spans="1:6" s="50" customFormat="1" ht="12" customHeight="1" x14ac:dyDescent="0.2">
      <c r="A147" s="221" t="s">
        <v>98</v>
      </c>
      <c r="B147" s="7" t="s">
        <v>486</v>
      </c>
      <c r="C147" s="119"/>
      <c r="D147" s="1174">
        <f>'1.2.sz.mell. '!D152</f>
        <v>0</v>
      </c>
      <c r="E147" s="1173">
        <f t="shared" si="2"/>
        <v>0</v>
      </c>
    </row>
    <row r="148" spans="1:6" s="50" customFormat="1" ht="12" customHeight="1" x14ac:dyDescent="0.2">
      <c r="A148" s="221" t="s">
        <v>99</v>
      </c>
      <c r="B148" s="7" t="s">
        <v>487</v>
      </c>
      <c r="C148" s="119"/>
      <c r="D148" s="1174">
        <f>'1.2.sz.mell. '!D153</f>
        <v>0</v>
      </c>
      <c r="E148" s="1173">
        <f t="shared" si="2"/>
        <v>0</v>
      </c>
    </row>
    <row r="149" spans="1:6" s="50" customFormat="1" ht="12" customHeight="1" x14ac:dyDescent="0.2">
      <c r="A149" s="221" t="s">
        <v>246</v>
      </c>
      <c r="B149" s="7" t="s">
        <v>488</v>
      </c>
      <c r="C149" s="119"/>
      <c r="D149" s="1174">
        <f>'1.2.sz.mell. '!D154</f>
        <v>0</v>
      </c>
      <c r="E149" s="1173">
        <f t="shared" si="2"/>
        <v>0</v>
      </c>
    </row>
    <row r="150" spans="1:6" ht="12.75" customHeight="1" x14ac:dyDescent="0.2">
      <c r="A150" s="221" t="s">
        <v>247</v>
      </c>
      <c r="B150" s="7" t="s">
        <v>520</v>
      </c>
      <c r="C150" s="119"/>
      <c r="D150" s="1174">
        <f>'1.2.sz.mell. '!D155</f>
        <v>0</v>
      </c>
      <c r="E150" s="1173">
        <f t="shared" si="2"/>
        <v>0</v>
      </c>
    </row>
    <row r="151" spans="1:6" ht="12.75" customHeight="1" thickBot="1" x14ac:dyDescent="0.25">
      <c r="A151" s="230" t="s">
        <v>490</v>
      </c>
      <c r="B151" s="5" t="s">
        <v>491</v>
      </c>
      <c r="C151" s="120"/>
      <c r="D151" s="1174">
        <f>'1.2.sz.mell. '!D156</f>
        <v>0</v>
      </c>
      <c r="E151" s="1173">
        <f t="shared" si="2"/>
        <v>0</v>
      </c>
    </row>
    <row r="152" spans="1:6" ht="12.75" customHeight="1" thickBot="1" x14ac:dyDescent="0.25">
      <c r="A152" s="279" t="s">
        <v>28</v>
      </c>
      <c r="B152" s="66" t="s">
        <v>492</v>
      </c>
      <c r="C152" s="308"/>
      <c r="D152" s="1174">
        <f>'1.2.sz.mell. '!D157</f>
        <v>0</v>
      </c>
      <c r="E152" s="1173">
        <f t="shared" si="2"/>
        <v>0</v>
      </c>
    </row>
    <row r="153" spans="1:6" ht="12" customHeight="1" thickBot="1" x14ac:dyDescent="0.25">
      <c r="A153" s="279" t="s">
        <v>29</v>
      </c>
      <c r="B153" s="66" t="s">
        <v>493</v>
      </c>
      <c r="C153" s="308"/>
      <c r="D153" s="1174">
        <f>'1.2.sz.mell. '!D158</f>
        <v>0</v>
      </c>
      <c r="E153" s="1173">
        <f t="shared" si="2"/>
        <v>0</v>
      </c>
    </row>
    <row r="154" spans="1:6" ht="15" customHeight="1" thickBot="1" x14ac:dyDescent="0.25">
      <c r="A154" s="27" t="s">
        <v>30</v>
      </c>
      <c r="B154" s="66" t="s">
        <v>494</v>
      </c>
      <c r="C154" s="309">
        <f>+C130+C134+C141+C146+C152+C153</f>
        <v>722563844</v>
      </c>
      <c r="D154" s="1174">
        <f>'1.2.sz.mell. '!D159</f>
        <v>722563844</v>
      </c>
      <c r="E154" s="1173">
        <f t="shared" si="2"/>
        <v>0</v>
      </c>
    </row>
    <row r="155" spans="1:6" ht="16.5" thickBot="1" x14ac:dyDescent="0.25">
      <c r="A155" s="232" t="s">
        <v>31</v>
      </c>
      <c r="B155" s="192" t="s">
        <v>495</v>
      </c>
      <c r="C155" s="309">
        <f>+C129+C154</f>
        <v>2400083287</v>
      </c>
      <c r="D155" s="1174">
        <f>'1.2.sz.mell. '!D160</f>
        <v>2400083287</v>
      </c>
      <c r="E155" s="1173">
        <f t="shared" si="2"/>
        <v>0</v>
      </c>
      <c r="F155" s="32"/>
    </row>
    <row r="156" spans="1:6" ht="15" customHeight="1" thickBot="1" x14ac:dyDescent="0.25">
      <c r="D156" s="1174"/>
    </row>
    <row r="157" spans="1:6" ht="14.25" customHeight="1" thickBot="1" x14ac:dyDescent="0.25">
      <c r="A157" s="115" t="s">
        <v>521</v>
      </c>
      <c r="B157" s="116"/>
      <c r="C157" s="65">
        <v>5</v>
      </c>
      <c r="D157" s="117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115" zoomScaleNormal="115" zoomScaleSheetLayoutView="85" workbookViewId="0">
      <selection activeCell="B12" sqref="B12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431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s="1250" customFormat="1" x14ac:dyDescent="0.2">
      <c r="A1" s="1539" t="str">
        <f>CONCATENATE("9.1.2. melléklet ",ALAPADATOK!A7," ",ALAPADATOK!B7," ",ALAPADATOK!C7," ",ALAPADATOK!D7," ",ALAPADATOK!E7," ",ALAPADATOK!F7," ",ALAPADATOK!G7," ",ALAPADATOK!H7)</f>
        <v>9.1.2. melléklet a 6 / 2020. ( II.27 ) önkormányzati határozathoz</v>
      </c>
      <c r="B1" s="1539"/>
      <c r="C1" s="1539"/>
    </row>
    <row r="2" spans="1:5" s="1" customFormat="1" ht="16.5" customHeight="1" thickBot="1" x14ac:dyDescent="0.25">
      <c r="A2" s="92"/>
      <c r="B2" s="94"/>
      <c r="C2" s="117"/>
    </row>
    <row r="3" spans="1:5" s="46" customFormat="1" ht="21" customHeight="1" x14ac:dyDescent="0.2">
      <c r="A3" s="197" t="s">
        <v>64</v>
      </c>
      <c r="B3" s="175" t="s">
        <v>170</v>
      </c>
      <c r="C3" s="177" t="s">
        <v>55</v>
      </c>
    </row>
    <row r="4" spans="1:5" s="46" customFormat="1" ht="16.5" thickBot="1" x14ac:dyDescent="0.25">
      <c r="A4" s="95" t="s">
        <v>166</v>
      </c>
      <c r="B4" s="176" t="s">
        <v>378</v>
      </c>
      <c r="C4" s="278" t="s">
        <v>63</v>
      </c>
    </row>
    <row r="5" spans="1:5" s="47" customFormat="1" ht="15.95" customHeight="1" thickBot="1" x14ac:dyDescent="0.3">
      <c r="A5" s="96"/>
      <c r="B5" s="96"/>
      <c r="C5" s="97" t="s">
        <v>558</v>
      </c>
    </row>
    <row r="6" spans="1:5" ht="13.5" thickBot="1" x14ac:dyDescent="0.25">
      <c r="A6" s="198" t="s">
        <v>168</v>
      </c>
      <c r="B6" s="98" t="s">
        <v>56</v>
      </c>
      <c r="C6" s="178" t="s">
        <v>57</v>
      </c>
    </row>
    <row r="7" spans="1:5" s="39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5" s="39" customFormat="1" ht="15.95" customHeight="1" thickBot="1" x14ac:dyDescent="0.25">
      <c r="A8" s="100"/>
      <c r="B8" s="101" t="s">
        <v>58</v>
      </c>
      <c r="C8" s="179"/>
    </row>
    <row r="9" spans="1:5" s="39" customFormat="1" ht="12" customHeight="1" thickBot="1" x14ac:dyDescent="0.25">
      <c r="A9" s="27" t="s">
        <v>21</v>
      </c>
      <c r="B9" s="19" t="s">
        <v>195</v>
      </c>
      <c r="C9" s="298">
        <f>+C10+C11+C12+C13+C14+C15</f>
        <v>183403360</v>
      </c>
      <c r="D9" s="1274">
        <f>'1.3.sz.mell.'!D11</f>
        <v>183403360</v>
      </c>
      <c r="E9" s="1173">
        <f>C9-D9</f>
        <v>0</v>
      </c>
    </row>
    <row r="10" spans="1:5" s="48" customFormat="1" ht="12" customHeight="1" x14ac:dyDescent="0.2">
      <c r="A10" s="221" t="s">
        <v>100</v>
      </c>
      <c r="B10" s="207" t="s">
        <v>196</v>
      </c>
      <c r="C10" s="300"/>
      <c r="D10" s="1274">
        <f>'1.3.sz.mell.'!D12</f>
        <v>0</v>
      </c>
      <c r="E10" s="1173">
        <f t="shared" ref="E10:E73" si="0">C10-D10</f>
        <v>0</v>
      </c>
    </row>
    <row r="11" spans="1:5" s="49" customFormat="1" ht="12" customHeight="1" x14ac:dyDescent="0.2">
      <c r="A11" s="222" t="s">
        <v>101</v>
      </c>
      <c r="B11" s="208" t="s">
        <v>197</v>
      </c>
      <c r="C11" s="119"/>
      <c r="D11" s="1274">
        <f>'1.3.sz.mell.'!D13</f>
        <v>0</v>
      </c>
      <c r="E11" s="1173">
        <f t="shared" si="0"/>
        <v>0</v>
      </c>
    </row>
    <row r="12" spans="1:5" s="49" customFormat="1" ht="12" customHeight="1" x14ac:dyDescent="0.2">
      <c r="A12" s="222" t="s">
        <v>102</v>
      </c>
      <c r="B12" s="208" t="s">
        <v>198</v>
      </c>
      <c r="C12" s="119">
        <v>183403360</v>
      </c>
      <c r="D12" s="1274">
        <f>'1.3.sz.mell.'!D14</f>
        <v>183403360</v>
      </c>
      <c r="E12" s="1173">
        <f t="shared" si="0"/>
        <v>0</v>
      </c>
    </row>
    <row r="13" spans="1:5" s="49" customFormat="1" ht="12" customHeight="1" x14ac:dyDescent="0.2">
      <c r="A13" s="222" t="s">
        <v>103</v>
      </c>
      <c r="B13" s="208" t="s">
        <v>199</v>
      </c>
      <c r="C13" s="119"/>
      <c r="D13" s="1274">
        <f>'1.3.sz.mell.'!D15</f>
        <v>0</v>
      </c>
      <c r="E13" s="1173">
        <f t="shared" si="0"/>
        <v>0</v>
      </c>
    </row>
    <row r="14" spans="1:5" s="49" customFormat="1" ht="12" customHeight="1" x14ac:dyDescent="0.2">
      <c r="A14" s="222" t="s">
        <v>126</v>
      </c>
      <c r="B14" s="208" t="s">
        <v>508</v>
      </c>
      <c r="C14" s="282"/>
      <c r="D14" s="1274">
        <f>'1.3.sz.mell.'!D16</f>
        <v>0</v>
      </c>
      <c r="E14" s="1173">
        <f t="shared" si="0"/>
        <v>0</v>
      </c>
    </row>
    <row r="15" spans="1:5" s="48" customFormat="1" ht="12" customHeight="1" thickBot="1" x14ac:dyDescent="0.25">
      <c r="A15" s="223" t="s">
        <v>104</v>
      </c>
      <c r="B15" s="209" t="s">
        <v>451</v>
      </c>
      <c r="C15" s="119"/>
      <c r="D15" s="1274">
        <f>'1.3.sz.mell.'!D17</f>
        <v>0</v>
      </c>
      <c r="E15" s="1173">
        <f t="shared" si="0"/>
        <v>0</v>
      </c>
    </row>
    <row r="16" spans="1:5" s="48" customFormat="1" ht="12" customHeight="1" thickBot="1" x14ac:dyDescent="0.25">
      <c r="A16" s="27" t="s">
        <v>22</v>
      </c>
      <c r="B16" s="125" t="s">
        <v>200</v>
      </c>
      <c r="C16" s="298">
        <f>+C17+C18+C19+C20+C21</f>
        <v>113272668</v>
      </c>
      <c r="D16" s="1274">
        <f>'1.3.sz.mell.'!D18</f>
        <v>113272668</v>
      </c>
      <c r="E16" s="1173">
        <f t="shared" si="0"/>
        <v>0</v>
      </c>
    </row>
    <row r="17" spans="1:5" s="48" customFormat="1" ht="12" customHeight="1" x14ac:dyDescent="0.2">
      <c r="A17" s="221" t="s">
        <v>106</v>
      </c>
      <c r="B17" s="207" t="s">
        <v>201</v>
      </c>
      <c r="C17" s="300"/>
      <c r="D17" s="1274">
        <f>'1.3.sz.mell.'!D19</f>
        <v>0</v>
      </c>
      <c r="E17" s="1173">
        <f t="shared" si="0"/>
        <v>0</v>
      </c>
    </row>
    <row r="18" spans="1:5" s="48" customFormat="1" ht="12" customHeight="1" x14ac:dyDescent="0.2">
      <c r="A18" s="222" t="s">
        <v>107</v>
      </c>
      <c r="B18" s="208" t="s">
        <v>202</v>
      </c>
      <c r="C18" s="119"/>
      <c r="D18" s="1274">
        <f>'1.3.sz.mell.'!D20</f>
        <v>0</v>
      </c>
      <c r="E18" s="1173">
        <f t="shared" si="0"/>
        <v>0</v>
      </c>
    </row>
    <row r="19" spans="1:5" s="48" customFormat="1" ht="12" customHeight="1" x14ac:dyDescent="0.2">
      <c r="A19" s="222" t="s">
        <v>108</v>
      </c>
      <c r="B19" s="208" t="s">
        <v>370</v>
      </c>
      <c r="C19" s="119"/>
      <c r="D19" s="1274">
        <f>'1.3.sz.mell.'!D21</f>
        <v>0</v>
      </c>
      <c r="E19" s="1173">
        <f t="shared" si="0"/>
        <v>0</v>
      </c>
    </row>
    <row r="20" spans="1:5" s="48" customFormat="1" ht="12" customHeight="1" x14ac:dyDescent="0.2">
      <c r="A20" s="222" t="s">
        <v>109</v>
      </c>
      <c r="B20" s="208" t="s">
        <v>371</v>
      </c>
      <c r="C20" s="119"/>
      <c r="D20" s="1274">
        <f>'1.3.sz.mell.'!D22</f>
        <v>0</v>
      </c>
      <c r="E20" s="1173">
        <f t="shared" si="0"/>
        <v>0</v>
      </c>
    </row>
    <row r="21" spans="1:5" s="48" customFormat="1" ht="12" customHeight="1" x14ac:dyDescent="0.2">
      <c r="A21" s="222" t="s">
        <v>110</v>
      </c>
      <c r="B21" s="208" t="s">
        <v>203</v>
      </c>
      <c r="C21" s="282">
        <v>113272668</v>
      </c>
      <c r="D21" s="1274">
        <f>'1.3.sz.mell.'!D23</f>
        <v>113272668</v>
      </c>
      <c r="E21" s="1173">
        <f t="shared" si="0"/>
        <v>0</v>
      </c>
    </row>
    <row r="22" spans="1:5" s="49" customFormat="1" ht="12" customHeight="1" thickBot="1" x14ac:dyDescent="0.25">
      <c r="A22" s="223" t="s">
        <v>119</v>
      </c>
      <c r="B22" s="209" t="s">
        <v>204</v>
      </c>
      <c r="C22" s="286"/>
      <c r="D22" s="1274">
        <f>'1.3.sz.mell.'!D24</f>
        <v>0</v>
      </c>
      <c r="E22" s="1173">
        <f t="shared" si="0"/>
        <v>0</v>
      </c>
    </row>
    <row r="23" spans="1:5" s="49" customFormat="1" ht="12" customHeight="1" thickBot="1" x14ac:dyDescent="0.25">
      <c r="A23" s="27" t="s">
        <v>23</v>
      </c>
      <c r="B23" s="19" t="s">
        <v>205</v>
      </c>
      <c r="C23" s="298">
        <f>+C24+C25+C26+C27+C28</f>
        <v>0</v>
      </c>
      <c r="D23" s="1274">
        <f>'1.3.sz.mell.'!D25</f>
        <v>0</v>
      </c>
      <c r="E23" s="1173">
        <f t="shared" si="0"/>
        <v>0</v>
      </c>
    </row>
    <row r="24" spans="1:5" s="49" customFormat="1" ht="12" customHeight="1" x14ac:dyDescent="0.2">
      <c r="A24" s="221" t="s">
        <v>89</v>
      </c>
      <c r="B24" s="207" t="s">
        <v>206</v>
      </c>
      <c r="C24" s="300"/>
      <c r="D24" s="1274">
        <f>'1.3.sz.mell.'!D26</f>
        <v>0</v>
      </c>
      <c r="E24" s="1173">
        <f t="shared" si="0"/>
        <v>0</v>
      </c>
    </row>
    <row r="25" spans="1:5" s="48" customFormat="1" ht="12" customHeight="1" x14ac:dyDescent="0.2">
      <c r="A25" s="222" t="s">
        <v>90</v>
      </c>
      <c r="B25" s="208" t="s">
        <v>207</v>
      </c>
      <c r="C25" s="119"/>
      <c r="D25" s="1274">
        <f>'1.3.sz.mell.'!D27</f>
        <v>0</v>
      </c>
      <c r="E25" s="1173">
        <f t="shared" si="0"/>
        <v>0</v>
      </c>
    </row>
    <row r="26" spans="1:5" s="49" customFormat="1" ht="12" customHeight="1" x14ac:dyDescent="0.2">
      <c r="A26" s="222" t="s">
        <v>91</v>
      </c>
      <c r="B26" s="208" t="s">
        <v>372</v>
      </c>
      <c r="C26" s="119"/>
      <c r="D26" s="1274">
        <f>'1.3.sz.mell.'!D28</f>
        <v>0</v>
      </c>
      <c r="E26" s="1173">
        <f t="shared" si="0"/>
        <v>0</v>
      </c>
    </row>
    <row r="27" spans="1:5" s="49" customFormat="1" ht="12" customHeight="1" x14ac:dyDescent="0.2">
      <c r="A27" s="222" t="s">
        <v>92</v>
      </c>
      <c r="B27" s="208" t="s">
        <v>373</v>
      </c>
      <c r="C27" s="119"/>
      <c r="D27" s="1274">
        <f>'1.3.sz.mell.'!D29</f>
        <v>0</v>
      </c>
      <c r="E27" s="1173">
        <f t="shared" si="0"/>
        <v>0</v>
      </c>
    </row>
    <row r="28" spans="1:5" s="49" customFormat="1" ht="12" customHeight="1" x14ac:dyDescent="0.2">
      <c r="A28" s="222" t="s">
        <v>137</v>
      </c>
      <c r="B28" s="208" t="s">
        <v>208</v>
      </c>
      <c r="C28" s="282"/>
      <c r="D28" s="1274">
        <f>'1.3.sz.mell.'!D30</f>
        <v>0</v>
      </c>
      <c r="E28" s="1173">
        <f t="shared" si="0"/>
        <v>0</v>
      </c>
    </row>
    <row r="29" spans="1:5" s="49" customFormat="1" ht="12" customHeight="1" thickBot="1" x14ac:dyDescent="0.25">
      <c r="A29" s="223" t="s">
        <v>138</v>
      </c>
      <c r="B29" s="209" t="s">
        <v>209</v>
      </c>
      <c r="C29" s="286"/>
      <c r="D29" s="1274">
        <f>'1.3.sz.mell.'!D31</f>
        <v>0</v>
      </c>
      <c r="E29" s="1173">
        <f t="shared" si="0"/>
        <v>0</v>
      </c>
    </row>
    <row r="30" spans="1:5" s="49" customFormat="1" ht="12" customHeight="1" thickBot="1" x14ac:dyDescent="0.25">
      <c r="A30" s="27" t="s">
        <v>139</v>
      </c>
      <c r="B30" s="19" t="s">
        <v>661</v>
      </c>
      <c r="C30" s="301">
        <f>+C31+C35+C36+C37</f>
        <v>0</v>
      </c>
      <c r="D30" s="1274">
        <f>'1.3.sz.mell.'!D32</f>
        <v>0</v>
      </c>
      <c r="E30" s="1173">
        <f t="shared" si="0"/>
        <v>0</v>
      </c>
    </row>
    <row r="31" spans="1:5" s="49" customFormat="1" ht="12" customHeight="1" x14ac:dyDescent="0.2">
      <c r="A31" s="221" t="s">
        <v>211</v>
      </c>
      <c r="B31" s="207" t="s">
        <v>656</v>
      </c>
      <c r="C31" s="316">
        <f>SUM(C32:C33)</f>
        <v>0</v>
      </c>
      <c r="D31" s="1274">
        <f>'1.3.sz.mell.'!D33</f>
        <v>0</v>
      </c>
      <c r="E31" s="1173">
        <f t="shared" si="0"/>
        <v>0</v>
      </c>
    </row>
    <row r="32" spans="1:5" s="49" customFormat="1" ht="12" customHeight="1" x14ac:dyDescent="0.2">
      <c r="A32" s="222" t="s">
        <v>212</v>
      </c>
      <c r="B32" s="208" t="s">
        <v>217</v>
      </c>
      <c r="C32" s="119"/>
      <c r="D32" s="1274">
        <f>'1.3.sz.mell.'!D34</f>
        <v>0</v>
      </c>
      <c r="E32" s="1173">
        <f t="shared" si="0"/>
        <v>0</v>
      </c>
    </row>
    <row r="33" spans="1:5" s="49" customFormat="1" ht="12" customHeight="1" x14ac:dyDescent="0.2">
      <c r="A33" s="222" t="s">
        <v>213</v>
      </c>
      <c r="B33" s="266" t="s">
        <v>655</v>
      </c>
      <c r="C33" s="119"/>
      <c r="D33" s="1274">
        <f>'1.3.sz.mell.'!D35</f>
        <v>0</v>
      </c>
      <c r="E33" s="1173">
        <f t="shared" si="0"/>
        <v>0</v>
      </c>
    </row>
    <row r="34" spans="1:5" s="49" customFormat="1" ht="12" customHeight="1" x14ac:dyDescent="0.2">
      <c r="A34" s="222" t="s">
        <v>214</v>
      </c>
      <c r="B34" s="208" t="s">
        <v>538</v>
      </c>
      <c r="C34" s="119"/>
      <c r="D34" s="1274">
        <f>'1.3.sz.mell.'!D36</f>
        <v>0</v>
      </c>
      <c r="E34" s="1173">
        <f t="shared" si="0"/>
        <v>0</v>
      </c>
    </row>
    <row r="35" spans="1:5" s="49" customFormat="1" ht="12" customHeight="1" x14ac:dyDescent="0.2">
      <c r="A35" s="222" t="s">
        <v>539</v>
      </c>
      <c r="B35" s="208" t="s">
        <v>218</v>
      </c>
      <c r="C35" s="119"/>
      <c r="D35" s="1274">
        <f>'1.3.sz.mell.'!D37</f>
        <v>0</v>
      </c>
      <c r="E35" s="1173">
        <f t="shared" si="0"/>
        <v>0</v>
      </c>
    </row>
    <row r="36" spans="1:5" s="49" customFormat="1" ht="12" customHeight="1" x14ac:dyDescent="0.2">
      <c r="A36" s="222" t="s">
        <v>216</v>
      </c>
      <c r="B36" s="208" t="s">
        <v>219</v>
      </c>
      <c r="C36" s="119"/>
      <c r="D36" s="1274">
        <f>'1.3.sz.mell.'!D38</f>
        <v>0</v>
      </c>
      <c r="E36" s="1173">
        <f t="shared" si="0"/>
        <v>0</v>
      </c>
    </row>
    <row r="37" spans="1:5" s="49" customFormat="1" ht="12" customHeight="1" thickBot="1" x14ac:dyDescent="0.25">
      <c r="A37" s="223" t="s">
        <v>540</v>
      </c>
      <c r="B37" s="209" t="s">
        <v>220</v>
      </c>
      <c r="C37" s="120"/>
      <c r="D37" s="1274">
        <f>'1.3.sz.mell.'!D39</f>
        <v>0</v>
      </c>
      <c r="E37" s="1173">
        <f t="shared" si="0"/>
        <v>0</v>
      </c>
    </row>
    <row r="38" spans="1:5" s="49" customFormat="1" ht="12" customHeight="1" thickBot="1" x14ac:dyDescent="0.25">
      <c r="A38" s="27" t="s">
        <v>25</v>
      </c>
      <c r="B38" s="19" t="s">
        <v>452</v>
      </c>
      <c r="C38" s="298">
        <f>SUM(C39:C49)</f>
        <v>5465000</v>
      </c>
      <c r="D38" s="1274">
        <f>'1.3.sz.mell.'!D40</f>
        <v>5465000</v>
      </c>
      <c r="E38" s="1173">
        <f t="shared" si="0"/>
        <v>0</v>
      </c>
    </row>
    <row r="39" spans="1:5" s="49" customFormat="1" ht="12" customHeight="1" x14ac:dyDescent="0.2">
      <c r="A39" s="221" t="s">
        <v>93</v>
      </c>
      <c r="B39" s="207" t="s">
        <v>223</v>
      </c>
      <c r="C39" s="300"/>
      <c r="D39" s="1274">
        <f>'1.3.sz.mell.'!D41</f>
        <v>0</v>
      </c>
      <c r="E39" s="1173">
        <f t="shared" si="0"/>
        <v>0</v>
      </c>
    </row>
    <row r="40" spans="1:5" s="49" customFormat="1" ht="12" customHeight="1" x14ac:dyDescent="0.2">
      <c r="A40" s="222" t="s">
        <v>94</v>
      </c>
      <c r="B40" s="208" t="s">
        <v>224</v>
      </c>
      <c r="C40" s="282">
        <v>4303149</v>
      </c>
      <c r="D40" s="1274">
        <f>'1.3.sz.mell.'!D42</f>
        <v>4303149</v>
      </c>
      <c r="E40" s="1173">
        <f t="shared" si="0"/>
        <v>0</v>
      </c>
    </row>
    <row r="41" spans="1:5" s="49" customFormat="1" ht="12" customHeight="1" x14ac:dyDescent="0.2">
      <c r="A41" s="222" t="s">
        <v>95</v>
      </c>
      <c r="B41" s="208" t="s">
        <v>225</v>
      </c>
      <c r="C41" s="282"/>
      <c r="D41" s="1274">
        <f>'1.3.sz.mell.'!D43</f>
        <v>0</v>
      </c>
      <c r="E41" s="1173">
        <f t="shared" si="0"/>
        <v>0</v>
      </c>
    </row>
    <row r="42" spans="1:5" s="49" customFormat="1" ht="12" customHeight="1" x14ac:dyDescent="0.2">
      <c r="A42" s="222" t="s">
        <v>141</v>
      </c>
      <c r="B42" s="208" t="s">
        <v>226</v>
      </c>
      <c r="C42" s="119"/>
      <c r="D42" s="1274">
        <f>'1.3.sz.mell.'!D44</f>
        <v>0</v>
      </c>
      <c r="E42" s="1173">
        <f t="shared" si="0"/>
        <v>0</v>
      </c>
    </row>
    <row r="43" spans="1:5" s="49" customFormat="1" ht="12" customHeight="1" x14ac:dyDescent="0.2">
      <c r="A43" s="222" t="s">
        <v>142</v>
      </c>
      <c r="B43" s="208" t="s">
        <v>227</v>
      </c>
      <c r="C43" s="119"/>
      <c r="D43" s="1274">
        <f>'1.3.sz.mell.'!D45</f>
        <v>0</v>
      </c>
      <c r="E43" s="1173">
        <f t="shared" si="0"/>
        <v>0</v>
      </c>
    </row>
    <row r="44" spans="1:5" s="49" customFormat="1" ht="12" customHeight="1" x14ac:dyDescent="0.2">
      <c r="A44" s="222" t="s">
        <v>143</v>
      </c>
      <c r="B44" s="208" t="s">
        <v>228</v>
      </c>
      <c r="C44" s="119">
        <v>1161851</v>
      </c>
      <c r="D44" s="1274">
        <f>'1.3.sz.mell.'!D46</f>
        <v>1161851</v>
      </c>
      <c r="E44" s="1173">
        <f t="shared" si="0"/>
        <v>0</v>
      </c>
    </row>
    <row r="45" spans="1:5" s="49" customFormat="1" ht="12" customHeight="1" x14ac:dyDescent="0.2">
      <c r="A45" s="222" t="s">
        <v>144</v>
      </c>
      <c r="B45" s="208" t="s">
        <v>229</v>
      </c>
      <c r="C45" s="119"/>
      <c r="D45" s="1274">
        <f>'1.3.sz.mell.'!D47</f>
        <v>0</v>
      </c>
      <c r="E45" s="1173">
        <f t="shared" si="0"/>
        <v>0</v>
      </c>
    </row>
    <row r="46" spans="1:5" s="49" customFormat="1" ht="12" customHeight="1" x14ac:dyDescent="0.2">
      <c r="A46" s="222" t="s">
        <v>145</v>
      </c>
      <c r="B46" s="208" t="s">
        <v>230</v>
      </c>
      <c r="C46" s="119"/>
      <c r="D46" s="1274">
        <f>'1.3.sz.mell.'!D48</f>
        <v>0</v>
      </c>
      <c r="E46" s="1173">
        <f t="shared" si="0"/>
        <v>0</v>
      </c>
    </row>
    <row r="47" spans="1:5" s="49" customFormat="1" ht="12" customHeight="1" x14ac:dyDescent="0.2">
      <c r="A47" s="222" t="s">
        <v>221</v>
      </c>
      <c r="B47" s="208" t="s">
        <v>231</v>
      </c>
      <c r="C47" s="282"/>
      <c r="D47" s="1274">
        <f>'1.3.sz.mell.'!D49</f>
        <v>0</v>
      </c>
      <c r="E47" s="1173">
        <f t="shared" si="0"/>
        <v>0</v>
      </c>
    </row>
    <row r="48" spans="1:5" s="49" customFormat="1" ht="12" customHeight="1" x14ac:dyDescent="0.2">
      <c r="A48" s="223" t="s">
        <v>222</v>
      </c>
      <c r="B48" s="209" t="s">
        <v>453</v>
      </c>
      <c r="C48" s="286"/>
      <c r="D48" s="1274">
        <f>'1.3.sz.mell.'!D50</f>
        <v>0</v>
      </c>
      <c r="E48" s="1173">
        <f t="shared" si="0"/>
        <v>0</v>
      </c>
    </row>
    <row r="49" spans="1:5" s="49" customFormat="1" ht="12" customHeight="1" thickBot="1" x14ac:dyDescent="0.25">
      <c r="A49" s="223" t="s">
        <v>454</v>
      </c>
      <c r="B49" s="209" t="s">
        <v>232</v>
      </c>
      <c r="C49" s="286"/>
      <c r="D49" s="1274">
        <f>'1.3.sz.mell.'!D51</f>
        <v>0</v>
      </c>
      <c r="E49" s="1173">
        <f t="shared" si="0"/>
        <v>0</v>
      </c>
    </row>
    <row r="50" spans="1:5" s="49" customFormat="1" ht="12" customHeight="1" thickBot="1" x14ac:dyDescent="0.25">
      <c r="A50" s="27" t="s">
        <v>26</v>
      </c>
      <c r="B50" s="19" t="s">
        <v>233</v>
      </c>
      <c r="C50" s="298">
        <f>SUM(C51:C55)</f>
        <v>0</v>
      </c>
      <c r="D50" s="1274">
        <f>'1.3.sz.mell.'!D52</f>
        <v>0</v>
      </c>
      <c r="E50" s="1173">
        <f t="shared" si="0"/>
        <v>0</v>
      </c>
    </row>
    <row r="51" spans="1:5" s="49" customFormat="1" ht="12" customHeight="1" x14ac:dyDescent="0.2">
      <c r="A51" s="221" t="s">
        <v>96</v>
      </c>
      <c r="B51" s="207" t="s">
        <v>237</v>
      </c>
      <c r="C51" s="302"/>
      <c r="D51" s="1274">
        <f>'1.3.sz.mell.'!D53</f>
        <v>0</v>
      </c>
      <c r="E51" s="1173">
        <f t="shared" si="0"/>
        <v>0</v>
      </c>
    </row>
    <row r="52" spans="1:5" s="49" customFormat="1" ht="12" customHeight="1" x14ac:dyDescent="0.2">
      <c r="A52" s="222" t="s">
        <v>97</v>
      </c>
      <c r="B52" s="208" t="s">
        <v>238</v>
      </c>
      <c r="C52" s="282"/>
      <c r="D52" s="1274">
        <f>'1.3.sz.mell.'!D54</f>
        <v>0</v>
      </c>
      <c r="E52" s="1173">
        <f t="shared" si="0"/>
        <v>0</v>
      </c>
    </row>
    <row r="53" spans="1:5" s="49" customFormat="1" ht="12" customHeight="1" x14ac:dyDescent="0.2">
      <c r="A53" s="222" t="s">
        <v>234</v>
      </c>
      <c r="B53" s="208" t="s">
        <v>239</v>
      </c>
      <c r="C53" s="282"/>
      <c r="D53" s="1274">
        <f>'1.3.sz.mell.'!D55</f>
        <v>0</v>
      </c>
      <c r="E53" s="1173">
        <f t="shared" si="0"/>
        <v>0</v>
      </c>
    </row>
    <row r="54" spans="1:5" s="49" customFormat="1" ht="12" customHeight="1" x14ac:dyDescent="0.2">
      <c r="A54" s="222" t="s">
        <v>235</v>
      </c>
      <c r="B54" s="208" t="s">
        <v>240</v>
      </c>
      <c r="C54" s="282"/>
      <c r="D54" s="1274">
        <f>'1.3.sz.mell.'!D56</f>
        <v>0</v>
      </c>
      <c r="E54" s="1173">
        <f t="shared" si="0"/>
        <v>0</v>
      </c>
    </row>
    <row r="55" spans="1:5" s="49" customFormat="1" ht="12" customHeight="1" thickBot="1" x14ac:dyDescent="0.25">
      <c r="A55" s="223" t="s">
        <v>236</v>
      </c>
      <c r="B55" s="209" t="s">
        <v>241</v>
      </c>
      <c r="C55" s="286"/>
      <c r="D55" s="1274">
        <f>'1.3.sz.mell.'!D57</f>
        <v>0</v>
      </c>
      <c r="E55" s="1173">
        <f t="shared" si="0"/>
        <v>0</v>
      </c>
    </row>
    <row r="56" spans="1:5" s="49" customFormat="1" ht="12" customHeight="1" thickBot="1" x14ac:dyDescent="0.25">
      <c r="A56" s="27" t="s">
        <v>146</v>
      </c>
      <c r="B56" s="19" t="s">
        <v>242</v>
      </c>
      <c r="C56" s="298">
        <f>SUM(C57:C59)</f>
        <v>1075000</v>
      </c>
      <c r="D56" s="1274">
        <f>'1.3.sz.mell.'!D58</f>
        <v>1075000</v>
      </c>
      <c r="E56" s="1173">
        <f t="shared" si="0"/>
        <v>0</v>
      </c>
    </row>
    <row r="57" spans="1:5" s="49" customFormat="1" ht="12" customHeight="1" x14ac:dyDescent="0.2">
      <c r="A57" s="221" t="s">
        <v>98</v>
      </c>
      <c r="B57" s="207" t="s">
        <v>243</v>
      </c>
      <c r="C57" s="300"/>
      <c r="D57" s="1274">
        <f>'1.3.sz.mell.'!D59</f>
        <v>0</v>
      </c>
      <c r="E57" s="1173">
        <f t="shared" si="0"/>
        <v>0</v>
      </c>
    </row>
    <row r="58" spans="1:5" s="49" customFormat="1" ht="12" customHeight="1" x14ac:dyDescent="0.2">
      <c r="A58" s="222" t="s">
        <v>99</v>
      </c>
      <c r="B58" s="208" t="s">
        <v>374</v>
      </c>
      <c r="C58" s="282">
        <v>400000</v>
      </c>
      <c r="D58" s="1274">
        <f>'1.3.sz.mell.'!D60</f>
        <v>400000</v>
      </c>
      <c r="E58" s="1173">
        <f t="shared" si="0"/>
        <v>0</v>
      </c>
    </row>
    <row r="59" spans="1:5" s="49" customFormat="1" ht="12" customHeight="1" x14ac:dyDescent="0.2">
      <c r="A59" s="222" t="s">
        <v>246</v>
      </c>
      <c r="B59" s="208" t="s">
        <v>244</v>
      </c>
      <c r="C59" s="282">
        <v>675000</v>
      </c>
      <c r="D59" s="1274">
        <f>'1.3.sz.mell.'!D61</f>
        <v>675000</v>
      </c>
      <c r="E59" s="1173">
        <f t="shared" si="0"/>
        <v>0</v>
      </c>
    </row>
    <row r="60" spans="1:5" s="49" customFormat="1" ht="12" customHeight="1" thickBot="1" x14ac:dyDescent="0.25">
      <c r="A60" s="223" t="s">
        <v>247</v>
      </c>
      <c r="B60" s="209" t="s">
        <v>245</v>
      </c>
      <c r="C60" s="120"/>
      <c r="D60" s="1274">
        <f>'1.3.sz.mell.'!D62</f>
        <v>0</v>
      </c>
      <c r="E60" s="1173">
        <f t="shared" si="0"/>
        <v>0</v>
      </c>
    </row>
    <row r="61" spans="1:5" s="49" customFormat="1" ht="12" customHeight="1" thickBot="1" x14ac:dyDescent="0.25">
      <c r="A61" s="27" t="s">
        <v>28</v>
      </c>
      <c r="B61" s="125" t="s">
        <v>248</v>
      </c>
      <c r="C61" s="298">
        <f>SUM(C62:C64)</f>
        <v>0</v>
      </c>
      <c r="D61" s="1274">
        <f>'1.3.sz.mell.'!D63</f>
        <v>0</v>
      </c>
      <c r="E61" s="1173">
        <f t="shared" si="0"/>
        <v>0</v>
      </c>
    </row>
    <row r="62" spans="1:5" s="49" customFormat="1" ht="12" customHeight="1" x14ac:dyDescent="0.2">
      <c r="A62" s="221" t="s">
        <v>147</v>
      </c>
      <c r="B62" s="207" t="s">
        <v>250</v>
      </c>
      <c r="C62" s="282"/>
      <c r="D62" s="1274">
        <f>'1.3.sz.mell.'!D64</f>
        <v>0</v>
      </c>
      <c r="E62" s="1173">
        <f t="shared" si="0"/>
        <v>0</v>
      </c>
    </row>
    <row r="63" spans="1:5" s="49" customFormat="1" ht="12" customHeight="1" x14ac:dyDescent="0.2">
      <c r="A63" s="222" t="s">
        <v>148</v>
      </c>
      <c r="B63" s="208" t="s">
        <v>375</v>
      </c>
      <c r="C63" s="282"/>
      <c r="D63" s="1274">
        <f>'1.3.sz.mell.'!D65</f>
        <v>0</v>
      </c>
      <c r="E63" s="1173">
        <f t="shared" si="0"/>
        <v>0</v>
      </c>
    </row>
    <row r="64" spans="1:5" s="49" customFormat="1" ht="12" customHeight="1" x14ac:dyDescent="0.2">
      <c r="A64" s="222" t="s">
        <v>174</v>
      </c>
      <c r="B64" s="208" t="s">
        <v>251</v>
      </c>
      <c r="C64" s="282"/>
      <c r="D64" s="1274">
        <f>'1.3.sz.mell.'!D66</f>
        <v>0</v>
      </c>
      <c r="E64" s="1173">
        <f t="shared" si="0"/>
        <v>0</v>
      </c>
    </row>
    <row r="65" spans="1:5" s="49" customFormat="1" ht="12" customHeight="1" thickBot="1" x14ac:dyDescent="0.25">
      <c r="A65" s="223" t="s">
        <v>249</v>
      </c>
      <c r="B65" s="209" t="s">
        <v>252</v>
      </c>
      <c r="C65" s="282"/>
      <c r="D65" s="1274">
        <f>'1.3.sz.mell.'!D67</f>
        <v>0</v>
      </c>
      <c r="E65" s="1173">
        <f t="shared" si="0"/>
        <v>0</v>
      </c>
    </row>
    <row r="66" spans="1:5" s="49" customFormat="1" ht="12" customHeight="1" thickBot="1" x14ac:dyDescent="0.25">
      <c r="A66" s="27" t="s">
        <v>29</v>
      </c>
      <c r="B66" s="19" t="s">
        <v>253</v>
      </c>
      <c r="C66" s="301">
        <f>+C9+C16+C23+C30+C38+C50+C56+C61</f>
        <v>303216028</v>
      </c>
      <c r="D66" s="1274">
        <f>'1.3.sz.mell.'!D68</f>
        <v>303216028</v>
      </c>
      <c r="E66" s="1173">
        <f t="shared" si="0"/>
        <v>0</v>
      </c>
    </row>
    <row r="67" spans="1:5" s="49" customFormat="1" ht="12" customHeight="1" thickBot="1" x14ac:dyDescent="0.2">
      <c r="A67" s="224" t="s">
        <v>343</v>
      </c>
      <c r="B67" s="125" t="s">
        <v>255</v>
      </c>
      <c r="C67" s="298">
        <f>SUM(C68:C70)</f>
        <v>0</v>
      </c>
      <c r="D67" s="1274">
        <f>'1.3.sz.mell.'!D69</f>
        <v>0</v>
      </c>
      <c r="E67" s="1173">
        <f t="shared" si="0"/>
        <v>0</v>
      </c>
    </row>
    <row r="68" spans="1:5" s="49" customFormat="1" ht="12" customHeight="1" x14ac:dyDescent="0.2">
      <c r="A68" s="221" t="s">
        <v>286</v>
      </c>
      <c r="B68" s="207" t="s">
        <v>256</v>
      </c>
      <c r="C68" s="282"/>
      <c r="D68" s="1274">
        <f>'1.3.sz.mell.'!D70</f>
        <v>0</v>
      </c>
      <c r="E68" s="1173">
        <f t="shared" si="0"/>
        <v>0</v>
      </c>
    </row>
    <row r="69" spans="1:5" s="49" customFormat="1" ht="12" customHeight="1" x14ac:dyDescent="0.2">
      <c r="A69" s="222" t="s">
        <v>295</v>
      </c>
      <c r="B69" s="208" t="s">
        <v>257</v>
      </c>
      <c r="C69" s="282"/>
      <c r="D69" s="1274">
        <f>'1.3.sz.mell.'!D71</f>
        <v>0</v>
      </c>
      <c r="E69" s="1173">
        <f t="shared" si="0"/>
        <v>0</v>
      </c>
    </row>
    <row r="70" spans="1:5" s="49" customFormat="1" ht="12" customHeight="1" thickBot="1" x14ac:dyDescent="0.25">
      <c r="A70" s="223" t="s">
        <v>296</v>
      </c>
      <c r="B70" s="210" t="s">
        <v>258</v>
      </c>
      <c r="C70" s="282"/>
      <c r="D70" s="1274">
        <f>'1.3.sz.mell.'!D72</f>
        <v>0</v>
      </c>
      <c r="E70" s="1173">
        <f t="shared" si="0"/>
        <v>0</v>
      </c>
    </row>
    <row r="71" spans="1:5" s="49" customFormat="1" ht="12" customHeight="1" thickBot="1" x14ac:dyDescent="0.2">
      <c r="A71" s="224" t="s">
        <v>259</v>
      </c>
      <c r="B71" s="125" t="s">
        <v>260</v>
      </c>
      <c r="C71" s="298">
        <f>SUM(C72:C75)</f>
        <v>0</v>
      </c>
      <c r="D71" s="1274">
        <f>'1.3.sz.mell.'!D73</f>
        <v>0</v>
      </c>
      <c r="E71" s="1173">
        <f t="shared" si="0"/>
        <v>0</v>
      </c>
    </row>
    <row r="72" spans="1:5" s="49" customFormat="1" ht="12" customHeight="1" x14ac:dyDescent="0.2">
      <c r="A72" s="221" t="s">
        <v>127</v>
      </c>
      <c r="B72" s="207" t="s">
        <v>261</v>
      </c>
      <c r="C72" s="282"/>
      <c r="D72" s="1274">
        <f>'1.3.sz.mell.'!D74</f>
        <v>0</v>
      </c>
      <c r="E72" s="1173">
        <f t="shared" si="0"/>
        <v>0</v>
      </c>
    </row>
    <row r="73" spans="1:5" s="49" customFormat="1" ht="12" customHeight="1" x14ac:dyDescent="0.2">
      <c r="A73" s="222" t="s">
        <v>128</v>
      </c>
      <c r="B73" s="208" t="s">
        <v>262</v>
      </c>
      <c r="C73" s="282"/>
      <c r="D73" s="1274">
        <f>'1.3.sz.mell.'!D75</f>
        <v>0</v>
      </c>
      <c r="E73" s="1173">
        <f t="shared" si="0"/>
        <v>0</v>
      </c>
    </row>
    <row r="74" spans="1:5" s="49" customFormat="1" ht="12" customHeight="1" x14ac:dyDescent="0.2">
      <c r="A74" s="222" t="s">
        <v>287</v>
      </c>
      <c r="B74" s="208" t="s">
        <v>263</v>
      </c>
      <c r="C74" s="282"/>
      <c r="D74" s="1274">
        <f>'1.3.sz.mell.'!D76</f>
        <v>0</v>
      </c>
      <c r="E74" s="1173">
        <f t="shared" ref="E74:E137" si="1">C74-D74</f>
        <v>0</v>
      </c>
    </row>
    <row r="75" spans="1:5" s="49" customFormat="1" ht="12" customHeight="1" thickBot="1" x14ac:dyDescent="0.25">
      <c r="A75" s="223" t="s">
        <v>288</v>
      </c>
      <c r="B75" s="209" t="s">
        <v>264</v>
      </c>
      <c r="C75" s="282"/>
      <c r="D75" s="1274">
        <f>'1.3.sz.mell.'!D77</f>
        <v>0</v>
      </c>
      <c r="E75" s="1173">
        <f t="shared" si="1"/>
        <v>0</v>
      </c>
    </row>
    <row r="76" spans="1:5" s="49" customFormat="1" ht="12" customHeight="1" thickBot="1" x14ac:dyDescent="0.2">
      <c r="A76" s="224" t="s">
        <v>265</v>
      </c>
      <c r="B76" s="125" t="s">
        <v>266</v>
      </c>
      <c r="C76" s="298">
        <f>SUM(C77:C78)</f>
        <v>8179828</v>
      </c>
      <c r="D76" s="1274">
        <f>'1.3.sz.mell.'!D78</f>
        <v>8179828</v>
      </c>
      <c r="E76" s="1173">
        <f t="shared" si="1"/>
        <v>0</v>
      </c>
    </row>
    <row r="77" spans="1:5" s="49" customFormat="1" ht="12" customHeight="1" x14ac:dyDescent="0.2">
      <c r="A77" s="221" t="s">
        <v>289</v>
      </c>
      <c r="B77" s="207" t="s">
        <v>267</v>
      </c>
      <c r="C77" s="282">
        <v>8179828</v>
      </c>
      <c r="D77" s="1274">
        <f>'1.3.sz.mell.'!D79</f>
        <v>8179828</v>
      </c>
      <c r="E77" s="1173">
        <f t="shared" si="1"/>
        <v>0</v>
      </c>
    </row>
    <row r="78" spans="1:5" s="49" customFormat="1" ht="12" customHeight="1" thickBot="1" x14ac:dyDescent="0.25">
      <c r="A78" s="223" t="s">
        <v>290</v>
      </c>
      <c r="B78" s="209" t="s">
        <v>268</v>
      </c>
      <c r="C78" s="282"/>
      <c r="D78" s="1274">
        <f>'1.3.sz.mell.'!D80</f>
        <v>0</v>
      </c>
      <c r="E78" s="1173">
        <f t="shared" si="1"/>
        <v>0</v>
      </c>
    </row>
    <row r="79" spans="1:5" s="48" customFormat="1" ht="12" customHeight="1" thickBot="1" x14ac:dyDescent="0.2">
      <c r="A79" s="224" t="s">
        <v>269</v>
      </c>
      <c r="B79" s="125" t="s">
        <v>270</v>
      </c>
      <c r="C79" s="298">
        <f>SUM(C80:C82)</f>
        <v>0</v>
      </c>
      <c r="D79" s="1274">
        <f>'1.3.sz.mell.'!D81</f>
        <v>0</v>
      </c>
      <c r="E79" s="1173">
        <f t="shared" si="1"/>
        <v>0</v>
      </c>
    </row>
    <row r="80" spans="1:5" s="49" customFormat="1" ht="12" customHeight="1" x14ac:dyDescent="0.2">
      <c r="A80" s="221" t="s">
        <v>291</v>
      </c>
      <c r="B80" s="207" t="s">
        <v>271</v>
      </c>
      <c r="C80" s="282"/>
      <c r="D80" s="1274">
        <f>'1.3.sz.mell.'!D82</f>
        <v>0</v>
      </c>
      <c r="E80" s="1173">
        <f t="shared" si="1"/>
        <v>0</v>
      </c>
    </row>
    <row r="81" spans="1:5" s="49" customFormat="1" ht="12" customHeight="1" x14ac:dyDescent="0.2">
      <c r="A81" s="222" t="s">
        <v>292</v>
      </c>
      <c r="B81" s="208" t="s">
        <v>272</v>
      </c>
      <c r="C81" s="282"/>
      <c r="D81" s="1274">
        <f>'1.3.sz.mell.'!D83</f>
        <v>0</v>
      </c>
      <c r="E81" s="1173">
        <f t="shared" si="1"/>
        <v>0</v>
      </c>
    </row>
    <row r="82" spans="1:5" s="49" customFormat="1" ht="12" customHeight="1" thickBot="1" x14ac:dyDescent="0.25">
      <c r="A82" s="223" t="s">
        <v>293</v>
      </c>
      <c r="B82" s="209" t="s">
        <v>273</v>
      </c>
      <c r="C82" s="282"/>
      <c r="D82" s="1274">
        <f>'1.3.sz.mell.'!D84</f>
        <v>0</v>
      </c>
      <c r="E82" s="1173">
        <f t="shared" si="1"/>
        <v>0</v>
      </c>
    </row>
    <row r="83" spans="1:5" s="49" customFormat="1" ht="12" customHeight="1" thickBot="1" x14ac:dyDescent="0.2">
      <c r="A83" s="224" t="s">
        <v>274</v>
      </c>
      <c r="B83" s="125" t="s">
        <v>294</v>
      </c>
      <c r="C83" s="298">
        <f>SUM(C84:C87)</f>
        <v>0</v>
      </c>
      <c r="D83" s="1274">
        <f>'1.3.sz.mell.'!D85</f>
        <v>0</v>
      </c>
      <c r="E83" s="1173">
        <f t="shared" si="1"/>
        <v>0</v>
      </c>
    </row>
    <row r="84" spans="1:5" s="49" customFormat="1" ht="12" customHeight="1" x14ac:dyDescent="0.2">
      <c r="A84" s="225" t="s">
        <v>275</v>
      </c>
      <c r="B84" s="207" t="s">
        <v>276</v>
      </c>
      <c r="C84" s="282"/>
      <c r="D84" s="1274">
        <f>'1.3.sz.mell.'!D86</f>
        <v>0</v>
      </c>
      <c r="E84" s="1173">
        <f t="shared" si="1"/>
        <v>0</v>
      </c>
    </row>
    <row r="85" spans="1:5" s="49" customFormat="1" ht="12" customHeight="1" x14ac:dyDescent="0.2">
      <c r="A85" s="226" t="s">
        <v>277</v>
      </c>
      <c r="B85" s="208" t="s">
        <v>278</v>
      </c>
      <c r="C85" s="282"/>
      <c r="D85" s="1274">
        <f>'1.3.sz.mell.'!D87</f>
        <v>0</v>
      </c>
      <c r="E85" s="1173">
        <f t="shared" si="1"/>
        <v>0</v>
      </c>
    </row>
    <row r="86" spans="1:5" s="49" customFormat="1" ht="12" customHeight="1" x14ac:dyDescent="0.2">
      <c r="A86" s="226" t="s">
        <v>279</v>
      </c>
      <c r="B86" s="208" t="s">
        <v>280</v>
      </c>
      <c r="C86" s="282"/>
      <c r="D86" s="1274">
        <f>'1.3.sz.mell.'!D88</f>
        <v>0</v>
      </c>
      <c r="E86" s="1173">
        <f t="shared" si="1"/>
        <v>0</v>
      </c>
    </row>
    <row r="87" spans="1:5" s="48" customFormat="1" ht="12" customHeight="1" thickBot="1" x14ac:dyDescent="0.25">
      <c r="A87" s="227" t="s">
        <v>281</v>
      </c>
      <c r="B87" s="209" t="s">
        <v>282</v>
      </c>
      <c r="C87" s="282"/>
      <c r="D87" s="1274">
        <f>'1.3.sz.mell.'!D89</f>
        <v>0</v>
      </c>
      <c r="E87" s="1173">
        <f t="shared" si="1"/>
        <v>0</v>
      </c>
    </row>
    <row r="88" spans="1:5" s="48" customFormat="1" ht="12" customHeight="1" thickBot="1" x14ac:dyDescent="0.2">
      <c r="A88" s="224" t="s">
        <v>283</v>
      </c>
      <c r="B88" s="125" t="s">
        <v>457</v>
      </c>
      <c r="C88" s="303"/>
      <c r="D88" s="1274">
        <f>'1.3.sz.mell.'!D90</f>
        <v>0</v>
      </c>
      <c r="E88" s="1173">
        <f t="shared" si="1"/>
        <v>0</v>
      </c>
    </row>
    <row r="89" spans="1:5" s="48" customFormat="1" ht="12" customHeight="1" thickBot="1" x14ac:dyDescent="0.2">
      <c r="A89" s="224" t="s">
        <v>509</v>
      </c>
      <c r="B89" s="125" t="s">
        <v>284</v>
      </c>
      <c r="C89" s="303"/>
      <c r="D89" s="1274">
        <f>'1.3.sz.mell.'!D91</f>
        <v>0</v>
      </c>
      <c r="E89" s="1173">
        <f t="shared" si="1"/>
        <v>0</v>
      </c>
    </row>
    <row r="90" spans="1:5" s="48" customFormat="1" ht="12" customHeight="1" thickBot="1" x14ac:dyDescent="0.2">
      <c r="A90" s="224" t="s">
        <v>510</v>
      </c>
      <c r="B90" s="214" t="s">
        <v>458</v>
      </c>
      <c r="C90" s="301">
        <f>+C67+C71+C76+C79+C83+C89+C88</f>
        <v>8179828</v>
      </c>
      <c r="D90" s="1274">
        <f>'1.3.sz.mell.'!D92</f>
        <v>8179828</v>
      </c>
      <c r="E90" s="1173">
        <f t="shared" si="1"/>
        <v>0</v>
      </c>
    </row>
    <row r="91" spans="1:5" s="48" customFormat="1" ht="12" customHeight="1" thickBot="1" x14ac:dyDescent="0.2">
      <c r="A91" s="228" t="s">
        <v>511</v>
      </c>
      <c r="B91" s="215" t="s">
        <v>512</v>
      </c>
      <c r="C91" s="301">
        <f>+C66+C90</f>
        <v>311395856</v>
      </c>
      <c r="D91" s="1274">
        <f>'1.3.sz.mell.'!D93</f>
        <v>311395856</v>
      </c>
      <c r="E91" s="1173">
        <f t="shared" si="1"/>
        <v>0</v>
      </c>
    </row>
    <row r="92" spans="1:5" s="49" customFormat="1" ht="15" customHeight="1" thickBot="1" x14ac:dyDescent="0.25">
      <c r="A92" s="106"/>
      <c r="B92" s="107"/>
      <c r="C92" s="184"/>
      <c r="E92" s="1173">
        <f t="shared" si="1"/>
        <v>0</v>
      </c>
    </row>
    <row r="93" spans="1:5" s="39" customFormat="1" ht="16.5" customHeight="1" thickBot="1" x14ac:dyDescent="0.25">
      <c r="A93" s="110"/>
      <c r="B93" s="111" t="s">
        <v>59</v>
      </c>
      <c r="C93" s="186"/>
      <c r="E93" s="1173">
        <f t="shared" si="1"/>
        <v>0</v>
      </c>
    </row>
    <row r="94" spans="1:5" s="50" customFormat="1" ht="12" customHeight="1" thickBot="1" x14ac:dyDescent="0.25">
      <c r="A94" s="199" t="s">
        <v>21</v>
      </c>
      <c r="B94" s="24" t="s">
        <v>522</v>
      </c>
      <c r="C94" s="306">
        <f>+C95+C96+C97+C98+C99+C112</f>
        <v>80982742</v>
      </c>
      <c r="D94" s="50">
        <f>'1.3.sz.mell.'!D99</f>
        <v>80982742</v>
      </c>
      <c r="E94" s="1173">
        <f t="shared" si="1"/>
        <v>0</v>
      </c>
    </row>
    <row r="95" spans="1:5" ht="12" customHeight="1" x14ac:dyDescent="0.2">
      <c r="A95" s="229" t="s">
        <v>100</v>
      </c>
      <c r="B95" s="8" t="s">
        <v>51</v>
      </c>
      <c r="C95" s="317">
        <v>8164238</v>
      </c>
      <c r="D95" s="1255">
        <f>'1.3.sz.mell.'!D100</f>
        <v>8164238</v>
      </c>
      <c r="E95" s="1173">
        <f t="shared" si="1"/>
        <v>0</v>
      </c>
    </row>
    <row r="96" spans="1:5" ht="12" customHeight="1" x14ac:dyDescent="0.2">
      <c r="A96" s="222" t="s">
        <v>101</v>
      </c>
      <c r="B96" s="6" t="s">
        <v>149</v>
      </c>
      <c r="C96" s="282">
        <v>2011190</v>
      </c>
      <c r="D96" s="1255">
        <f>'1.3.sz.mell.'!D101</f>
        <v>2011190</v>
      </c>
      <c r="E96" s="1173">
        <f t="shared" si="1"/>
        <v>0</v>
      </c>
    </row>
    <row r="97" spans="1:5" ht="12" customHeight="1" x14ac:dyDescent="0.2">
      <c r="A97" s="222" t="s">
        <v>102</v>
      </c>
      <c r="B97" s="498" t="s">
        <v>125</v>
      </c>
      <c r="C97" s="196">
        <v>62807314</v>
      </c>
      <c r="D97" s="1255">
        <f>'1.3.sz.mell.'!D102</f>
        <v>62807314</v>
      </c>
      <c r="E97" s="1173">
        <f t="shared" si="1"/>
        <v>0</v>
      </c>
    </row>
    <row r="98" spans="1:5" ht="12" customHeight="1" x14ac:dyDescent="0.2">
      <c r="A98" s="222" t="s">
        <v>103</v>
      </c>
      <c r="B98" s="501" t="s">
        <v>150</v>
      </c>
      <c r="C98" s="196"/>
      <c r="D98" s="1255">
        <f>'1.3.sz.mell.'!D103</f>
        <v>0</v>
      </c>
      <c r="E98" s="1173">
        <f t="shared" si="1"/>
        <v>0</v>
      </c>
    </row>
    <row r="99" spans="1:5" ht="12" customHeight="1" x14ac:dyDescent="0.2">
      <c r="A99" s="222" t="s">
        <v>114</v>
      </c>
      <c r="B99" s="17" t="s">
        <v>151</v>
      </c>
      <c r="C99" s="196">
        <f>SUM(C100:C111)</f>
        <v>8000000</v>
      </c>
      <c r="D99" s="1255">
        <f>'1.3.sz.mell.'!D104</f>
        <v>8000000</v>
      </c>
      <c r="E99" s="1173">
        <f t="shared" si="1"/>
        <v>0</v>
      </c>
    </row>
    <row r="100" spans="1:5" ht="12" customHeight="1" x14ac:dyDescent="0.2">
      <c r="A100" s="222" t="s">
        <v>104</v>
      </c>
      <c r="B100" s="498" t="s">
        <v>513</v>
      </c>
      <c r="C100" s="196"/>
      <c r="D100" s="1255">
        <f>'1.3.sz.mell.'!D105</f>
        <v>0</v>
      </c>
      <c r="E100" s="1173">
        <f t="shared" si="1"/>
        <v>0</v>
      </c>
    </row>
    <row r="101" spans="1:5" ht="12" customHeight="1" x14ac:dyDescent="0.2">
      <c r="A101" s="222" t="s">
        <v>105</v>
      </c>
      <c r="B101" s="509" t="s">
        <v>462</v>
      </c>
      <c r="C101" s="196"/>
      <c r="D101" s="1255">
        <f>'1.3.sz.mell.'!D106</f>
        <v>0</v>
      </c>
      <c r="E101" s="1173">
        <f t="shared" si="1"/>
        <v>0</v>
      </c>
    </row>
    <row r="102" spans="1:5" ht="12" customHeight="1" x14ac:dyDescent="0.2">
      <c r="A102" s="222" t="s">
        <v>115</v>
      </c>
      <c r="B102" s="509" t="s">
        <v>463</v>
      </c>
      <c r="C102" s="134"/>
      <c r="D102" s="1255">
        <f>'1.3.sz.mell.'!D107</f>
        <v>0</v>
      </c>
      <c r="E102" s="1173">
        <f t="shared" si="1"/>
        <v>0</v>
      </c>
    </row>
    <row r="103" spans="1:5" ht="12" customHeight="1" x14ac:dyDescent="0.2">
      <c r="A103" s="222" t="s">
        <v>116</v>
      </c>
      <c r="B103" s="70" t="s">
        <v>300</v>
      </c>
      <c r="C103" s="286"/>
      <c r="D103" s="1255">
        <f>'1.3.sz.mell.'!D108</f>
        <v>0</v>
      </c>
      <c r="E103" s="1173">
        <f t="shared" si="1"/>
        <v>0</v>
      </c>
    </row>
    <row r="104" spans="1:5" ht="12" customHeight="1" x14ac:dyDescent="0.2">
      <c r="A104" s="222" t="s">
        <v>117</v>
      </c>
      <c r="B104" s="71" t="s">
        <v>301</v>
      </c>
      <c r="C104" s="286"/>
      <c r="D104" s="1255">
        <f>'1.3.sz.mell.'!D109</f>
        <v>0</v>
      </c>
      <c r="E104" s="1173">
        <f t="shared" si="1"/>
        <v>0</v>
      </c>
    </row>
    <row r="105" spans="1:5" ht="12" customHeight="1" x14ac:dyDescent="0.2">
      <c r="A105" s="222" t="s">
        <v>118</v>
      </c>
      <c r="B105" s="71" t="s">
        <v>302</v>
      </c>
      <c r="C105" s="286"/>
      <c r="D105" s="1255">
        <f>'1.3.sz.mell.'!D110</f>
        <v>0</v>
      </c>
      <c r="E105" s="1173">
        <f t="shared" si="1"/>
        <v>0</v>
      </c>
    </row>
    <row r="106" spans="1:5" ht="12" customHeight="1" x14ac:dyDescent="0.2">
      <c r="A106" s="222" t="s">
        <v>120</v>
      </c>
      <c r="B106" s="70" t="s">
        <v>303</v>
      </c>
      <c r="C106" s="286"/>
      <c r="D106" s="1255">
        <f>'1.3.sz.mell.'!D111</f>
        <v>0</v>
      </c>
      <c r="E106" s="1173">
        <f t="shared" si="1"/>
        <v>0</v>
      </c>
    </row>
    <row r="107" spans="1:5" ht="12" customHeight="1" x14ac:dyDescent="0.2">
      <c r="A107" s="222" t="s">
        <v>152</v>
      </c>
      <c r="B107" s="70" t="s">
        <v>304</v>
      </c>
      <c r="C107" s="286"/>
      <c r="D107" s="1255">
        <f>'1.3.sz.mell.'!D112</f>
        <v>0</v>
      </c>
      <c r="E107" s="1173">
        <f t="shared" si="1"/>
        <v>0</v>
      </c>
    </row>
    <row r="108" spans="1:5" ht="12" customHeight="1" x14ac:dyDescent="0.2">
      <c r="A108" s="222" t="s">
        <v>298</v>
      </c>
      <c r="B108" s="71" t="s">
        <v>305</v>
      </c>
      <c r="C108" s="286"/>
      <c r="D108" s="1255">
        <f>'1.3.sz.mell.'!D113</f>
        <v>0</v>
      </c>
      <c r="E108" s="1173">
        <f t="shared" si="1"/>
        <v>0</v>
      </c>
    </row>
    <row r="109" spans="1:5" ht="12" customHeight="1" x14ac:dyDescent="0.2">
      <c r="A109" s="230" t="s">
        <v>299</v>
      </c>
      <c r="B109" s="72" t="s">
        <v>306</v>
      </c>
      <c r="C109" s="286"/>
      <c r="D109" s="1255">
        <f>'1.3.sz.mell.'!D114</f>
        <v>0</v>
      </c>
      <c r="E109" s="1173">
        <f t="shared" si="1"/>
        <v>0</v>
      </c>
    </row>
    <row r="110" spans="1:5" ht="12" customHeight="1" x14ac:dyDescent="0.2">
      <c r="A110" s="222" t="s">
        <v>464</v>
      </c>
      <c r="B110" s="72" t="s">
        <v>307</v>
      </c>
      <c r="C110" s="286"/>
      <c r="D110" s="1255">
        <f>'1.3.sz.mell.'!D115</f>
        <v>0</v>
      </c>
      <c r="E110" s="1173">
        <f t="shared" si="1"/>
        <v>0</v>
      </c>
    </row>
    <row r="111" spans="1:5" ht="12" customHeight="1" x14ac:dyDescent="0.2">
      <c r="A111" s="222" t="s">
        <v>465</v>
      </c>
      <c r="B111" s="71" t="s">
        <v>308</v>
      </c>
      <c r="C111" s="1259">
        <v>8000000</v>
      </c>
      <c r="D111" s="1255">
        <f>'1.3.sz.mell.'!D116</f>
        <v>8000000</v>
      </c>
      <c r="E111" s="1173">
        <f t="shared" si="1"/>
        <v>0</v>
      </c>
    </row>
    <row r="112" spans="1:5" ht="12" customHeight="1" x14ac:dyDescent="0.2">
      <c r="A112" s="222" t="s">
        <v>466</v>
      </c>
      <c r="B112" s="9" t="s">
        <v>52</v>
      </c>
      <c r="C112" s="119"/>
      <c r="D112" s="1255">
        <f>'1.3.sz.mell.'!D117</f>
        <v>0</v>
      </c>
      <c r="E112" s="1173">
        <f t="shared" si="1"/>
        <v>0</v>
      </c>
    </row>
    <row r="113" spans="1:5" ht="12" customHeight="1" x14ac:dyDescent="0.2">
      <c r="A113" s="223" t="s">
        <v>467</v>
      </c>
      <c r="B113" s="6" t="s">
        <v>514</v>
      </c>
      <c r="C113" s="120"/>
      <c r="D113" s="1255">
        <f>'1.3.sz.mell.'!D118</f>
        <v>0</v>
      </c>
      <c r="E113" s="1173">
        <f t="shared" si="1"/>
        <v>0</v>
      </c>
    </row>
    <row r="114" spans="1:5" ht="12" customHeight="1" thickBot="1" x14ac:dyDescent="0.25">
      <c r="A114" s="231" t="s">
        <v>469</v>
      </c>
      <c r="B114" s="73" t="s">
        <v>515</v>
      </c>
      <c r="C114" s="307"/>
      <c r="D114" s="1255">
        <f>'1.3.sz.mell.'!D119</f>
        <v>0</v>
      </c>
      <c r="E114" s="1173">
        <f t="shared" si="1"/>
        <v>0</v>
      </c>
    </row>
    <row r="115" spans="1:5" ht="12" customHeight="1" thickBot="1" x14ac:dyDescent="0.25">
      <c r="A115" s="27" t="s">
        <v>22</v>
      </c>
      <c r="B115" s="23" t="s">
        <v>309</v>
      </c>
      <c r="C115" s="298">
        <f>+C116+C118+C120</f>
        <v>5411384</v>
      </c>
      <c r="D115" s="1255">
        <f>'1.3.sz.mell.'!D120</f>
        <v>5411384</v>
      </c>
      <c r="E115" s="1173">
        <f t="shared" si="1"/>
        <v>0</v>
      </c>
    </row>
    <row r="116" spans="1:5" ht="12" customHeight="1" x14ac:dyDescent="0.2">
      <c r="A116" s="221" t="s">
        <v>106</v>
      </c>
      <c r="B116" s="6" t="s">
        <v>173</v>
      </c>
      <c r="C116" s="302">
        <v>5411384</v>
      </c>
      <c r="D116" s="1255">
        <f>'1.3.sz.mell.'!D121</f>
        <v>5411384</v>
      </c>
      <c r="E116" s="1173">
        <f t="shared" si="1"/>
        <v>0</v>
      </c>
    </row>
    <row r="117" spans="1:5" ht="12" customHeight="1" x14ac:dyDescent="0.2">
      <c r="A117" s="221" t="s">
        <v>107</v>
      </c>
      <c r="B117" s="10" t="s">
        <v>313</v>
      </c>
      <c r="C117" s="302">
        <f>5016896</f>
        <v>5016896</v>
      </c>
      <c r="D117" s="1255">
        <f>'1.3.sz.mell.'!D122</f>
        <v>5016896</v>
      </c>
      <c r="E117" s="1173">
        <f t="shared" si="1"/>
        <v>0</v>
      </c>
    </row>
    <row r="118" spans="1:5" ht="12" customHeight="1" x14ac:dyDescent="0.2">
      <c r="A118" s="221" t="s">
        <v>108</v>
      </c>
      <c r="B118" s="10" t="s">
        <v>153</v>
      </c>
      <c r="C118" s="119"/>
      <c r="D118" s="1255">
        <f>'1.3.sz.mell.'!D123</f>
        <v>0</v>
      </c>
      <c r="E118" s="1173">
        <f t="shared" si="1"/>
        <v>0</v>
      </c>
    </row>
    <row r="119" spans="1:5" ht="12" customHeight="1" x14ac:dyDescent="0.2">
      <c r="A119" s="221" t="s">
        <v>109</v>
      </c>
      <c r="B119" s="10" t="s">
        <v>314</v>
      </c>
      <c r="C119" s="119"/>
      <c r="D119" s="1255">
        <f>'1.3.sz.mell.'!D124</f>
        <v>0</v>
      </c>
      <c r="E119" s="1173">
        <f t="shared" si="1"/>
        <v>0</v>
      </c>
    </row>
    <row r="120" spans="1:5" ht="12" customHeight="1" x14ac:dyDescent="0.2">
      <c r="A120" s="221" t="s">
        <v>110</v>
      </c>
      <c r="B120" s="127" t="s">
        <v>175</v>
      </c>
      <c r="C120" s="287"/>
      <c r="D120" s="1255">
        <f>'1.3.sz.mell.'!D125</f>
        <v>0</v>
      </c>
      <c r="E120" s="1173">
        <f t="shared" si="1"/>
        <v>0</v>
      </c>
    </row>
    <row r="121" spans="1:5" ht="12" customHeight="1" x14ac:dyDescent="0.2">
      <c r="A121" s="221" t="s">
        <v>119</v>
      </c>
      <c r="B121" s="126" t="s">
        <v>376</v>
      </c>
      <c r="C121" s="287"/>
      <c r="D121" s="1255">
        <f>'1.3.sz.mell.'!D126</f>
        <v>0</v>
      </c>
      <c r="E121" s="1173">
        <f t="shared" si="1"/>
        <v>0</v>
      </c>
    </row>
    <row r="122" spans="1:5" ht="12" customHeight="1" x14ac:dyDescent="0.2">
      <c r="A122" s="221" t="s">
        <v>121</v>
      </c>
      <c r="B122" s="203" t="s">
        <v>319</v>
      </c>
      <c r="C122" s="287"/>
      <c r="D122" s="1255">
        <f>'1.3.sz.mell.'!D127</f>
        <v>0</v>
      </c>
      <c r="E122" s="1173">
        <f t="shared" si="1"/>
        <v>0</v>
      </c>
    </row>
    <row r="123" spans="1:5" ht="12" customHeight="1" x14ac:dyDescent="0.2">
      <c r="A123" s="221" t="s">
        <v>154</v>
      </c>
      <c r="B123" s="71" t="s">
        <v>302</v>
      </c>
      <c r="C123" s="287"/>
      <c r="D123" s="1255">
        <f>'1.3.sz.mell.'!D128</f>
        <v>0</v>
      </c>
      <c r="E123" s="1173">
        <f t="shared" si="1"/>
        <v>0</v>
      </c>
    </row>
    <row r="124" spans="1:5" ht="12" customHeight="1" x14ac:dyDescent="0.2">
      <c r="A124" s="221" t="s">
        <v>155</v>
      </c>
      <c r="B124" s="71" t="s">
        <v>318</v>
      </c>
      <c r="C124" s="287"/>
      <c r="D124" s="1255">
        <f>'1.3.sz.mell.'!D129</f>
        <v>0</v>
      </c>
      <c r="E124" s="1173">
        <f t="shared" si="1"/>
        <v>0</v>
      </c>
    </row>
    <row r="125" spans="1:5" ht="12" customHeight="1" x14ac:dyDescent="0.2">
      <c r="A125" s="221" t="s">
        <v>156</v>
      </c>
      <c r="B125" s="71" t="s">
        <v>317</v>
      </c>
      <c r="C125" s="287"/>
      <c r="D125" s="1255">
        <f>'1.3.sz.mell.'!D130</f>
        <v>0</v>
      </c>
      <c r="E125" s="1173">
        <f t="shared" si="1"/>
        <v>0</v>
      </c>
    </row>
    <row r="126" spans="1:5" ht="12" customHeight="1" x14ac:dyDescent="0.2">
      <c r="A126" s="221" t="s">
        <v>310</v>
      </c>
      <c r="B126" s="71" t="s">
        <v>305</v>
      </c>
      <c r="C126" s="287"/>
      <c r="D126" s="1255">
        <f>'1.3.sz.mell.'!D131</f>
        <v>0</v>
      </c>
      <c r="E126" s="1173">
        <f t="shared" si="1"/>
        <v>0</v>
      </c>
    </row>
    <row r="127" spans="1:5" ht="12" customHeight="1" x14ac:dyDescent="0.2">
      <c r="A127" s="221" t="s">
        <v>311</v>
      </c>
      <c r="B127" s="71" t="s">
        <v>316</v>
      </c>
      <c r="C127" s="287"/>
      <c r="D127" s="1255">
        <f>'1.3.sz.mell.'!D132</f>
        <v>0</v>
      </c>
      <c r="E127" s="1173">
        <f t="shared" si="1"/>
        <v>0</v>
      </c>
    </row>
    <row r="128" spans="1:5" ht="12" customHeight="1" thickBot="1" x14ac:dyDescent="0.25">
      <c r="A128" s="230" t="s">
        <v>312</v>
      </c>
      <c r="B128" s="71" t="s">
        <v>315</v>
      </c>
      <c r="C128" s="288"/>
      <c r="D128" s="1255">
        <f>'1.3.sz.mell.'!D133</f>
        <v>0</v>
      </c>
      <c r="E128" s="1173">
        <f t="shared" si="1"/>
        <v>0</v>
      </c>
    </row>
    <row r="129" spans="1:11" ht="12" customHeight="1" thickBot="1" x14ac:dyDescent="0.25">
      <c r="A129" s="27" t="s">
        <v>23</v>
      </c>
      <c r="B129" s="66" t="s">
        <v>471</v>
      </c>
      <c r="C129" s="298">
        <f>+C94+C115</f>
        <v>86394126</v>
      </c>
      <c r="D129" s="1255">
        <f>'1.3.sz.mell.'!D134</f>
        <v>86394126</v>
      </c>
      <c r="E129" s="1173">
        <f t="shared" si="1"/>
        <v>0</v>
      </c>
    </row>
    <row r="130" spans="1:11" ht="12" customHeight="1" thickBot="1" x14ac:dyDescent="0.25">
      <c r="A130" s="27" t="s">
        <v>24</v>
      </c>
      <c r="B130" s="66" t="s">
        <v>472</v>
      </c>
      <c r="C130" s="298">
        <f>+C131+C132+C133</f>
        <v>3474590</v>
      </c>
      <c r="D130" s="1255">
        <f>'1.3.sz.mell.'!D135</f>
        <v>3474590</v>
      </c>
      <c r="E130" s="1173">
        <f t="shared" si="1"/>
        <v>0</v>
      </c>
    </row>
    <row r="131" spans="1:11" s="50" customFormat="1" ht="12" customHeight="1" x14ac:dyDescent="0.2">
      <c r="A131" s="221" t="s">
        <v>211</v>
      </c>
      <c r="B131" s="7" t="s">
        <v>516</v>
      </c>
      <c r="C131" s="282">
        <v>3474590</v>
      </c>
      <c r="D131" s="1255">
        <f>'1.3.sz.mell.'!D136</f>
        <v>3474590</v>
      </c>
      <c r="E131" s="1173">
        <f t="shared" si="1"/>
        <v>0</v>
      </c>
    </row>
    <row r="132" spans="1:11" ht="12" customHeight="1" x14ac:dyDescent="0.2">
      <c r="A132" s="221" t="s">
        <v>214</v>
      </c>
      <c r="B132" s="7" t="s">
        <v>474</v>
      </c>
      <c r="C132" s="119"/>
      <c r="D132" s="1255">
        <f>'1.3.sz.mell.'!D137</f>
        <v>0</v>
      </c>
      <c r="E132" s="1173">
        <f t="shared" si="1"/>
        <v>0</v>
      </c>
    </row>
    <row r="133" spans="1:11" ht="12" customHeight="1" thickBot="1" x14ac:dyDescent="0.25">
      <c r="A133" s="230" t="s">
        <v>215</v>
      </c>
      <c r="B133" s="5" t="s">
        <v>517</v>
      </c>
      <c r="C133" s="119"/>
      <c r="D133" s="1255">
        <f>'1.3.sz.mell.'!D138</f>
        <v>0</v>
      </c>
      <c r="E133" s="1173">
        <f t="shared" si="1"/>
        <v>0</v>
      </c>
    </row>
    <row r="134" spans="1:11" ht="12" customHeight="1" thickBot="1" x14ac:dyDescent="0.25">
      <c r="A134" s="27" t="s">
        <v>25</v>
      </c>
      <c r="B134" s="66" t="s">
        <v>476</v>
      </c>
      <c r="C134" s="298">
        <f>+C135+C136+C137+C138+C139+C140</f>
        <v>0</v>
      </c>
      <c r="D134" s="1255">
        <f>'1.3.sz.mell.'!D139</f>
        <v>0</v>
      </c>
      <c r="E134" s="1173">
        <f t="shared" si="1"/>
        <v>0</v>
      </c>
    </row>
    <row r="135" spans="1:11" ht="12" customHeight="1" x14ac:dyDescent="0.2">
      <c r="A135" s="221" t="s">
        <v>93</v>
      </c>
      <c r="B135" s="7" t="s">
        <v>477</v>
      </c>
      <c r="C135" s="119"/>
      <c r="D135" s="1255">
        <f>'1.3.sz.mell.'!D140</f>
        <v>0</v>
      </c>
      <c r="E135" s="1173">
        <f t="shared" si="1"/>
        <v>0</v>
      </c>
    </row>
    <row r="136" spans="1:11" ht="12" customHeight="1" x14ac:dyDescent="0.2">
      <c r="A136" s="221" t="s">
        <v>94</v>
      </c>
      <c r="B136" s="7" t="s">
        <v>478</v>
      </c>
      <c r="C136" s="119"/>
      <c r="D136" s="1255">
        <f>'1.3.sz.mell.'!D141</f>
        <v>0</v>
      </c>
      <c r="E136" s="1173">
        <f t="shared" si="1"/>
        <v>0</v>
      </c>
    </row>
    <row r="137" spans="1:11" ht="12" customHeight="1" x14ac:dyDescent="0.2">
      <c r="A137" s="221" t="s">
        <v>95</v>
      </c>
      <c r="B137" s="7" t="s">
        <v>479</v>
      </c>
      <c r="C137" s="119"/>
      <c r="D137" s="1255">
        <f>'1.3.sz.mell.'!D142</f>
        <v>0</v>
      </c>
      <c r="E137" s="1173">
        <f t="shared" si="1"/>
        <v>0</v>
      </c>
    </row>
    <row r="138" spans="1:11" ht="12" customHeight="1" x14ac:dyDescent="0.2">
      <c r="A138" s="221" t="s">
        <v>141</v>
      </c>
      <c r="B138" s="7" t="s">
        <v>518</v>
      </c>
      <c r="C138" s="119"/>
      <c r="D138" s="1255">
        <f>'1.3.sz.mell.'!D143</f>
        <v>0</v>
      </c>
      <c r="E138" s="1173">
        <f t="shared" ref="E138:E155" si="2">C138-D138</f>
        <v>0</v>
      </c>
    </row>
    <row r="139" spans="1:11" ht="12" customHeight="1" x14ac:dyDescent="0.2">
      <c r="A139" s="221" t="s">
        <v>142</v>
      </c>
      <c r="B139" s="7" t="s">
        <v>481</v>
      </c>
      <c r="C139" s="119"/>
      <c r="D139" s="1255">
        <f>'1.3.sz.mell.'!D144</f>
        <v>0</v>
      </c>
      <c r="E139" s="1173">
        <f t="shared" si="2"/>
        <v>0</v>
      </c>
    </row>
    <row r="140" spans="1:11" s="50" customFormat="1" ht="12" customHeight="1" thickBot="1" x14ac:dyDescent="0.25">
      <c r="A140" s="230" t="s">
        <v>143</v>
      </c>
      <c r="B140" s="5" t="s">
        <v>482</v>
      </c>
      <c r="C140" s="119"/>
      <c r="D140" s="1255">
        <f>'1.3.sz.mell.'!D145</f>
        <v>0</v>
      </c>
      <c r="E140" s="1173">
        <f t="shared" si="2"/>
        <v>0</v>
      </c>
    </row>
    <row r="141" spans="1:11" ht="12" customHeight="1" thickBot="1" x14ac:dyDescent="0.25">
      <c r="A141" s="27" t="s">
        <v>26</v>
      </c>
      <c r="B141" s="66" t="s">
        <v>519</v>
      </c>
      <c r="C141" s="301">
        <f>+C142+C143+C144+C145</f>
        <v>0</v>
      </c>
      <c r="D141" s="1255">
        <f>'1.3.sz.mell.'!D146</f>
        <v>0</v>
      </c>
      <c r="E141" s="1173">
        <f t="shared" si="2"/>
        <v>0</v>
      </c>
      <c r="K141" s="118"/>
    </row>
    <row r="142" spans="1:11" ht="15.75" x14ac:dyDescent="0.2">
      <c r="A142" s="221" t="s">
        <v>96</v>
      </c>
      <c r="B142" s="7" t="s">
        <v>320</v>
      </c>
      <c r="C142" s="119"/>
      <c r="D142" s="1255">
        <f>'1.3.sz.mell.'!D147</f>
        <v>0</v>
      </c>
      <c r="E142" s="1173">
        <f t="shared" si="2"/>
        <v>0</v>
      </c>
    </row>
    <row r="143" spans="1:11" ht="12" customHeight="1" x14ac:dyDescent="0.2">
      <c r="A143" s="221" t="s">
        <v>97</v>
      </c>
      <c r="B143" s="7" t="s">
        <v>321</v>
      </c>
      <c r="C143" s="119"/>
      <c r="D143" s="1255">
        <f>'1.3.sz.mell.'!D148</f>
        <v>0</v>
      </c>
      <c r="E143" s="1173">
        <f t="shared" si="2"/>
        <v>0</v>
      </c>
    </row>
    <row r="144" spans="1:11" s="50" customFormat="1" ht="12" customHeight="1" x14ac:dyDescent="0.2">
      <c r="A144" s="221" t="s">
        <v>234</v>
      </c>
      <c r="B144" s="7" t="s">
        <v>484</v>
      </c>
      <c r="C144" s="119"/>
      <c r="D144" s="1255">
        <f>'1.3.sz.mell.'!D149</f>
        <v>0</v>
      </c>
      <c r="E144" s="1173">
        <f t="shared" si="2"/>
        <v>0</v>
      </c>
    </row>
    <row r="145" spans="1:5" s="50" customFormat="1" ht="12" customHeight="1" thickBot="1" x14ac:dyDescent="0.25">
      <c r="A145" s="230" t="s">
        <v>235</v>
      </c>
      <c r="B145" s="5" t="s">
        <v>339</v>
      </c>
      <c r="C145" s="119"/>
      <c r="D145" s="1255">
        <f>'1.3.sz.mell.'!D150</f>
        <v>0</v>
      </c>
      <c r="E145" s="1173">
        <f t="shared" si="2"/>
        <v>0</v>
      </c>
    </row>
    <row r="146" spans="1:5" s="50" customFormat="1" ht="12" customHeight="1" thickBot="1" x14ac:dyDescent="0.25">
      <c r="A146" s="27" t="s">
        <v>27</v>
      </c>
      <c r="B146" s="66" t="s">
        <v>485</v>
      </c>
      <c r="C146" s="308">
        <f>+C147+C148+C149+C150+C151</f>
        <v>0</v>
      </c>
      <c r="D146" s="1255">
        <f>'1.3.sz.mell.'!D151</f>
        <v>0</v>
      </c>
      <c r="E146" s="1173">
        <f t="shared" si="2"/>
        <v>0</v>
      </c>
    </row>
    <row r="147" spans="1:5" s="50" customFormat="1" ht="12" customHeight="1" x14ac:dyDescent="0.2">
      <c r="A147" s="221" t="s">
        <v>98</v>
      </c>
      <c r="B147" s="7" t="s">
        <v>486</v>
      </c>
      <c r="C147" s="119"/>
      <c r="D147" s="1255">
        <f>'1.3.sz.mell.'!D152</f>
        <v>0</v>
      </c>
      <c r="E147" s="1173">
        <f t="shared" si="2"/>
        <v>0</v>
      </c>
    </row>
    <row r="148" spans="1:5" s="50" customFormat="1" ht="12" customHeight="1" x14ac:dyDescent="0.2">
      <c r="A148" s="221" t="s">
        <v>99</v>
      </c>
      <c r="B148" s="7" t="s">
        <v>487</v>
      </c>
      <c r="C148" s="119"/>
      <c r="D148" s="1255">
        <f>'1.3.sz.mell.'!D153</f>
        <v>0</v>
      </c>
      <c r="E148" s="1173">
        <f t="shared" si="2"/>
        <v>0</v>
      </c>
    </row>
    <row r="149" spans="1:5" s="50" customFormat="1" ht="12" customHeight="1" x14ac:dyDescent="0.2">
      <c r="A149" s="221" t="s">
        <v>246</v>
      </c>
      <c r="B149" s="7" t="s">
        <v>488</v>
      </c>
      <c r="C149" s="119"/>
      <c r="D149" s="1255">
        <f>'1.3.sz.mell.'!D154</f>
        <v>0</v>
      </c>
      <c r="E149" s="1173">
        <f t="shared" si="2"/>
        <v>0</v>
      </c>
    </row>
    <row r="150" spans="1:5" ht="12.75" customHeight="1" x14ac:dyDescent="0.2">
      <c r="A150" s="221" t="s">
        <v>247</v>
      </c>
      <c r="B150" s="7" t="s">
        <v>520</v>
      </c>
      <c r="C150" s="119"/>
      <c r="D150" s="1255">
        <f>'1.3.sz.mell.'!D155</f>
        <v>0</v>
      </c>
      <c r="E150" s="1173">
        <f t="shared" si="2"/>
        <v>0</v>
      </c>
    </row>
    <row r="151" spans="1:5" ht="12.75" customHeight="1" thickBot="1" x14ac:dyDescent="0.25">
      <c r="A151" s="230" t="s">
        <v>490</v>
      </c>
      <c r="B151" s="5" t="s">
        <v>491</v>
      </c>
      <c r="C151" s="120"/>
      <c r="D151" s="1255">
        <f>'1.3.sz.mell.'!D156</f>
        <v>0</v>
      </c>
      <c r="E151" s="1173">
        <f t="shared" si="2"/>
        <v>0</v>
      </c>
    </row>
    <row r="152" spans="1:5" ht="12.75" customHeight="1" thickBot="1" x14ac:dyDescent="0.25">
      <c r="A152" s="279" t="s">
        <v>28</v>
      </c>
      <c r="B152" s="66" t="s">
        <v>492</v>
      </c>
      <c r="C152" s="308"/>
      <c r="D152" s="1255">
        <f>'1.3.sz.mell.'!D157</f>
        <v>0</v>
      </c>
      <c r="E152" s="1173">
        <f t="shared" si="2"/>
        <v>0</v>
      </c>
    </row>
    <row r="153" spans="1:5" ht="12" customHeight="1" thickBot="1" x14ac:dyDescent="0.25">
      <c r="A153" s="279" t="s">
        <v>29</v>
      </c>
      <c r="B153" s="66" t="s">
        <v>493</v>
      </c>
      <c r="C153" s="308"/>
      <c r="D153" s="1255">
        <f>'1.3.sz.mell.'!D158</f>
        <v>0</v>
      </c>
      <c r="E153" s="1173">
        <f t="shared" si="2"/>
        <v>0</v>
      </c>
    </row>
    <row r="154" spans="1:5" ht="15" customHeight="1" thickBot="1" x14ac:dyDescent="0.25">
      <c r="A154" s="27" t="s">
        <v>30</v>
      </c>
      <c r="B154" s="66" t="s">
        <v>494</v>
      </c>
      <c r="C154" s="309">
        <f>+C130+C134+C141+C146+C152+C153</f>
        <v>3474590</v>
      </c>
      <c r="D154" s="1255">
        <f>'1.3.sz.mell.'!D159</f>
        <v>3474590</v>
      </c>
      <c r="E154" s="1173">
        <f t="shared" si="2"/>
        <v>0</v>
      </c>
    </row>
    <row r="155" spans="1:5" ht="16.5" thickBot="1" x14ac:dyDescent="0.25">
      <c r="A155" s="232" t="s">
        <v>31</v>
      </c>
      <c r="B155" s="192" t="s">
        <v>495</v>
      </c>
      <c r="C155" s="309">
        <f>+C129+C154</f>
        <v>89868716</v>
      </c>
      <c r="D155" s="1255">
        <f>'1.3.sz.mell.'!D160</f>
        <v>89868716</v>
      </c>
      <c r="E155" s="1173">
        <f t="shared" si="2"/>
        <v>0</v>
      </c>
    </row>
    <row r="156" spans="1:5" ht="15" customHeight="1" thickBot="1" x14ac:dyDescent="0.25"/>
    <row r="157" spans="1:5" ht="14.25" customHeight="1" thickBot="1" x14ac:dyDescent="0.25">
      <c r="A157" s="115" t="s">
        <v>958</v>
      </c>
      <c r="B157" s="116"/>
      <c r="C157" s="1354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5" max="16383" man="1"/>
    <brk id="9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view="pageLayout" zoomScale="85" zoomScaleNormal="115" zoomScaleSheetLayoutView="100" zoomScalePageLayoutView="8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12.6640625" style="394" bestFit="1" customWidth="1"/>
    <col min="4" max="4" width="10" style="432" hidden="1" customWidth="1"/>
    <col min="5" max="5" width="10.5" style="432" hidden="1" customWidth="1"/>
    <col min="6" max="8" width="9.33203125" style="657" hidden="1" customWidth="1"/>
    <col min="9" max="9" width="9.33203125" style="657" customWidth="1"/>
    <col min="10" max="19" width="9.33203125" style="657"/>
    <col min="20" max="16384" width="9.33203125" style="114"/>
  </cols>
  <sheetData>
    <row r="1" spans="1:19" s="1258" customFormat="1" x14ac:dyDescent="0.2">
      <c r="A1" s="1540" t="str">
        <f>CONCATENATE("9.2. melléklet ",ALAPADATOK!A7," ",ALAPADATOK!B7," ",ALAPADATOK!C7," ",ALAPADATOK!D7," ",ALAPADATOK!E7," ",ALAPADATOK!F7," ",ALAPADATOK!G7," ",ALAPADATOK!H7)</f>
        <v>9.2. melléklet a 6 / 2020. ( II.27 ) önkormányzati határozathoz</v>
      </c>
      <c r="B1" s="1540"/>
      <c r="C1" s="1540"/>
      <c r="D1" s="1264"/>
      <c r="E1" s="1264"/>
      <c r="F1" s="1276"/>
      <c r="G1" s="1276"/>
      <c r="H1" s="1276"/>
      <c r="I1" s="1276"/>
      <c r="J1" s="1276"/>
      <c r="K1" s="1276"/>
      <c r="L1" s="1276"/>
      <c r="M1" s="1276"/>
      <c r="N1" s="1276"/>
      <c r="O1" s="1276"/>
      <c r="P1" s="1276"/>
      <c r="Q1" s="1276"/>
      <c r="R1" s="1276"/>
      <c r="S1" s="1276"/>
    </row>
    <row r="2" spans="1:19" s="93" customFormat="1" ht="21" customHeight="1" thickBot="1" x14ac:dyDescent="0.25">
      <c r="A2" s="92"/>
      <c r="B2" s="94"/>
      <c r="C2" s="239"/>
      <c r="D2" s="432"/>
      <c r="E2" s="432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</row>
    <row r="3" spans="1:19" s="240" customFormat="1" ht="36" customHeight="1" x14ac:dyDescent="0.2">
      <c r="A3" s="197" t="s">
        <v>167</v>
      </c>
      <c r="B3" s="175" t="s">
        <v>445</v>
      </c>
      <c r="C3" s="189" t="s">
        <v>62</v>
      </c>
      <c r="D3" s="433"/>
      <c r="E3" s="433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</row>
    <row r="4" spans="1:19" s="240" customFormat="1" ht="24.75" thickBot="1" x14ac:dyDescent="0.25">
      <c r="A4" s="233" t="s">
        <v>166</v>
      </c>
      <c r="B4" s="176" t="s">
        <v>347</v>
      </c>
      <c r="C4" s="190" t="s">
        <v>55</v>
      </c>
      <c r="D4" s="433"/>
      <c r="E4" s="433"/>
      <c r="F4" s="654"/>
      <c r="G4" s="654"/>
      <c r="H4" s="654"/>
      <c r="I4" s="655"/>
      <c r="J4" s="654"/>
      <c r="K4" s="654"/>
      <c r="L4" s="654"/>
      <c r="M4" s="654"/>
      <c r="N4" s="654"/>
      <c r="O4" s="654"/>
      <c r="P4" s="654"/>
      <c r="Q4" s="654"/>
      <c r="R4" s="654"/>
      <c r="S4" s="654"/>
    </row>
    <row r="5" spans="1:19" s="241" customFormat="1" ht="15.95" customHeight="1" thickBot="1" x14ac:dyDescent="0.3">
      <c r="A5" s="96"/>
      <c r="B5" s="96"/>
      <c r="C5" s="97" t="s">
        <v>558</v>
      </c>
      <c r="D5" s="433"/>
      <c r="E5" s="433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</row>
    <row r="6" spans="1:19" ht="13.5" thickBot="1" x14ac:dyDescent="0.25">
      <c r="A6" s="198" t="s">
        <v>168</v>
      </c>
      <c r="B6" s="98" t="s">
        <v>56</v>
      </c>
      <c r="C6" s="99" t="s">
        <v>57</v>
      </c>
    </row>
    <row r="7" spans="1:19" s="242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434"/>
      <c r="E7" s="434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658"/>
      <c r="S7" s="658"/>
    </row>
    <row r="8" spans="1:19" s="242" customFormat="1" ht="15.95" customHeight="1" thickBot="1" x14ac:dyDescent="0.25">
      <c r="A8" s="100"/>
      <c r="B8" s="101" t="s">
        <v>58</v>
      </c>
      <c r="C8" s="102"/>
      <c r="D8" s="434"/>
      <c r="E8" s="434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658"/>
    </row>
    <row r="9" spans="1:19" s="191" customFormat="1" ht="12" customHeight="1" thickBot="1" x14ac:dyDescent="0.25">
      <c r="A9" s="85" t="s">
        <v>21</v>
      </c>
      <c r="B9" s="103" t="s">
        <v>523</v>
      </c>
      <c r="C9" s="144">
        <f>SUM(C10:C20)</f>
        <v>10182614</v>
      </c>
      <c r="D9" s="435">
        <f>'9.2.1. sz. mell'!C9+'9.2.2. sz.  mell'!C9+'9.2.3. sz. mell.'!C9</f>
        <v>10182614</v>
      </c>
      <c r="E9" s="659">
        <f t="shared" ref="E9:E43" si="0">C9-D9</f>
        <v>0</v>
      </c>
      <c r="F9" s="660"/>
      <c r="G9" s="660"/>
      <c r="H9" s="660"/>
      <c r="I9" s="660"/>
      <c r="J9" s="660"/>
      <c r="K9" s="660"/>
      <c r="L9" s="660"/>
      <c r="M9" s="660"/>
      <c r="N9" s="660"/>
      <c r="O9" s="660"/>
      <c r="P9" s="660"/>
      <c r="Q9" s="660"/>
      <c r="R9" s="660"/>
      <c r="S9" s="660"/>
    </row>
    <row r="10" spans="1:19" s="191" customFormat="1" ht="12" customHeight="1" x14ac:dyDescent="0.2">
      <c r="A10" s="234" t="s">
        <v>100</v>
      </c>
      <c r="B10" s="8" t="s">
        <v>223</v>
      </c>
      <c r="C10" s="180"/>
      <c r="D10" s="435">
        <f>'9.2.1. sz. mell'!C10+'9.2.2. sz.  mell'!C10+'9.2.3. sz. mell.'!C10</f>
        <v>0</v>
      </c>
      <c r="E10" s="659">
        <f t="shared" si="0"/>
        <v>0</v>
      </c>
      <c r="F10" s="660"/>
      <c r="G10" s="660"/>
      <c r="H10" s="660"/>
      <c r="I10" s="660"/>
      <c r="J10" s="660"/>
      <c r="K10" s="660"/>
      <c r="L10" s="660"/>
      <c r="M10" s="660"/>
      <c r="N10" s="660"/>
      <c r="O10" s="660"/>
      <c r="P10" s="660"/>
      <c r="Q10" s="660"/>
      <c r="R10" s="660"/>
      <c r="S10" s="660"/>
    </row>
    <row r="11" spans="1:19" s="191" customFormat="1" ht="12" customHeight="1" x14ac:dyDescent="0.2">
      <c r="A11" s="235" t="s">
        <v>101</v>
      </c>
      <c r="B11" s="6" t="s">
        <v>224</v>
      </c>
      <c r="C11" s="43">
        <v>7565050</v>
      </c>
      <c r="D11" s="435">
        <f>'9.2.1. sz. mell'!C11+'9.2.2. sz.  mell'!C11+'9.2.3. sz. mell.'!C11</f>
        <v>7565050</v>
      </c>
      <c r="E11" s="659">
        <f t="shared" si="0"/>
        <v>0</v>
      </c>
      <c r="F11" s="660"/>
      <c r="G11" s="660"/>
      <c r="H11" s="660"/>
      <c r="I11" s="660"/>
      <c r="J11" s="660"/>
      <c r="K11" s="660"/>
      <c r="L11" s="660"/>
      <c r="M11" s="660"/>
      <c r="N11" s="660"/>
      <c r="O11" s="660"/>
      <c r="P11" s="660"/>
      <c r="Q11" s="660"/>
      <c r="R11" s="660"/>
      <c r="S11" s="660"/>
    </row>
    <row r="12" spans="1:19" s="191" customFormat="1" ht="12" customHeight="1" x14ac:dyDescent="0.2">
      <c r="A12" s="235" t="s">
        <v>102</v>
      </c>
      <c r="B12" s="6" t="s">
        <v>225</v>
      </c>
      <c r="C12" s="43">
        <v>200000</v>
      </c>
      <c r="D12" s="435">
        <f>'9.2.1. sz. mell'!C12+'9.2.2. sz.  mell'!C12+'9.2.3. sz. mell.'!C12</f>
        <v>200000</v>
      </c>
      <c r="E12" s="659">
        <f t="shared" si="0"/>
        <v>0</v>
      </c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660"/>
    </row>
    <row r="13" spans="1:19" s="191" customFormat="1" ht="12" customHeight="1" x14ac:dyDescent="0.2">
      <c r="A13" s="235" t="s">
        <v>103</v>
      </c>
      <c r="B13" s="6" t="s">
        <v>226</v>
      </c>
      <c r="C13" s="43"/>
      <c r="D13" s="435">
        <f>'9.2.1. sz. mell'!C13+'9.2.2. sz.  mell'!C13+'9.2.3. sz. mell.'!C13</f>
        <v>0</v>
      </c>
      <c r="E13" s="659">
        <f t="shared" si="0"/>
        <v>0</v>
      </c>
      <c r="F13" s="660"/>
      <c r="G13" s="660"/>
      <c r="H13" s="660"/>
      <c r="I13" s="660"/>
      <c r="J13" s="660"/>
      <c r="K13" s="660"/>
      <c r="L13" s="660"/>
      <c r="M13" s="660"/>
      <c r="N13" s="660"/>
      <c r="O13" s="660"/>
      <c r="P13" s="660"/>
      <c r="Q13" s="660"/>
      <c r="R13" s="660"/>
      <c r="S13" s="660"/>
    </row>
    <row r="14" spans="1:19" s="191" customFormat="1" ht="12" customHeight="1" x14ac:dyDescent="0.2">
      <c r="A14" s="235" t="s">
        <v>126</v>
      </c>
      <c r="B14" s="6" t="s">
        <v>227</v>
      </c>
      <c r="C14" s="43"/>
      <c r="D14" s="435">
        <f>'9.2.1. sz. mell'!C14+'9.2.2. sz.  mell'!C14+'9.2.3. sz. mell.'!C14</f>
        <v>0</v>
      </c>
      <c r="E14" s="659">
        <f t="shared" si="0"/>
        <v>0</v>
      </c>
      <c r="F14" s="660"/>
      <c r="G14" s="660"/>
      <c r="H14" s="660"/>
      <c r="I14" s="660"/>
      <c r="J14" s="660"/>
      <c r="K14" s="660"/>
      <c r="L14" s="660"/>
      <c r="M14" s="660"/>
      <c r="N14" s="660"/>
      <c r="O14" s="660"/>
      <c r="P14" s="660"/>
      <c r="Q14" s="660"/>
      <c r="R14" s="660"/>
      <c r="S14" s="660"/>
    </row>
    <row r="15" spans="1:19" s="191" customFormat="1" ht="12" customHeight="1" x14ac:dyDescent="0.2">
      <c r="A15" s="235" t="s">
        <v>104</v>
      </c>
      <c r="B15" s="6" t="s">
        <v>348</v>
      </c>
      <c r="C15" s="43">
        <v>2177564</v>
      </c>
      <c r="D15" s="435">
        <f>'9.2.1. sz. mell'!C15+'9.2.2. sz.  mell'!C15+'9.2.3. sz. mell.'!C15</f>
        <v>2177564</v>
      </c>
      <c r="E15" s="659">
        <f t="shared" si="0"/>
        <v>0</v>
      </c>
      <c r="F15" s="660"/>
      <c r="G15" s="660"/>
      <c r="H15" s="660"/>
      <c r="I15" s="660"/>
      <c r="J15" s="660"/>
      <c r="K15" s="660"/>
      <c r="L15" s="660"/>
      <c r="M15" s="660"/>
      <c r="N15" s="660"/>
      <c r="O15" s="660"/>
      <c r="P15" s="660"/>
      <c r="Q15" s="660"/>
      <c r="R15" s="660"/>
      <c r="S15" s="660"/>
    </row>
    <row r="16" spans="1:19" s="191" customFormat="1" ht="12" customHeight="1" x14ac:dyDescent="0.2">
      <c r="A16" s="235" t="s">
        <v>105</v>
      </c>
      <c r="B16" s="5" t="s">
        <v>349</v>
      </c>
      <c r="C16" s="43"/>
      <c r="D16" s="435">
        <f>'9.2.1. sz. mell'!C16+'9.2.2. sz.  mell'!C16+'9.2.3. sz. mell.'!C16</f>
        <v>0</v>
      </c>
      <c r="E16" s="659">
        <f t="shared" si="0"/>
        <v>0</v>
      </c>
      <c r="F16" s="660"/>
      <c r="G16" s="660"/>
      <c r="H16" s="660"/>
      <c r="I16" s="660"/>
      <c r="J16" s="660"/>
      <c r="K16" s="660"/>
      <c r="L16" s="660"/>
      <c r="M16" s="660"/>
      <c r="N16" s="660"/>
      <c r="O16" s="660"/>
      <c r="P16" s="660"/>
      <c r="Q16" s="660"/>
      <c r="R16" s="660"/>
      <c r="S16" s="660"/>
    </row>
    <row r="17" spans="1:19" s="191" customFormat="1" ht="12" customHeight="1" x14ac:dyDescent="0.2">
      <c r="A17" s="235" t="s">
        <v>115</v>
      </c>
      <c r="B17" s="6" t="s">
        <v>230</v>
      </c>
      <c r="C17" s="145"/>
      <c r="D17" s="435">
        <f>'9.2.1. sz. mell'!C17+'9.2.2. sz.  mell'!C17+'9.2.3. sz. mell.'!C17</f>
        <v>0</v>
      </c>
      <c r="E17" s="659">
        <f t="shared" si="0"/>
        <v>0</v>
      </c>
      <c r="F17" s="660"/>
      <c r="G17" s="660"/>
      <c r="H17" s="660"/>
      <c r="I17" s="660"/>
      <c r="J17" s="660"/>
      <c r="K17" s="660"/>
      <c r="L17" s="660"/>
      <c r="M17" s="660"/>
      <c r="N17" s="660"/>
      <c r="O17" s="660"/>
      <c r="P17" s="660"/>
      <c r="Q17" s="660"/>
      <c r="R17" s="660"/>
      <c r="S17" s="660"/>
    </row>
    <row r="18" spans="1:19" s="243" customFormat="1" ht="12" customHeight="1" x14ac:dyDescent="0.2">
      <c r="A18" s="235" t="s">
        <v>116</v>
      </c>
      <c r="B18" s="6" t="s">
        <v>231</v>
      </c>
      <c r="C18" s="43"/>
      <c r="D18" s="435">
        <f>'9.2.1. sz. mell'!C18+'9.2.2. sz.  mell'!C18+'9.2.3. sz. mell.'!C18</f>
        <v>0</v>
      </c>
      <c r="E18" s="659">
        <f t="shared" si="0"/>
        <v>0</v>
      </c>
      <c r="F18" s="661"/>
      <c r="G18" s="661"/>
      <c r="H18" s="661"/>
      <c r="I18" s="661"/>
      <c r="J18" s="661"/>
      <c r="K18" s="661"/>
      <c r="L18" s="661"/>
      <c r="M18" s="661"/>
      <c r="N18" s="661"/>
      <c r="O18" s="661"/>
      <c r="P18" s="661"/>
      <c r="Q18" s="661"/>
      <c r="R18" s="661"/>
      <c r="S18" s="661"/>
    </row>
    <row r="19" spans="1:19" s="243" customFormat="1" ht="12" customHeight="1" x14ac:dyDescent="0.2">
      <c r="A19" s="235" t="s">
        <v>117</v>
      </c>
      <c r="B19" s="6" t="s">
        <v>453</v>
      </c>
      <c r="C19" s="518"/>
      <c r="D19" s="435">
        <f>'9.2.1. sz. mell'!C19+'9.2.2. sz.  mell'!C19+'9.2.3. sz. mell.'!C19</f>
        <v>0</v>
      </c>
      <c r="E19" s="659">
        <f t="shared" si="0"/>
        <v>0</v>
      </c>
      <c r="F19" s="661"/>
      <c r="G19" s="661"/>
      <c r="H19" s="661"/>
      <c r="I19" s="661"/>
      <c r="J19" s="661"/>
      <c r="K19" s="661"/>
      <c r="L19" s="661"/>
      <c r="M19" s="661"/>
      <c r="N19" s="661"/>
      <c r="O19" s="661"/>
      <c r="P19" s="661"/>
      <c r="Q19" s="661"/>
      <c r="R19" s="661"/>
      <c r="S19" s="661"/>
    </row>
    <row r="20" spans="1:19" s="243" customFormat="1" ht="12" customHeight="1" thickBot="1" x14ac:dyDescent="0.25">
      <c r="A20" s="235" t="s">
        <v>118</v>
      </c>
      <c r="B20" s="5" t="s">
        <v>232</v>
      </c>
      <c r="C20" s="518">
        <v>240000</v>
      </c>
      <c r="D20" s="435">
        <f>'9.2.1. sz. mell'!C20+'9.2.2. sz.  mell'!C20+'9.2.3. sz. mell.'!C20</f>
        <v>240000</v>
      </c>
      <c r="E20" s="659">
        <f t="shared" si="0"/>
        <v>0</v>
      </c>
      <c r="F20" s="661"/>
      <c r="G20" s="661"/>
      <c r="H20" s="661"/>
      <c r="I20" s="661"/>
      <c r="J20" s="661"/>
      <c r="K20" s="661"/>
      <c r="L20" s="661"/>
      <c r="M20" s="661"/>
      <c r="N20" s="661"/>
      <c r="O20" s="661"/>
      <c r="P20" s="661"/>
      <c r="Q20" s="661"/>
      <c r="R20" s="661"/>
      <c r="S20" s="661"/>
    </row>
    <row r="21" spans="1:19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  <c r="D21" s="435">
        <f>'9.2.1. sz. mell'!C21+'9.2.2. sz.  mell'!C21+'9.2.3. sz. mell.'!C21</f>
        <v>0</v>
      </c>
      <c r="E21" s="659">
        <f t="shared" si="0"/>
        <v>0</v>
      </c>
      <c r="F21" s="660"/>
      <c r="G21" s="660"/>
      <c r="H21" s="660"/>
      <c r="I21" s="660"/>
      <c r="J21" s="660"/>
      <c r="K21" s="660"/>
      <c r="L21" s="660"/>
      <c r="M21" s="660"/>
      <c r="N21" s="660"/>
      <c r="O21" s="660"/>
      <c r="P21" s="660"/>
      <c r="Q21" s="660"/>
      <c r="R21" s="660"/>
      <c r="S21" s="660"/>
    </row>
    <row r="22" spans="1:19" s="243" customFormat="1" ht="12" customHeight="1" x14ac:dyDescent="0.2">
      <c r="A22" s="235" t="s">
        <v>106</v>
      </c>
      <c r="B22" s="7" t="s">
        <v>201</v>
      </c>
      <c r="C22" s="142"/>
      <c r="D22" s="435">
        <f>'9.2.1. sz. mell'!C22+'9.2.2. sz.  mell'!C22+'9.2.3. sz. mell.'!C22</f>
        <v>0</v>
      </c>
      <c r="E22" s="659">
        <f t="shared" si="0"/>
        <v>0</v>
      </c>
      <c r="F22" s="661"/>
      <c r="G22" s="661"/>
      <c r="H22" s="661"/>
      <c r="I22" s="661"/>
      <c r="J22" s="661"/>
      <c r="K22" s="661"/>
      <c r="L22" s="661"/>
      <c r="M22" s="661"/>
      <c r="N22" s="661"/>
      <c r="O22" s="661"/>
      <c r="P22" s="661"/>
      <c r="Q22" s="661"/>
      <c r="R22" s="661"/>
      <c r="S22" s="661"/>
    </row>
    <row r="23" spans="1:19" s="243" customFormat="1" ht="12" customHeight="1" x14ac:dyDescent="0.2">
      <c r="A23" s="235" t="s">
        <v>107</v>
      </c>
      <c r="B23" s="6" t="s">
        <v>351</v>
      </c>
      <c r="C23" s="43"/>
      <c r="D23" s="435">
        <f>'9.2.1. sz. mell'!C23+'9.2.2. sz.  mell'!C23+'9.2.3. sz. mell.'!C23</f>
        <v>0</v>
      </c>
      <c r="E23" s="659">
        <f t="shared" si="0"/>
        <v>0</v>
      </c>
      <c r="F23" s="661"/>
      <c r="G23" s="661"/>
      <c r="H23" s="661"/>
      <c r="I23" s="661"/>
      <c r="J23" s="661"/>
      <c r="K23" s="661"/>
      <c r="L23" s="661"/>
      <c r="M23" s="661"/>
      <c r="N23" s="661"/>
      <c r="O23" s="661"/>
      <c r="P23" s="661"/>
      <c r="Q23" s="661"/>
      <c r="R23" s="661"/>
      <c r="S23" s="661"/>
    </row>
    <row r="24" spans="1:19" s="243" customFormat="1" ht="12" customHeight="1" x14ac:dyDescent="0.2">
      <c r="A24" s="235" t="s">
        <v>108</v>
      </c>
      <c r="B24" s="6" t="s">
        <v>352</v>
      </c>
      <c r="C24" s="517"/>
      <c r="D24" s="435">
        <f>'9.2.1. sz. mell'!C24+'9.2.2. sz.  mell'!C24+'9.2.3. sz. mell.'!C24</f>
        <v>0</v>
      </c>
      <c r="E24" s="659">
        <f t="shared" si="0"/>
        <v>0</v>
      </c>
      <c r="F24" s="661"/>
      <c r="G24" s="661"/>
      <c r="H24" s="661"/>
      <c r="I24" s="661"/>
      <c r="J24" s="661"/>
      <c r="K24" s="661"/>
      <c r="L24" s="661"/>
      <c r="M24" s="661"/>
      <c r="N24" s="661"/>
      <c r="O24" s="661"/>
      <c r="P24" s="661"/>
      <c r="Q24" s="661"/>
      <c r="R24" s="661"/>
      <c r="S24" s="661"/>
    </row>
    <row r="25" spans="1:19" s="243" customFormat="1" ht="12" customHeight="1" thickBot="1" x14ac:dyDescent="0.25">
      <c r="A25" s="235" t="s">
        <v>109</v>
      </c>
      <c r="B25" s="6" t="s">
        <v>524</v>
      </c>
      <c r="C25" s="43"/>
      <c r="D25" s="435">
        <f>'9.2.1. sz. mell'!C25+'9.2.2. sz.  mell'!C25+'9.2.3. sz. mell.'!C25</f>
        <v>0</v>
      </c>
      <c r="E25" s="659">
        <f t="shared" si="0"/>
        <v>0</v>
      </c>
      <c r="F25" s="661"/>
      <c r="G25" s="661"/>
      <c r="H25" s="661"/>
      <c r="I25" s="661"/>
      <c r="J25" s="661"/>
      <c r="K25" s="661"/>
      <c r="L25" s="661"/>
      <c r="M25" s="661"/>
      <c r="N25" s="661"/>
      <c r="O25" s="661"/>
      <c r="P25" s="661"/>
      <c r="Q25" s="661"/>
      <c r="R25" s="661"/>
      <c r="S25" s="661"/>
    </row>
    <row r="26" spans="1:19" s="243" customFormat="1" ht="12" customHeight="1" thickBot="1" x14ac:dyDescent="0.25">
      <c r="A26" s="88" t="s">
        <v>23</v>
      </c>
      <c r="B26" s="66" t="s">
        <v>140</v>
      </c>
      <c r="C26" s="165"/>
      <c r="D26" s="435">
        <f>'9.2.1. sz. mell'!C26+'9.2.2. sz.  mell'!C26+'9.2.3. sz. mell.'!C26</f>
        <v>0</v>
      </c>
      <c r="E26" s="659">
        <f t="shared" si="0"/>
        <v>0</v>
      </c>
      <c r="F26" s="661"/>
      <c r="G26" s="661"/>
      <c r="H26" s="661"/>
      <c r="I26" s="661"/>
      <c r="J26" s="661"/>
      <c r="K26" s="661"/>
      <c r="L26" s="661"/>
      <c r="M26" s="661"/>
      <c r="N26" s="661"/>
      <c r="O26" s="661"/>
      <c r="P26" s="661"/>
      <c r="Q26" s="661"/>
      <c r="R26" s="661"/>
      <c r="S26" s="661"/>
    </row>
    <row r="27" spans="1:19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  <c r="D27" s="435">
        <f>'9.2.1. sz. mell'!C27+'9.2.2. sz.  mell'!C27+'9.2.3. sz. mell.'!C27</f>
        <v>0</v>
      </c>
      <c r="E27" s="659">
        <f t="shared" si="0"/>
        <v>0</v>
      </c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</row>
    <row r="28" spans="1:19" s="243" customFormat="1" ht="12" customHeight="1" x14ac:dyDescent="0.2">
      <c r="A28" s="236" t="s">
        <v>211</v>
      </c>
      <c r="B28" s="237" t="s">
        <v>206</v>
      </c>
      <c r="C28" s="41"/>
      <c r="D28" s="435">
        <f>'9.2.1. sz. mell'!C28+'9.2.2. sz.  mell'!C28+'9.2.3. sz. mell.'!C28</f>
        <v>0</v>
      </c>
      <c r="E28" s="659">
        <f t="shared" si="0"/>
        <v>0</v>
      </c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</row>
    <row r="29" spans="1:19" s="243" customFormat="1" ht="12" customHeight="1" x14ac:dyDescent="0.2">
      <c r="A29" s="236" t="s">
        <v>214</v>
      </c>
      <c r="B29" s="237" t="s">
        <v>351</v>
      </c>
      <c r="C29" s="142"/>
      <c r="D29" s="435">
        <f>'9.2.1. sz. mell'!C29+'9.2.2. sz.  mell'!C29+'9.2.3. sz. mell.'!C29</f>
        <v>0</v>
      </c>
      <c r="E29" s="659">
        <f t="shared" si="0"/>
        <v>0</v>
      </c>
      <c r="F29" s="661"/>
      <c r="G29" s="661"/>
      <c r="H29" s="661"/>
      <c r="I29" s="661"/>
      <c r="J29" s="661"/>
      <c r="K29" s="661"/>
      <c r="L29" s="661"/>
      <c r="M29" s="661"/>
      <c r="N29" s="661"/>
      <c r="O29" s="661"/>
      <c r="P29" s="661"/>
      <c r="Q29" s="661"/>
      <c r="R29" s="661"/>
      <c r="S29" s="661"/>
    </row>
    <row r="30" spans="1:19" s="243" customFormat="1" ht="12" customHeight="1" x14ac:dyDescent="0.2">
      <c r="A30" s="236" t="s">
        <v>215</v>
      </c>
      <c r="B30" s="238" t="s">
        <v>353</v>
      </c>
      <c r="C30" s="142"/>
      <c r="D30" s="435">
        <f>'9.2.1. sz. mell'!C30+'9.2.2. sz.  mell'!C30+'9.2.3. sz. mell.'!C30</f>
        <v>0</v>
      </c>
      <c r="E30" s="659">
        <f t="shared" si="0"/>
        <v>0</v>
      </c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1"/>
    </row>
    <row r="31" spans="1:19" s="243" customFormat="1" ht="12" customHeight="1" thickBot="1" x14ac:dyDescent="0.25">
      <c r="A31" s="235" t="s">
        <v>216</v>
      </c>
      <c r="B31" s="69" t="s">
        <v>526</v>
      </c>
      <c r="C31" s="44"/>
      <c r="D31" s="435">
        <f>'9.2.1. sz. mell'!C31+'9.2.2. sz.  mell'!C31+'9.2.3. sz. mell.'!C31</f>
        <v>0</v>
      </c>
      <c r="E31" s="659">
        <f t="shared" si="0"/>
        <v>0</v>
      </c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</row>
    <row r="32" spans="1:19" s="243" customFormat="1" ht="12" customHeight="1" thickBot="1" x14ac:dyDescent="0.25">
      <c r="A32" s="88" t="s">
        <v>25</v>
      </c>
      <c r="B32" s="66" t="s">
        <v>354</v>
      </c>
      <c r="C32" s="144">
        <f>+C33+C34+C35</f>
        <v>300000</v>
      </c>
      <c r="D32" s="435">
        <f>'9.2.1. sz. mell'!C32+'9.2.2. sz.  mell'!C32+'9.2.3. sz. mell.'!C32</f>
        <v>300000</v>
      </c>
      <c r="E32" s="659">
        <f t="shared" si="0"/>
        <v>0</v>
      </c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</row>
    <row r="33" spans="1:19" s="243" customFormat="1" ht="12" customHeight="1" x14ac:dyDescent="0.2">
      <c r="A33" s="236" t="s">
        <v>93</v>
      </c>
      <c r="B33" s="237" t="s">
        <v>237</v>
      </c>
      <c r="C33" s="41"/>
      <c r="D33" s="435">
        <f>'9.2.1. sz. mell'!C33+'9.2.2. sz.  mell'!C33+'9.2.3. sz. mell.'!C33</f>
        <v>0</v>
      </c>
      <c r="E33" s="659">
        <f t="shared" si="0"/>
        <v>0</v>
      </c>
      <c r="F33" s="661"/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1"/>
    </row>
    <row r="34" spans="1:19" s="243" customFormat="1" ht="12" customHeight="1" x14ac:dyDescent="0.2">
      <c r="A34" s="236" t="s">
        <v>94</v>
      </c>
      <c r="B34" s="238" t="s">
        <v>238</v>
      </c>
      <c r="C34" s="145"/>
      <c r="D34" s="435">
        <f>'9.2.1. sz. mell'!C34+'9.2.2. sz.  mell'!C34+'9.2.3. sz. mell.'!C34</f>
        <v>0</v>
      </c>
      <c r="E34" s="659">
        <f t="shared" si="0"/>
        <v>0</v>
      </c>
      <c r="F34" s="661"/>
      <c r="G34" s="661"/>
      <c r="H34" s="661"/>
      <c r="I34" s="661"/>
      <c r="J34" s="661"/>
      <c r="K34" s="661"/>
      <c r="L34" s="661"/>
      <c r="M34" s="661"/>
      <c r="N34" s="661"/>
      <c r="O34" s="661"/>
      <c r="P34" s="661"/>
      <c r="Q34" s="661"/>
      <c r="R34" s="661"/>
      <c r="S34" s="661"/>
    </row>
    <row r="35" spans="1:19" s="243" customFormat="1" ht="12" customHeight="1" thickBot="1" x14ac:dyDescent="0.25">
      <c r="A35" s="235" t="s">
        <v>95</v>
      </c>
      <c r="B35" s="69" t="s">
        <v>239</v>
      </c>
      <c r="C35" s="44">
        <v>300000</v>
      </c>
      <c r="D35" s="435">
        <f>'9.2.1. sz. mell'!C35+'9.2.2. sz.  mell'!C35+'9.2.3. sz. mell.'!C35</f>
        <v>300000</v>
      </c>
      <c r="E35" s="659">
        <f t="shared" si="0"/>
        <v>0</v>
      </c>
      <c r="F35" s="661"/>
      <c r="G35" s="661"/>
      <c r="H35" s="661"/>
      <c r="I35" s="661"/>
      <c r="J35" s="661"/>
      <c r="K35" s="661"/>
      <c r="L35" s="661"/>
      <c r="M35" s="661"/>
      <c r="N35" s="661"/>
      <c r="O35" s="661"/>
      <c r="P35" s="661"/>
      <c r="Q35" s="661"/>
      <c r="R35" s="661"/>
      <c r="S35" s="661"/>
    </row>
    <row r="36" spans="1:19" s="191" customFormat="1" ht="12" customHeight="1" thickBot="1" x14ac:dyDescent="0.25">
      <c r="A36" s="88" t="s">
        <v>26</v>
      </c>
      <c r="B36" s="66" t="s">
        <v>325</v>
      </c>
      <c r="C36" s="165"/>
      <c r="D36" s="435">
        <f>'9.2.1. sz. mell'!C36+'9.2.2. sz.  mell'!C36+'9.2.3. sz. mell.'!C36</f>
        <v>0</v>
      </c>
      <c r="E36" s="659">
        <f t="shared" si="0"/>
        <v>0</v>
      </c>
      <c r="F36" s="660"/>
      <c r="G36" s="660"/>
      <c r="H36" s="660"/>
      <c r="I36" s="660"/>
      <c r="J36" s="660"/>
      <c r="K36" s="660"/>
      <c r="L36" s="660"/>
      <c r="M36" s="660"/>
      <c r="N36" s="660"/>
      <c r="O36" s="660"/>
      <c r="P36" s="660"/>
      <c r="Q36" s="660"/>
      <c r="R36" s="660"/>
      <c r="S36" s="660"/>
    </row>
    <row r="37" spans="1:19" s="191" customFormat="1" ht="12" customHeight="1" thickBot="1" x14ac:dyDescent="0.25">
      <c r="A37" s="88" t="s">
        <v>27</v>
      </c>
      <c r="B37" s="66" t="s">
        <v>355</v>
      </c>
      <c r="C37" s="182"/>
      <c r="D37" s="435">
        <f>'9.2.1. sz. mell'!C37+'9.2.2. sz.  mell'!C37+'9.2.3. sz. mell.'!C37</f>
        <v>0</v>
      </c>
      <c r="E37" s="659">
        <f t="shared" si="0"/>
        <v>0</v>
      </c>
      <c r="F37" s="660"/>
      <c r="G37" s="660"/>
      <c r="H37" s="660"/>
      <c r="I37" s="660"/>
      <c r="J37" s="660"/>
      <c r="K37" s="660"/>
      <c r="L37" s="660"/>
      <c r="M37" s="660"/>
      <c r="N37" s="660"/>
      <c r="O37" s="660"/>
      <c r="P37" s="660"/>
      <c r="Q37" s="660"/>
      <c r="R37" s="660"/>
      <c r="S37" s="660"/>
    </row>
    <row r="38" spans="1:19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10482614</v>
      </c>
      <c r="D38" s="435">
        <f>'9.2.1. sz. mell'!C38+'9.2.2. sz.  mell'!C38+'9.2.3. sz. mell.'!C38</f>
        <v>10482614</v>
      </c>
      <c r="E38" s="659">
        <f t="shared" si="0"/>
        <v>0</v>
      </c>
      <c r="F38" s="660"/>
      <c r="G38" s="660"/>
      <c r="H38" s="660"/>
      <c r="I38" s="660"/>
      <c r="J38" s="660"/>
      <c r="K38" s="660"/>
      <c r="L38" s="660"/>
      <c r="M38" s="660"/>
      <c r="N38" s="660"/>
      <c r="O38" s="660"/>
      <c r="P38" s="660"/>
      <c r="Q38" s="660"/>
      <c r="R38" s="660"/>
      <c r="S38" s="660"/>
    </row>
    <row r="39" spans="1:19" s="191" customFormat="1" ht="12" customHeight="1" thickBot="1" x14ac:dyDescent="0.25">
      <c r="A39" s="104" t="s">
        <v>29</v>
      </c>
      <c r="B39" s="66" t="s">
        <v>357</v>
      </c>
      <c r="C39" s="183">
        <f>+C40+C41+C42</f>
        <v>233149643</v>
      </c>
      <c r="D39" s="435">
        <f>'9.2.1. sz. mell'!C39+'9.2.2. sz.  mell'!C39+'9.2.3. sz. mell.'!C39</f>
        <v>233149643</v>
      </c>
      <c r="E39" s="659">
        <f t="shared" si="0"/>
        <v>0</v>
      </c>
      <c r="F39" s="660"/>
      <c r="G39" s="660"/>
      <c r="H39" s="660"/>
      <c r="I39" s="660"/>
      <c r="J39" s="660"/>
      <c r="K39" s="660"/>
      <c r="L39" s="660"/>
      <c r="M39" s="660"/>
      <c r="N39" s="660"/>
      <c r="O39" s="660"/>
      <c r="P39" s="660"/>
      <c r="Q39" s="660"/>
      <c r="R39" s="660"/>
      <c r="S39" s="660"/>
    </row>
    <row r="40" spans="1:19" s="191" customFormat="1" ht="12" customHeight="1" x14ac:dyDescent="0.2">
      <c r="A40" s="236" t="s">
        <v>358</v>
      </c>
      <c r="B40" s="237" t="s">
        <v>182</v>
      </c>
      <c r="C40" s="41">
        <v>327465</v>
      </c>
      <c r="D40" s="435">
        <f>'9.2.1. sz. mell'!C40+'9.2.2. sz.  mell'!C40+'9.2.3. sz. mell.'!C40</f>
        <v>327465</v>
      </c>
      <c r="E40" s="659">
        <f t="shared" si="0"/>
        <v>0</v>
      </c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</row>
    <row r="41" spans="1:19" s="191" customFormat="1" ht="12" customHeight="1" x14ac:dyDescent="0.2">
      <c r="A41" s="236" t="s">
        <v>359</v>
      </c>
      <c r="B41" s="238" t="s">
        <v>9</v>
      </c>
      <c r="C41" s="145"/>
      <c r="D41" s="435">
        <f>'9.2.1. sz. mell'!C41+'9.2.2. sz.  mell'!C41+'9.2.3. sz. mell.'!C41</f>
        <v>0</v>
      </c>
      <c r="E41" s="659">
        <f t="shared" si="0"/>
        <v>0</v>
      </c>
      <c r="F41" s="660"/>
      <c r="G41" s="660"/>
      <c r="H41" s="660"/>
      <c r="I41" s="660"/>
      <c r="J41" s="660"/>
      <c r="K41" s="660"/>
      <c r="L41" s="660"/>
      <c r="M41" s="660"/>
      <c r="N41" s="660"/>
      <c r="O41" s="660"/>
      <c r="P41" s="660"/>
      <c r="Q41" s="660"/>
      <c r="R41" s="660"/>
      <c r="S41" s="660"/>
    </row>
    <row r="42" spans="1:19" s="243" customFormat="1" ht="12" customHeight="1" thickBot="1" x14ac:dyDescent="0.25">
      <c r="A42" s="235" t="s">
        <v>360</v>
      </c>
      <c r="B42" s="69" t="s">
        <v>361</v>
      </c>
      <c r="C42" s="44">
        <v>232822178</v>
      </c>
      <c r="D42" s="435">
        <f>'9.2.1. sz. mell'!C42+'9.2.2. sz.  mell'!C42+'9.2.3. sz. mell.'!C42</f>
        <v>232822178</v>
      </c>
      <c r="E42" s="659">
        <f t="shared" si="0"/>
        <v>0</v>
      </c>
      <c r="F42" s="661"/>
      <c r="G42" s="661"/>
      <c r="H42" s="661"/>
      <c r="I42" s="661"/>
      <c r="J42" s="661"/>
      <c r="K42" s="661"/>
      <c r="L42" s="661"/>
      <c r="M42" s="661"/>
      <c r="N42" s="661"/>
      <c r="O42" s="661"/>
      <c r="P42" s="661"/>
      <c r="Q42" s="661"/>
      <c r="R42" s="661"/>
      <c r="S42" s="661"/>
    </row>
    <row r="43" spans="1:19" s="243" customFormat="1" ht="15" customHeight="1" thickBot="1" x14ac:dyDescent="0.25">
      <c r="A43" s="104" t="s">
        <v>30</v>
      </c>
      <c r="B43" s="105" t="s">
        <v>362</v>
      </c>
      <c r="C43" s="186">
        <f>+C38+C39</f>
        <v>243632257</v>
      </c>
      <c r="D43" s="435">
        <f>'9.2.1. sz. mell'!C43+'9.2.2. sz.  mell'!C43+'9.2.3. sz. mell.'!C43</f>
        <v>243632257</v>
      </c>
      <c r="E43" s="659">
        <f t="shared" si="0"/>
        <v>0</v>
      </c>
      <c r="F43" s="661"/>
      <c r="G43" s="661"/>
      <c r="H43" s="661"/>
      <c r="I43" s="661"/>
      <c r="J43" s="661"/>
      <c r="K43" s="661"/>
      <c r="L43" s="661"/>
      <c r="M43" s="661"/>
      <c r="N43" s="661"/>
      <c r="O43" s="661"/>
      <c r="P43" s="661"/>
      <c r="Q43" s="661"/>
      <c r="R43" s="661"/>
      <c r="S43" s="661"/>
    </row>
    <row r="44" spans="1:19" s="243" customFormat="1" ht="15" customHeight="1" x14ac:dyDescent="0.2">
      <c r="A44" s="106"/>
      <c r="B44" s="107"/>
      <c r="C44" s="184"/>
      <c r="D44" s="435">
        <f>'9.2.1. sz. mell'!C44+'9.2.2. sz.  mell'!C44+'9.2.3. sz. mell.'!C44</f>
        <v>0</v>
      </c>
      <c r="E44" s="432"/>
      <c r="F44" s="661"/>
      <c r="G44" s="661"/>
      <c r="H44" s="661"/>
      <c r="I44" s="661"/>
      <c r="J44" s="661"/>
      <c r="K44" s="661"/>
      <c r="L44" s="661"/>
      <c r="M44" s="661"/>
      <c r="N44" s="661"/>
      <c r="O44" s="661"/>
      <c r="P44" s="661"/>
      <c r="Q44" s="661"/>
      <c r="R44" s="661"/>
      <c r="S44" s="661"/>
    </row>
    <row r="45" spans="1:19" ht="13.5" thickBot="1" x14ac:dyDescent="0.25">
      <c r="A45" s="108"/>
      <c r="B45" s="109"/>
      <c r="C45" s="185"/>
      <c r="D45" s="435">
        <f>'9.2.1. sz. mell'!C45+'9.2.2. sz.  mell'!C45+'9.2.3. sz. mell.'!C45</f>
        <v>0</v>
      </c>
    </row>
    <row r="46" spans="1:19" s="242" customFormat="1" ht="16.5" customHeight="1" thickBot="1" x14ac:dyDescent="0.25">
      <c r="A46" s="110"/>
      <c r="B46" s="111" t="s">
        <v>59</v>
      </c>
      <c r="C46" s="186"/>
      <c r="D46" s="435">
        <f>'9.2.1. sz. mell'!C46+'9.2.2. sz.  mell'!C46+'9.2.3. sz. mell.'!C46</f>
        <v>0</v>
      </c>
      <c r="E46" s="434"/>
      <c r="F46" s="658"/>
      <c r="G46" s="658"/>
      <c r="H46" s="658"/>
      <c r="I46" s="658"/>
      <c r="J46" s="658"/>
      <c r="K46" s="658"/>
      <c r="L46" s="658"/>
      <c r="M46" s="658"/>
      <c r="N46" s="658"/>
      <c r="O46" s="658"/>
      <c r="P46" s="658"/>
      <c r="Q46" s="658"/>
      <c r="R46" s="658"/>
      <c r="S46" s="658"/>
    </row>
    <row r="47" spans="1:19" s="244" customFormat="1" ht="12" customHeight="1" thickBot="1" x14ac:dyDescent="0.25">
      <c r="A47" s="88" t="s">
        <v>21</v>
      </c>
      <c r="B47" s="66" t="s">
        <v>363</v>
      </c>
      <c r="C47" s="144">
        <f>SUM(C48:C52)</f>
        <v>238584857</v>
      </c>
      <c r="D47" s="435">
        <f>'9.2.1. sz. mell'!C47+'9.2.2. sz.  mell'!C47+'9.2.3. sz. mell.'!C47</f>
        <v>238584857</v>
      </c>
      <c r="E47" s="659">
        <f t="shared" ref="E47:E59" si="1">C47-D47</f>
        <v>0</v>
      </c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62"/>
      <c r="S47" s="662"/>
    </row>
    <row r="48" spans="1:19" ht="12" customHeight="1" x14ac:dyDescent="0.2">
      <c r="A48" s="235" t="s">
        <v>100</v>
      </c>
      <c r="B48" s="7" t="s">
        <v>51</v>
      </c>
      <c r="C48" s="41">
        <v>164405869</v>
      </c>
      <c r="D48" s="435">
        <f>'9.2.1. sz. mell'!C48+'9.2.2. sz.  mell'!C48+'9.2.3. sz. mell.'!C48</f>
        <v>164405869</v>
      </c>
      <c r="E48" s="659">
        <f t="shared" si="1"/>
        <v>0</v>
      </c>
    </row>
    <row r="49" spans="1:19" ht="12" customHeight="1" x14ac:dyDescent="0.2">
      <c r="A49" s="235" t="s">
        <v>101</v>
      </c>
      <c r="B49" s="6" t="s">
        <v>149</v>
      </c>
      <c r="C49" s="43">
        <v>32731163</v>
      </c>
      <c r="D49" s="435">
        <f>'9.2.1. sz. mell'!C49+'9.2.2. sz.  mell'!C49+'9.2.3. sz. mell.'!C49</f>
        <v>32731163</v>
      </c>
      <c r="E49" s="659">
        <f t="shared" si="1"/>
        <v>0</v>
      </c>
    </row>
    <row r="50" spans="1:19" ht="12" customHeight="1" x14ac:dyDescent="0.2">
      <c r="A50" s="235" t="s">
        <v>102</v>
      </c>
      <c r="B50" s="6" t="s">
        <v>125</v>
      </c>
      <c r="C50" s="43">
        <v>41447825</v>
      </c>
      <c r="D50" s="435">
        <f>'9.2.1. sz. mell'!C50+'9.2.2. sz.  mell'!C50+'9.2.3. sz. mell.'!C50</f>
        <v>41447825</v>
      </c>
      <c r="E50" s="659">
        <f t="shared" si="1"/>
        <v>0</v>
      </c>
    </row>
    <row r="51" spans="1:19" ht="12" customHeight="1" x14ac:dyDescent="0.2">
      <c r="A51" s="235" t="s">
        <v>103</v>
      </c>
      <c r="B51" s="6" t="s">
        <v>150</v>
      </c>
      <c r="C51" s="43"/>
      <c r="D51" s="435">
        <f>'9.2.1. sz. mell'!C51+'9.2.2. sz.  mell'!C51+'9.2.3. sz. mell.'!C51</f>
        <v>0</v>
      </c>
      <c r="E51" s="659">
        <f t="shared" si="1"/>
        <v>0</v>
      </c>
    </row>
    <row r="52" spans="1:19" ht="12" customHeight="1" thickBot="1" x14ac:dyDescent="0.25">
      <c r="A52" s="235" t="s">
        <v>126</v>
      </c>
      <c r="B52" s="6" t="s">
        <v>151</v>
      </c>
      <c r="C52" s="43"/>
      <c r="D52" s="435">
        <f>'9.2.1. sz. mell'!C52+'9.2.2. sz.  mell'!C52+'9.2.3. sz. mell.'!C52</f>
        <v>0</v>
      </c>
      <c r="E52" s="659">
        <f t="shared" si="1"/>
        <v>0</v>
      </c>
    </row>
    <row r="53" spans="1:19" ht="12" customHeight="1" thickBot="1" x14ac:dyDescent="0.25">
      <c r="A53" s="88" t="s">
        <v>22</v>
      </c>
      <c r="B53" s="66" t="s">
        <v>364</v>
      </c>
      <c r="C53" s="144">
        <f>SUM(C54:C56)</f>
        <v>5047400</v>
      </c>
      <c r="D53" s="435">
        <f>'9.2.1. sz. mell'!C53+'9.2.2. sz.  mell'!C53+'9.2.3. sz. mell.'!C53</f>
        <v>5047400</v>
      </c>
      <c r="E53" s="659">
        <f t="shared" si="1"/>
        <v>0</v>
      </c>
    </row>
    <row r="54" spans="1:19" s="244" customFormat="1" ht="12" customHeight="1" x14ac:dyDescent="0.2">
      <c r="A54" s="235" t="s">
        <v>106</v>
      </c>
      <c r="B54" s="7" t="s">
        <v>173</v>
      </c>
      <c r="C54" s="41">
        <v>5047400</v>
      </c>
      <c r="D54" s="435">
        <f>'9.2.1. sz. mell'!C54+'9.2.2. sz.  mell'!C54+'9.2.3. sz. mell.'!C54</f>
        <v>5047400</v>
      </c>
      <c r="E54" s="659">
        <f t="shared" si="1"/>
        <v>0</v>
      </c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62"/>
      <c r="S54" s="662"/>
    </row>
    <row r="55" spans="1:19" ht="12" customHeight="1" x14ac:dyDescent="0.2">
      <c r="A55" s="235" t="s">
        <v>107</v>
      </c>
      <c r="B55" s="6" t="s">
        <v>153</v>
      </c>
      <c r="C55" s="43"/>
      <c r="D55" s="435">
        <f>'9.2.1. sz. mell'!C55+'9.2.2. sz.  mell'!C55+'9.2.3. sz. mell.'!C55</f>
        <v>0</v>
      </c>
      <c r="E55" s="659">
        <f t="shared" si="1"/>
        <v>0</v>
      </c>
    </row>
    <row r="56" spans="1:19" ht="12" customHeight="1" x14ac:dyDescent="0.2">
      <c r="A56" s="235" t="s">
        <v>108</v>
      </c>
      <c r="B56" s="6" t="s">
        <v>60</v>
      </c>
      <c r="C56" s="43"/>
      <c r="D56" s="435">
        <f>'9.2.1. sz. mell'!C56+'9.2.2. sz.  mell'!C56+'9.2.3. sz. mell.'!C56</f>
        <v>0</v>
      </c>
      <c r="E56" s="659">
        <f t="shared" si="1"/>
        <v>0</v>
      </c>
    </row>
    <row r="57" spans="1:19" ht="12" customHeight="1" thickBot="1" x14ac:dyDescent="0.25">
      <c r="A57" s="235" t="s">
        <v>109</v>
      </c>
      <c r="B57" s="6" t="s">
        <v>527</v>
      </c>
      <c r="C57" s="43"/>
      <c r="D57" s="435">
        <f>'9.2.1. sz. mell'!C57+'9.2.2. sz.  mell'!C57+'9.2.3. sz. mell.'!C57</f>
        <v>0</v>
      </c>
      <c r="E57" s="659">
        <f t="shared" si="1"/>
        <v>0</v>
      </c>
    </row>
    <row r="58" spans="1:19" ht="12" customHeight="1" thickBot="1" x14ac:dyDescent="0.25">
      <c r="A58" s="88" t="s">
        <v>23</v>
      </c>
      <c r="B58" s="66" t="s">
        <v>15</v>
      </c>
      <c r="C58" s="165"/>
      <c r="D58" s="435">
        <f>'9.2.1. sz. mell'!C58+'9.2.2. sz.  mell'!C58+'9.2.3. sz. mell.'!C58</f>
        <v>0</v>
      </c>
      <c r="E58" s="659">
        <f t="shared" si="1"/>
        <v>0</v>
      </c>
    </row>
    <row r="59" spans="1:19" ht="15" customHeight="1" thickBot="1" x14ac:dyDescent="0.25">
      <c r="A59" s="88" t="s">
        <v>24</v>
      </c>
      <c r="B59" s="112" t="s">
        <v>528</v>
      </c>
      <c r="C59" s="187">
        <f>+C47+C53+C58</f>
        <v>243632257</v>
      </c>
      <c r="D59" s="435">
        <f>'9.2.1. sz. mell'!C59+'9.2.2. sz.  mell'!C59+'9.2.3. sz. mell.'!C59</f>
        <v>243632257</v>
      </c>
      <c r="E59" s="659">
        <f t="shared" si="1"/>
        <v>0</v>
      </c>
    </row>
    <row r="60" spans="1:19" ht="13.5" thickBot="1" x14ac:dyDescent="0.25">
      <c r="C60" s="393"/>
      <c r="D60" s="435">
        <f>'9.2.1. sz. mell'!C60+'9.2.2. sz.  mell'!C60+'9.2.3. sz. mell.'!C60</f>
        <v>0</v>
      </c>
      <c r="E60" s="436"/>
    </row>
    <row r="61" spans="1:19" ht="15" customHeight="1" thickBot="1" x14ac:dyDescent="0.25">
      <c r="A61" s="115" t="s">
        <v>521</v>
      </c>
      <c r="B61" s="116"/>
      <c r="C61" s="700">
        <f>47.375+1</f>
        <v>48.375</v>
      </c>
      <c r="D61" s="435">
        <f>'9.2.1. sz. mell'!C61+'9.2.2. sz.  mell'!C61+'9.2.3. sz. mell.'!C61</f>
        <v>48.38</v>
      </c>
      <c r="E61" s="659">
        <f>C61-D61</f>
        <v>-5.000000000002558E-3</v>
      </c>
    </row>
    <row r="62" spans="1:19" x14ac:dyDescent="0.2">
      <c r="I62" s="663"/>
    </row>
    <row r="64" spans="1:19" x14ac:dyDescent="0.2">
      <c r="B64" s="39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15" zoomScaleNormal="115" zoomScalePageLayoutView="7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16384" width="9.33203125" style="114"/>
  </cols>
  <sheetData>
    <row r="1" spans="1:3" s="1258" customFormat="1" x14ac:dyDescent="0.2">
      <c r="A1" s="1540" t="str">
        <f>CONCATENATE("9.2.1. melléklet ",ALAPADATOK!A7," ",ALAPADATOK!B7," ",ALAPADATOK!C7," ",ALAPADATOK!D7," ",ALAPADATOK!E7," ",ALAPADATOK!F7," ",ALAPADATOK!G7," ",ALAPADATOK!H7)</f>
        <v>9.2.1.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239"/>
    </row>
    <row r="3" spans="1:3" s="240" customFormat="1" ht="35.2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365</v>
      </c>
      <c r="C4" s="190" t="s">
        <v>62</v>
      </c>
    </row>
    <row r="5" spans="1:3" s="241" customFormat="1" ht="15.95" customHeight="1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3257614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142">
        <v>2565050</v>
      </c>
    </row>
    <row r="12" spans="1:3" s="191" customFormat="1" ht="12" customHeight="1" x14ac:dyDescent="0.2">
      <c r="A12" s="235" t="s">
        <v>102</v>
      </c>
      <c r="B12" s="6" t="s">
        <v>225</v>
      </c>
      <c r="C12" s="142"/>
    </row>
    <row r="13" spans="1:3" s="191" customFormat="1" ht="12" customHeight="1" x14ac:dyDescent="0.2">
      <c r="A13" s="235" t="s">
        <v>103</v>
      </c>
      <c r="B13" s="6" t="s">
        <v>226</v>
      </c>
      <c r="C13" s="142"/>
    </row>
    <row r="14" spans="1:3" s="191" customFormat="1" ht="12" customHeight="1" x14ac:dyDescent="0.2">
      <c r="A14" s="235" t="s">
        <v>126</v>
      </c>
      <c r="B14" s="6" t="s">
        <v>227</v>
      </c>
      <c r="C14" s="142"/>
    </row>
    <row r="15" spans="1:3" s="191" customFormat="1" ht="12" customHeight="1" x14ac:dyDescent="0.2">
      <c r="A15" s="235" t="s">
        <v>104</v>
      </c>
      <c r="B15" s="6" t="s">
        <v>348</v>
      </c>
      <c r="C15" s="142">
        <v>692564</v>
      </c>
    </row>
    <row r="16" spans="1:3" s="191" customFormat="1" ht="12" customHeight="1" x14ac:dyDescent="0.2">
      <c r="A16" s="235" t="s">
        <v>105</v>
      </c>
      <c r="B16" s="5" t="s">
        <v>349</v>
      </c>
      <c r="C16" s="142"/>
    </row>
    <row r="17" spans="1:3" s="191" customFormat="1" ht="12" customHeight="1" x14ac:dyDescent="0.2">
      <c r="A17" s="235" t="s">
        <v>115</v>
      </c>
      <c r="B17" s="6" t="s">
        <v>230</v>
      </c>
      <c r="C17" s="181"/>
    </row>
    <row r="18" spans="1:3" s="243" customFormat="1" ht="12" customHeight="1" x14ac:dyDescent="0.2">
      <c r="A18" s="235" t="s">
        <v>116</v>
      </c>
      <c r="B18" s="6" t="s">
        <v>231</v>
      </c>
      <c r="C18" s="142"/>
    </row>
    <row r="19" spans="1:3" s="243" customFormat="1" ht="12" customHeight="1" x14ac:dyDescent="0.2">
      <c r="A19" s="235" t="s">
        <v>117</v>
      </c>
      <c r="B19" s="6" t="s">
        <v>453</v>
      </c>
      <c r="C19" s="143"/>
    </row>
    <row r="20" spans="1:3" s="243" customFormat="1" ht="12" customHeight="1" thickBot="1" x14ac:dyDescent="0.25">
      <c r="A20" s="235" t="s">
        <v>118</v>
      </c>
      <c r="B20" s="5" t="s">
        <v>232</v>
      </c>
      <c r="C20" s="143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243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3257614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3329853</v>
      </c>
    </row>
    <row r="40" spans="1:3" s="191" customFormat="1" ht="12" customHeight="1" x14ac:dyDescent="0.2">
      <c r="A40" s="236" t="s">
        <v>358</v>
      </c>
      <c r="B40" s="237" t="s">
        <v>182</v>
      </c>
      <c r="C40" s="41">
        <v>327465</v>
      </c>
    </row>
    <row r="41" spans="1:3" s="191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2" customHeight="1" thickBot="1" x14ac:dyDescent="0.25">
      <c r="A42" s="235" t="s">
        <v>360</v>
      </c>
      <c r="B42" s="69" t="s">
        <v>361</v>
      </c>
      <c r="C42" s="44">
        <v>3002388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6587467</v>
      </c>
    </row>
    <row r="44" spans="1:3" s="243" customFormat="1" ht="15" customHeight="1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s="242" customFormat="1" ht="16.5" customHeight="1" thickBot="1" x14ac:dyDescent="0.25">
      <c r="A46" s="110"/>
      <c r="B46" s="111" t="s">
        <v>59</v>
      </c>
      <c r="C46" s="186"/>
    </row>
    <row r="47" spans="1:3" s="244" customFormat="1" ht="12" customHeight="1" thickBot="1" x14ac:dyDescent="0.25">
      <c r="A47" s="88" t="s">
        <v>21</v>
      </c>
      <c r="B47" s="66" t="s">
        <v>363</v>
      </c>
      <c r="C47" s="144">
        <f>SUM(C48:C52)</f>
        <v>6357467</v>
      </c>
    </row>
    <row r="48" spans="1:3" ht="12" customHeight="1" x14ac:dyDescent="0.2">
      <c r="A48" s="235" t="s">
        <v>100</v>
      </c>
      <c r="B48" s="7" t="s">
        <v>51</v>
      </c>
      <c r="C48" s="41">
        <v>4072814</v>
      </c>
    </row>
    <row r="49" spans="1:3" ht="12" customHeight="1" x14ac:dyDescent="0.2">
      <c r="A49" s="235" t="s">
        <v>101</v>
      </c>
      <c r="B49" s="6" t="s">
        <v>149</v>
      </c>
      <c r="C49" s="43">
        <v>748356</v>
      </c>
    </row>
    <row r="50" spans="1:3" ht="12" customHeight="1" x14ac:dyDescent="0.2">
      <c r="A50" s="235" t="s">
        <v>102</v>
      </c>
      <c r="B50" s="6" t="s">
        <v>125</v>
      </c>
      <c r="C50" s="43">
        <v>1536297</v>
      </c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230000</v>
      </c>
    </row>
    <row r="54" spans="1:3" s="244" customFormat="1" ht="12" customHeight="1" x14ac:dyDescent="0.2">
      <c r="A54" s="235" t="s">
        <v>106</v>
      </c>
      <c r="B54" s="7" t="s">
        <v>173</v>
      </c>
      <c r="C54" s="41">
        <v>230000</v>
      </c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6587467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54" zoomScale="130" zoomScaleNormal="13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58" customFormat="1" x14ac:dyDescent="0.2">
      <c r="A1" s="1540" t="str">
        <f>CONCATENATE("9.2.2. melléklet ",ALAPADATOK!A7," ",ALAPADATOK!B7," ",ALAPADATOK!C7," ",ALAPADATOK!D7," ",ALAPADATOK!E7," ",ALAPADATOK!F7," ",ALAPADATOK!G7," ",ALAPADATOK!H7)</f>
        <v>9.2.2.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239"/>
    </row>
    <row r="3" spans="1:3" s="240" customFormat="1" ht="35.2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/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/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243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191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2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0</v>
      </c>
    </row>
    <row r="44" spans="1:3" s="243" customFormat="1" ht="15" customHeight="1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s="242" customFormat="1" ht="16.5" customHeight="1" thickBot="1" x14ac:dyDescent="0.25">
      <c r="A46" s="110"/>
      <c r="B46" s="111" t="s">
        <v>59</v>
      </c>
      <c r="C46" s="186"/>
    </row>
    <row r="47" spans="1:3" s="244" customFormat="1" ht="12" customHeight="1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ht="12" customHeight="1" x14ac:dyDescent="0.2">
      <c r="A48" s="235" t="s">
        <v>100</v>
      </c>
      <c r="B48" s="7" t="s">
        <v>51</v>
      </c>
      <c r="C48" s="516"/>
    </row>
    <row r="49" spans="1:3" ht="12" customHeight="1" x14ac:dyDescent="0.2">
      <c r="A49" s="235" t="s">
        <v>101</v>
      </c>
      <c r="B49" s="6" t="s">
        <v>149</v>
      </c>
      <c r="C49" s="517"/>
    </row>
    <row r="50" spans="1:3" ht="12" customHeight="1" x14ac:dyDescent="0.2">
      <c r="A50" s="235" t="s">
        <v>102</v>
      </c>
      <c r="B50" s="6" t="s">
        <v>125</v>
      </c>
      <c r="C50" s="517"/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s="244" customFormat="1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Normal="10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58" customFormat="1" x14ac:dyDescent="0.2">
      <c r="A1" s="1540" t="str">
        <f>CONCATENATE("9.2.3. melléklet ",ALAPADATOK!A7," ",ALAPADATOK!B7," ",ALAPADATOK!C7," ",ALAPADATOK!D7," ",ALAPADATOK!E7," ",ALAPADATOK!F7," ",ALAPADATOK!G7," ",ALAPADATOK!H7)</f>
        <v>9.2.3.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239"/>
    </row>
    <row r="3" spans="1:3" s="240" customFormat="1" ht="33.7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529</v>
      </c>
      <c r="C4" s="190" t="s">
        <v>379</v>
      </c>
    </row>
    <row r="5" spans="1:3" s="241" customFormat="1" ht="15.95" customHeight="1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6925000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>
        <v>5000000</v>
      </c>
    </row>
    <row r="12" spans="1:3" s="191" customFormat="1" ht="12" customHeight="1" x14ac:dyDescent="0.2">
      <c r="A12" s="235" t="s">
        <v>102</v>
      </c>
      <c r="B12" s="6" t="s">
        <v>225</v>
      </c>
      <c r="C12" s="43">
        <v>200000</v>
      </c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>
        <v>1485000</v>
      </c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>
        <v>240000</v>
      </c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300000</v>
      </c>
    </row>
    <row r="33" spans="1:4" s="243" customFormat="1" ht="12" customHeight="1" x14ac:dyDescent="0.2">
      <c r="A33" s="236" t="s">
        <v>93</v>
      </c>
      <c r="B33" s="237" t="s">
        <v>237</v>
      </c>
      <c r="C33" s="41"/>
    </row>
    <row r="34" spans="1:4" s="243" customFormat="1" ht="12" customHeight="1" x14ac:dyDescent="0.2">
      <c r="A34" s="236" t="s">
        <v>94</v>
      </c>
      <c r="B34" s="238" t="s">
        <v>238</v>
      </c>
      <c r="C34" s="145"/>
    </row>
    <row r="35" spans="1:4" s="243" customFormat="1" ht="12" customHeight="1" thickBot="1" x14ac:dyDescent="0.25">
      <c r="A35" s="235" t="s">
        <v>95</v>
      </c>
      <c r="B35" s="69" t="s">
        <v>239</v>
      </c>
      <c r="C35" s="44">
        <v>300000</v>
      </c>
    </row>
    <row r="36" spans="1:4" s="191" customFormat="1" ht="12" customHeight="1" thickBot="1" x14ac:dyDescent="0.25">
      <c r="A36" s="88" t="s">
        <v>26</v>
      </c>
      <c r="B36" s="66" t="s">
        <v>325</v>
      </c>
      <c r="C36" s="165"/>
    </row>
    <row r="37" spans="1:4" s="191" customFormat="1" ht="12" customHeight="1" thickBot="1" x14ac:dyDescent="0.25">
      <c r="A37" s="88" t="s">
        <v>27</v>
      </c>
      <c r="B37" s="66" t="s">
        <v>355</v>
      </c>
      <c r="C37" s="182"/>
    </row>
    <row r="38" spans="1:4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7225000</v>
      </c>
    </row>
    <row r="39" spans="1:4" s="191" customFormat="1" ht="12" customHeight="1" thickBot="1" x14ac:dyDescent="0.25">
      <c r="A39" s="104" t="s">
        <v>29</v>
      </c>
      <c r="B39" s="66" t="s">
        <v>357</v>
      </c>
      <c r="C39" s="183">
        <f>+C40+C41+C42</f>
        <v>229819790</v>
      </c>
    </row>
    <row r="40" spans="1:4" s="191" customFormat="1" ht="12" customHeight="1" x14ac:dyDescent="0.2">
      <c r="A40" s="236" t="s">
        <v>358</v>
      </c>
      <c r="B40" s="237" t="s">
        <v>182</v>
      </c>
      <c r="C40" s="41"/>
      <c r="D40" s="292"/>
    </row>
    <row r="41" spans="1:4" s="191" customFormat="1" ht="12" customHeight="1" x14ac:dyDescent="0.2">
      <c r="A41" s="236" t="s">
        <v>359</v>
      </c>
      <c r="B41" s="238" t="s">
        <v>9</v>
      </c>
      <c r="C41" s="145"/>
    </row>
    <row r="42" spans="1:4" s="243" customFormat="1" ht="12" customHeight="1" thickBot="1" x14ac:dyDescent="0.25">
      <c r="A42" s="235" t="s">
        <v>360</v>
      </c>
      <c r="B42" s="69" t="s">
        <v>361</v>
      </c>
      <c r="C42" s="44">
        <v>229819790</v>
      </c>
    </row>
    <row r="43" spans="1:4" s="243" customFormat="1" ht="15" customHeight="1" thickBot="1" x14ac:dyDescent="0.25">
      <c r="A43" s="104" t="s">
        <v>30</v>
      </c>
      <c r="B43" s="105" t="s">
        <v>362</v>
      </c>
      <c r="C43" s="186">
        <f>+C38+C39</f>
        <v>237044790</v>
      </c>
    </row>
    <row r="44" spans="1:4" s="243" customFormat="1" ht="15" customHeight="1" x14ac:dyDescent="0.2">
      <c r="A44" s="106"/>
      <c r="B44" s="107"/>
      <c r="C44" s="184"/>
    </row>
    <row r="45" spans="1:4" ht="13.5" thickBot="1" x14ac:dyDescent="0.25">
      <c r="A45" s="108"/>
      <c r="B45" s="109"/>
      <c r="C45" s="185"/>
    </row>
    <row r="46" spans="1:4" s="242" customFormat="1" ht="16.5" customHeight="1" thickBot="1" x14ac:dyDescent="0.25">
      <c r="A46" s="110"/>
      <c r="B46" s="111" t="s">
        <v>59</v>
      </c>
      <c r="C46" s="186"/>
    </row>
    <row r="47" spans="1:4" s="244" customFormat="1" ht="12" customHeight="1" thickBot="1" x14ac:dyDescent="0.25">
      <c r="A47" s="88" t="s">
        <v>21</v>
      </c>
      <c r="B47" s="66" t="s">
        <v>363</v>
      </c>
      <c r="C47" s="144">
        <f>SUM(C48:C52)</f>
        <v>232227390</v>
      </c>
    </row>
    <row r="48" spans="1:4" ht="12" customHeight="1" x14ac:dyDescent="0.2">
      <c r="A48" s="235" t="s">
        <v>100</v>
      </c>
      <c r="B48" s="7" t="s">
        <v>51</v>
      </c>
      <c r="C48" s="41">
        <v>160333055</v>
      </c>
    </row>
    <row r="49" spans="1:3" ht="12" customHeight="1" x14ac:dyDescent="0.2">
      <c r="A49" s="235" t="s">
        <v>101</v>
      </c>
      <c r="B49" s="6" t="s">
        <v>149</v>
      </c>
      <c r="C49" s="43">
        <v>31982807</v>
      </c>
    </row>
    <row r="50" spans="1:3" ht="12" customHeight="1" x14ac:dyDescent="0.2">
      <c r="A50" s="235" t="s">
        <v>102</v>
      </c>
      <c r="B50" s="6" t="s">
        <v>125</v>
      </c>
      <c r="C50" s="43">
        <v>39911528</v>
      </c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4817400</v>
      </c>
    </row>
    <row r="54" spans="1:3" s="244" customFormat="1" ht="12" customHeight="1" x14ac:dyDescent="0.2">
      <c r="A54" s="235" t="s">
        <v>106</v>
      </c>
      <c r="B54" s="7" t="s">
        <v>173</v>
      </c>
      <c r="C54" s="41">
        <v>4817400</v>
      </c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237044790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8" hidden="1" customWidth="1"/>
    <col min="6" max="6" width="9.83203125" style="648" hidden="1" customWidth="1"/>
    <col min="7" max="7" width="8" style="114" customWidth="1"/>
    <col min="8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58" customFormat="1" x14ac:dyDescent="0.2">
      <c r="A1" s="1540" t="str">
        <f>CONCATENATE("9.3. melléklet ",ALAPADATOK!A7," ",ALAPADATOK!B7," ",ALAPADATOK!C7," ",ALAPADATOK!D7," ",ALAPADATOK!E7," ",ALAPADATOK!F7," ",ALAPADATOK!G7," ",ALAPADATOK!H7)</f>
        <v>9.3. melléklet a 6 / 2020. ( II.27 ) önkormányzati határozathoz</v>
      </c>
      <c r="B1" s="1540"/>
      <c r="C1" s="1540"/>
      <c r="E1" s="1283"/>
      <c r="F1" s="1283"/>
    </row>
    <row r="2" spans="1:6" s="93" customFormat="1" ht="21" customHeight="1" thickBot="1" x14ac:dyDescent="0.25">
      <c r="A2" s="92"/>
      <c r="B2" s="94"/>
      <c r="C2" s="404"/>
      <c r="E2" s="648"/>
      <c r="F2" s="648"/>
    </row>
    <row r="3" spans="1:6" s="240" customFormat="1" ht="33" customHeight="1" x14ac:dyDescent="0.2">
      <c r="A3" s="197" t="s">
        <v>167</v>
      </c>
      <c r="B3" s="175" t="s">
        <v>404</v>
      </c>
      <c r="C3" s="405" t="s">
        <v>63</v>
      </c>
      <c r="E3" s="649"/>
      <c r="F3" s="649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9"/>
      <c r="F4" s="649"/>
    </row>
    <row r="5" spans="1:6" s="241" customFormat="1" ht="15.95" customHeight="1" thickBot="1" x14ac:dyDescent="0.3">
      <c r="A5" s="96"/>
      <c r="B5" s="96"/>
      <c r="C5" s="407" t="s">
        <v>558</v>
      </c>
      <c r="E5" s="649"/>
      <c r="F5" s="649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50"/>
      <c r="F7" s="650"/>
    </row>
    <row r="8" spans="1:6" s="242" customFormat="1" ht="15.95" customHeight="1" thickBot="1" x14ac:dyDescent="0.25">
      <c r="A8" s="100"/>
      <c r="B8" s="101" t="s">
        <v>58</v>
      </c>
      <c r="C8" s="410"/>
      <c r="E8" s="650"/>
      <c r="F8" s="650"/>
    </row>
    <row r="9" spans="1:6" s="191" customFormat="1" ht="12" customHeight="1" thickBot="1" x14ac:dyDescent="0.25">
      <c r="A9" s="85" t="s">
        <v>21</v>
      </c>
      <c r="B9" s="103" t="s">
        <v>523</v>
      </c>
      <c r="C9" s="794">
        <f>SUM(C10:C20)</f>
        <v>8841532</v>
      </c>
      <c r="E9" s="651">
        <f>'9.3.1. sz. mell EOI'!C9+'9.3.2.sz.mell EOI'!C9</f>
        <v>8841532</v>
      </c>
      <c r="F9" s="651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5"/>
      <c r="E10" s="651">
        <f>'9.3.1. sz. mell EOI'!C10+'9.3.2.sz.mell EOI'!C10</f>
        <v>0</v>
      </c>
      <c r="F10" s="651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6">
        <v>600000</v>
      </c>
      <c r="E11" s="651">
        <f>'9.3.1. sz. mell EOI'!C11+'9.3.2.sz.mell EOI'!C11</f>
        <v>600000</v>
      </c>
      <c r="F11" s="651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6">
        <v>4600000</v>
      </c>
      <c r="E12" s="651">
        <f>'9.3.1. sz. mell EOI'!C12+'9.3.2.sz.mell EOI'!C12</f>
        <v>4600000</v>
      </c>
      <c r="F12" s="651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6"/>
      <c r="E13" s="651">
        <f>'9.3.1. sz. mell EOI'!C13+'9.3.2.sz.mell EOI'!C13</f>
        <v>0</v>
      </c>
      <c r="F13" s="651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6">
        <v>1472860</v>
      </c>
      <c r="E14" s="651">
        <f>'9.3.1. sz. mell EOI'!C14+'9.3.2.sz.mell EOI'!C14</f>
        <v>1472860</v>
      </c>
      <c r="F14" s="651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6">
        <v>1801672</v>
      </c>
      <c r="E15" s="651">
        <f>'9.3.1. sz. mell EOI'!C15+'9.3.2.sz.mell EOI'!C15</f>
        <v>1801672</v>
      </c>
      <c r="F15" s="651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6">
        <v>366000</v>
      </c>
      <c r="E16" s="651">
        <f>'9.3.1. sz. mell EOI'!C16+'9.3.2.sz.mell EOI'!C16</f>
        <v>366000</v>
      </c>
      <c r="F16" s="651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7"/>
      <c r="E17" s="651">
        <f>'9.3.1. sz. mell EOI'!C17+'9.3.2.sz.mell EOI'!C17</f>
        <v>0</v>
      </c>
      <c r="F17" s="651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6"/>
      <c r="E18" s="651">
        <f>'9.3.1. sz. mell EOI'!C18+'9.3.2.sz.mell EOI'!C18</f>
        <v>0</v>
      </c>
      <c r="F18" s="651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8"/>
      <c r="E19" s="651">
        <f>'9.3.1. sz. mell EOI'!C19+'9.3.2.sz.mell EOI'!C19</f>
        <v>0</v>
      </c>
      <c r="F19" s="651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8">
        <v>1000</v>
      </c>
      <c r="E20" s="651">
        <f>'9.3.1. sz. mell EOI'!C20+'9.3.2.sz.mell EOI'!C20</f>
        <v>1000</v>
      </c>
      <c r="F20" s="651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94">
        <f>SUM(C22:C24)</f>
        <v>0</v>
      </c>
      <c r="E21" s="651">
        <f>'9.3.1. sz. mell EOI'!C21+'9.3.2.sz.mell EOI'!C21</f>
        <v>0</v>
      </c>
      <c r="F21" s="651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9"/>
      <c r="E22" s="651">
        <f>'9.3.1. sz. mell EOI'!C22+'9.3.2.sz.mell EOI'!C22</f>
        <v>0</v>
      </c>
      <c r="F22" s="651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6"/>
      <c r="E23" s="651">
        <f>'9.3.1. sz. mell EOI'!C23+'9.3.2.sz.mell EOI'!C23</f>
        <v>0</v>
      </c>
      <c r="F23" s="651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800"/>
      <c r="E24" s="651">
        <f>'9.3.1. sz. mell EOI'!C24+'9.3.2.sz.mell EOI'!C24</f>
        <v>0</v>
      </c>
      <c r="F24" s="651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6"/>
      <c r="E25" s="651">
        <f>'9.3.1. sz. mell EOI'!C25+'9.3.2.sz.mell EOI'!C25</f>
        <v>0</v>
      </c>
      <c r="F25" s="651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801"/>
      <c r="E26" s="651">
        <f>'9.3.1. sz. mell EOI'!C26+'9.3.2.sz.mell EOI'!C26</f>
        <v>0</v>
      </c>
      <c r="F26" s="651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  <c r="E27" s="651">
        <f>'9.3.1. sz. mell EOI'!C27+'9.3.2.sz.mell EOI'!C27</f>
        <v>0</v>
      </c>
      <c r="F27" s="651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802"/>
      <c r="E28" s="651">
        <f>'9.3.1. sz. mell EOI'!C28+'9.3.2.sz.mell EOI'!C28</f>
        <v>0</v>
      </c>
      <c r="F28" s="651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9"/>
      <c r="E29" s="651">
        <f>'9.3.1. sz. mell EOI'!C29+'9.3.2.sz.mell EOI'!C29</f>
        <v>0</v>
      </c>
      <c r="F29" s="651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9"/>
      <c r="E30" s="651">
        <f>'9.3.1. sz. mell EOI'!C30+'9.3.2.sz.mell EOI'!C30</f>
        <v>0</v>
      </c>
      <c r="F30" s="651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803"/>
      <c r="E31" s="651">
        <f>'9.3.1. sz. mell EOI'!C31+'9.3.2.sz.mell EOI'!C31</f>
        <v>0</v>
      </c>
      <c r="F31" s="651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  <c r="E32" s="651">
        <f>'9.3.1. sz. mell EOI'!C32+'9.3.2.sz.mell EOI'!C32</f>
        <v>0</v>
      </c>
      <c r="F32" s="651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802"/>
      <c r="E33" s="651">
        <f>'9.3.1. sz. mell EOI'!C33+'9.3.2.sz.mell EOI'!C33</f>
        <v>0</v>
      </c>
      <c r="F33" s="651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7"/>
      <c r="E34" s="651">
        <f>'9.3.1. sz. mell EOI'!C34+'9.3.2.sz.mell EOI'!C34</f>
        <v>0</v>
      </c>
      <c r="F34" s="651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803"/>
      <c r="E35" s="651">
        <f>'9.3.1. sz. mell EOI'!C35+'9.3.2.sz.mell EOI'!C35</f>
        <v>0</v>
      </c>
      <c r="F35" s="651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801"/>
      <c r="E36" s="651">
        <f>'9.3.1. sz. mell EOI'!C36+'9.3.2.sz.mell EOI'!C36</f>
        <v>0</v>
      </c>
      <c r="F36" s="651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804"/>
      <c r="E37" s="651">
        <f>'9.3.1. sz. mell EOI'!C37+'9.3.2.sz.mell EOI'!C37</f>
        <v>0</v>
      </c>
      <c r="F37" s="651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8841532</v>
      </c>
      <c r="E38" s="651">
        <f>'9.3.1. sz. mell EOI'!C38+'9.3.2.sz.mell EOI'!C38</f>
        <v>8841532</v>
      </c>
      <c r="F38" s="651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5">
        <f>+C40+C41+C42</f>
        <v>325710559</v>
      </c>
      <c r="E39" s="651">
        <f>'9.3.1. sz. mell EOI'!C39+'9.3.2.sz.mell EOI'!C39</f>
        <v>325710559</v>
      </c>
      <c r="F39" s="651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802">
        <v>752726</v>
      </c>
      <c r="E40" s="651">
        <f>'9.3.1. sz. mell EOI'!C40+'9.3.2.sz.mell EOI'!C40</f>
        <v>752726</v>
      </c>
      <c r="F40" s="651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7"/>
      <c r="E41" s="651">
        <f>'9.3.1. sz. mell EOI'!C41+'9.3.2.sz.mell EOI'!C41</f>
        <v>0</v>
      </c>
      <c r="F41" s="651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803">
        <v>324957833</v>
      </c>
      <c r="E42" s="651">
        <f>'9.3.1. sz. mell EOI'!C42+'9.3.2.sz.mell EOI'!C42</f>
        <v>324957833</v>
      </c>
      <c r="F42" s="651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6">
        <f>+C38+C39</f>
        <v>334552091</v>
      </c>
      <c r="E43" s="651">
        <f>'9.3.1. sz. mell EOI'!C43+'9.3.2.sz.mell EOI'!C43</f>
        <v>334552091</v>
      </c>
      <c r="F43" s="651">
        <f t="shared" si="0"/>
        <v>0</v>
      </c>
    </row>
    <row r="44" spans="1:6" x14ac:dyDescent="0.2">
      <c r="A44" s="106"/>
      <c r="B44" s="107"/>
      <c r="C44" s="807"/>
      <c r="E44" s="651">
        <f>'9.3.1. sz. mell EOI'!C44+'9.3.2.sz.mell EOI'!C44</f>
        <v>0</v>
      </c>
      <c r="F44" s="651">
        <f t="shared" si="0"/>
        <v>0</v>
      </c>
    </row>
    <row r="45" spans="1:6" s="242" customFormat="1" ht="16.5" customHeight="1" thickBot="1" x14ac:dyDescent="0.25">
      <c r="A45" s="108"/>
      <c r="B45" s="109"/>
      <c r="C45" s="808"/>
      <c r="E45" s="651">
        <f>'9.3.1. sz. mell EOI'!C45+'9.3.2.sz.mell EOI'!C45</f>
        <v>0</v>
      </c>
      <c r="F45" s="651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6"/>
      <c r="E46" s="651">
        <f>'9.3.1. sz. mell EOI'!C46+'9.3.2.sz.mell EOI'!C46</f>
        <v>0</v>
      </c>
      <c r="F46" s="651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94">
        <f>SUM(C48:C52)</f>
        <v>333129541</v>
      </c>
      <c r="E47" s="651">
        <f>'9.3.1. sz. mell EOI'!C47+'9.3.2.sz.mell EOI'!C47</f>
        <v>333129541</v>
      </c>
      <c r="F47" s="651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802">
        <v>200165718</v>
      </c>
      <c r="E48" s="651">
        <f>'9.3.1. sz. mell EOI'!C48+'9.3.2.sz.mell EOI'!C48</f>
        <v>200165718</v>
      </c>
      <c r="F48" s="651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6">
        <v>40236890</v>
      </c>
      <c r="E49" s="651">
        <f>'9.3.1. sz. mell EOI'!C49+'9.3.2.sz.mell EOI'!C49</f>
        <v>40236890</v>
      </c>
      <c r="F49" s="651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6">
        <v>92726933</v>
      </c>
      <c r="E50" s="651">
        <f>'9.3.1. sz. mell EOI'!C50+'9.3.2.sz.mell EOI'!C50</f>
        <v>92726933</v>
      </c>
      <c r="F50" s="651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6"/>
      <c r="E51" s="651">
        <f>'9.3.1. sz. mell EOI'!C51+'9.3.2.sz.mell EOI'!C51</f>
        <v>0</v>
      </c>
      <c r="F51" s="651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6"/>
      <c r="E52" s="651">
        <f>'9.3.1. sz. mell EOI'!C52+'9.3.2.sz.mell EOI'!C52</f>
        <v>0</v>
      </c>
      <c r="F52" s="651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1422550</v>
      </c>
      <c r="E53" s="651">
        <f>'9.3.1. sz. mell EOI'!C53+'9.3.2.sz.mell EOI'!C53</f>
        <v>1422550</v>
      </c>
      <c r="F53" s="651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802">
        <v>712620</v>
      </c>
      <c r="E54" s="651">
        <f>'9.3.1. sz. mell EOI'!C54+'9.3.2.sz.mell EOI'!C54</f>
        <v>712620</v>
      </c>
      <c r="F54" s="651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6">
        <v>709930</v>
      </c>
      <c r="E55" s="651">
        <f>'9.3.1. sz. mell EOI'!C55+'9.3.2.sz.mell EOI'!C55</f>
        <v>709930</v>
      </c>
      <c r="F55" s="651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6"/>
      <c r="E56" s="651">
        <f>'9.3.1. sz. mell EOI'!C56+'9.3.2.sz.mell EOI'!C56</f>
        <v>0</v>
      </c>
      <c r="F56" s="651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6"/>
      <c r="E57" s="651">
        <f>'9.3.1. sz. mell EOI'!C57+'9.3.2.sz.mell EOI'!C57</f>
        <v>0</v>
      </c>
      <c r="F57" s="651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801"/>
      <c r="E58" s="651">
        <f>'9.3.1. sz. mell EOI'!C58+'9.3.2.sz.mell EOI'!C58</f>
        <v>0</v>
      </c>
      <c r="F58" s="651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9">
        <f>+C47+C53+C58</f>
        <v>334552091</v>
      </c>
      <c r="E59" s="651">
        <f>'9.3.1. sz. mell EOI'!C59+'9.3.2.sz.mell EOI'!C59</f>
        <v>334552091</v>
      </c>
      <c r="F59" s="651">
        <f t="shared" si="0"/>
        <v>0</v>
      </c>
    </row>
    <row r="60" spans="1:6" ht="14.25" customHeight="1" thickBot="1" x14ac:dyDescent="0.25">
      <c r="C60" s="810"/>
      <c r="E60" s="651">
        <f>'9.3.1. sz. mell EOI'!C60+'9.3.2.sz.mell EOI'!C60</f>
        <v>0</v>
      </c>
      <c r="F60" s="651">
        <f t="shared" si="0"/>
        <v>0</v>
      </c>
    </row>
    <row r="61" spans="1:6" ht="13.5" thickBot="1" x14ac:dyDescent="0.25">
      <c r="A61" s="115" t="s">
        <v>521</v>
      </c>
      <c r="B61" s="116"/>
      <c r="C61" s="811">
        <v>55</v>
      </c>
      <c r="E61" s="651">
        <f>'9.3.1. sz. mell EOI'!C61+'9.3.2.sz.mell EOI'!C61</f>
        <v>55</v>
      </c>
      <c r="F61" s="651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CONCATENATE("9.3.1. melléklet ",ALAPADATOK!A7," ",ALAPADATOK!B7," ",ALAPADATOK!C7," ",ALAPADATOK!D7," ",ALAPADATOK!E7," ",ALAPADATOK!F7," ",ALAPADATOK!G7," ",ALAPADATOK!H7)</f>
        <v>9.3.1.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3.75" customHeight="1" x14ac:dyDescent="0.2">
      <c r="A3" s="197" t="s">
        <v>167</v>
      </c>
      <c r="B3" s="175" t="s">
        <v>404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55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8841532</v>
      </c>
    </row>
    <row r="10" spans="1:3" s="191" customFormat="1" ht="12" customHeight="1" x14ac:dyDescent="0.2">
      <c r="A10" s="234" t="s">
        <v>100</v>
      </c>
      <c r="B10" s="8" t="s">
        <v>223</v>
      </c>
      <c r="C10" s="795"/>
    </row>
    <row r="11" spans="1:3" s="191" customFormat="1" ht="12" customHeight="1" x14ac:dyDescent="0.2">
      <c r="A11" s="235" t="s">
        <v>101</v>
      </c>
      <c r="B11" s="6" t="s">
        <v>224</v>
      </c>
      <c r="C11" s="796">
        <v>600000</v>
      </c>
    </row>
    <row r="12" spans="1:3" s="191" customFormat="1" ht="12" customHeight="1" x14ac:dyDescent="0.2">
      <c r="A12" s="235" t="s">
        <v>102</v>
      </c>
      <c r="B12" s="6" t="s">
        <v>225</v>
      </c>
      <c r="C12" s="796">
        <v>4600000</v>
      </c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>
        <v>1472860</v>
      </c>
    </row>
    <row r="15" spans="1:3" s="191" customFormat="1" ht="12" customHeight="1" x14ac:dyDescent="0.2">
      <c r="A15" s="235" t="s">
        <v>104</v>
      </c>
      <c r="B15" s="6" t="s">
        <v>348</v>
      </c>
      <c r="C15" s="796">
        <v>1801672</v>
      </c>
    </row>
    <row r="16" spans="1:3" s="191" customFormat="1" ht="12" customHeight="1" x14ac:dyDescent="0.2">
      <c r="A16" s="235" t="s">
        <v>105</v>
      </c>
      <c r="B16" s="5" t="s">
        <v>349</v>
      </c>
      <c r="C16" s="796">
        <v>366000</v>
      </c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>
        <v>1000</v>
      </c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800"/>
    </row>
    <row r="25" spans="1:3" s="243" customFormat="1" ht="12" customHeight="1" thickBot="1" x14ac:dyDescent="0.25">
      <c r="A25" s="235" t="s">
        <v>109</v>
      </c>
      <c r="B25" s="6" t="s">
        <v>524</v>
      </c>
      <c r="C25" s="796"/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/>
    </row>
    <row r="31" spans="1:3" s="243" customFormat="1" ht="12" customHeight="1" thickBot="1" x14ac:dyDescent="0.25">
      <c r="A31" s="235" t="s">
        <v>216</v>
      </c>
      <c r="B31" s="69" t="s">
        <v>526</v>
      </c>
      <c r="C31" s="803"/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8841532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325710559</v>
      </c>
    </row>
    <row r="40" spans="1:3" s="191" customFormat="1" ht="12" customHeight="1" x14ac:dyDescent="0.2">
      <c r="A40" s="236" t="s">
        <v>358</v>
      </c>
      <c r="B40" s="237" t="s">
        <v>182</v>
      </c>
      <c r="C40" s="802">
        <v>752726</v>
      </c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803">
        <v>324957833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6">
        <f>+C38+C39</f>
        <v>334552091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794">
        <f>SUM(C48:C52)</f>
        <v>333129541</v>
      </c>
    </row>
    <row r="48" spans="1:3" ht="12" customHeight="1" x14ac:dyDescent="0.2">
      <c r="A48" s="235" t="s">
        <v>100</v>
      </c>
      <c r="B48" s="7" t="s">
        <v>51</v>
      </c>
      <c r="C48" s="802">
        <v>200165718</v>
      </c>
    </row>
    <row r="49" spans="1:3" ht="12" customHeight="1" x14ac:dyDescent="0.2">
      <c r="A49" s="235" t="s">
        <v>101</v>
      </c>
      <c r="B49" s="6" t="s">
        <v>149</v>
      </c>
      <c r="C49" s="796">
        <v>40236890</v>
      </c>
    </row>
    <row r="50" spans="1:3" ht="12" customHeight="1" x14ac:dyDescent="0.2">
      <c r="A50" s="235" t="s">
        <v>102</v>
      </c>
      <c r="B50" s="6" t="s">
        <v>125</v>
      </c>
      <c r="C50" s="796">
        <v>92726933</v>
      </c>
    </row>
    <row r="51" spans="1:3" ht="12" customHeight="1" x14ac:dyDescent="0.2">
      <c r="A51" s="235" t="s">
        <v>103</v>
      </c>
      <c r="B51" s="6" t="s">
        <v>150</v>
      </c>
      <c r="C51" s="796"/>
    </row>
    <row r="52" spans="1:3" ht="12" customHeight="1" thickBot="1" x14ac:dyDescent="0.25">
      <c r="A52" s="235" t="s">
        <v>126</v>
      </c>
      <c r="B52" s="6" t="s">
        <v>151</v>
      </c>
      <c r="C52" s="796"/>
    </row>
    <row r="53" spans="1:3" s="244" customFormat="1" ht="12" customHeight="1" thickBot="1" x14ac:dyDescent="0.25">
      <c r="A53" s="88" t="s">
        <v>22</v>
      </c>
      <c r="B53" s="66" t="s">
        <v>364</v>
      </c>
      <c r="C53" s="794">
        <f>SUM(C54:C56)</f>
        <v>1422550</v>
      </c>
    </row>
    <row r="54" spans="1:3" ht="12" customHeight="1" x14ac:dyDescent="0.2">
      <c r="A54" s="235" t="s">
        <v>106</v>
      </c>
      <c r="B54" s="7" t="s">
        <v>173</v>
      </c>
      <c r="C54" s="802">
        <v>712620</v>
      </c>
    </row>
    <row r="55" spans="1:3" ht="12" customHeight="1" x14ac:dyDescent="0.2">
      <c r="A55" s="235" t="s">
        <v>107</v>
      </c>
      <c r="B55" s="6" t="s">
        <v>153</v>
      </c>
      <c r="C55" s="796">
        <v>709930</v>
      </c>
    </row>
    <row r="56" spans="1:3" ht="12" customHeight="1" x14ac:dyDescent="0.2">
      <c r="A56" s="235" t="s">
        <v>108</v>
      </c>
      <c r="B56" s="6" t="s">
        <v>60</v>
      </c>
      <c r="C56" s="796"/>
    </row>
    <row r="57" spans="1:3" ht="15" customHeight="1" thickBot="1" x14ac:dyDescent="0.25">
      <c r="A57" s="235" t="s">
        <v>109</v>
      </c>
      <c r="B57" s="6" t="s">
        <v>527</v>
      </c>
      <c r="C57" s="796"/>
    </row>
    <row r="58" spans="1:3" ht="13.5" thickBot="1" x14ac:dyDescent="0.25">
      <c r="A58" s="88" t="s">
        <v>23</v>
      </c>
      <c r="B58" s="66" t="s">
        <v>15</v>
      </c>
      <c r="C58" s="801"/>
    </row>
    <row r="59" spans="1:3" ht="15" customHeight="1" thickBot="1" x14ac:dyDescent="0.25">
      <c r="A59" s="88" t="s">
        <v>24</v>
      </c>
      <c r="B59" s="112" t="s">
        <v>528</v>
      </c>
      <c r="C59" s="809">
        <f>+C47+C53+C58</f>
        <v>334552091</v>
      </c>
    </row>
    <row r="60" spans="1:3" ht="14.25" customHeight="1" thickBot="1" x14ac:dyDescent="0.25">
      <c r="C60" s="810"/>
    </row>
    <row r="61" spans="1:3" ht="13.5" thickBot="1" x14ac:dyDescent="0.25">
      <c r="A61" s="115" t="s">
        <v>521</v>
      </c>
      <c r="B61" s="116"/>
      <c r="C61" s="811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zoomScaleNormal="100" zoomScaleSheetLayoutView="100" workbookViewId="0">
      <selection activeCell="B15" sqref="B15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9.33203125" style="204" hidden="1" customWidth="1"/>
    <col min="5" max="5" width="15.83203125" style="204" hidden="1" customWidth="1"/>
    <col min="6" max="6" width="21.83203125" style="204" hidden="1" customWidth="1"/>
    <col min="7" max="16384" width="9.33203125" style="204"/>
  </cols>
  <sheetData>
    <row r="1" spans="1:6" s="1006" customFormat="1" x14ac:dyDescent="0.25">
      <c r="A1" s="1496" t="str">
        <f>CONCATENATE("2. melléklet"," ",ALAPADATOK!A7," ",ALAPADATOK!B7," ",ALAPADATOK!C7," ",ALAPADATOK!D7," ",ALAPADATOK!E7," ",ALAPADATOK!F7," ",ALAPADATOK!G7," ",ALAPADATOK!H7)</f>
        <v>2. melléklet a 6 / 2020. ( II.27 ) önkormányzati határozathoz</v>
      </c>
      <c r="B1" s="1496"/>
      <c r="C1" s="1496"/>
    </row>
    <row r="2" spans="1:6" s="1375" customFormat="1" x14ac:dyDescent="0.25">
      <c r="A2" s="1066"/>
      <c r="B2" s="1066"/>
      <c r="C2" s="1066"/>
    </row>
    <row r="3" spans="1:6" s="1006" customFormat="1" x14ac:dyDescent="0.25">
      <c r="A3" s="1494" t="str">
        <f>CONCATENATE(ALAPADATOK!A3)</f>
        <v>Tiszavasvári Város Önkormányzat</v>
      </c>
      <c r="B3" s="1494"/>
      <c r="C3" s="1494"/>
    </row>
    <row r="4" spans="1:6" s="1006" customFormat="1" x14ac:dyDescent="0.25">
      <c r="A4" s="1495" t="str">
        <f>CONCATENATE(ALAPADATOK!D7," ÉVI KÖLTSÉGVETÉS")</f>
        <v>2020. ÉVI KÖLTSÉGVETÉS</v>
      </c>
      <c r="B4" s="1495"/>
      <c r="C4" s="1495"/>
    </row>
    <row r="5" spans="1:6" s="1006" customFormat="1" x14ac:dyDescent="0.25">
      <c r="A5" s="1495" t="s">
        <v>901</v>
      </c>
      <c r="B5" s="1495"/>
      <c r="C5" s="1495"/>
    </row>
    <row r="6" spans="1:6" s="1006" customFormat="1" x14ac:dyDescent="0.25">
      <c r="A6" s="1005"/>
      <c r="B6" s="1005"/>
      <c r="C6" s="329"/>
    </row>
    <row r="7" spans="1:6" ht="15.95" customHeight="1" x14ac:dyDescent="0.25">
      <c r="A7" s="1498" t="s">
        <v>18</v>
      </c>
      <c r="B7" s="1498"/>
      <c r="C7" s="1498"/>
    </row>
    <row r="8" spans="1:6" ht="15.95" customHeight="1" thickBot="1" x14ac:dyDescent="0.3">
      <c r="A8" s="1497" t="s">
        <v>129</v>
      </c>
      <c r="B8" s="1497"/>
      <c r="C8" s="139" t="s">
        <v>557</v>
      </c>
    </row>
    <row r="9" spans="1:6" ht="38.1" customHeight="1" thickBot="1" x14ac:dyDescent="0.3">
      <c r="A9" s="21" t="s">
        <v>72</v>
      </c>
      <c r="B9" s="22" t="s">
        <v>20</v>
      </c>
      <c r="C9" s="31" t="s">
        <v>794</v>
      </c>
      <c r="D9" s="193" t="s">
        <v>563</v>
      </c>
      <c r="E9" s="193" t="s">
        <v>564</v>
      </c>
      <c r="F9" s="193" t="s">
        <v>565</v>
      </c>
    </row>
    <row r="10" spans="1:6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6" s="206" customFormat="1" ht="12" customHeight="1" thickBot="1" x14ac:dyDescent="0.25">
      <c r="A11" s="18" t="s">
        <v>21</v>
      </c>
      <c r="B11" s="19" t="s">
        <v>195</v>
      </c>
      <c r="C11" s="130">
        <f t="shared" ref="C11:C74" si="0">SUM(D11:F11)</f>
        <v>1241652273</v>
      </c>
      <c r="D11" s="298">
        <f>+D12+D13+D14+D15+D16+D17</f>
        <v>1241652273</v>
      </c>
      <c r="E11" s="130">
        <f>+E12+E13+E14+E15+E16+E17</f>
        <v>0</v>
      </c>
      <c r="F11" s="130">
        <f>+F12+F13+F14+F15+F16+F17</f>
        <v>0</v>
      </c>
    </row>
    <row r="12" spans="1:6" s="206" customFormat="1" ht="12" customHeight="1" x14ac:dyDescent="0.2">
      <c r="A12" s="13" t="s">
        <v>100</v>
      </c>
      <c r="B12" s="207" t="s">
        <v>196</v>
      </c>
      <c r="C12" s="202">
        <f t="shared" si="0"/>
        <v>229318994</v>
      </c>
      <c r="D12" s="302">
        <v>229318994</v>
      </c>
      <c r="E12" s="245"/>
      <c r="F12" s="245"/>
    </row>
    <row r="13" spans="1:6" s="206" customFormat="1" ht="12" customHeight="1" x14ac:dyDescent="0.2">
      <c r="A13" s="12" t="s">
        <v>101</v>
      </c>
      <c r="B13" s="208" t="s">
        <v>197</v>
      </c>
      <c r="C13" s="325">
        <f t="shared" si="0"/>
        <v>229603230</v>
      </c>
      <c r="D13" s="282">
        <v>229603230</v>
      </c>
      <c r="E13" s="134"/>
      <c r="F13" s="134"/>
    </row>
    <row r="14" spans="1:6" s="206" customFormat="1" ht="12" customHeight="1" x14ac:dyDescent="0.2">
      <c r="A14" s="12" t="s">
        <v>102</v>
      </c>
      <c r="B14" s="208" t="s">
        <v>545</v>
      </c>
      <c r="C14" s="1482">
        <f t="shared" si="0"/>
        <v>601811664</v>
      </c>
      <c r="D14" s="282">
        <f>568595305+33216359</f>
        <v>601811664</v>
      </c>
      <c r="E14" s="134"/>
      <c r="F14" s="134"/>
    </row>
    <row r="15" spans="1:6" s="206" customFormat="1" ht="12" customHeight="1" x14ac:dyDescent="0.2">
      <c r="A15" s="12" t="s">
        <v>103</v>
      </c>
      <c r="B15" s="208" t="s">
        <v>199</v>
      </c>
      <c r="C15" s="325">
        <f t="shared" si="0"/>
        <v>20802409</v>
      </c>
      <c r="D15" s="282">
        <v>20802409</v>
      </c>
      <c r="E15" s="134"/>
      <c r="F15" s="134"/>
    </row>
    <row r="16" spans="1:6" s="206" customFormat="1" ht="12" customHeight="1" x14ac:dyDescent="0.2">
      <c r="A16" s="12" t="s">
        <v>126</v>
      </c>
      <c r="B16" s="126" t="s">
        <v>450</v>
      </c>
      <c r="C16" s="513">
        <f t="shared" si="0"/>
        <v>160115976</v>
      </c>
      <c r="D16" s="282">
        <f>163087316+308+580+530-539760-98930-300000-2934065+899997</f>
        <v>160115976</v>
      </c>
      <c r="E16" s="134"/>
      <c r="F16" s="134"/>
    </row>
    <row r="17" spans="1:6" s="206" customFormat="1" ht="12" customHeight="1" thickBot="1" x14ac:dyDescent="0.25">
      <c r="A17" s="14" t="s">
        <v>104</v>
      </c>
      <c r="B17" s="127" t="s">
        <v>451</v>
      </c>
      <c r="C17" s="326">
        <f t="shared" si="0"/>
        <v>0</v>
      </c>
      <c r="D17" s="119"/>
      <c r="E17" s="131"/>
      <c r="F17" s="131"/>
    </row>
    <row r="18" spans="1:6" s="206" customFormat="1" ht="12" customHeight="1" thickBot="1" x14ac:dyDescent="0.25">
      <c r="A18" s="18" t="s">
        <v>22</v>
      </c>
      <c r="B18" s="125" t="s">
        <v>200</v>
      </c>
      <c r="C18" s="130">
        <f t="shared" si="0"/>
        <v>140611496</v>
      </c>
      <c r="D18" s="298">
        <f>+D19+D20+D21+D22+D23</f>
        <v>119646890</v>
      </c>
      <c r="E18" s="130">
        <f>+E19+E20+E21+E22+E23</f>
        <v>0</v>
      </c>
      <c r="F18" s="130">
        <f>+F19+F20+F21+F22+F23</f>
        <v>20964606</v>
      </c>
    </row>
    <row r="19" spans="1:6" s="206" customFormat="1" ht="12" customHeight="1" x14ac:dyDescent="0.2">
      <c r="A19" s="13" t="s">
        <v>106</v>
      </c>
      <c r="B19" s="207" t="s">
        <v>201</v>
      </c>
      <c r="C19" s="202">
        <f t="shared" si="0"/>
        <v>0</v>
      </c>
      <c r="D19" s="300"/>
      <c r="E19" s="132"/>
      <c r="F19" s="132"/>
    </row>
    <row r="20" spans="1:6" s="206" customFormat="1" ht="12" customHeight="1" x14ac:dyDescent="0.2">
      <c r="A20" s="12" t="s">
        <v>107</v>
      </c>
      <c r="B20" s="208" t="s">
        <v>202</v>
      </c>
      <c r="C20" s="325">
        <f t="shared" si="0"/>
        <v>0</v>
      </c>
      <c r="D20" s="119"/>
      <c r="E20" s="131"/>
      <c r="F20" s="131"/>
    </row>
    <row r="21" spans="1:6" s="206" customFormat="1" ht="12" customHeight="1" x14ac:dyDescent="0.2">
      <c r="A21" s="12" t="s">
        <v>108</v>
      </c>
      <c r="B21" s="208" t="s">
        <v>370</v>
      </c>
      <c r="C21" s="325">
        <f t="shared" si="0"/>
        <v>0</v>
      </c>
      <c r="D21" s="119"/>
      <c r="E21" s="131"/>
      <c r="F21" s="131"/>
    </row>
    <row r="22" spans="1:6" s="206" customFormat="1" ht="12" customHeight="1" x14ac:dyDescent="0.2">
      <c r="A22" s="12" t="s">
        <v>109</v>
      </c>
      <c r="B22" s="208" t="s">
        <v>371</v>
      </c>
      <c r="C22" s="325">
        <f t="shared" si="0"/>
        <v>0</v>
      </c>
      <c r="D22" s="119"/>
      <c r="E22" s="131"/>
      <c r="F22" s="131"/>
    </row>
    <row r="23" spans="1:6" s="206" customFormat="1" ht="12" customHeight="1" x14ac:dyDescent="0.2">
      <c r="A23" s="12" t="s">
        <v>110</v>
      </c>
      <c r="B23" s="208" t="s">
        <v>203</v>
      </c>
      <c r="C23" s="322">
        <f t="shared" si="0"/>
        <v>140611496</v>
      </c>
      <c r="D23" s="282">
        <f>118106430+1540460</f>
        <v>119646890</v>
      </c>
      <c r="E23" s="284"/>
      <c r="F23" s="134">
        <f>9346560+11259187+358859</f>
        <v>20964606</v>
      </c>
    </row>
    <row r="24" spans="1:6" s="206" customFormat="1" ht="12" customHeight="1" thickBot="1" x14ac:dyDescent="0.25">
      <c r="A24" s="14" t="s">
        <v>119</v>
      </c>
      <c r="B24" s="127" t="s">
        <v>204</v>
      </c>
      <c r="C24" s="326">
        <f t="shared" si="0"/>
        <v>136291496</v>
      </c>
      <c r="D24" s="120">
        <f>16392698+36497760+60895972+1540460</f>
        <v>115326890</v>
      </c>
      <c r="E24" s="196"/>
      <c r="F24" s="196">
        <f>9346560+11259187+358859</f>
        <v>20964606</v>
      </c>
    </row>
    <row r="25" spans="1:6" s="206" customFormat="1" ht="12" customHeight="1" thickBot="1" x14ac:dyDescent="0.25">
      <c r="A25" s="18" t="s">
        <v>23</v>
      </c>
      <c r="B25" s="19" t="s">
        <v>205</v>
      </c>
      <c r="C25" s="130">
        <f t="shared" si="0"/>
        <v>36977634</v>
      </c>
      <c r="D25" s="298">
        <f>+D26+D27+D28+D29+D30</f>
        <v>36977634</v>
      </c>
      <c r="E25" s="130">
        <f>+E26+E27+E28+E29+E30</f>
        <v>0</v>
      </c>
      <c r="F25" s="130">
        <f>+F26+F27+F28+F29+F30</f>
        <v>0</v>
      </c>
    </row>
    <row r="26" spans="1:6" s="206" customFormat="1" ht="12" customHeight="1" x14ac:dyDescent="0.2">
      <c r="A26" s="13" t="s">
        <v>89</v>
      </c>
      <c r="B26" s="207" t="s">
        <v>206</v>
      </c>
      <c r="C26" s="202">
        <f t="shared" si="0"/>
        <v>0</v>
      </c>
      <c r="D26" s="302"/>
      <c r="E26" s="281"/>
      <c r="F26" s="666"/>
    </row>
    <row r="27" spans="1:6" s="206" customFormat="1" ht="12" customHeight="1" x14ac:dyDescent="0.2">
      <c r="A27" s="12" t="s">
        <v>90</v>
      </c>
      <c r="B27" s="208" t="s">
        <v>207</v>
      </c>
      <c r="C27" s="325">
        <f t="shared" si="0"/>
        <v>0</v>
      </c>
      <c r="D27" s="282"/>
      <c r="E27" s="134"/>
      <c r="F27" s="134"/>
    </row>
    <row r="28" spans="1:6" s="206" customFormat="1" ht="12" customHeight="1" x14ac:dyDescent="0.2">
      <c r="A28" s="12" t="s">
        <v>91</v>
      </c>
      <c r="B28" s="208" t="s">
        <v>372</v>
      </c>
      <c r="C28" s="325">
        <f t="shared" si="0"/>
        <v>0</v>
      </c>
      <c r="D28" s="282"/>
      <c r="E28" s="134"/>
      <c r="F28" s="134"/>
    </row>
    <row r="29" spans="1:6" s="206" customFormat="1" ht="12" customHeight="1" x14ac:dyDescent="0.2">
      <c r="A29" s="12" t="s">
        <v>92</v>
      </c>
      <c r="B29" s="208" t="s">
        <v>373</v>
      </c>
      <c r="C29" s="325">
        <f t="shared" si="0"/>
        <v>0</v>
      </c>
      <c r="D29" s="282"/>
      <c r="E29" s="134"/>
      <c r="F29" s="134"/>
    </row>
    <row r="30" spans="1:6" s="206" customFormat="1" ht="12" customHeight="1" x14ac:dyDescent="0.2">
      <c r="A30" s="12" t="s">
        <v>137</v>
      </c>
      <c r="B30" s="208" t="s">
        <v>208</v>
      </c>
      <c r="C30" s="325">
        <f t="shared" si="0"/>
        <v>36977634</v>
      </c>
      <c r="D30" s="282">
        <v>36977634</v>
      </c>
      <c r="E30" s="134"/>
      <c r="F30" s="134"/>
    </row>
    <row r="31" spans="1:6" s="206" customFormat="1" ht="12" customHeight="1" thickBot="1" x14ac:dyDescent="0.25">
      <c r="A31" s="14" t="s">
        <v>138</v>
      </c>
      <c r="B31" s="209" t="s">
        <v>209</v>
      </c>
      <c r="C31" s="326">
        <f t="shared" si="0"/>
        <v>36977634</v>
      </c>
      <c r="D31" s="286">
        <v>36977634</v>
      </c>
      <c r="E31" s="196"/>
      <c r="F31" s="196"/>
    </row>
    <row r="32" spans="1:6" s="206" customFormat="1" ht="12" customHeight="1" thickBot="1" x14ac:dyDescent="0.25">
      <c r="A32" s="18" t="s">
        <v>139</v>
      </c>
      <c r="B32" s="19" t="s">
        <v>661</v>
      </c>
      <c r="C32" s="130">
        <f t="shared" si="0"/>
        <v>538000000</v>
      </c>
      <c r="D32" s="301">
        <f>+D33+D37+D38+D39</f>
        <v>538000000</v>
      </c>
      <c r="E32" s="135">
        <f>+E33+E37+E38+E39</f>
        <v>0</v>
      </c>
      <c r="F32" s="135">
        <f>+F33+F37+F38+F39</f>
        <v>0</v>
      </c>
    </row>
    <row r="33" spans="1:6" s="206" customFormat="1" ht="12" customHeight="1" x14ac:dyDescent="0.2">
      <c r="A33" s="13" t="s">
        <v>211</v>
      </c>
      <c r="B33" s="207" t="s">
        <v>656</v>
      </c>
      <c r="C33" s="202">
        <f t="shared" si="0"/>
        <v>486000000</v>
      </c>
      <c r="D33" s="316">
        <f>SUM(D34:D35)</f>
        <v>486000000</v>
      </c>
      <c r="E33" s="316">
        <f t="shared" ref="E33:F33" si="1">SUM(E34:E35)</f>
        <v>0</v>
      </c>
      <c r="F33" s="316">
        <f t="shared" si="1"/>
        <v>0</v>
      </c>
    </row>
    <row r="34" spans="1:6" s="206" customFormat="1" ht="12" customHeight="1" x14ac:dyDescent="0.2">
      <c r="A34" s="12" t="s">
        <v>212</v>
      </c>
      <c r="B34" s="208" t="s">
        <v>217</v>
      </c>
      <c r="C34" s="322">
        <f t="shared" si="0"/>
        <v>86000000</v>
      </c>
      <c r="D34" s="119">
        <f>86000000</f>
        <v>86000000</v>
      </c>
      <c r="E34" s="131"/>
      <c r="F34" s="131"/>
    </row>
    <row r="35" spans="1:6" s="206" customFormat="1" ht="12" customHeight="1" x14ac:dyDescent="0.2">
      <c r="A35" s="12" t="s">
        <v>213</v>
      </c>
      <c r="B35" s="266" t="s">
        <v>655</v>
      </c>
      <c r="C35" s="322">
        <f t="shared" si="0"/>
        <v>400000000</v>
      </c>
      <c r="D35" s="119">
        <f>400000000</f>
        <v>400000000</v>
      </c>
      <c r="E35" s="131"/>
      <c r="F35" s="131"/>
    </row>
    <row r="36" spans="1:6" s="206" customFormat="1" ht="12" customHeight="1" x14ac:dyDescent="0.2">
      <c r="A36" s="12" t="s">
        <v>214</v>
      </c>
      <c r="B36" s="208" t="s">
        <v>538</v>
      </c>
      <c r="C36" s="322">
        <f t="shared" si="0"/>
        <v>0</v>
      </c>
      <c r="D36" s="282"/>
      <c r="E36" s="134"/>
      <c r="F36" s="134"/>
    </row>
    <row r="37" spans="1:6" s="206" customFormat="1" ht="12" customHeight="1" x14ac:dyDescent="0.2">
      <c r="A37" s="12" t="s">
        <v>539</v>
      </c>
      <c r="B37" s="208" t="s">
        <v>218</v>
      </c>
      <c r="C37" s="322">
        <f t="shared" si="0"/>
        <v>35000000</v>
      </c>
      <c r="D37" s="119">
        <f>35000000</f>
        <v>35000000</v>
      </c>
      <c r="E37" s="131"/>
      <c r="F37" s="131"/>
    </row>
    <row r="38" spans="1:6" s="206" customFormat="1" ht="12" customHeight="1" x14ac:dyDescent="0.2">
      <c r="A38" s="12" t="s">
        <v>216</v>
      </c>
      <c r="B38" s="208" t="s">
        <v>219</v>
      </c>
      <c r="C38" s="322">
        <f t="shared" si="0"/>
        <v>1000000</v>
      </c>
      <c r="D38" s="119">
        <f>1000000</f>
        <v>1000000</v>
      </c>
      <c r="E38" s="131"/>
      <c r="F38" s="131"/>
    </row>
    <row r="39" spans="1:6" s="206" customFormat="1" ht="12" customHeight="1" thickBot="1" x14ac:dyDescent="0.25">
      <c r="A39" s="14" t="s">
        <v>540</v>
      </c>
      <c r="B39" s="209" t="s">
        <v>220</v>
      </c>
      <c r="C39" s="326">
        <f t="shared" si="0"/>
        <v>16000000</v>
      </c>
      <c r="D39" s="286">
        <v>16000000</v>
      </c>
      <c r="E39" s="196"/>
      <c r="F39" s="196"/>
    </row>
    <row r="40" spans="1:6" s="206" customFormat="1" ht="12" customHeight="1" thickBot="1" x14ac:dyDescent="0.25">
      <c r="A40" s="18" t="s">
        <v>25</v>
      </c>
      <c r="B40" s="19" t="s">
        <v>452</v>
      </c>
      <c r="C40" s="130">
        <f t="shared" si="0"/>
        <v>140136486</v>
      </c>
      <c r="D40" s="298">
        <f>SUM(D41:D51)</f>
        <v>41825226</v>
      </c>
      <c r="E40" s="130">
        <f>SUM(E41:E51)</f>
        <v>3257614</v>
      </c>
      <c r="F40" s="130">
        <f>SUM(F41:F51)</f>
        <v>95053646</v>
      </c>
    </row>
    <row r="41" spans="1:6" s="206" customFormat="1" ht="12" customHeight="1" x14ac:dyDescent="0.2">
      <c r="A41" s="13" t="s">
        <v>93</v>
      </c>
      <c r="B41" s="207" t="s">
        <v>223</v>
      </c>
      <c r="C41" s="202">
        <f t="shared" si="0"/>
        <v>8195576</v>
      </c>
      <c r="D41" s="302">
        <f>8175576</f>
        <v>8175576</v>
      </c>
      <c r="E41" s="245"/>
      <c r="F41" s="245">
        <v>20000</v>
      </c>
    </row>
    <row r="42" spans="1:6" s="206" customFormat="1" ht="12" customHeight="1" x14ac:dyDescent="0.2">
      <c r="A42" s="12" t="s">
        <v>94</v>
      </c>
      <c r="B42" s="208" t="s">
        <v>224</v>
      </c>
      <c r="C42" s="325">
        <f t="shared" si="0"/>
        <v>63177865</v>
      </c>
      <c r="D42" s="282">
        <f>14518450</f>
        <v>14518450</v>
      </c>
      <c r="E42" s="134">
        <f>2132550+432500</f>
        <v>2565050</v>
      </c>
      <c r="F42" s="245">
        <f>27518165+600000+10387400+7588800</f>
        <v>46094365</v>
      </c>
    </row>
    <row r="43" spans="1:6" s="206" customFormat="1" ht="12" customHeight="1" x14ac:dyDescent="0.2">
      <c r="A43" s="12" t="s">
        <v>95</v>
      </c>
      <c r="B43" s="208" t="s">
        <v>225</v>
      </c>
      <c r="C43" s="325">
        <f t="shared" si="0"/>
        <v>15020669</v>
      </c>
      <c r="D43" s="282">
        <f>8868669</f>
        <v>8868669</v>
      </c>
      <c r="E43" s="134"/>
      <c r="F43" s="245">
        <f>1547000+4600000+5000</f>
        <v>6152000</v>
      </c>
    </row>
    <row r="44" spans="1:6" s="206" customFormat="1" ht="12" customHeight="1" x14ac:dyDescent="0.2">
      <c r="A44" s="12" t="s">
        <v>141</v>
      </c>
      <c r="B44" s="208" t="s">
        <v>226</v>
      </c>
      <c r="C44" s="325">
        <f t="shared" si="0"/>
        <v>1006560</v>
      </c>
      <c r="D44" s="282">
        <v>1006560</v>
      </c>
      <c r="E44" s="134"/>
      <c r="F44" s="245"/>
    </row>
    <row r="45" spans="1:6" s="206" customFormat="1" ht="12" customHeight="1" x14ac:dyDescent="0.2">
      <c r="A45" s="12" t="s">
        <v>142</v>
      </c>
      <c r="B45" s="208" t="s">
        <v>227</v>
      </c>
      <c r="C45" s="325">
        <f t="shared" si="0"/>
        <v>23238371</v>
      </c>
      <c r="D45" s="282"/>
      <c r="E45" s="134"/>
      <c r="F45" s="245">
        <f>20383499+1472860+1382012</f>
        <v>23238371</v>
      </c>
    </row>
    <row r="46" spans="1:6" s="206" customFormat="1" ht="12" customHeight="1" x14ac:dyDescent="0.2">
      <c r="A46" s="12" t="s">
        <v>143</v>
      </c>
      <c r="B46" s="208" t="s">
        <v>228</v>
      </c>
      <c r="C46" s="325">
        <f t="shared" si="0"/>
        <v>18633844</v>
      </c>
      <c r="D46" s="282">
        <v>7168370</v>
      </c>
      <c r="E46" s="134">
        <f>575789+116775</f>
        <v>692564</v>
      </c>
      <c r="F46" s="245">
        <f>5641812+1801672+1280450+2048976</f>
        <v>10772910</v>
      </c>
    </row>
    <row r="47" spans="1:6" s="206" customFormat="1" ht="12" customHeight="1" x14ac:dyDescent="0.2">
      <c r="A47" s="12" t="s">
        <v>144</v>
      </c>
      <c r="B47" s="208" t="s">
        <v>229</v>
      </c>
      <c r="C47" s="325">
        <f t="shared" si="0"/>
        <v>8775000</v>
      </c>
      <c r="D47" s="282"/>
      <c r="E47" s="134"/>
      <c r="F47" s="245">
        <f>7729000+366000+680000</f>
        <v>8775000</v>
      </c>
    </row>
    <row r="48" spans="1:6" s="206" customFormat="1" ht="12" customHeight="1" x14ac:dyDescent="0.2">
      <c r="A48" s="12" t="s">
        <v>145</v>
      </c>
      <c r="B48" s="208" t="s">
        <v>546</v>
      </c>
      <c r="C48" s="325">
        <f t="shared" si="0"/>
        <v>0</v>
      </c>
      <c r="D48" s="282"/>
      <c r="E48" s="134"/>
      <c r="F48" s="245"/>
    </row>
    <row r="49" spans="1:6" s="206" customFormat="1" ht="12" customHeight="1" x14ac:dyDescent="0.2">
      <c r="A49" s="12" t="s">
        <v>221</v>
      </c>
      <c r="B49" s="208" t="s">
        <v>231</v>
      </c>
      <c r="C49" s="325">
        <f t="shared" si="0"/>
        <v>0</v>
      </c>
      <c r="D49" s="282"/>
      <c r="E49" s="134"/>
      <c r="F49" s="245"/>
    </row>
    <row r="50" spans="1:6" s="206" customFormat="1" ht="12" customHeight="1" x14ac:dyDescent="0.2">
      <c r="A50" s="14" t="s">
        <v>222</v>
      </c>
      <c r="B50" s="209" t="s">
        <v>453</v>
      </c>
      <c r="C50" s="325">
        <f t="shared" si="0"/>
        <v>1000000</v>
      </c>
      <c r="D50" s="286">
        <v>1000000</v>
      </c>
      <c r="E50" s="196"/>
      <c r="F50" s="245"/>
    </row>
    <row r="51" spans="1:6" s="206" customFormat="1" ht="12" customHeight="1" thickBot="1" x14ac:dyDescent="0.25">
      <c r="A51" s="14" t="s">
        <v>454</v>
      </c>
      <c r="B51" s="127" t="s">
        <v>232</v>
      </c>
      <c r="C51" s="326">
        <f t="shared" si="0"/>
        <v>1088601</v>
      </c>
      <c r="D51" s="286">
        <f>1087601</f>
        <v>1087601</v>
      </c>
      <c r="E51" s="196"/>
      <c r="F51" s="245">
        <v>1000</v>
      </c>
    </row>
    <row r="52" spans="1:6" s="206" customFormat="1" ht="12" customHeight="1" thickBot="1" x14ac:dyDescent="0.25">
      <c r="A52" s="18" t="s">
        <v>26</v>
      </c>
      <c r="B52" s="19" t="s">
        <v>233</v>
      </c>
      <c r="C52" s="130">
        <f t="shared" si="0"/>
        <v>44304508</v>
      </c>
      <c r="D52" s="298">
        <f>SUM(D53:D57)</f>
        <v>44304508</v>
      </c>
      <c r="E52" s="130">
        <f>SUM(E53:E57)</f>
        <v>0</v>
      </c>
      <c r="F52" s="130">
        <f>SUM(F53:F57)</f>
        <v>0</v>
      </c>
    </row>
    <row r="53" spans="1:6" s="206" customFormat="1" ht="12" customHeight="1" x14ac:dyDescent="0.2">
      <c r="A53" s="13" t="s">
        <v>96</v>
      </c>
      <c r="B53" s="207" t="s">
        <v>237</v>
      </c>
      <c r="C53" s="202">
        <f t="shared" si="0"/>
        <v>0</v>
      </c>
      <c r="D53" s="302"/>
      <c r="E53" s="245"/>
      <c r="F53" s="245"/>
    </row>
    <row r="54" spans="1:6" s="206" customFormat="1" ht="12" customHeight="1" x14ac:dyDescent="0.2">
      <c r="A54" s="12" t="s">
        <v>97</v>
      </c>
      <c r="B54" s="208" t="s">
        <v>238</v>
      </c>
      <c r="C54" s="325">
        <f>SUM(D54:F54)</f>
        <v>44304508</v>
      </c>
      <c r="D54" s="282">
        <v>44304508</v>
      </c>
      <c r="E54" s="134"/>
      <c r="F54" s="134"/>
    </row>
    <row r="55" spans="1:6" s="206" customFormat="1" ht="12" customHeight="1" x14ac:dyDescent="0.2">
      <c r="A55" s="12" t="s">
        <v>234</v>
      </c>
      <c r="B55" s="208" t="s">
        <v>239</v>
      </c>
      <c r="C55" s="325">
        <f t="shared" si="0"/>
        <v>0</v>
      </c>
      <c r="D55" s="282"/>
      <c r="E55" s="134"/>
      <c r="F55" s="134"/>
    </row>
    <row r="56" spans="1:6" s="206" customFormat="1" ht="12" customHeight="1" x14ac:dyDescent="0.2">
      <c r="A56" s="12" t="s">
        <v>235</v>
      </c>
      <c r="B56" s="208" t="s">
        <v>240</v>
      </c>
      <c r="C56" s="325">
        <f t="shared" si="0"/>
        <v>0</v>
      </c>
      <c r="D56" s="282"/>
      <c r="E56" s="134"/>
      <c r="F56" s="134"/>
    </row>
    <row r="57" spans="1:6" s="206" customFormat="1" ht="12" customHeight="1" thickBot="1" x14ac:dyDescent="0.25">
      <c r="A57" s="14" t="s">
        <v>236</v>
      </c>
      <c r="B57" s="127" t="s">
        <v>241</v>
      </c>
      <c r="C57" s="326">
        <f t="shared" si="0"/>
        <v>0</v>
      </c>
      <c r="D57" s="286"/>
      <c r="E57" s="196"/>
      <c r="F57" s="196"/>
    </row>
    <row r="58" spans="1:6" s="206" customFormat="1" ht="12" customHeight="1" thickBot="1" x14ac:dyDescent="0.25">
      <c r="A58" s="18" t="s">
        <v>146</v>
      </c>
      <c r="B58" s="19" t="s">
        <v>242</v>
      </c>
      <c r="C58" s="130">
        <f t="shared" si="0"/>
        <v>1100000</v>
      </c>
      <c r="D58" s="298">
        <f>SUM(D59:D61)</f>
        <v>1100000</v>
      </c>
      <c r="E58" s="130">
        <f>SUM(E59:E61)</f>
        <v>0</v>
      </c>
      <c r="F58" s="130">
        <f>SUM(F59:F61)</f>
        <v>0</v>
      </c>
    </row>
    <row r="59" spans="1:6" s="206" customFormat="1" ht="12" customHeight="1" x14ac:dyDescent="0.2">
      <c r="A59" s="13" t="s">
        <v>98</v>
      </c>
      <c r="B59" s="207" t="s">
        <v>243</v>
      </c>
      <c r="C59" s="202">
        <f t="shared" si="0"/>
        <v>0</v>
      </c>
      <c r="D59" s="300"/>
      <c r="E59" s="132"/>
      <c r="F59" s="132"/>
    </row>
    <row r="60" spans="1:6" s="206" customFormat="1" ht="12" customHeight="1" x14ac:dyDescent="0.2">
      <c r="A60" s="12" t="s">
        <v>99</v>
      </c>
      <c r="B60" s="208" t="s">
        <v>374</v>
      </c>
      <c r="C60" s="325">
        <f t="shared" si="0"/>
        <v>200000</v>
      </c>
      <c r="D60" s="282">
        <v>200000</v>
      </c>
      <c r="E60" s="134"/>
      <c r="F60" s="134"/>
    </row>
    <row r="61" spans="1:6" s="206" customFormat="1" ht="12" customHeight="1" x14ac:dyDescent="0.2">
      <c r="A61" s="12" t="s">
        <v>246</v>
      </c>
      <c r="B61" s="208" t="s">
        <v>244</v>
      </c>
      <c r="C61" s="325">
        <f t="shared" si="0"/>
        <v>900000</v>
      </c>
      <c r="D61" s="282">
        <f>900000</f>
        <v>900000</v>
      </c>
      <c r="E61" s="134"/>
      <c r="F61" s="134"/>
    </row>
    <row r="62" spans="1:6" s="206" customFormat="1" ht="12" customHeight="1" thickBot="1" x14ac:dyDescent="0.25">
      <c r="A62" s="14" t="s">
        <v>247</v>
      </c>
      <c r="B62" s="127" t="s">
        <v>245</v>
      </c>
      <c r="C62" s="326">
        <f t="shared" si="0"/>
        <v>0</v>
      </c>
      <c r="D62" s="120"/>
      <c r="E62" s="133"/>
      <c r="F62" s="133"/>
    </row>
    <row r="63" spans="1:6" s="206" customFormat="1" ht="12" customHeight="1" thickBot="1" x14ac:dyDescent="0.25">
      <c r="A63" s="18" t="s">
        <v>28</v>
      </c>
      <c r="B63" s="125" t="s">
        <v>248</v>
      </c>
      <c r="C63" s="327">
        <f t="shared" si="0"/>
        <v>0</v>
      </c>
      <c r="D63" s="298">
        <f>SUM(D64:D66)</f>
        <v>0</v>
      </c>
      <c r="E63" s="130">
        <f>SUM(E64:E66)</f>
        <v>0</v>
      </c>
      <c r="F63" s="130">
        <f>SUM(F64:F66)</f>
        <v>0</v>
      </c>
    </row>
    <row r="64" spans="1:6" s="206" customFormat="1" ht="12" customHeight="1" x14ac:dyDescent="0.2">
      <c r="A64" s="13" t="s">
        <v>147</v>
      </c>
      <c r="B64" s="207" t="s">
        <v>250</v>
      </c>
      <c r="C64" s="202">
        <f t="shared" si="0"/>
        <v>0</v>
      </c>
      <c r="D64" s="282"/>
      <c r="E64" s="134"/>
      <c r="F64" s="134"/>
    </row>
    <row r="65" spans="1:6" s="206" customFormat="1" ht="12" customHeight="1" x14ac:dyDescent="0.2">
      <c r="A65" s="12" t="s">
        <v>148</v>
      </c>
      <c r="B65" s="208" t="s">
        <v>375</v>
      </c>
      <c r="C65" s="325">
        <f t="shared" si="0"/>
        <v>0</v>
      </c>
      <c r="D65" s="282"/>
      <c r="E65" s="134"/>
      <c r="F65" s="134"/>
    </row>
    <row r="66" spans="1:6" s="206" customFormat="1" ht="12" customHeight="1" x14ac:dyDescent="0.2">
      <c r="A66" s="12" t="s">
        <v>174</v>
      </c>
      <c r="B66" s="208" t="s">
        <v>251</v>
      </c>
      <c r="C66" s="325">
        <f t="shared" si="0"/>
        <v>0</v>
      </c>
      <c r="D66" s="282"/>
      <c r="E66" s="134"/>
      <c r="F66" s="134"/>
    </row>
    <row r="67" spans="1:6" s="206" customFormat="1" ht="12" customHeight="1" thickBot="1" x14ac:dyDescent="0.25">
      <c r="A67" s="14" t="s">
        <v>249</v>
      </c>
      <c r="B67" s="127" t="s">
        <v>252</v>
      </c>
      <c r="C67" s="326">
        <f t="shared" si="0"/>
        <v>0</v>
      </c>
      <c r="D67" s="282"/>
      <c r="E67" s="134"/>
      <c r="F67" s="134"/>
    </row>
    <row r="68" spans="1:6" s="206" customFormat="1" ht="12" customHeight="1" thickBot="1" x14ac:dyDescent="0.25">
      <c r="A68" s="267" t="s">
        <v>455</v>
      </c>
      <c r="B68" s="19" t="s">
        <v>253</v>
      </c>
      <c r="C68" s="130">
        <f t="shared" si="0"/>
        <v>2142782397</v>
      </c>
      <c r="D68" s="301">
        <f>+D11+D18+D25+D32+D40+D52+D58+D63</f>
        <v>2023506531</v>
      </c>
      <c r="E68" s="135">
        <f>+E11+E18+E25+E32+E40+E52+E58+E63</f>
        <v>3257614</v>
      </c>
      <c r="F68" s="135">
        <f>+F11+F18+F25+F32+F40+F52+F58+F63</f>
        <v>116018252</v>
      </c>
    </row>
    <row r="69" spans="1:6" s="206" customFormat="1" ht="12" customHeight="1" thickBot="1" x14ac:dyDescent="0.25">
      <c r="A69" s="268" t="s">
        <v>254</v>
      </c>
      <c r="B69" s="125" t="s">
        <v>255</v>
      </c>
      <c r="C69" s="327">
        <f t="shared" si="0"/>
        <v>742411899</v>
      </c>
      <c r="D69" s="298">
        <f>SUM(D70:D72)</f>
        <v>742411899</v>
      </c>
      <c r="E69" s="130">
        <f>SUM(E70:E72)</f>
        <v>0</v>
      </c>
      <c r="F69" s="130">
        <f>SUM(F70:F72)</f>
        <v>0</v>
      </c>
    </row>
    <row r="70" spans="1:6" s="206" customFormat="1" ht="12" customHeight="1" x14ac:dyDescent="0.2">
      <c r="A70" s="13" t="s">
        <v>286</v>
      </c>
      <c r="B70" s="207" t="s">
        <v>256</v>
      </c>
      <c r="C70" s="202">
        <f t="shared" si="0"/>
        <v>42411899</v>
      </c>
      <c r="D70" s="282">
        <f>44951899-2540000</f>
        <v>42411899</v>
      </c>
      <c r="E70" s="134"/>
      <c r="F70" s="134"/>
    </row>
    <row r="71" spans="1:6" s="206" customFormat="1" ht="12" customHeight="1" x14ac:dyDescent="0.2">
      <c r="A71" s="12" t="s">
        <v>295</v>
      </c>
      <c r="B71" s="208" t="s">
        <v>257</v>
      </c>
      <c r="C71" s="325">
        <f t="shared" si="0"/>
        <v>700000000</v>
      </c>
      <c r="D71" s="282">
        <v>700000000</v>
      </c>
      <c r="E71" s="134"/>
      <c r="F71" s="134"/>
    </row>
    <row r="72" spans="1:6" s="206" customFormat="1" ht="12" customHeight="1" thickBot="1" x14ac:dyDescent="0.25">
      <c r="A72" s="14" t="s">
        <v>296</v>
      </c>
      <c r="B72" s="269" t="s">
        <v>456</v>
      </c>
      <c r="C72" s="326">
        <f t="shared" si="0"/>
        <v>0</v>
      </c>
      <c r="D72" s="282"/>
      <c r="E72" s="134"/>
      <c r="F72" s="134"/>
    </row>
    <row r="73" spans="1:6" s="206" customFormat="1" ht="12" customHeight="1" thickBot="1" x14ac:dyDescent="0.25">
      <c r="A73" s="268" t="s">
        <v>259</v>
      </c>
      <c r="B73" s="125" t="s">
        <v>260</v>
      </c>
      <c r="C73" s="327">
        <f t="shared" si="0"/>
        <v>0</v>
      </c>
      <c r="D73" s="298">
        <f>SUM(D74:D77)</f>
        <v>0</v>
      </c>
      <c r="E73" s="130">
        <f>SUM(E74:E77)</f>
        <v>0</v>
      </c>
      <c r="F73" s="130">
        <f>SUM(F74:F77)</f>
        <v>0</v>
      </c>
    </row>
    <row r="74" spans="1:6" s="206" customFormat="1" ht="12" customHeight="1" x14ac:dyDescent="0.2">
      <c r="A74" s="13" t="s">
        <v>127</v>
      </c>
      <c r="B74" s="207" t="s">
        <v>261</v>
      </c>
      <c r="C74" s="202">
        <f t="shared" si="0"/>
        <v>0</v>
      </c>
      <c r="D74" s="282"/>
      <c r="E74" s="134"/>
      <c r="F74" s="134"/>
    </row>
    <row r="75" spans="1:6" s="206" customFormat="1" ht="12" customHeight="1" x14ac:dyDescent="0.2">
      <c r="A75" s="12" t="s">
        <v>128</v>
      </c>
      <c r="B75" s="208" t="s">
        <v>262</v>
      </c>
      <c r="C75" s="325">
        <f t="shared" ref="C75:C93" si="2">SUM(D75:F75)</f>
        <v>0</v>
      </c>
      <c r="D75" s="282"/>
      <c r="E75" s="134"/>
      <c r="F75" s="134"/>
    </row>
    <row r="76" spans="1:6" s="206" customFormat="1" ht="12" customHeight="1" x14ac:dyDescent="0.2">
      <c r="A76" s="12" t="s">
        <v>287</v>
      </c>
      <c r="B76" s="208" t="s">
        <v>263</v>
      </c>
      <c r="C76" s="325">
        <f t="shared" si="2"/>
        <v>0</v>
      </c>
      <c r="D76" s="282"/>
      <c r="E76" s="134"/>
      <c r="F76" s="134"/>
    </row>
    <row r="77" spans="1:6" s="206" customFormat="1" ht="12" customHeight="1" thickBot="1" x14ac:dyDescent="0.25">
      <c r="A77" s="14" t="s">
        <v>288</v>
      </c>
      <c r="B77" s="127" t="s">
        <v>264</v>
      </c>
      <c r="C77" s="326">
        <f t="shared" si="2"/>
        <v>0</v>
      </c>
      <c r="D77" s="282"/>
      <c r="E77" s="134"/>
      <c r="F77" s="134"/>
    </row>
    <row r="78" spans="1:6" s="206" customFormat="1" ht="12" customHeight="1" thickBot="1" x14ac:dyDescent="0.25">
      <c r="A78" s="268" t="s">
        <v>265</v>
      </c>
      <c r="B78" s="125" t="s">
        <v>266</v>
      </c>
      <c r="C78" s="130">
        <f t="shared" si="2"/>
        <v>955564703</v>
      </c>
      <c r="D78" s="298">
        <f>SUM(D79:D80)</f>
        <v>933393998</v>
      </c>
      <c r="E78" s="130">
        <f>SUM(E79:E80)</f>
        <v>327465</v>
      </c>
      <c r="F78" s="130">
        <f>SUM(F79:F80)</f>
        <v>21843240</v>
      </c>
    </row>
    <row r="79" spans="1:6" s="206" customFormat="1" ht="12" customHeight="1" x14ac:dyDescent="0.2">
      <c r="A79" s="13" t="s">
        <v>289</v>
      </c>
      <c r="B79" s="207" t="s">
        <v>267</v>
      </c>
      <c r="C79" s="202">
        <f t="shared" si="2"/>
        <v>955564703</v>
      </c>
      <c r="D79" s="282">
        <f>941573826-8179828</f>
        <v>933393998</v>
      </c>
      <c r="E79" s="134">
        <v>327465</v>
      </c>
      <c r="F79" s="134">
        <f>3481566+752726+490516+820681+16297751</f>
        <v>21843240</v>
      </c>
    </row>
    <row r="80" spans="1:6" s="206" customFormat="1" ht="12" customHeight="1" thickBot="1" x14ac:dyDescent="0.25">
      <c r="A80" s="14" t="s">
        <v>290</v>
      </c>
      <c r="B80" s="127" t="s">
        <v>268</v>
      </c>
      <c r="C80" s="326">
        <f t="shared" si="2"/>
        <v>0</v>
      </c>
      <c r="D80" s="282"/>
      <c r="E80" s="134"/>
      <c r="F80" s="134"/>
    </row>
    <row r="81" spans="1:6" s="206" customFormat="1" ht="12" customHeight="1" thickBot="1" x14ac:dyDescent="0.25">
      <c r="A81" s="268" t="s">
        <v>269</v>
      </c>
      <c r="B81" s="125" t="s">
        <v>270</v>
      </c>
      <c r="C81" s="327">
        <f t="shared" si="2"/>
        <v>0</v>
      </c>
      <c r="D81" s="298">
        <f>SUM(D82:D84)</f>
        <v>0</v>
      </c>
      <c r="E81" s="130">
        <f>SUM(E82:E84)</f>
        <v>0</v>
      </c>
      <c r="F81" s="130">
        <f>SUM(F82:F84)</f>
        <v>0</v>
      </c>
    </row>
    <row r="82" spans="1:6" s="206" customFormat="1" ht="12" customHeight="1" x14ac:dyDescent="0.2">
      <c r="A82" s="13" t="s">
        <v>291</v>
      </c>
      <c r="B82" s="207" t="s">
        <v>271</v>
      </c>
      <c r="C82" s="202">
        <f t="shared" si="2"/>
        <v>0</v>
      </c>
      <c r="D82" s="282"/>
      <c r="E82" s="134"/>
      <c r="F82" s="134"/>
    </row>
    <row r="83" spans="1:6" s="206" customFormat="1" ht="12" customHeight="1" x14ac:dyDescent="0.2">
      <c r="A83" s="12" t="s">
        <v>292</v>
      </c>
      <c r="B83" s="208" t="s">
        <v>272</v>
      </c>
      <c r="C83" s="325">
        <f t="shared" si="2"/>
        <v>0</v>
      </c>
      <c r="D83" s="282"/>
      <c r="E83" s="134"/>
      <c r="F83" s="134"/>
    </row>
    <row r="84" spans="1:6" s="206" customFormat="1" ht="12" customHeight="1" thickBot="1" x14ac:dyDescent="0.25">
      <c r="A84" s="14" t="s">
        <v>293</v>
      </c>
      <c r="B84" s="127" t="s">
        <v>273</v>
      </c>
      <c r="C84" s="326">
        <f t="shared" si="2"/>
        <v>0</v>
      </c>
      <c r="D84" s="282"/>
      <c r="E84" s="134"/>
      <c r="F84" s="134"/>
    </row>
    <row r="85" spans="1:6" s="206" customFormat="1" ht="12" customHeight="1" thickBot="1" x14ac:dyDescent="0.25">
      <c r="A85" s="268" t="s">
        <v>274</v>
      </c>
      <c r="B85" s="125" t="s">
        <v>294</v>
      </c>
      <c r="C85" s="327">
        <f t="shared" si="2"/>
        <v>0</v>
      </c>
      <c r="D85" s="298">
        <f>SUM(D86:D89)</f>
        <v>0</v>
      </c>
      <c r="E85" s="130">
        <f>SUM(E86:E89)</f>
        <v>0</v>
      </c>
      <c r="F85" s="130">
        <f>SUM(F86:F89)</f>
        <v>0</v>
      </c>
    </row>
    <row r="86" spans="1:6" s="206" customFormat="1" ht="12" customHeight="1" x14ac:dyDescent="0.2">
      <c r="A86" s="211" t="s">
        <v>275</v>
      </c>
      <c r="B86" s="207" t="s">
        <v>276</v>
      </c>
      <c r="C86" s="202">
        <f t="shared" si="2"/>
        <v>0</v>
      </c>
      <c r="D86" s="282"/>
      <c r="E86" s="134"/>
      <c r="F86" s="134"/>
    </row>
    <row r="87" spans="1:6" s="206" customFormat="1" ht="12" customHeight="1" x14ac:dyDescent="0.2">
      <c r="A87" s="212" t="s">
        <v>277</v>
      </c>
      <c r="B87" s="208" t="s">
        <v>278</v>
      </c>
      <c r="C87" s="325">
        <f t="shared" si="2"/>
        <v>0</v>
      </c>
      <c r="D87" s="282"/>
      <c r="E87" s="134"/>
      <c r="F87" s="134"/>
    </row>
    <row r="88" spans="1:6" s="206" customFormat="1" ht="12" customHeight="1" x14ac:dyDescent="0.2">
      <c r="A88" s="212" t="s">
        <v>279</v>
      </c>
      <c r="B88" s="208" t="s">
        <v>280</v>
      </c>
      <c r="C88" s="325">
        <f t="shared" si="2"/>
        <v>0</v>
      </c>
      <c r="D88" s="282"/>
      <c r="E88" s="134"/>
      <c r="F88" s="134"/>
    </row>
    <row r="89" spans="1:6" s="206" customFormat="1" ht="12" customHeight="1" thickBot="1" x14ac:dyDescent="0.25">
      <c r="A89" s="213" t="s">
        <v>281</v>
      </c>
      <c r="B89" s="127" t="s">
        <v>282</v>
      </c>
      <c r="C89" s="326">
        <f t="shared" si="2"/>
        <v>0</v>
      </c>
      <c r="D89" s="282"/>
      <c r="E89" s="134"/>
      <c r="F89" s="134"/>
    </row>
    <row r="90" spans="1:6" s="206" customFormat="1" ht="12" customHeight="1" thickBot="1" x14ac:dyDescent="0.25">
      <c r="A90" s="268" t="s">
        <v>283</v>
      </c>
      <c r="B90" s="125" t="s">
        <v>457</v>
      </c>
      <c r="C90" s="402">
        <f t="shared" si="2"/>
        <v>0</v>
      </c>
      <c r="D90" s="303"/>
      <c r="E90" s="246"/>
      <c r="F90" s="246"/>
    </row>
    <row r="91" spans="1:6" s="206" customFormat="1" ht="13.5" customHeight="1" thickBot="1" x14ac:dyDescent="0.25">
      <c r="A91" s="268" t="s">
        <v>285</v>
      </c>
      <c r="B91" s="125" t="s">
        <v>284</v>
      </c>
      <c r="C91" s="327">
        <f t="shared" si="2"/>
        <v>0</v>
      </c>
      <c r="D91" s="303"/>
      <c r="E91" s="246"/>
      <c r="F91" s="246"/>
    </row>
    <row r="92" spans="1:6" s="206" customFormat="1" ht="15.75" customHeight="1" thickBot="1" x14ac:dyDescent="0.25">
      <c r="A92" s="268" t="s">
        <v>297</v>
      </c>
      <c r="B92" s="214" t="s">
        <v>458</v>
      </c>
      <c r="C92" s="130">
        <f t="shared" si="2"/>
        <v>1697976602</v>
      </c>
      <c r="D92" s="301">
        <f>+D69+D73+D78+D81+D85+D91+D90</f>
        <v>1675805897</v>
      </c>
      <c r="E92" s="135">
        <f>+E69+E73+E78+E81+E85+E91+E90</f>
        <v>327465</v>
      </c>
      <c r="F92" s="135">
        <f>+F69+F73+F78+F81+F85+F91+F90</f>
        <v>21843240</v>
      </c>
    </row>
    <row r="93" spans="1:6" s="206" customFormat="1" ht="16.5" customHeight="1" thickBot="1" x14ac:dyDescent="0.25">
      <c r="A93" s="270" t="s">
        <v>459</v>
      </c>
      <c r="B93" s="215" t="s">
        <v>460</v>
      </c>
      <c r="C93" s="274">
        <f t="shared" si="2"/>
        <v>3840758999</v>
      </c>
      <c r="D93" s="301">
        <f>+D68+D92</f>
        <v>3699312428</v>
      </c>
      <c r="E93" s="135">
        <f>+E68+E92</f>
        <v>3585079</v>
      </c>
      <c r="F93" s="135">
        <f>+F68+F92</f>
        <v>137861492</v>
      </c>
    </row>
    <row r="94" spans="1:6" s="206" customFormat="1" ht="54" customHeight="1" x14ac:dyDescent="0.2">
      <c r="A94" s="3"/>
      <c r="B94" s="4"/>
      <c r="C94" s="136"/>
    </row>
    <row r="95" spans="1:6" ht="16.5" customHeight="1" x14ac:dyDescent="0.25">
      <c r="A95" s="1498" t="s">
        <v>49</v>
      </c>
      <c r="B95" s="1498"/>
      <c r="C95" s="1498"/>
      <c r="D95" s="193"/>
      <c r="E95" s="193"/>
      <c r="F95" s="193"/>
    </row>
    <row r="96" spans="1:6" s="216" customFormat="1" ht="16.5" customHeight="1" thickBot="1" x14ac:dyDescent="0.3">
      <c r="A96" s="1499" t="s">
        <v>130</v>
      </c>
      <c r="B96" s="1499"/>
      <c r="C96" s="68" t="s">
        <v>557</v>
      </c>
      <c r="D96" s="668"/>
      <c r="E96" s="668"/>
      <c r="F96" s="668"/>
    </row>
    <row r="97" spans="1:6" ht="38.1" customHeight="1" thickBot="1" x14ac:dyDescent="0.3">
      <c r="A97" s="21" t="s">
        <v>72</v>
      </c>
      <c r="B97" s="22" t="s">
        <v>50</v>
      </c>
      <c r="C97" s="31" t="str">
        <f>+C9</f>
        <v>2020. évi előirányzat</v>
      </c>
      <c r="D97" s="193" t="s">
        <v>563</v>
      </c>
      <c r="E97" s="193" t="s">
        <v>564</v>
      </c>
      <c r="F97" s="193" t="s">
        <v>565</v>
      </c>
    </row>
    <row r="98" spans="1:6" s="205" customFormat="1" ht="12" customHeight="1" thickBot="1" x14ac:dyDescent="0.25">
      <c r="A98" s="27" t="s">
        <v>447</v>
      </c>
      <c r="B98" s="28" t="s">
        <v>448</v>
      </c>
      <c r="C98" s="201" t="s">
        <v>449</v>
      </c>
    </row>
    <row r="99" spans="1:6" ht="12" customHeight="1" thickBot="1" x14ac:dyDescent="0.3">
      <c r="A99" s="20" t="s">
        <v>21</v>
      </c>
      <c r="B99" s="24" t="s">
        <v>498</v>
      </c>
      <c r="C99" s="130">
        <f t="shared" ref="C99:C160" si="3">SUM(D99:F99)</f>
        <v>1748325614</v>
      </c>
      <c r="D99" s="306">
        <f>+D100+D101+D102+D103+D104+D117</f>
        <v>762011382</v>
      </c>
      <c r="E99" s="129">
        <f>+E100+E101+E102+E103+E104+E117</f>
        <v>6357467</v>
      </c>
      <c r="F99" s="312">
        <f>F100+F101+F102+F103+F104+F117</f>
        <v>979956765</v>
      </c>
    </row>
    <row r="100" spans="1:6" ht="12" customHeight="1" x14ac:dyDescent="0.25">
      <c r="A100" s="15" t="s">
        <v>100</v>
      </c>
      <c r="B100" s="8" t="s">
        <v>51</v>
      </c>
      <c r="C100" s="1484">
        <f t="shared" si="3"/>
        <v>596100634</v>
      </c>
      <c r="D100" s="317">
        <f>50121817-89237</f>
        <v>50032580</v>
      </c>
      <c r="E100" s="290">
        <v>4072814</v>
      </c>
      <c r="F100" s="290">
        <f>69090783+200165718+55350452+71236352+136029710+9577120+545105</f>
        <v>541995240</v>
      </c>
    </row>
    <row r="101" spans="1:6" ht="12" customHeight="1" x14ac:dyDescent="0.25">
      <c r="A101" s="12" t="s">
        <v>101</v>
      </c>
      <c r="B101" s="6" t="s">
        <v>149</v>
      </c>
      <c r="C101" s="1482">
        <f t="shared" si="3"/>
        <v>111476081</v>
      </c>
      <c r="D101" s="282">
        <f>8314149-97868</f>
        <v>8216281</v>
      </c>
      <c r="E101" s="134">
        <v>748356</v>
      </c>
      <c r="F101" s="134">
        <f>12885750+40236890+9898597+12731399+24987418+1675997+95393</f>
        <v>102511444</v>
      </c>
    </row>
    <row r="102" spans="1:6" ht="12" customHeight="1" x14ac:dyDescent="0.25">
      <c r="A102" s="12" t="s">
        <v>102</v>
      </c>
      <c r="B102" s="6" t="s">
        <v>125</v>
      </c>
      <c r="C102" s="325">
        <f t="shared" si="3"/>
        <v>643870103</v>
      </c>
      <c r="D102" s="286">
        <f>307535372-649147</f>
        <v>306886225</v>
      </c>
      <c r="E102" s="196">
        <v>1536297</v>
      </c>
      <c r="F102" s="134">
        <f>155755158+92726933+49753784+15922544+21289162</f>
        <v>335447581</v>
      </c>
    </row>
    <row r="103" spans="1:6" ht="12" customHeight="1" x14ac:dyDescent="0.25">
      <c r="A103" s="12" t="s">
        <v>103</v>
      </c>
      <c r="B103" s="6" t="s">
        <v>150</v>
      </c>
      <c r="C103" s="325">
        <f t="shared" si="3"/>
        <v>61300000</v>
      </c>
      <c r="D103" s="286">
        <v>61300000</v>
      </c>
      <c r="E103" s="196"/>
      <c r="F103" s="196"/>
    </row>
    <row r="104" spans="1:6" ht="12" customHeight="1" x14ac:dyDescent="0.25">
      <c r="A104" s="12" t="s">
        <v>114</v>
      </c>
      <c r="B104" s="5" t="s">
        <v>151</v>
      </c>
      <c r="C104" s="325">
        <f t="shared" si="3"/>
        <v>202337958</v>
      </c>
      <c r="D104" s="286">
        <f>SUM(D105:D116)</f>
        <v>202335458</v>
      </c>
      <c r="E104" s="286">
        <f t="shared" ref="E104:F104" si="4">SUM(E105:E116)</f>
        <v>0</v>
      </c>
      <c r="F104" s="286">
        <f t="shared" si="4"/>
        <v>2500</v>
      </c>
    </row>
    <row r="105" spans="1:6" ht="12" customHeight="1" x14ac:dyDescent="0.25">
      <c r="A105" s="12" t="s">
        <v>104</v>
      </c>
      <c r="B105" s="6" t="s">
        <v>461</v>
      </c>
      <c r="C105" s="325">
        <f t="shared" si="3"/>
        <v>2500</v>
      </c>
      <c r="D105" s="286"/>
      <c r="E105" s="196"/>
      <c r="F105" s="196">
        <v>2500</v>
      </c>
    </row>
    <row r="106" spans="1:6" ht="12" customHeight="1" x14ac:dyDescent="0.25">
      <c r="A106" s="12" t="s">
        <v>105</v>
      </c>
      <c r="B106" s="72" t="s">
        <v>462</v>
      </c>
      <c r="C106" s="325">
        <f t="shared" si="3"/>
        <v>0</v>
      </c>
      <c r="D106" s="286"/>
      <c r="E106" s="196"/>
      <c r="F106" s="196"/>
    </row>
    <row r="107" spans="1:6" ht="12" customHeight="1" x14ac:dyDescent="0.25">
      <c r="A107" s="12" t="s">
        <v>115</v>
      </c>
      <c r="B107" s="72" t="s">
        <v>463</v>
      </c>
      <c r="C107" s="325">
        <f t="shared" si="3"/>
        <v>0</v>
      </c>
      <c r="D107" s="286"/>
      <c r="E107" s="196"/>
      <c r="F107" s="196"/>
    </row>
    <row r="108" spans="1:6" ht="12" customHeight="1" x14ac:dyDescent="0.25">
      <c r="A108" s="12" t="s">
        <v>116</v>
      </c>
      <c r="B108" s="70" t="s">
        <v>300</v>
      </c>
      <c r="C108" s="325">
        <f t="shared" si="3"/>
        <v>0</v>
      </c>
      <c r="D108" s="286"/>
      <c r="E108" s="196"/>
      <c r="F108" s="196"/>
    </row>
    <row r="109" spans="1:6" ht="12" customHeight="1" x14ac:dyDescent="0.25">
      <c r="A109" s="12" t="s">
        <v>117</v>
      </c>
      <c r="B109" s="71" t="s">
        <v>301</v>
      </c>
      <c r="C109" s="325">
        <f t="shared" si="3"/>
        <v>0</v>
      </c>
      <c r="D109" s="286"/>
      <c r="E109" s="196"/>
      <c r="F109" s="196"/>
    </row>
    <row r="110" spans="1:6" ht="12" customHeight="1" x14ac:dyDescent="0.25">
      <c r="A110" s="12" t="s">
        <v>118</v>
      </c>
      <c r="B110" s="71" t="s">
        <v>302</v>
      </c>
      <c r="C110" s="325">
        <f t="shared" si="3"/>
        <v>0</v>
      </c>
      <c r="D110" s="286"/>
      <c r="E110" s="196"/>
      <c r="F110" s="196"/>
    </row>
    <row r="111" spans="1:6" ht="12" customHeight="1" x14ac:dyDescent="0.25">
      <c r="A111" s="12" t="s">
        <v>120</v>
      </c>
      <c r="B111" s="70" t="s">
        <v>303</v>
      </c>
      <c r="C111" s="325">
        <f t="shared" si="3"/>
        <v>526000</v>
      </c>
      <c r="D111" s="286">
        <v>526000</v>
      </c>
      <c r="E111" s="196"/>
      <c r="F111" s="196"/>
    </row>
    <row r="112" spans="1:6" ht="12" customHeight="1" x14ac:dyDescent="0.25">
      <c r="A112" s="12" t="s">
        <v>152</v>
      </c>
      <c r="B112" s="70" t="s">
        <v>304</v>
      </c>
      <c r="C112" s="325">
        <f t="shared" si="3"/>
        <v>0</v>
      </c>
      <c r="D112" s="669"/>
      <c r="E112" s="196"/>
      <c r="F112" s="196"/>
    </row>
    <row r="113" spans="1:6" ht="12" customHeight="1" x14ac:dyDescent="0.25">
      <c r="A113" s="12" t="s">
        <v>298</v>
      </c>
      <c r="B113" s="71" t="s">
        <v>305</v>
      </c>
      <c r="C113" s="325">
        <f t="shared" si="3"/>
        <v>0</v>
      </c>
      <c r="D113" s="286"/>
      <c r="E113" s="196"/>
      <c r="F113" s="196"/>
    </row>
    <row r="114" spans="1:6" ht="12" customHeight="1" x14ac:dyDescent="0.25">
      <c r="A114" s="11" t="s">
        <v>299</v>
      </c>
      <c r="B114" s="72" t="s">
        <v>306</v>
      </c>
      <c r="C114" s="325">
        <f t="shared" si="3"/>
        <v>0</v>
      </c>
      <c r="D114" s="286"/>
      <c r="E114" s="196"/>
      <c r="F114" s="196"/>
    </row>
    <row r="115" spans="1:6" ht="12" customHeight="1" x14ac:dyDescent="0.25">
      <c r="A115" s="12" t="s">
        <v>464</v>
      </c>
      <c r="B115" s="72" t="s">
        <v>307</v>
      </c>
      <c r="C115" s="325">
        <f t="shared" si="3"/>
        <v>0</v>
      </c>
      <c r="D115" s="286"/>
      <c r="E115" s="196"/>
      <c r="F115" s="196"/>
    </row>
    <row r="116" spans="1:6" ht="12" customHeight="1" x14ac:dyDescent="0.25">
      <c r="A116" s="14" t="s">
        <v>465</v>
      </c>
      <c r="B116" s="72" t="s">
        <v>308</v>
      </c>
      <c r="C116" s="325">
        <f t="shared" si="3"/>
        <v>201809458</v>
      </c>
      <c r="D116" s="282">
        <f>201809461-3</f>
        <v>201809458</v>
      </c>
      <c r="E116" s="134"/>
      <c r="F116" s="196"/>
    </row>
    <row r="117" spans="1:6" ht="12" customHeight="1" x14ac:dyDescent="0.25">
      <c r="A117" s="12" t="s">
        <v>466</v>
      </c>
      <c r="B117" s="6" t="s">
        <v>52</v>
      </c>
      <c r="C117" s="325">
        <f t="shared" si="3"/>
        <v>133240838</v>
      </c>
      <c r="D117" s="282">
        <f>SUM(D118:D119)</f>
        <v>133240838</v>
      </c>
      <c r="E117" s="134"/>
      <c r="F117" s="134"/>
    </row>
    <row r="118" spans="1:6" ht="12" customHeight="1" x14ac:dyDescent="0.25">
      <c r="A118" s="12" t="s">
        <v>467</v>
      </c>
      <c r="B118" s="6" t="s">
        <v>468</v>
      </c>
      <c r="C118" s="325">
        <f t="shared" si="3"/>
        <v>20000000</v>
      </c>
      <c r="D118" s="286">
        <v>20000000</v>
      </c>
      <c r="E118" s="196"/>
      <c r="F118" s="134"/>
    </row>
    <row r="119" spans="1:6" ht="12" customHeight="1" thickBot="1" x14ac:dyDescent="0.3">
      <c r="A119" s="16" t="s">
        <v>469</v>
      </c>
      <c r="B119" s="271" t="s">
        <v>470</v>
      </c>
      <c r="C119" s="325">
        <f t="shared" si="3"/>
        <v>113240838</v>
      </c>
      <c r="D119" s="318">
        <f>113540838-300000</f>
        <v>113240838</v>
      </c>
      <c r="E119" s="295"/>
      <c r="F119" s="295"/>
    </row>
    <row r="120" spans="1:6" ht="12" customHeight="1" thickBot="1" x14ac:dyDescent="0.3">
      <c r="A120" s="272" t="s">
        <v>22</v>
      </c>
      <c r="B120" s="273" t="s">
        <v>309</v>
      </c>
      <c r="C120" s="130">
        <f t="shared" si="3"/>
        <v>923033384</v>
      </c>
      <c r="D120" s="298">
        <f>+D121+D123+D125</f>
        <v>915508061</v>
      </c>
      <c r="E120" s="130">
        <f>+E121+E123+E125</f>
        <v>230000</v>
      </c>
      <c r="F120" s="274">
        <f>+F121+F123+F125</f>
        <v>7295323</v>
      </c>
    </row>
    <row r="121" spans="1:6" ht="18.75" customHeight="1" x14ac:dyDescent="0.25">
      <c r="A121" s="13" t="s">
        <v>106</v>
      </c>
      <c r="B121" s="6" t="s">
        <v>173</v>
      </c>
      <c r="C121" s="202">
        <f t="shared" si="3"/>
        <v>652885759</v>
      </c>
      <c r="D121" s="302">
        <f>649199379+530-539760-98930-2000000+109147</f>
        <v>646670366</v>
      </c>
      <c r="E121" s="245">
        <v>230000</v>
      </c>
      <c r="F121" s="245">
        <f>1500000+712620+2527155+610850+634768</f>
        <v>5985393</v>
      </c>
    </row>
    <row r="122" spans="1:6" ht="12" customHeight="1" x14ac:dyDescent="0.25">
      <c r="A122" s="13" t="s">
        <v>107</v>
      </c>
      <c r="B122" s="10" t="s">
        <v>313</v>
      </c>
      <c r="C122" s="202">
        <f t="shared" si="3"/>
        <v>569358767</v>
      </c>
      <c r="D122" s="302">
        <f>600206715+530-539760-98930-30209788</f>
        <v>569358767</v>
      </c>
      <c r="E122" s="245"/>
      <c r="F122" s="245"/>
    </row>
    <row r="123" spans="1:6" ht="12" customHeight="1" x14ac:dyDescent="0.25">
      <c r="A123" s="13" t="s">
        <v>108</v>
      </c>
      <c r="B123" s="10" t="s">
        <v>153</v>
      </c>
      <c r="C123" s="202">
        <f t="shared" si="3"/>
        <v>262245726</v>
      </c>
      <c r="D123" s="282">
        <f>262142296-1206500</f>
        <v>260935796</v>
      </c>
      <c r="E123" s="134"/>
      <c r="F123" s="134">
        <f>600000+709930</f>
        <v>1309930</v>
      </c>
    </row>
    <row r="124" spans="1:6" ht="12" customHeight="1" x14ac:dyDescent="0.25">
      <c r="A124" s="13" t="s">
        <v>109</v>
      </c>
      <c r="B124" s="10" t="s">
        <v>314</v>
      </c>
      <c r="C124" s="202">
        <f t="shared" si="3"/>
        <v>92353398</v>
      </c>
      <c r="D124" s="282">
        <f>93559898-1206500</f>
        <v>92353398</v>
      </c>
      <c r="E124" s="667"/>
      <c r="F124" s="282"/>
    </row>
    <row r="125" spans="1:6" ht="12" customHeight="1" x14ac:dyDescent="0.25">
      <c r="A125" s="13" t="s">
        <v>110</v>
      </c>
      <c r="B125" s="127" t="s">
        <v>175</v>
      </c>
      <c r="C125" s="202">
        <f t="shared" si="3"/>
        <v>7901899</v>
      </c>
      <c r="D125" s="286">
        <f>SUM(D126:D133)</f>
        <v>7901899</v>
      </c>
      <c r="E125" s="282"/>
      <c r="F125" s="282"/>
    </row>
    <row r="126" spans="1:6" ht="12" customHeight="1" x14ac:dyDescent="0.25">
      <c r="A126" s="13" t="s">
        <v>119</v>
      </c>
      <c r="B126" s="126" t="s">
        <v>376</v>
      </c>
      <c r="C126" s="202">
        <f t="shared" si="3"/>
        <v>0</v>
      </c>
      <c r="D126" s="119"/>
      <c r="E126" s="119"/>
      <c r="F126" s="282"/>
    </row>
    <row r="127" spans="1:6" ht="12" customHeight="1" x14ac:dyDescent="0.25">
      <c r="A127" s="13" t="s">
        <v>121</v>
      </c>
      <c r="B127" s="203" t="s">
        <v>319</v>
      </c>
      <c r="C127" s="202">
        <f t="shared" si="3"/>
        <v>0</v>
      </c>
      <c r="D127" s="119"/>
      <c r="E127" s="119"/>
      <c r="F127" s="282"/>
    </row>
    <row r="128" spans="1:6" x14ac:dyDescent="0.25">
      <c r="A128" s="13" t="s">
        <v>154</v>
      </c>
      <c r="B128" s="71" t="s">
        <v>302</v>
      </c>
      <c r="C128" s="202">
        <f t="shared" si="3"/>
        <v>0</v>
      </c>
      <c r="D128" s="119"/>
      <c r="E128" s="119"/>
      <c r="F128" s="282"/>
    </row>
    <row r="129" spans="1:6" ht="12" customHeight="1" x14ac:dyDescent="0.25">
      <c r="A129" s="13" t="s">
        <v>155</v>
      </c>
      <c r="B129" s="71" t="s">
        <v>318</v>
      </c>
      <c r="C129" s="202">
        <f t="shared" si="3"/>
        <v>0</v>
      </c>
      <c r="D129" s="119"/>
      <c r="E129" s="119"/>
      <c r="F129" s="282"/>
    </row>
    <row r="130" spans="1:6" ht="12" customHeight="1" x14ac:dyDescent="0.25">
      <c r="A130" s="13" t="s">
        <v>156</v>
      </c>
      <c r="B130" s="71" t="s">
        <v>317</v>
      </c>
      <c r="C130" s="202">
        <f t="shared" si="3"/>
        <v>0</v>
      </c>
      <c r="D130" s="119"/>
      <c r="E130" s="119"/>
      <c r="F130" s="282"/>
    </row>
    <row r="131" spans="1:6" ht="12" customHeight="1" x14ac:dyDescent="0.25">
      <c r="A131" s="13" t="s">
        <v>310</v>
      </c>
      <c r="B131" s="71" t="s">
        <v>305</v>
      </c>
      <c r="C131" s="202">
        <f t="shared" si="3"/>
        <v>0</v>
      </c>
      <c r="D131" s="119"/>
      <c r="E131" s="119"/>
      <c r="F131" s="282"/>
    </row>
    <row r="132" spans="1:6" ht="12" customHeight="1" x14ac:dyDescent="0.25">
      <c r="A132" s="13" t="s">
        <v>311</v>
      </c>
      <c r="B132" s="71" t="s">
        <v>316</v>
      </c>
      <c r="C132" s="202">
        <f t="shared" si="3"/>
        <v>0</v>
      </c>
      <c r="D132" s="119"/>
      <c r="E132" s="119"/>
      <c r="F132" s="282"/>
    </row>
    <row r="133" spans="1:6" ht="16.5" thickBot="1" x14ac:dyDescent="0.3">
      <c r="A133" s="11" t="s">
        <v>312</v>
      </c>
      <c r="B133" s="71" t="s">
        <v>315</v>
      </c>
      <c r="C133" s="202">
        <f t="shared" si="3"/>
        <v>7901899</v>
      </c>
      <c r="D133" s="120">
        <f>7001899+900000</f>
        <v>7901899</v>
      </c>
      <c r="E133" s="286"/>
      <c r="F133" s="286"/>
    </row>
    <row r="134" spans="1:6" ht="12" customHeight="1" thickBot="1" x14ac:dyDescent="0.3">
      <c r="A134" s="18" t="s">
        <v>23</v>
      </c>
      <c r="B134" s="66" t="s">
        <v>471</v>
      </c>
      <c r="C134" s="130">
        <f t="shared" si="3"/>
        <v>2671358998</v>
      </c>
      <c r="D134" s="298">
        <f>+D99+D120</f>
        <v>1677519443</v>
      </c>
      <c r="E134" s="130">
        <f>+E99+E120</f>
        <v>6587467</v>
      </c>
      <c r="F134" s="130">
        <f>+F99+F120</f>
        <v>987252088</v>
      </c>
    </row>
    <row r="135" spans="1:6" ht="12" customHeight="1" thickBot="1" x14ac:dyDescent="0.3">
      <c r="A135" s="18" t="s">
        <v>24</v>
      </c>
      <c r="B135" s="66" t="s">
        <v>472</v>
      </c>
      <c r="C135" s="327">
        <f t="shared" si="3"/>
        <v>722563844</v>
      </c>
      <c r="D135" s="298">
        <f>+D136+D137+D138</f>
        <v>722563844</v>
      </c>
      <c r="E135" s="130">
        <f>+E136+E137+E138</f>
        <v>0</v>
      </c>
      <c r="F135" s="130">
        <f>+F136+F137+F138</f>
        <v>0</v>
      </c>
    </row>
    <row r="136" spans="1:6" ht="12" customHeight="1" x14ac:dyDescent="0.25">
      <c r="A136" s="13" t="s">
        <v>211</v>
      </c>
      <c r="B136" s="10" t="s">
        <v>473</v>
      </c>
      <c r="C136" s="202">
        <f t="shared" si="3"/>
        <v>22563844</v>
      </c>
      <c r="D136" s="282">
        <v>22563844</v>
      </c>
      <c r="E136" s="282"/>
      <c r="F136" s="282"/>
    </row>
    <row r="137" spans="1:6" ht="12" customHeight="1" x14ac:dyDescent="0.25">
      <c r="A137" s="13" t="s">
        <v>214</v>
      </c>
      <c r="B137" s="10" t="s">
        <v>474</v>
      </c>
      <c r="C137" s="325">
        <f t="shared" si="3"/>
        <v>700000000</v>
      </c>
      <c r="D137" s="119">
        <v>700000000</v>
      </c>
      <c r="E137" s="119"/>
      <c r="F137" s="119"/>
    </row>
    <row r="138" spans="1:6" ht="12" customHeight="1" thickBot="1" x14ac:dyDescent="0.3">
      <c r="A138" s="11" t="s">
        <v>215</v>
      </c>
      <c r="B138" s="10" t="s">
        <v>475</v>
      </c>
      <c r="C138" s="326">
        <f t="shared" si="3"/>
        <v>0</v>
      </c>
      <c r="D138" s="119"/>
      <c r="E138" s="119"/>
      <c r="F138" s="119"/>
    </row>
    <row r="139" spans="1:6" ht="12" customHeight="1" thickBot="1" x14ac:dyDescent="0.3">
      <c r="A139" s="18" t="s">
        <v>25</v>
      </c>
      <c r="B139" s="66" t="s">
        <v>476</v>
      </c>
      <c r="C139" s="327">
        <f t="shared" si="3"/>
        <v>0</v>
      </c>
      <c r="D139" s="298">
        <f>+D140+D141+D142+D143+D144+D145</f>
        <v>0</v>
      </c>
      <c r="E139" s="130">
        <f>+E140+E141+E142+E143+E144+E145</f>
        <v>0</v>
      </c>
      <c r="F139" s="130">
        <f>SUM(F140:F145)</f>
        <v>0</v>
      </c>
    </row>
    <row r="140" spans="1:6" ht="12" customHeight="1" x14ac:dyDescent="0.25">
      <c r="A140" s="13" t="s">
        <v>93</v>
      </c>
      <c r="B140" s="7" t="s">
        <v>477</v>
      </c>
      <c r="C140" s="202">
        <f t="shared" si="3"/>
        <v>0</v>
      </c>
      <c r="D140" s="119"/>
      <c r="E140" s="119"/>
      <c r="F140" s="119"/>
    </row>
    <row r="141" spans="1:6" ht="12" customHeight="1" x14ac:dyDescent="0.25">
      <c r="A141" s="13" t="s">
        <v>94</v>
      </c>
      <c r="B141" s="7" t="s">
        <v>478</v>
      </c>
      <c r="C141" s="325">
        <f t="shared" si="3"/>
        <v>0</v>
      </c>
      <c r="D141" s="119"/>
      <c r="E141" s="119"/>
      <c r="F141" s="119"/>
    </row>
    <row r="142" spans="1:6" ht="12" customHeight="1" x14ac:dyDescent="0.25">
      <c r="A142" s="13" t="s">
        <v>95</v>
      </c>
      <c r="B142" s="7" t="s">
        <v>479</v>
      </c>
      <c r="C142" s="325">
        <f t="shared" si="3"/>
        <v>0</v>
      </c>
      <c r="D142" s="119"/>
      <c r="E142" s="119"/>
      <c r="F142" s="119"/>
    </row>
    <row r="143" spans="1:6" ht="12" customHeight="1" x14ac:dyDescent="0.25">
      <c r="A143" s="13" t="s">
        <v>141</v>
      </c>
      <c r="B143" s="7" t="s">
        <v>480</v>
      </c>
      <c r="C143" s="325">
        <f t="shared" si="3"/>
        <v>0</v>
      </c>
      <c r="D143" s="119"/>
      <c r="E143" s="119"/>
      <c r="F143" s="119"/>
    </row>
    <row r="144" spans="1:6" ht="12" customHeight="1" x14ac:dyDescent="0.25">
      <c r="A144" s="13" t="s">
        <v>142</v>
      </c>
      <c r="B144" s="7" t="s">
        <v>481</v>
      </c>
      <c r="C144" s="325">
        <f t="shared" si="3"/>
        <v>0</v>
      </c>
      <c r="D144" s="119"/>
      <c r="E144" s="119"/>
      <c r="F144" s="119"/>
    </row>
    <row r="145" spans="1:9" ht="12" customHeight="1" thickBot="1" x14ac:dyDescent="0.3">
      <c r="A145" s="11" t="s">
        <v>143</v>
      </c>
      <c r="B145" s="7" t="s">
        <v>482</v>
      </c>
      <c r="C145" s="326">
        <f t="shared" si="3"/>
        <v>0</v>
      </c>
      <c r="D145" s="119"/>
      <c r="E145" s="119"/>
      <c r="F145" s="119"/>
    </row>
    <row r="146" spans="1:9" ht="12" customHeight="1" thickBot="1" x14ac:dyDescent="0.3">
      <c r="A146" s="18" t="s">
        <v>26</v>
      </c>
      <c r="B146" s="66" t="s">
        <v>483</v>
      </c>
      <c r="C146" s="130">
        <f t="shared" si="3"/>
        <v>0</v>
      </c>
      <c r="D146" s="301">
        <f>+D147+D148+D149+D150</f>
        <v>0</v>
      </c>
      <c r="E146" s="135">
        <f>+E147+E148+E149+E150</f>
        <v>0</v>
      </c>
      <c r="F146" s="135">
        <f>+F147+F148+F149+F150</f>
        <v>0</v>
      </c>
    </row>
    <row r="147" spans="1:9" ht="12" customHeight="1" x14ac:dyDescent="0.25">
      <c r="A147" s="13" t="s">
        <v>96</v>
      </c>
      <c r="B147" s="7" t="s">
        <v>320</v>
      </c>
      <c r="C147" s="202">
        <f t="shared" si="3"/>
        <v>0</v>
      </c>
      <c r="D147" s="119"/>
      <c r="E147" s="119"/>
      <c r="F147" s="119"/>
    </row>
    <row r="148" spans="1:9" ht="12" customHeight="1" x14ac:dyDescent="0.25">
      <c r="A148" s="13" t="s">
        <v>97</v>
      </c>
      <c r="B148" s="7" t="s">
        <v>321</v>
      </c>
      <c r="C148" s="325">
        <f t="shared" si="3"/>
        <v>0</v>
      </c>
      <c r="D148" s="119"/>
      <c r="E148" s="119"/>
      <c r="F148" s="119"/>
    </row>
    <row r="149" spans="1:9" ht="12" customHeight="1" x14ac:dyDescent="0.25">
      <c r="A149" s="13" t="s">
        <v>234</v>
      </c>
      <c r="B149" s="7" t="s">
        <v>484</v>
      </c>
      <c r="C149" s="325">
        <f t="shared" si="3"/>
        <v>0</v>
      </c>
      <c r="D149" s="119"/>
      <c r="E149" s="119"/>
      <c r="F149" s="119"/>
    </row>
    <row r="150" spans="1:9" ht="12" customHeight="1" thickBot="1" x14ac:dyDescent="0.3">
      <c r="A150" s="11" t="s">
        <v>235</v>
      </c>
      <c r="B150" s="5" t="s">
        <v>339</v>
      </c>
      <c r="C150" s="326">
        <f t="shared" si="3"/>
        <v>0</v>
      </c>
      <c r="D150" s="119"/>
      <c r="E150" s="119"/>
      <c r="F150" s="119"/>
    </row>
    <row r="151" spans="1:9" ht="12" customHeight="1" thickBot="1" x14ac:dyDescent="0.3">
      <c r="A151" s="18" t="s">
        <v>27</v>
      </c>
      <c r="B151" s="66" t="s">
        <v>485</v>
      </c>
      <c r="C151" s="327">
        <f t="shared" si="3"/>
        <v>0</v>
      </c>
      <c r="D151" s="308">
        <f>+D152+D153+D154+D155+D156</f>
        <v>0</v>
      </c>
      <c r="E151" s="138">
        <f>+E152+E153+E154+E155+E156</f>
        <v>0</v>
      </c>
      <c r="F151" s="138">
        <f>SUM(F152:F156)</f>
        <v>0</v>
      </c>
    </row>
    <row r="152" spans="1:9" ht="12" customHeight="1" x14ac:dyDescent="0.25">
      <c r="A152" s="13" t="s">
        <v>98</v>
      </c>
      <c r="B152" s="7" t="s">
        <v>486</v>
      </c>
      <c r="C152" s="202">
        <f t="shared" si="3"/>
        <v>0</v>
      </c>
      <c r="D152" s="119"/>
      <c r="E152" s="119"/>
      <c r="F152" s="119"/>
    </row>
    <row r="153" spans="1:9" ht="12" customHeight="1" x14ac:dyDescent="0.25">
      <c r="A153" s="13" t="s">
        <v>99</v>
      </c>
      <c r="B153" s="7" t="s">
        <v>487</v>
      </c>
      <c r="C153" s="325">
        <f t="shared" si="3"/>
        <v>0</v>
      </c>
      <c r="D153" s="119"/>
      <c r="E153" s="119"/>
      <c r="F153" s="119"/>
    </row>
    <row r="154" spans="1:9" ht="12" customHeight="1" x14ac:dyDescent="0.25">
      <c r="A154" s="13" t="s">
        <v>246</v>
      </c>
      <c r="B154" s="7" t="s">
        <v>488</v>
      </c>
      <c r="C154" s="325">
        <f t="shared" si="3"/>
        <v>0</v>
      </c>
      <c r="D154" s="119"/>
      <c r="E154" s="119"/>
      <c r="F154" s="119"/>
    </row>
    <row r="155" spans="1:9" ht="12" customHeight="1" x14ac:dyDescent="0.25">
      <c r="A155" s="13" t="s">
        <v>247</v>
      </c>
      <c r="B155" s="7" t="s">
        <v>489</v>
      </c>
      <c r="C155" s="325">
        <f t="shared" si="3"/>
        <v>0</v>
      </c>
      <c r="D155" s="119"/>
      <c r="E155" s="119"/>
      <c r="F155" s="119"/>
    </row>
    <row r="156" spans="1:9" ht="12" customHeight="1" thickBot="1" x14ac:dyDescent="0.3">
      <c r="A156" s="13" t="s">
        <v>490</v>
      </c>
      <c r="B156" s="7" t="s">
        <v>491</v>
      </c>
      <c r="C156" s="326">
        <f t="shared" si="3"/>
        <v>0</v>
      </c>
      <c r="D156" s="120"/>
      <c r="E156" s="120"/>
      <c r="F156" s="119"/>
    </row>
    <row r="157" spans="1:9" ht="12" customHeight="1" thickBot="1" x14ac:dyDescent="0.3">
      <c r="A157" s="18" t="s">
        <v>28</v>
      </c>
      <c r="B157" s="66" t="s">
        <v>492</v>
      </c>
      <c r="C157" s="130">
        <f t="shared" si="3"/>
        <v>0</v>
      </c>
      <c r="D157" s="308"/>
      <c r="E157" s="138"/>
      <c r="F157" s="275"/>
    </row>
    <row r="158" spans="1:9" ht="12" customHeight="1" thickBot="1" x14ac:dyDescent="0.3">
      <c r="A158" s="18" t="s">
        <v>29</v>
      </c>
      <c r="B158" s="66" t="s">
        <v>493</v>
      </c>
      <c r="C158" s="129">
        <f t="shared" si="3"/>
        <v>0</v>
      </c>
      <c r="D158" s="308"/>
      <c r="E158" s="138"/>
      <c r="F158" s="275"/>
    </row>
    <row r="159" spans="1:9" ht="15" customHeight="1" thickBot="1" x14ac:dyDescent="0.3">
      <c r="A159" s="18" t="s">
        <v>30</v>
      </c>
      <c r="B159" s="66" t="s">
        <v>494</v>
      </c>
      <c r="C159" s="129">
        <f t="shared" si="3"/>
        <v>722563844</v>
      </c>
      <c r="D159" s="309">
        <f>+D135+D139+D146+D151+D157+D158</f>
        <v>722563844</v>
      </c>
      <c r="E159" s="217">
        <f>+E135+E139+E146+E151+E157+E158</f>
        <v>0</v>
      </c>
      <c r="F159" s="217">
        <f>+F135+F139+F146+F151+F157+F158</f>
        <v>0</v>
      </c>
      <c r="G159" s="218"/>
      <c r="H159" s="218"/>
      <c r="I159" s="218"/>
    </row>
    <row r="160" spans="1:9" s="206" customFormat="1" ht="12.95" customHeight="1" thickBot="1" x14ac:dyDescent="0.25">
      <c r="A160" s="128" t="s">
        <v>31</v>
      </c>
      <c r="B160" s="192" t="s">
        <v>495</v>
      </c>
      <c r="C160" s="130">
        <f t="shared" si="3"/>
        <v>3393922842</v>
      </c>
      <c r="D160" s="309">
        <f>+D134+D159</f>
        <v>2400083287</v>
      </c>
      <c r="E160" s="217">
        <f>+E134+E159</f>
        <v>6587467</v>
      </c>
      <c r="F160" s="217">
        <f>+F134+F159</f>
        <v>987252088</v>
      </c>
    </row>
    <row r="161" spans="1:6" ht="7.5" customHeight="1" x14ac:dyDescent="0.25"/>
    <row r="162" spans="1:6" x14ac:dyDescent="0.25">
      <c r="A162" s="1495" t="s">
        <v>322</v>
      </c>
      <c r="B162" s="1495"/>
      <c r="C162" s="1495"/>
    </row>
    <row r="163" spans="1:6" ht="9.75" customHeight="1" thickBot="1" x14ac:dyDescent="0.3">
      <c r="A163" s="1497" t="s">
        <v>131</v>
      </c>
      <c r="B163" s="1497"/>
      <c r="C163" s="139" t="s">
        <v>557</v>
      </c>
    </row>
    <row r="164" spans="1:6" ht="21" customHeight="1" thickBot="1" x14ac:dyDescent="0.3">
      <c r="A164" s="18">
        <v>1</v>
      </c>
      <c r="B164" s="23" t="s">
        <v>496</v>
      </c>
      <c r="C164" s="130">
        <f>+C68-C134</f>
        <v>-528576601</v>
      </c>
    </row>
    <row r="165" spans="1:6" ht="21.75" thickBot="1" x14ac:dyDescent="0.3">
      <c r="A165" s="18" t="s">
        <v>22</v>
      </c>
      <c r="B165" s="23" t="s">
        <v>1005</v>
      </c>
      <c r="C165" s="130">
        <f>+C92-C159</f>
        <v>975412758</v>
      </c>
    </row>
    <row r="166" spans="1:6" x14ac:dyDescent="0.25">
      <c r="F166" s="330"/>
    </row>
  </sheetData>
  <mergeCells count="10">
    <mergeCell ref="A3:C3"/>
    <mergeCell ref="A4:C4"/>
    <mergeCell ref="A5:C5"/>
    <mergeCell ref="A1:C1"/>
    <mergeCell ref="A163:B163"/>
    <mergeCell ref="A7:C7"/>
    <mergeCell ref="A8:B8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4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B12" sqref="B12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s="1249" customFormat="1" x14ac:dyDescent="0.2">
      <c r="A1" s="1541" t="str">
        <f>CONCATENATE("9.3.2. melléklet ",ALAPADATOK!A7," ",ALAPADATOK!B7," ",ALAPADATOK!C7," ",ALAPADATOK!D7," ",ALAPADATOK!E7," ",ALAPADATOK!F7," ",ALAPADATOK!G7," ",ALAPADATOK!H7)</f>
        <v>9.3.2. melléklet a 6 / 2020. ( II.27 ) önkormányzati határozathoz</v>
      </c>
      <c r="B1" s="1541"/>
      <c r="C1" s="1541"/>
    </row>
    <row r="2" spans="1:3" ht="16.5" thickBot="1" x14ac:dyDescent="0.25">
      <c r="A2" s="92"/>
      <c r="B2" s="94"/>
      <c r="C2" s="239"/>
    </row>
    <row r="3" spans="1:3" ht="33.75" customHeight="1" x14ac:dyDescent="0.2">
      <c r="A3" s="197" t="s">
        <v>167</v>
      </c>
      <c r="B3" s="175" t="s">
        <v>404</v>
      </c>
      <c r="C3" s="189" t="s">
        <v>63</v>
      </c>
    </row>
    <row r="4" spans="1:3" ht="24.75" thickBot="1" x14ac:dyDescent="0.25">
      <c r="A4" s="233" t="s">
        <v>166</v>
      </c>
      <c r="B4" s="176" t="s">
        <v>366</v>
      </c>
      <c r="C4" s="190" t="s">
        <v>62</v>
      </c>
    </row>
    <row r="5" spans="1:3" ht="14.25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ht="13.5" thickBot="1" x14ac:dyDescent="0.25">
      <c r="A7" s="85" t="s">
        <v>447</v>
      </c>
      <c r="B7" s="86" t="s">
        <v>448</v>
      </c>
      <c r="C7" s="87" t="s">
        <v>449</v>
      </c>
    </row>
    <row r="8" spans="1:3" ht="13.5" thickBot="1" x14ac:dyDescent="0.25">
      <c r="A8" s="100"/>
      <c r="B8" s="101" t="s">
        <v>58</v>
      </c>
      <c r="C8" s="102"/>
    </row>
    <row r="9" spans="1:3" ht="13.5" thickBot="1" x14ac:dyDescent="0.25">
      <c r="A9" s="85" t="s">
        <v>21</v>
      </c>
      <c r="B9" s="103" t="s">
        <v>523</v>
      </c>
      <c r="C9" s="144">
        <f>SUM(C10:C20)</f>
        <v>0</v>
      </c>
    </row>
    <row r="10" spans="1:3" x14ac:dyDescent="0.2">
      <c r="A10" s="234" t="s">
        <v>100</v>
      </c>
      <c r="B10" s="8" t="s">
        <v>223</v>
      </c>
      <c r="C10" s="180"/>
    </row>
    <row r="11" spans="1:3" x14ac:dyDescent="0.2">
      <c r="A11" s="235" t="s">
        <v>101</v>
      </c>
      <c r="B11" s="6" t="s">
        <v>224</v>
      </c>
      <c r="C11" s="43"/>
    </row>
    <row r="12" spans="1:3" x14ac:dyDescent="0.2">
      <c r="A12" s="235" t="s">
        <v>102</v>
      </c>
      <c r="B12" s="6" t="s">
        <v>225</v>
      </c>
      <c r="C12" s="43"/>
    </row>
    <row r="13" spans="1:3" x14ac:dyDescent="0.2">
      <c r="A13" s="235" t="s">
        <v>103</v>
      </c>
      <c r="B13" s="6" t="s">
        <v>226</v>
      </c>
      <c r="C13" s="43"/>
    </row>
    <row r="14" spans="1:3" x14ac:dyDescent="0.2">
      <c r="A14" s="235" t="s">
        <v>126</v>
      </c>
      <c r="B14" s="6" t="s">
        <v>227</v>
      </c>
      <c r="C14" s="43"/>
    </row>
    <row r="15" spans="1:3" x14ac:dyDescent="0.2">
      <c r="A15" s="235" t="s">
        <v>104</v>
      </c>
      <c r="B15" s="6" t="s">
        <v>348</v>
      </c>
      <c r="C15" s="43"/>
    </row>
    <row r="16" spans="1:3" x14ac:dyDescent="0.2">
      <c r="A16" s="235" t="s">
        <v>105</v>
      </c>
      <c r="B16" s="5" t="s">
        <v>349</v>
      </c>
      <c r="C16" s="43"/>
    </row>
    <row r="17" spans="1:3" x14ac:dyDescent="0.2">
      <c r="A17" s="235" t="s">
        <v>115</v>
      </c>
      <c r="B17" s="6" t="s">
        <v>230</v>
      </c>
      <c r="C17" s="145"/>
    </row>
    <row r="18" spans="1:3" x14ac:dyDescent="0.2">
      <c r="A18" s="235" t="s">
        <v>116</v>
      </c>
      <c r="B18" s="6" t="s">
        <v>231</v>
      </c>
      <c r="C18" s="43"/>
    </row>
    <row r="19" spans="1:3" x14ac:dyDescent="0.2">
      <c r="A19" s="235" t="s">
        <v>117</v>
      </c>
      <c r="B19" s="6" t="s">
        <v>453</v>
      </c>
      <c r="C19" s="518"/>
    </row>
    <row r="20" spans="1:3" ht="13.5" thickBot="1" x14ac:dyDescent="0.25">
      <c r="A20" s="235" t="s">
        <v>118</v>
      </c>
      <c r="B20" s="5" t="s">
        <v>232</v>
      </c>
      <c r="C20" s="518"/>
    </row>
    <row r="21" spans="1:3" ht="13.5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x14ac:dyDescent="0.2">
      <c r="A22" s="235" t="s">
        <v>106</v>
      </c>
      <c r="B22" s="7" t="s">
        <v>201</v>
      </c>
      <c r="C22" s="142"/>
    </row>
    <row r="23" spans="1:3" x14ac:dyDescent="0.2">
      <c r="A23" s="235" t="s">
        <v>107</v>
      </c>
      <c r="B23" s="6" t="s">
        <v>351</v>
      </c>
      <c r="C23" s="43"/>
    </row>
    <row r="24" spans="1:3" x14ac:dyDescent="0.2">
      <c r="A24" s="235" t="s">
        <v>108</v>
      </c>
      <c r="B24" s="6" t="s">
        <v>352</v>
      </c>
      <c r="C24" s="517"/>
    </row>
    <row r="25" spans="1:3" ht="13.5" thickBot="1" x14ac:dyDescent="0.25">
      <c r="A25" s="235" t="s">
        <v>109</v>
      </c>
      <c r="B25" s="6" t="s">
        <v>524</v>
      </c>
      <c r="C25" s="43"/>
    </row>
    <row r="26" spans="1:3" ht="13.5" thickBot="1" x14ac:dyDescent="0.25">
      <c r="A26" s="88" t="s">
        <v>23</v>
      </c>
      <c r="B26" s="66" t="s">
        <v>140</v>
      </c>
      <c r="C26" s="165"/>
    </row>
    <row r="27" spans="1:3" ht="13.5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x14ac:dyDescent="0.2">
      <c r="A28" s="236" t="s">
        <v>211</v>
      </c>
      <c r="B28" s="237" t="s">
        <v>206</v>
      </c>
      <c r="C28" s="41"/>
    </row>
    <row r="29" spans="1:3" x14ac:dyDescent="0.2">
      <c r="A29" s="236" t="s">
        <v>214</v>
      </c>
      <c r="B29" s="237" t="s">
        <v>351</v>
      </c>
      <c r="C29" s="142"/>
    </row>
    <row r="30" spans="1:3" x14ac:dyDescent="0.2">
      <c r="A30" s="236" t="s">
        <v>215</v>
      </c>
      <c r="B30" s="238" t="s">
        <v>353</v>
      </c>
      <c r="C30" s="142"/>
    </row>
    <row r="31" spans="1:3" ht="13.5" thickBot="1" x14ac:dyDescent="0.25">
      <c r="A31" s="235" t="s">
        <v>216</v>
      </c>
      <c r="B31" s="69" t="s">
        <v>526</v>
      </c>
      <c r="C31" s="44"/>
    </row>
    <row r="32" spans="1:3" ht="13.5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x14ac:dyDescent="0.2">
      <c r="A33" s="236" t="s">
        <v>93</v>
      </c>
      <c r="B33" s="237" t="s">
        <v>237</v>
      </c>
      <c r="C33" s="41"/>
    </row>
    <row r="34" spans="1:3" x14ac:dyDescent="0.2">
      <c r="A34" s="236" t="s">
        <v>94</v>
      </c>
      <c r="B34" s="238" t="s">
        <v>238</v>
      </c>
      <c r="C34" s="145"/>
    </row>
    <row r="35" spans="1:3" ht="13.5" thickBot="1" x14ac:dyDescent="0.25">
      <c r="A35" s="235" t="s">
        <v>95</v>
      </c>
      <c r="B35" s="69" t="s">
        <v>239</v>
      </c>
      <c r="C35" s="44"/>
    </row>
    <row r="36" spans="1:3" ht="13.5" thickBot="1" x14ac:dyDescent="0.25">
      <c r="A36" s="88" t="s">
        <v>26</v>
      </c>
      <c r="B36" s="66" t="s">
        <v>325</v>
      </c>
      <c r="C36" s="165"/>
    </row>
    <row r="37" spans="1:3" ht="13.5" thickBot="1" x14ac:dyDescent="0.25">
      <c r="A37" s="88" t="s">
        <v>27</v>
      </c>
      <c r="B37" s="66" t="s">
        <v>355</v>
      </c>
      <c r="C37" s="182"/>
    </row>
    <row r="38" spans="1:3" ht="13.5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ht="13.5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x14ac:dyDescent="0.2">
      <c r="A40" s="236" t="s">
        <v>358</v>
      </c>
      <c r="B40" s="237" t="s">
        <v>182</v>
      </c>
      <c r="C40" s="41"/>
    </row>
    <row r="41" spans="1:3" x14ac:dyDescent="0.2">
      <c r="A41" s="236" t="s">
        <v>359</v>
      </c>
      <c r="B41" s="238" t="s">
        <v>9</v>
      </c>
      <c r="C41" s="145"/>
    </row>
    <row r="42" spans="1:3" ht="13.5" thickBot="1" x14ac:dyDescent="0.25">
      <c r="A42" s="235" t="s">
        <v>360</v>
      </c>
      <c r="B42" s="69" t="s">
        <v>361</v>
      </c>
      <c r="C42" s="44"/>
    </row>
    <row r="43" spans="1:3" ht="13.5" thickBot="1" x14ac:dyDescent="0.25">
      <c r="A43" s="104" t="s">
        <v>30</v>
      </c>
      <c r="B43" s="105" t="s">
        <v>362</v>
      </c>
      <c r="C43" s="186">
        <f>+C38+C39</f>
        <v>0</v>
      </c>
    </row>
    <row r="44" spans="1:3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ht="13.5" thickBot="1" x14ac:dyDescent="0.25">
      <c r="A46" s="110"/>
      <c r="B46" s="111" t="s">
        <v>59</v>
      </c>
      <c r="C46" s="186"/>
    </row>
    <row r="47" spans="1:3" ht="13.5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x14ac:dyDescent="0.2">
      <c r="A48" s="235" t="s">
        <v>100</v>
      </c>
      <c r="B48" s="7" t="s">
        <v>51</v>
      </c>
      <c r="C48" s="516"/>
    </row>
    <row r="49" spans="1:3" x14ac:dyDescent="0.2">
      <c r="A49" s="235" t="s">
        <v>101</v>
      </c>
      <c r="B49" s="6" t="s">
        <v>149</v>
      </c>
      <c r="C49" s="517"/>
    </row>
    <row r="50" spans="1:3" x14ac:dyDescent="0.2">
      <c r="A50" s="235" t="s">
        <v>102</v>
      </c>
      <c r="B50" s="6" t="s">
        <v>125</v>
      </c>
      <c r="C50" s="796"/>
    </row>
    <row r="51" spans="1:3" x14ac:dyDescent="0.2">
      <c r="A51" s="235" t="s">
        <v>103</v>
      </c>
      <c r="B51" s="6" t="s">
        <v>150</v>
      </c>
      <c r="C51" s="43"/>
    </row>
    <row r="52" spans="1:3" ht="13.5" thickBot="1" x14ac:dyDescent="0.25">
      <c r="A52" s="235" t="s">
        <v>126</v>
      </c>
      <c r="B52" s="6" t="s">
        <v>151</v>
      </c>
      <c r="C52" s="43"/>
    </row>
    <row r="53" spans="1:3" ht="13.5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x14ac:dyDescent="0.2">
      <c r="A54" s="235" t="s">
        <v>106</v>
      </c>
      <c r="B54" s="7" t="s">
        <v>173</v>
      </c>
      <c r="C54" s="516"/>
    </row>
    <row r="55" spans="1:3" x14ac:dyDescent="0.2">
      <c r="A55" s="235" t="s">
        <v>107</v>
      </c>
      <c r="B55" s="6" t="s">
        <v>153</v>
      </c>
      <c r="C55" s="43"/>
    </row>
    <row r="56" spans="1:3" x14ac:dyDescent="0.2">
      <c r="A56" s="235" t="s">
        <v>108</v>
      </c>
      <c r="B56" s="6" t="s">
        <v>60</v>
      </c>
      <c r="C56" s="43"/>
    </row>
    <row r="57" spans="1:3" ht="13.5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3.5" thickBot="1" x14ac:dyDescent="0.25">
      <c r="A60" s="113"/>
      <c r="B60" s="114"/>
      <c r="C60" s="393"/>
    </row>
    <row r="61" spans="1:3" ht="13.5" thickBot="1" x14ac:dyDescent="0.25">
      <c r="A61" s="115" t="s">
        <v>521</v>
      </c>
      <c r="B61" s="116"/>
      <c r="C61" s="521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Normal="10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8" hidden="1" customWidth="1"/>
    <col min="6" max="6" width="12.6640625" style="648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58" customFormat="1" x14ac:dyDescent="0.2">
      <c r="A1" s="1540" t="str">
        <f>CONCATENATE("9.4. melléklet ",ALAPADATOK!A7," ",ALAPADATOK!B7," ",ALAPADATOK!C7," ",ALAPADATOK!D7," ",ALAPADATOK!E7," ",ALAPADATOK!F7," ",ALAPADATOK!G7," ",ALAPADATOK!H7)</f>
        <v>9.4. melléklet a 6 / 2020. ( II.27 ) önkormányzati határozathoz</v>
      </c>
      <c r="B1" s="1540"/>
      <c r="C1" s="1540"/>
      <c r="E1" s="1283"/>
      <c r="F1" s="1283"/>
    </row>
    <row r="2" spans="1:6" s="93" customFormat="1" ht="21" customHeight="1" thickBot="1" x14ac:dyDescent="0.25">
      <c r="A2" s="92"/>
      <c r="B2" s="94"/>
      <c r="C2" s="404"/>
      <c r="E2" s="648"/>
      <c r="F2" s="648"/>
    </row>
    <row r="3" spans="1:6" s="240" customFormat="1" ht="36" customHeight="1" x14ac:dyDescent="0.2">
      <c r="A3" s="197" t="s">
        <v>167</v>
      </c>
      <c r="B3" s="175" t="s">
        <v>556</v>
      </c>
      <c r="C3" s="405" t="s">
        <v>63</v>
      </c>
      <c r="E3" s="649"/>
      <c r="F3" s="649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9"/>
      <c r="F4" s="649"/>
    </row>
    <row r="5" spans="1:6" s="241" customFormat="1" ht="15.95" customHeight="1" thickBot="1" x14ac:dyDescent="0.3">
      <c r="A5" s="96"/>
      <c r="B5" s="96"/>
      <c r="C5" s="407" t="s">
        <v>558</v>
      </c>
      <c r="E5" s="649"/>
      <c r="F5" s="649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50"/>
      <c r="F7" s="650"/>
    </row>
    <row r="8" spans="1:6" s="242" customFormat="1" ht="15.95" customHeight="1" thickBot="1" x14ac:dyDescent="0.25">
      <c r="A8" s="100"/>
      <c r="B8" s="101" t="s">
        <v>58</v>
      </c>
      <c r="C8" s="410"/>
      <c r="E8" s="650"/>
      <c r="F8" s="650"/>
    </row>
    <row r="9" spans="1:6" s="191" customFormat="1" ht="12" customHeight="1" thickBot="1" x14ac:dyDescent="0.25">
      <c r="A9" s="85" t="s">
        <v>21</v>
      </c>
      <c r="B9" s="103" t="s">
        <v>523</v>
      </c>
      <c r="C9" s="794">
        <f>SUM(C10:C20)</f>
        <v>13528550</v>
      </c>
      <c r="E9" s="651">
        <f>'9.4.1. sz. mell EKIK'!C9+'9.4.2. sz. mell EKIK'!C9</f>
        <v>13528550</v>
      </c>
      <c r="F9" s="651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5">
        <v>20000</v>
      </c>
      <c r="E10" s="651">
        <f>'9.4.1. sz. mell EKIK'!C10+'9.4.2. sz. mell EKIK'!C10</f>
        <v>20000</v>
      </c>
      <c r="F10" s="651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6">
        <v>11297400</v>
      </c>
      <c r="E11" s="651">
        <f>'9.4.1. sz. mell EKIK'!C11+'9.4.2. sz. mell EKIK'!C11</f>
        <v>11297400</v>
      </c>
      <c r="F11" s="651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6">
        <v>5000</v>
      </c>
      <c r="E12" s="651">
        <f>'9.4.1. sz. mell EKIK'!C12+'9.4.2. sz. mell EKIK'!C12</f>
        <v>5000</v>
      </c>
      <c r="F12" s="651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6"/>
      <c r="E13" s="651">
        <f>'9.4.1. sz. mell EKIK'!C13+'9.4.2. sz. mell EKIK'!C13</f>
        <v>0</v>
      </c>
      <c r="F13" s="651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6"/>
      <c r="E14" s="651">
        <f>'9.4.1. sz. mell EKIK'!C14+'9.4.2. sz. mell EKIK'!C14</f>
        <v>0</v>
      </c>
      <c r="F14" s="651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6">
        <v>1526150</v>
      </c>
      <c r="E15" s="651">
        <f>'9.4.1. sz. mell EKIK'!C15+'9.4.2. sz. mell EKIK'!C15</f>
        <v>1526150</v>
      </c>
      <c r="F15" s="651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6">
        <v>680000</v>
      </c>
      <c r="E16" s="651">
        <f>'9.4.1. sz. mell EKIK'!C16+'9.4.2. sz. mell EKIK'!C16</f>
        <v>680000</v>
      </c>
      <c r="F16" s="651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7"/>
      <c r="E17" s="651">
        <f>'9.4.1. sz. mell EKIK'!C17+'9.4.2. sz. mell EKIK'!C17</f>
        <v>0</v>
      </c>
      <c r="F17" s="651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6"/>
      <c r="E18" s="651">
        <f>'9.4.1. sz. mell EKIK'!C18+'9.4.2. sz. mell EKIK'!C18</f>
        <v>0</v>
      </c>
      <c r="F18" s="651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8"/>
      <c r="E19" s="651">
        <f>'9.4.1. sz. mell EKIK'!C19+'9.4.2. sz. mell EKIK'!C19</f>
        <v>0</v>
      </c>
      <c r="F19" s="651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8"/>
      <c r="E20" s="651">
        <f>'9.4.1. sz. mell EKIK'!C20+'9.4.2. sz. mell EKIK'!C20</f>
        <v>0</v>
      </c>
      <c r="F20" s="651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94">
        <f>SUM(C22:C24)</f>
        <v>11259187</v>
      </c>
      <c r="E21" s="651">
        <f>'9.4.1. sz. mell EKIK'!C21+'9.4.2. sz. mell EKIK'!C21</f>
        <v>11259187</v>
      </c>
      <c r="F21" s="651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9"/>
      <c r="E22" s="651">
        <f>'9.4.1. sz. mell EKIK'!C22+'9.4.2. sz. mell EKIK'!C22</f>
        <v>0</v>
      </c>
      <c r="F22" s="651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6"/>
      <c r="E23" s="651">
        <f>'9.4.1. sz. mell EKIK'!C23+'9.4.2. sz. mell EKIK'!C23</f>
        <v>0</v>
      </c>
      <c r="F23" s="651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6">
        <v>11259187</v>
      </c>
      <c r="E24" s="651">
        <f>'9.4.1. sz. mell EKIK'!C24+'9.4.2. sz. mell EKIK'!C24</f>
        <v>11259187</v>
      </c>
      <c r="F24" s="651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6">
        <v>11259187</v>
      </c>
      <c r="E25" s="651">
        <f>'9.4.1. sz. mell EKIK'!C25+'9.4.2. sz. mell EKIK'!C25</f>
        <v>11259187</v>
      </c>
      <c r="F25" s="651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801"/>
      <c r="E26" s="651">
        <f>'9.4.1. sz. mell EKIK'!C26+'9.4.2. sz. mell EKIK'!C26</f>
        <v>0</v>
      </c>
      <c r="F26" s="651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  <c r="E27" s="651">
        <f>'9.4.1. sz. mell EKIK'!C27+'9.4.2. sz. mell EKIK'!C27</f>
        <v>0</v>
      </c>
      <c r="F27" s="651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802"/>
      <c r="E28" s="651">
        <f>'9.4.1. sz. mell EKIK'!C28+'9.4.2. sz. mell EKIK'!C28</f>
        <v>0</v>
      </c>
      <c r="F28" s="651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9"/>
      <c r="E29" s="651">
        <f>'9.4.1. sz. mell EKIK'!C29+'9.4.2. sz. mell EKIK'!C29</f>
        <v>0</v>
      </c>
      <c r="F29" s="651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9"/>
      <c r="E30" s="651">
        <f>'9.4.1. sz. mell EKIK'!C30+'9.4.2. sz. mell EKIK'!C30</f>
        <v>0</v>
      </c>
      <c r="F30" s="651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803"/>
      <c r="E31" s="651">
        <f>'9.4.1. sz. mell EKIK'!C31+'9.4.2. sz. mell EKIK'!C31</f>
        <v>0</v>
      </c>
      <c r="F31" s="651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  <c r="E32" s="651">
        <f>'9.4.1. sz. mell EKIK'!C32+'9.4.2. sz. mell EKIK'!C32</f>
        <v>0</v>
      </c>
      <c r="F32" s="651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802"/>
      <c r="E33" s="651">
        <f>'9.4.1. sz. mell EKIK'!C33+'9.4.2. sz. mell EKIK'!C33</f>
        <v>0</v>
      </c>
      <c r="F33" s="651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7"/>
      <c r="E34" s="651">
        <f>'9.4.1. sz. mell EKIK'!C34+'9.4.2. sz. mell EKIK'!C34</f>
        <v>0</v>
      </c>
      <c r="F34" s="651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803"/>
      <c r="E35" s="651">
        <f>'9.4.1. sz. mell EKIK'!C35+'9.4.2. sz. mell EKIK'!C35</f>
        <v>0</v>
      </c>
      <c r="F35" s="651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801"/>
      <c r="E36" s="651">
        <f>'9.4.1. sz. mell EKIK'!C36+'9.4.2. sz. mell EKIK'!C36</f>
        <v>0</v>
      </c>
      <c r="F36" s="651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804"/>
      <c r="E37" s="651">
        <f>'9.4.1. sz. mell EKIK'!C37+'9.4.2. sz. mell EKIK'!C37</f>
        <v>0</v>
      </c>
      <c r="F37" s="651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24787737</v>
      </c>
      <c r="E38" s="651">
        <f>'9.4.1. sz. mell EKIK'!C38+'9.4.2. sz. mell EKIK'!C38</f>
        <v>24787737</v>
      </c>
      <c r="F38" s="651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5">
        <f>+C40+C41+C42</f>
        <v>93672001</v>
      </c>
      <c r="E39" s="651">
        <f>'9.4.1. sz. mell EKIK'!C39+'9.4.2. sz. mell EKIK'!C39</f>
        <v>93672001</v>
      </c>
      <c r="F39" s="651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802">
        <v>490516</v>
      </c>
      <c r="E40" s="651">
        <f>'9.4.1. sz. mell EKIK'!C40+'9.4.2. sz. mell EKIK'!C40</f>
        <v>490516</v>
      </c>
      <c r="F40" s="651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7"/>
      <c r="E41" s="651">
        <f>'9.4.1. sz. mell EKIK'!C41+'9.4.2. sz. mell EKIK'!C41</f>
        <v>0</v>
      </c>
      <c r="F41" s="651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803">
        <v>93181485</v>
      </c>
      <c r="E42" s="651">
        <f>'9.4.1. sz. mell EKIK'!C42+'9.4.2. sz. mell EKIK'!C42</f>
        <v>93181485</v>
      </c>
      <c r="F42" s="651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6">
        <f>+C38+C39</f>
        <v>118459738</v>
      </c>
      <c r="E43" s="651">
        <f>'9.4.1. sz. mell EKIK'!C43+'9.4.2. sz. mell EKIK'!C43</f>
        <v>118459738</v>
      </c>
      <c r="F43" s="651">
        <f t="shared" si="0"/>
        <v>0</v>
      </c>
    </row>
    <row r="44" spans="1:6" x14ac:dyDescent="0.2">
      <c r="A44" s="106"/>
      <c r="B44" s="107"/>
      <c r="C44" s="807"/>
      <c r="E44" s="651">
        <f>'9.4.1. sz. mell EKIK'!C44+'9.4.2. sz. mell EKIK'!C44</f>
        <v>0</v>
      </c>
      <c r="F44" s="651">
        <f t="shared" si="0"/>
        <v>0</v>
      </c>
    </row>
    <row r="45" spans="1:6" s="242" customFormat="1" ht="16.5" customHeight="1" thickBot="1" x14ac:dyDescent="0.25">
      <c r="A45" s="108"/>
      <c r="B45" s="109"/>
      <c r="C45" s="808"/>
      <c r="E45" s="651">
        <f>'9.4.1. sz. mell EKIK'!C45+'9.4.2. sz. mell EKIK'!C45</f>
        <v>0</v>
      </c>
      <c r="F45" s="651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6"/>
      <c r="E46" s="651">
        <f>'9.4.1. sz. mell EKIK'!C46+'9.4.2. sz. mell EKIK'!C46</f>
        <v>0</v>
      </c>
      <c r="F46" s="651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94">
        <f>SUM(C48:C52)</f>
        <v>115932583</v>
      </c>
      <c r="E47" s="651">
        <f>'9.4.1. sz. mell EKIK'!C47+'9.4.2. sz. mell EKIK'!C47</f>
        <v>115932583</v>
      </c>
      <c r="F47" s="651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802">
        <v>55350452</v>
      </c>
      <c r="E48" s="651">
        <f>'9.4.1. sz. mell EKIK'!C48+'9.4.2. sz. mell EKIK'!C48</f>
        <v>55350452</v>
      </c>
      <c r="F48" s="651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6">
        <v>9898597</v>
      </c>
      <c r="E49" s="651">
        <f>'9.4.1. sz. mell EKIK'!C49+'9.4.2. sz. mell EKIK'!C49</f>
        <v>9898597</v>
      </c>
      <c r="F49" s="651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6">
        <v>50681034</v>
      </c>
      <c r="E50" s="651">
        <f>'9.4.1. sz. mell EKIK'!C50+'9.4.2. sz. mell EKIK'!C50</f>
        <v>50681034</v>
      </c>
      <c r="F50" s="651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6"/>
      <c r="E51" s="651">
        <f>'9.4.1. sz. mell EKIK'!C51+'9.4.2. sz. mell EKIK'!C51</f>
        <v>0</v>
      </c>
      <c r="F51" s="651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6">
        <v>2500</v>
      </c>
      <c r="E52" s="651">
        <f>'9.4.1. sz. mell EKIK'!C52+'9.4.2. sz. mell EKIK'!C52</f>
        <v>2500</v>
      </c>
      <c r="F52" s="651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2527155</v>
      </c>
      <c r="E53" s="651">
        <f>'9.4.1. sz. mell EKIK'!C53+'9.4.2. sz. mell EKIK'!C53</f>
        <v>2527155</v>
      </c>
      <c r="F53" s="651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802">
        <v>2527155</v>
      </c>
      <c r="E54" s="651">
        <f>'9.4.1. sz. mell EKIK'!C54+'9.4.2. sz. mell EKIK'!C54</f>
        <v>2527155</v>
      </c>
      <c r="F54" s="651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6"/>
      <c r="E55" s="651">
        <f>'9.4.1. sz. mell EKIK'!C55+'9.4.2. sz. mell EKIK'!C55</f>
        <v>0</v>
      </c>
      <c r="F55" s="651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6"/>
      <c r="E56" s="651">
        <f>'9.4.1. sz. mell EKIK'!C56+'9.4.2. sz. mell EKIK'!C56</f>
        <v>0</v>
      </c>
      <c r="F56" s="651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6"/>
      <c r="E57" s="651">
        <f>'9.4.1. sz. mell EKIK'!C57+'9.4.2. sz. mell EKIK'!C57</f>
        <v>0</v>
      </c>
      <c r="F57" s="651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801"/>
      <c r="E58" s="651">
        <f>'9.4.1. sz. mell EKIK'!C58+'9.4.2. sz. mell EKIK'!C58</f>
        <v>0</v>
      </c>
      <c r="F58" s="651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9">
        <f>+C47+C53+C58</f>
        <v>118459738</v>
      </c>
      <c r="E59" s="651">
        <f>'9.4.1. sz. mell EKIK'!C59+'9.4.2. sz. mell EKIK'!C59</f>
        <v>118459738</v>
      </c>
      <c r="F59" s="651">
        <f t="shared" si="0"/>
        <v>0</v>
      </c>
    </row>
    <row r="60" spans="1:6" ht="14.25" customHeight="1" thickBot="1" x14ac:dyDescent="0.25">
      <c r="C60" s="810"/>
      <c r="E60" s="651">
        <f>'9.4.1. sz. mell EKIK'!C60+'9.4.2. sz. mell EKIK'!C60</f>
        <v>0</v>
      </c>
      <c r="F60" s="651">
        <f t="shared" si="0"/>
        <v>0</v>
      </c>
    </row>
    <row r="61" spans="1:6" x14ac:dyDescent="0.2">
      <c r="A61" s="942" t="s">
        <v>521</v>
      </c>
      <c r="B61" s="943"/>
      <c r="C61" s="944">
        <v>18.75</v>
      </c>
      <c r="E61" s="651">
        <f>'9.4.1. sz. mell EKIK'!C61+'9.4.2. sz. mell EKIK'!C61</f>
        <v>18.75</v>
      </c>
      <c r="F61" s="651">
        <f t="shared" si="0"/>
        <v>0</v>
      </c>
    </row>
    <row r="62" spans="1:6" ht="13.5" thickBot="1" x14ac:dyDescent="0.25">
      <c r="A62" s="1542" t="s">
        <v>850</v>
      </c>
      <c r="B62" s="1543"/>
      <c r="C62" s="945">
        <v>0.38</v>
      </c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Normal="10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CONCATENATE("9.4.1. melléklet ",ALAPADATOK!A7," ",ALAPADATOK!B7," ",ALAPADATOK!C7," ",ALAPADATOK!D7," ",ALAPADATOK!E7," ",ALAPADATOK!F7," ",ALAPADATOK!G7," ",ALAPADATOK!H7)</f>
        <v>9.4.1.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3" customHeight="1" x14ac:dyDescent="0.2">
      <c r="A3" s="197" t="s">
        <v>167</v>
      </c>
      <c r="B3" s="175" t="s">
        <v>556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12372850</v>
      </c>
    </row>
    <row r="10" spans="1:3" s="191" customFormat="1" ht="12" customHeight="1" x14ac:dyDescent="0.2">
      <c r="A10" s="234" t="s">
        <v>100</v>
      </c>
      <c r="B10" s="8" t="s">
        <v>223</v>
      </c>
      <c r="C10" s="795">
        <v>20000</v>
      </c>
    </row>
    <row r="11" spans="1:3" s="191" customFormat="1" ht="12" customHeight="1" x14ac:dyDescent="0.2">
      <c r="A11" s="235" t="s">
        <v>101</v>
      </c>
      <c r="B11" s="6" t="s">
        <v>224</v>
      </c>
      <c r="C11" s="796">
        <v>10387400</v>
      </c>
    </row>
    <row r="12" spans="1:3" s="191" customFormat="1" ht="12" customHeight="1" x14ac:dyDescent="0.2">
      <c r="A12" s="235" t="s">
        <v>102</v>
      </c>
      <c r="B12" s="6" t="s">
        <v>225</v>
      </c>
      <c r="C12" s="796">
        <v>5000</v>
      </c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/>
    </row>
    <row r="15" spans="1:3" s="191" customFormat="1" ht="12" customHeight="1" x14ac:dyDescent="0.2">
      <c r="A15" s="235" t="s">
        <v>104</v>
      </c>
      <c r="B15" s="6" t="s">
        <v>348</v>
      </c>
      <c r="C15" s="796">
        <v>1280450</v>
      </c>
    </row>
    <row r="16" spans="1:3" s="191" customFormat="1" ht="12" customHeight="1" x14ac:dyDescent="0.2">
      <c r="A16" s="235" t="s">
        <v>105</v>
      </c>
      <c r="B16" s="5" t="s">
        <v>349</v>
      </c>
      <c r="C16" s="796">
        <v>680000</v>
      </c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/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11259187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796">
        <v>11259187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6">
        <v>11259187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/>
    </row>
    <row r="31" spans="1:3" s="243" customFormat="1" ht="12" customHeight="1" thickBot="1" x14ac:dyDescent="0.25">
      <c r="A31" s="235" t="s">
        <v>216</v>
      </c>
      <c r="B31" s="69" t="s">
        <v>526</v>
      </c>
      <c r="C31" s="803"/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23632037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93672001</v>
      </c>
    </row>
    <row r="40" spans="1:3" s="191" customFormat="1" ht="12" customHeight="1" x14ac:dyDescent="0.2">
      <c r="A40" s="236" t="s">
        <v>358</v>
      </c>
      <c r="B40" s="237" t="s">
        <v>182</v>
      </c>
      <c r="C40" s="802">
        <v>490516</v>
      </c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803">
        <v>93181485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6">
        <f>+C38+C39</f>
        <v>117304038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794">
        <f>SUM(C48:C52)</f>
        <v>115005333</v>
      </c>
    </row>
    <row r="48" spans="1:3" ht="12" customHeight="1" x14ac:dyDescent="0.2">
      <c r="A48" s="235" t="s">
        <v>100</v>
      </c>
      <c r="B48" s="7" t="s">
        <v>51</v>
      </c>
      <c r="C48" s="802">
        <v>55350452</v>
      </c>
    </row>
    <row r="49" spans="1:6" ht="12" customHeight="1" x14ac:dyDescent="0.2">
      <c r="A49" s="235" t="s">
        <v>101</v>
      </c>
      <c r="B49" s="6" t="s">
        <v>149</v>
      </c>
      <c r="C49" s="796">
        <v>9898597</v>
      </c>
    </row>
    <row r="50" spans="1:6" ht="12" customHeight="1" x14ac:dyDescent="0.2">
      <c r="A50" s="235" t="s">
        <v>102</v>
      </c>
      <c r="B50" s="6" t="s">
        <v>125</v>
      </c>
      <c r="C50" s="796">
        <v>49753784</v>
      </c>
    </row>
    <row r="51" spans="1:6" ht="12" customHeight="1" x14ac:dyDescent="0.2">
      <c r="A51" s="235" t="s">
        <v>103</v>
      </c>
      <c r="B51" s="6" t="s">
        <v>150</v>
      </c>
      <c r="C51" s="796"/>
    </row>
    <row r="52" spans="1:6" ht="12" customHeight="1" thickBot="1" x14ac:dyDescent="0.25">
      <c r="A52" s="235" t="s">
        <v>126</v>
      </c>
      <c r="B52" s="6" t="s">
        <v>151</v>
      </c>
      <c r="C52" s="796">
        <v>2500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2527155</v>
      </c>
    </row>
    <row r="54" spans="1:6" ht="12" customHeight="1" x14ac:dyDescent="0.2">
      <c r="A54" s="235" t="s">
        <v>106</v>
      </c>
      <c r="B54" s="7" t="s">
        <v>173</v>
      </c>
      <c r="C54" s="802">
        <v>2527155</v>
      </c>
    </row>
    <row r="55" spans="1:6" ht="12" customHeight="1" x14ac:dyDescent="0.2">
      <c r="A55" s="235" t="s">
        <v>107</v>
      </c>
      <c r="B55" s="6" t="s">
        <v>153</v>
      </c>
      <c r="C55" s="796"/>
    </row>
    <row r="56" spans="1:6" ht="12" customHeight="1" x14ac:dyDescent="0.2">
      <c r="A56" s="235" t="s">
        <v>108</v>
      </c>
      <c r="B56" s="6" t="s">
        <v>60</v>
      </c>
      <c r="C56" s="796"/>
    </row>
    <row r="57" spans="1:6" ht="15" customHeight="1" thickBot="1" x14ac:dyDescent="0.25">
      <c r="A57" s="235" t="s">
        <v>109</v>
      </c>
      <c r="B57" s="6" t="s">
        <v>527</v>
      </c>
      <c r="C57" s="796"/>
    </row>
    <row r="58" spans="1:6" ht="13.5" thickBot="1" x14ac:dyDescent="0.25">
      <c r="A58" s="88" t="s">
        <v>23</v>
      </c>
      <c r="B58" s="66" t="s">
        <v>15</v>
      </c>
      <c r="C58" s="801"/>
    </row>
    <row r="59" spans="1:6" ht="15" customHeight="1" thickBot="1" x14ac:dyDescent="0.25">
      <c r="A59" s="88" t="s">
        <v>24</v>
      </c>
      <c r="B59" s="112" t="s">
        <v>528</v>
      </c>
      <c r="C59" s="809">
        <f>+C47+C53+C58</f>
        <v>117532488</v>
      </c>
    </row>
    <row r="60" spans="1:6" ht="14.25" customHeight="1" thickBot="1" x14ac:dyDescent="0.25">
      <c r="C60" s="810"/>
    </row>
    <row r="61" spans="1:6" x14ac:dyDescent="0.2">
      <c r="A61" s="942" t="s">
        <v>521</v>
      </c>
      <c r="B61" s="943"/>
      <c r="C61" s="944">
        <v>18.75</v>
      </c>
      <c r="E61" s="651"/>
      <c r="F61" s="651"/>
    </row>
    <row r="62" spans="1:6" ht="13.5" thickBot="1" x14ac:dyDescent="0.25">
      <c r="A62" s="1542" t="s">
        <v>850</v>
      </c>
      <c r="B62" s="1543"/>
      <c r="C62" s="945">
        <v>0.38</v>
      </c>
      <c r="E62" s="648"/>
      <c r="F62" s="648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B12" sqref="B12"/>
    </sheetView>
  </sheetViews>
  <sheetFormatPr defaultColWidth="9.33203125"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58" customFormat="1" x14ac:dyDescent="0.2">
      <c r="A1" s="1540" t="str">
        <f>CONCATENATE("9.4.2. melléklet ",ALAPADATOK!A7," ",ALAPADATOK!B7," ",ALAPADATOK!C7," ",ALAPADATOK!D7," ",ALAPADATOK!E7," ",ALAPADATOK!F7," ",ALAPADATOK!G7," ",ALAPADATOK!H7)</f>
        <v>9.4.2.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239"/>
    </row>
    <row r="3" spans="1:3" s="240" customFormat="1" ht="36.75" customHeight="1" x14ac:dyDescent="0.2">
      <c r="A3" s="197" t="s">
        <v>167</v>
      </c>
      <c r="B3" s="175" t="s">
        <v>556</v>
      </c>
      <c r="C3" s="189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1155700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>
        <v>910000</v>
      </c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>
        <v>245700</v>
      </c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191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1155700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243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5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1155700</v>
      </c>
    </row>
    <row r="44" spans="1:3" x14ac:dyDescent="0.2">
      <c r="A44" s="106"/>
      <c r="B44" s="107"/>
      <c r="C44" s="184"/>
    </row>
    <row r="45" spans="1:3" s="242" customFormat="1" ht="16.5" customHeight="1" thickBot="1" x14ac:dyDescent="0.25">
      <c r="A45" s="108"/>
      <c r="B45" s="109"/>
      <c r="C45" s="185"/>
    </row>
    <row r="46" spans="1:3" s="244" customFormat="1" ht="12" customHeight="1" thickBot="1" x14ac:dyDescent="0.25">
      <c r="A46" s="110"/>
      <c r="B46" s="111" t="s">
        <v>59</v>
      </c>
      <c r="C46" s="186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927250</v>
      </c>
    </row>
    <row r="48" spans="1:3" ht="12" customHeight="1" x14ac:dyDescent="0.2">
      <c r="A48" s="235" t="s">
        <v>100</v>
      </c>
      <c r="B48" s="7" t="s">
        <v>51</v>
      </c>
      <c r="C48" s="802"/>
    </row>
    <row r="49" spans="1:3" ht="12" customHeight="1" x14ac:dyDescent="0.2">
      <c r="A49" s="235" t="s">
        <v>101</v>
      </c>
      <c r="B49" s="6" t="s">
        <v>149</v>
      </c>
      <c r="C49" s="796"/>
    </row>
    <row r="50" spans="1:3" ht="12" customHeight="1" x14ac:dyDescent="0.2">
      <c r="A50" s="235" t="s">
        <v>102</v>
      </c>
      <c r="B50" s="6" t="s">
        <v>125</v>
      </c>
      <c r="C50" s="796">
        <v>927250</v>
      </c>
    </row>
    <row r="51" spans="1:3" ht="12" customHeight="1" x14ac:dyDescent="0.2">
      <c r="A51" s="235" t="s">
        <v>103</v>
      </c>
      <c r="B51" s="6" t="s">
        <v>150</v>
      </c>
      <c r="C51" s="796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s="244" customFormat="1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5" customHeight="1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5" customHeight="1" thickBot="1" x14ac:dyDescent="0.25">
      <c r="A59" s="88" t="s">
        <v>24</v>
      </c>
      <c r="B59" s="112" t="s">
        <v>528</v>
      </c>
      <c r="C59" s="187">
        <f>+C47+C53+C58</f>
        <v>927250</v>
      </c>
    </row>
    <row r="60" spans="1:3" ht="14.25" customHeight="1" thickBot="1" x14ac:dyDescent="0.25">
      <c r="C60" s="393"/>
    </row>
    <row r="61" spans="1:3" ht="13.5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15" zoomScaleNormal="11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8" hidden="1" customWidth="1"/>
    <col min="6" max="6" width="12.5" style="648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58" customFormat="1" x14ac:dyDescent="0.2">
      <c r="A1" s="1540" t="str">
        <f>CONCATENATE("9.5. melléklet ",ALAPADATOK!A7," ",ALAPADATOK!B7," ",ALAPADATOK!C7," ",ALAPADATOK!D7," ",ALAPADATOK!E7," ",ALAPADATOK!F7," ",ALAPADATOK!G7," ",ALAPADATOK!H7)</f>
        <v>9.5. melléklet a 6 / 2020. ( II.27 ) önkormányzati határozathoz</v>
      </c>
      <c r="B1" s="1540"/>
      <c r="C1" s="1540"/>
      <c r="E1" s="1283"/>
      <c r="F1" s="1283"/>
    </row>
    <row r="2" spans="1:6" s="93" customFormat="1" ht="21" customHeight="1" thickBot="1" x14ac:dyDescent="0.25">
      <c r="A2" s="92"/>
      <c r="B2" s="94"/>
      <c r="C2" s="404"/>
      <c r="E2" s="648"/>
      <c r="F2" s="648"/>
    </row>
    <row r="3" spans="1:6" s="240" customFormat="1" ht="36" customHeight="1" x14ac:dyDescent="0.2">
      <c r="A3" s="197" t="s">
        <v>167</v>
      </c>
      <c r="B3" s="175" t="s">
        <v>536</v>
      </c>
      <c r="C3" s="405" t="s">
        <v>63</v>
      </c>
      <c r="E3" s="649"/>
      <c r="F3" s="649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9"/>
      <c r="F4" s="649"/>
    </row>
    <row r="5" spans="1:6" s="241" customFormat="1" ht="15.95" customHeight="1" thickBot="1" x14ac:dyDescent="0.3">
      <c r="A5" s="96"/>
      <c r="B5" s="96"/>
      <c r="C5" s="407" t="s">
        <v>558</v>
      </c>
      <c r="E5" s="649"/>
      <c r="F5" s="649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50"/>
      <c r="F7" s="650"/>
    </row>
    <row r="8" spans="1:6" s="242" customFormat="1" ht="15.95" customHeight="1" thickBot="1" x14ac:dyDescent="0.25">
      <c r="A8" s="100"/>
      <c r="B8" s="101" t="s">
        <v>58</v>
      </c>
      <c r="C8" s="410"/>
      <c r="E8" s="650"/>
      <c r="F8" s="650"/>
    </row>
    <row r="9" spans="1:6" s="191" customFormat="1" ht="12" customHeight="1" thickBot="1" x14ac:dyDescent="0.25">
      <c r="A9" s="85" t="s">
        <v>21</v>
      </c>
      <c r="B9" s="103" t="s">
        <v>523</v>
      </c>
      <c r="C9" s="794">
        <f>SUM(C10:C20)</f>
        <v>62819476</v>
      </c>
      <c r="E9" s="651">
        <f>'9.5.1. sz. mell VK '!C9+'9.5.2. sz. mell VK'!C9</f>
        <v>62819476</v>
      </c>
      <c r="F9" s="651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5"/>
      <c r="E10" s="651">
        <f>'9.5.1. sz. mell VK '!C10+'9.5.2. sz. mell VK'!C10</f>
        <v>0</v>
      </c>
      <c r="F10" s="651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6">
        <v>27518165</v>
      </c>
      <c r="E11" s="651">
        <f>'9.5.1. sz. mell VK '!C11+'9.5.2. sz. mell VK'!C11</f>
        <v>27518165</v>
      </c>
      <c r="F11" s="651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6">
        <v>1547000</v>
      </c>
      <c r="E12" s="651">
        <f>'9.5.1. sz. mell VK '!C12+'9.5.2. sz. mell VK'!C12</f>
        <v>1547000</v>
      </c>
      <c r="F12" s="651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6"/>
      <c r="E13" s="651">
        <f>'9.5.1. sz. mell VK '!C13+'9.5.2. sz. mell VK'!C13</f>
        <v>0</v>
      </c>
      <c r="F13" s="651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6">
        <v>20383499</v>
      </c>
      <c r="E14" s="651">
        <f>'9.5.1. sz. mell VK '!C14+'9.5.2. sz. mell VK'!C14</f>
        <v>20383499</v>
      </c>
      <c r="F14" s="651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6">
        <v>5641812</v>
      </c>
      <c r="E15" s="651">
        <f>'9.5.1. sz. mell VK '!C15+'9.5.2. sz. mell VK'!C15</f>
        <v>5641812</v>
      </c>
      <c r="F15" s="651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6">
        <v>7729000</v>
      </c>
      <c r="E16" s="651">
        <f>'9.5.1. sz. mell VK '!C16+'9.5.2. sz. mell VK'!C16</f>
        <v>7729000</v>
      </c>
      <c r="F16" s="651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7"/>
      <c r="E17" s="651">
        <f>'9.5.1. sz. mell VK '!C17+'9.5.2. sz. mell VK'!C17</f>
        <v>0</v>
      </c>
      <c r="F17" s="651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6"/>
      <c r="E18" s="651">
        <f>'9.5.1. sz. mell VK '!C18+'9.5.2. sz. mell VK'!C18</f>
        <v>0</v>
      </c>
      <c r="F18" s="651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8"/>
      <c r="E19" s="651">
        <f>'9.5.1. sz. mell VK '!C19+'9.5.2. sz. mell VK'!C19</f>
        <v>0</v>
      </c>
      <c r="F19" s="651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8"/>
      <c r="E20" s="651">
        <f>'9.5.1. sz. mell VK '!C20+'9.5.2. sz. mell VK'!C20</f>
        <v>0</v>
      </c>
      <c r="F20" s="651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94">
        <f>SUM(C22:C24)</f>
        <v>9346560</v>
      </c>
      <c r="E21" s="651">
        <f>'9.5.1. sz. mell VK '!C21+'9.5.2. sz. mell VK'!C21</f>
        <v>9346560</v>
      </c>
      <c r="F21" s="651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9"/>
      <c r="E22" s="651">
        <f>'9.5.1. sz. mell VK '!C22+'9.5.2. sz. mell VK'!C22</f>
        <v>0</v>
      </c>
      <c r="F22" s="651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6"/>
      <c r="E23" s="651">
        <f>'9.5.1. sz. mell VK '!C23+'9.5.2. sz. mell VK'!C23</f>
        <v>0</v>
      </c>
      <c r="F23" s="651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800">
        <v>9346560</v>
      </c>
      <c r="E24" s="651">
        <f>'9.5.1. sz. mell VK '!C24+'9.5.2. sz. mell VK'!C24</f>
        <v>9346560</v>
      </c>
      <c r="F24" s="651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6">
        <v>9346560</v>
      </c>
      <c r="E25" s="651">
        <f>'9.5.1. sz. mell VK '!C25+'9.5.2. sz. mell VK'!C25</f>
        <v>9346560</v>
      </c>
      <c r="F25" s="651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801"/>
      <c r="E26" s="651">
        <f>'9.5.1. sz. mell VK '!C26+'9.5.2. sz. mell VK'!C26</f>
        <v>0</v>
      </c>
      <c r="F26" s="651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  <c r="E27" s="651">
        <f>'9.5.1. sz. mell VK '!C27+'9.5.2. sz. mell VK'!C27</f>
        <v>0</v>
      </c>
      <c r="F27" s="651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802"/>
      <c r="E28" s="651">
        <f>'9.5.1. sz. mell VK '!C28+'9.5.2. sz. mell VK'!C28</f>
        <v>0</v>
      </c>
      <c r="F28" s="651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9"/>
      <c r="E29" s="651">
        <f>'9.5.1. sz. mell VK '!C29+'9.5.2. sz. mell VK'!C29</f>
        <v>0</v>
      </c>
      <c r="F29" s="651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9"/>
      <c r="E30" s="651">
        <f>'9.5.1. sz. mell VK '!C30+'9.5.2. sz. mell VK'!C30</f>
        <v>0</v>
      </c>
      <c r="F30" s="651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803"/>
      <c r="E31" s="651">
        <f>'9.5.1. sz. mell VK '!C31+'9.5.2. sz. mell VK'!C31</f>
        <v>0</v>
      </c>
      <c r="F31" s="651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  <c r="E32" s="651">
        <f>'9.5.1. sz. mell VK '!C32+'9.5.2. sz. mell VK'!C32</f>
        <v>0</v>
      </c>
      <c r="F32" s="651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802"/>
      <c r="E33" s="651">
        <f>'9.5.1. sz. mell VK '!C33+'9.5.2. sz. mell VK'!C33</f>
        <v>0</v>
      </c>
      <c r="F33" s="651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7"/>
      <c r="E34" s="651">
        <f>'9.5.1. sz. mell VK '!C34+'9.5.2. sz. mell VK'!C34</f>
        <v>0</v>
      </c>
      <c r="F34" s="651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803"/>
      <c r="E35" s="651">
        <f>'9.5.1. sz. mell VK '!C35+'9.5.2. sz. mell VK'!C35</f>
        <v>0</v>
      </c>
      <c r="F35" s="651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801"/>
      <c r="E36" s="651">
        <f>'9.5.1. sz. mell VK '!C36+'9.5.2. sz. mell VK'!C36</f>
        <v>0</v>
      </c>
      <c r="F36" s="651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804"/>
      <c r="E37" s="651">
        <f>'9.5.1. sz. mell VK '!C37+'9.5.2. sz. mell VK'!C37</f>
        <v>0</v>
      </c>
      <c r="F37" s="651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72166036</v>
      </c>
      <c r="E38" s="651">
        <f>'9.5.1. sz. mell VK '!C38+'9.5.2. sz. mell VK'!C38</f>
        <v>72166036</v>
      </c>
      <c r="F38" s="651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5">
        <f>+C40+C41+C42</f>
        <v>167665655</v>
      </c>
      <c r="E39" s="651">
        <f>'9.5.1. sz. mell VK '!C39+'9.5.2. sz. mell VK'!C39</f>
        <v>167665655</v>
      </c>
      <c r="F39" s="651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802">
        <v>3481566</v>
      </c>
      <c r="E40" s="651">
        <f>'9.5.1. sz. mell VK '!C40+'9.5.2. sz. mell VK'!C40</f>
        <v>3481566</v>
      </c>
      <c r="F40" s="651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7"/>
      <c r="E41" s="651">
        <f>'9.5.1. sz. mell VK '!C41+'9.5.2. sz. mell VK'!C41</f>
        <v>0</v>
      </c>
      <c r="F41" s="651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803">
        <v>164184089</v>
      </c>
      <c r="E42" s="651">
        <f>'9.5.1. sz. mell VK '!C42+'9.5.2. sz. mell VK'!C42</f>
        <v>164184089</v>
      </c>
      <c r="F42" s="651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6">
        <f>+C38+C39</f>
        <v>239831691</v>
      </c>
      <c r="E43" s="651">
        <f>'9.5.1. sz. mell VK '!C43+'9.5.2. sz. mell VK'!C43</f>
        <v>239831691</v>
      </c>
      <c r="F43" s="651">
        <f t="shared" si="0"/>
        <v>0</v>
      </c>
    </row>
    <row r="44" spans="1:6" x14ac:dyDescent="0.2">
      <c r="A44" s="106"/>
      <c r="B44" s="107"/>
      <c r="C44" s="807"/>
      <c r="E44" s="651">
        <f>'9.5.1. sz. mell VK '!C44+'9.5.2. sz. mell VK'!C44</f>
        <v>0</v>
      </c>
      <c r="F44" s="651">
        <f t="shared" si="0"/>
        <v>0</v>
      </c>
    </row>
    <row r="45" spans="1:6" s="242" customFormat="1" ht="16.5" customHeight="1" thickBot="1" x14ac:dyDescent="0.25">
      <c r="A45" s="108"/>
      <c r="B45" s="109"/>
      <c r="C45" s="808"/>
      <c r="E45" s="651">
        <f>'9.5.1. sz. mell VK '!C45+'9.5.2. sz. mell VK'!C45</f>
        <v>0</v>
      </c>
      <c r="F45" s="651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6"/>
      <c r="E46" s="651">
        <f>'9.5.1. sz. mell VK '!C46+'9.5.2. sz. mell VK'!C46</f>
        <v>0</v>
      </c>
      <c r="F46" s="651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94">
        <f>SUM(C48:C52)</f>
        <v>237731691</v>
      </c>
      <c r="E47" s="651">
        <f>'9.5.1. sz. mell VK '!C47+'9.5.2. sz. mell VK'!C47</f>
        <v>237731691</v>
      </c>
      <c r="F47" s="651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802">
        <v>69090783</v>
      </c>
      <c r="E48" s="651">
        <f>'9.5.1. sz. mell VK '!C48+'9.5.2. sz. mell VK'!C48</f>
        <v>69090783</v>
      </c>
      <c r="F48" s="651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6">
        <v>12885750</v>
      </c>
      <c r="E49" s="651">
        <f>'9.5.1. sz. mell VK '!C49+'9.5.2. sz. mell VK'!C49</f>
        <v>12885750</v>
      </c>
      <c r="F49" s="651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6">
        <v>155755158</v>
      </c>
      <c r="E50" s="651">
        <f>'9.5.1. sz. mell VK '!C50+'9.5.2. sz. mell VK'!C50</f>
        <v>155755158</v>
      </c>
      <c r="F50" s="651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6"/>
      <c r="E51" s="651">
        <f>'9.5.1. sz. mell VK '!C51+'9.5.2. sz. mell VK'!C51</f>
        <v>0</v>
      </c>
      <c r="F51" s="651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6"/>
      <c r="E52" s="651">
        <f>'9.5.1. sz. mell VK '!C52+'9.5.2. sz. mell VK'!C52</f>
        <v>0</v>
      </c>
      <c r="F52" s="651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2100000</v>
      </c>
      <c r="E53" s="651">
        <f>'9.5.1. sz. mell VK '!C53+'9.5.2. sz. mell VK'!C53</f>
        <v>2100000</v>
      </c>
      <c r="F53" s="651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802">
        <v>1500000</v>
      </c>
      <c r="E54" s="651">
        <f>'9.5.1. sz. mell VK '!C54+'9.5.2. sz. mell VK'!C54</f>
        <v>1500000</v>
      </c>
      <c r="F54" s="651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6">
        <v>600000</v>
      </c>
      <c r="E55" s="651">
        <f>'9.5.1. sz. mell VK '!C55+'9.5.2. sz. mell VK'!C55</f>
        <v>600000</v>
      </c>
      <c r="F55" s="651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6"/>
      <c r="E56" s="651">
        <f>'9.5.1. sz. mell VK '!C56+'9.5.2. sz. mell VK'!C56</f>
        <v>0</v>
      </c>
      <c r="F56" s="651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6"/>
      <c r="E57" s="651">
        <f>'9.5.1. sz. mell VK '!C57+'9.5.2. sz. mell VK'!C57</f>
        <v>0</v>
      </c>
      <c r="F57" s="651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801"/>
      <c r="E58" s="651">
        <f>'9.5.1. sz. mell VK '!C58+'9.5.2. sz. mell VK'!C58</f>
        <v>0</v>
      </c>
      <c r="F58" s="651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9">
        <f>+C47+C53+C58</f>
        <v>239831691</v>
      </c>
      <c r="E59" s="651">
        <f>'9.5.1. sz. mell VK '!C59+'9.5.2. sz. mell VK'!C59</f>
        <v>239831691</v>
      </c>
      <c r="F59" s="651">
        <f t="shared" si="0"/>
        <v>0</v>
      </c>
    </row>
    <row r="60" spans="1:6" ht="14.25" customHeight="1" thickBot="1" x14ac:dyDescent="0.25">
      <c r="C60" s="810"/>
      <c r="E60" s="651">
        <f>'9.5.1. sz. mell VK '!C60+'9.5.2. sz. mell VK'!C60</f>
        <v>0</v>
      </c>
      <c r="F60" s="651">
        <f t="shared" si="0"/>
        <v>0</v>
      </c>
    </row>
    <row r="61" spans="1:6" x14ac:dyDescent="0.2">
      <c r="A61" s="942" t="s">
        <v>521</v>
      </c>
      <c r="B61" s="943"/>
      <c r="C61" s="944">
        <v>21.67</v>
      </c>
      <c r="E61" s="651" t="e">
        <f>#REF!+#REF!</f>
        <v>#REF!</v>
      </c>
      <c r="F61" s="651" t="e">
        <f t="shared" si="0"/>
        <v>#REF!</v>
      </c>
    </row>
    <row r="62" spans="1:6" ht="13.5" thickBot="1" x14ac:dyDescent="0.25">
      <c r="A62" s="1542" t="s">
        <v>845</v>
      </c>
      <c r="B62" s="1543"/>
      <c r="C62" s="945">
        <v>0.83</v>
      </c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45" zoomScaleNormal="14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CONCATENATE("9.5.1. melléklet ",ALAPADATOK!A7," ",ALAPADATOK!B7," ",ALAPADATOK!C7," ",ALAPADATOK!D7," ",ALAPADATOK!E7," ",ALAPADATOK!F7," ",ALAPADATOK!G7," ",ALAPADATOK!H7)</f>
        <v>9.5.1.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536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62819476</v>
      </c>
    </row>
    <row r="10" spans="1:3" s="191" customFormat="1" ht="12" customHeight="1" x14ac:dyDescent="0.2">
      <c r="A10" s="234" t="s">
        <v>100</v>
      </c>
      <c r="B10" s="8" t="s">
        <v>223</v>
      </c>
      <c r="C10" s="795"/>
    </row>
    <row r="11" spans="1:3" s="191" customFormat="1" ht="12" customHeight="1" x14ac:dyDescent="0.2">
      <c r="A11" s="235" t="s">
        <v>101</v>
      </c>
      <c r="B11" s="6" t="s">
        <v>224</v>
      </c>
      <c r="C11" s="796">
        <v>27518165</v>
      </c>
    </row>
    <row r="12" spans="1:3" s="191" customFormat="1" ht="12" customHeight="1" x14ac:dyDescent="0.2">
      <c r="A12" s="235" t="s">
        <v>102</v>
      </c>
      <c r="B12" s="6" t="s">
        <v>225</v>
      </c>
      <c r="C12" s="796">
        <v>1547000</v>
      </c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>
        <v>20383499</v>
      </c>
    </row>
    <row r="15" spans="1:3" s="191" customFormat="1" ht="12" customHeight="1" x14ac:dyDescent="0.2">
      <c r="A15" s="235" t="s">
        <v>104</v>
      </c>
      <c r="B15" s="6" t="s">
        <v>348</v>
      </c>
      <c r="C15" s="796">
        <v>5641812</v>
      </c>
    </row>
    <row r="16" spans="1:3" s="191" customFormat="1" ht="12" customHeight="1" x14ac:dyDescent="0.2">
      <c r="A16" s="235" t="s">
        <v>105</v>
      </c>
      <c r="B16" s="5" t="s">
        <v>349</v>
      </c>
      <c r="C16" s="796">
        <v>7729000</v>
      </c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/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9346560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800">
        <v>9346560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6">
        <v>9346560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/>
    </row>
    <row r="31" spans="1:3" s="243" customFormat="1" ht="12" customHeight="1" thickBot="1" x14ac:dyDescent="0.25">
      <c r="A31" s="235" t="s">
        <v>216</v>
      </c>
      <c r="B31" s="69" t="s">
        <v>526</v>
      </c>
      <c r="C31" s="803"/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72166036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167665655</v>
      </c>
    </row>
    <row r="40" spans="1:3" s="191" customFormat="1" ht="12" customHeight="1" x14ac:dyDescent="0.2">
      <c r="A40" s="236" t="s">
        <v>358</v>
      </c>
      <c r="B40" s="237" t="s">
        <v>182</v>
      </c>
      <c r="C40" s="802">
        <v>3481566</v>
      </c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803">
        <v>164184089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6">
        <f>+C38+C39</f>
        <v>239831691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794">
        <f>SUM(C48:C52)</f>
        <v>237731691</v>
      </c>
    </row>
    <row r="48" spans="1:3" ht="12" customHeight="1" x14ac:dyDescent="0.2">
      <c r="A48" s="235" t="s">
        <v>100</v>
      </c>
      <c r="B48" s="7" t="s">
        <v>51</v>
      </c>
      <c r="C48" s="802">
        <v>69090783</v>
      </c>
    </row>
    <row r="49" spans="1:6" ht="12" customHeight="1" x14ac:dyDescent="0.2">
      <c r="A49" s="235" t="s">
        <v>101</v>
      </c>
      <c r="B49" s="6" t="s">
        <v>149</v>
      </c>
      <c r="C49" s="796">
        <v>12885750</v>
      </c>
    </row>
    <row r="50" spans="1:6" ht="12" customHeight="1" x14ac:dyDescent="0.2">
      <c r="A50" s="235" t="s">
        <v>102</v>
      </c>
      <c r="B50" s="6" t="s">
        <v>125</v>
      </c>
      <c r="C50" s="796">
        <v>155755158</v>
      </c>
    </row>
    <row r="51" spans="1:6" ht="12" customHeight="1" x14ac:dyDescent="0.2">
      <c r="A51" s="235" t="s">
        <v>103</v>
      </c>
      <c r="B51" s="6" t="s">
        <v>150</v>
      </c>
      <c r="C51" s="796"/>
    </row>
    <row r="52" spans="1:6" ht="12" customHeight="1" thickBot="1" x14ac:dyDescent="0.25">
      <c r="A52" s="235" t="s">
        <v>126</v>
      </c>
      <c r="B52" s="6" t="s">
        <v>151</v>
      </c>
      <c r="C52" s="796"/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2100000</v>
      </c>
    </row>
    <row r="54" spans="1:6" ht="12" customHeight="1" x14ac:dyDescent="0.2">
      <c r="A54" s="235" t="s">
        <v>106</v>
      </c>
      <c r="B54" s="7" t="s">
        <v>173</v>
      </c>
      <c r="C54" s="802">
        <v>1500000</v>
      </c>
    </row>
    <row r="55" spans="1:6" ht="12" customHeight="1" x14ac:dyDescent="0.2">
      <c r="A55" s="235" t="s">
        <v>107</v>
      </c>
      <c r="B55" s="6" t="s">
        <v>153</v>
      </c>
      <c r="C55" s="796">
        <v>600000</v>
      </c>
    </row>
    <row r="56" spans="1:6" ht="12" customHeight="1" x14ac:dyDescent="0.2">
      <c r="A56" s="235" t="s">
        <v>108</v>
      </c>
      <c r="B56" s="6" t="s">
        <v>60</v>
      </c>
      <c r="C56" s="796"/>
    </row>
    <row r="57" spans="1:6" ht="15" customHeight="1" thickBot="1" x14ac:dyDescent="0.25">
      <c r="A57" s="235" t="s">
        <v>109</v>
      </c>
      <c r="B57" s="6" t="s">
        <v>527</v>
      </c>
      <c r="C57" s="796"/>
    </row>
    <row r="58" spans="1:6" ht="13.5" thickBot="1" x14ac:dyDescent="0.25">
      <c r="A58" s="88" t="s">
        <v>23</v>
      </c>
      <c r="B58" s="66" t="s">
        <v>15</v>
      </c>
      <c r="C58" s="801"/>
    </row>
    <row r="59" spans="1:6" ht="15" customHeight="1" thickBot="1" x14ac:dyDescent="0.25">
      <c r="A59" s="88" t="s">
        <v>24</v>
      </c>
      <c r="B59" s="112" t="s">
        <v>528</v>
      </c>
      <c r="C59" s="809">
        <f>+C47+C53+C58</f>
        <v>239831691</v>
      </c>
    </row>
    <row r="60" spans="1:6" ht="14.25" customHeight="1" thickBot="1" x14ac:dyDescent="0.25">
      <c r="C60" s="810"/>
    </row>
    <row r="61" spans="1:6" x14ac:dyDescent="0.2">
      <c r="A61" s="942" t="s">
        <v>521</v>
      </c>
      <c r="B61" s="943"/>
      <c r="C61" s="944">
        <v>21.67</v>
      </c>
      <c r="E61" s="651"/>
      <c r="F61" s="651"/>
    </row>
    <row r="62" spans="1:6" ht="13.5" thickBot="1" x14ac:dyDescent="0.25">
      <c r="A62" s="1542" t="s">
        <v>844</v>
      </c>
      <c r="B62" s="1543"/>
      <c r="C62" s="945">
        <v>0.83</v>
      </c>
      <c r="E62" s="648"/>
      <c r="F62" s="648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45" zoomScaleNormal="14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CONCATENATE("9.5.2. melléklet ",ALAPADATOK!A7," ",ALAPADATOK!B7," ",ALAPADATOK!C7," ",ALAPADATOK!D7," ",ALAPADATOK!E7," ",ALAPADATOK!F7," ",ALAPADATOK!G7," ",ALAPADATOK!H7)</f>
        <v>9.5.2.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239"/>
    </row>
    <row r="3" spans="1:3" s="240" customFormat="1" ht="33.75" customHeight="1" x14ac:dyDescent="0.2">
      <c r="A3" s="197" t="s">
        <v>167</v>
      </c>
      <c r="B3" s="175" t="s">
        <v>536</v>
      </c>
      <c r="C3" s="189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/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/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191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243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5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0</v>
      </c>
    </row>
    <row r="44" spans="1:3" x14ac:dyDescent="0.2">
      <c r="A44" s="106"/>
      <c r="B44" s="107"/>
      <c r="C44" s="184"/>
    </row>
    <row r="45" spans="1:3" s="242" customFormat="1" ht="16.5" customHeight="1" thickBot="1" x14ac:dyDescent="0.25">
      <c r="A45" s="108"/>
      <c r="B45" s="109"/>
      <c r="C45" s="185"/>
    </row>
    <row r="46" spans="1:3" s="244" customFormat="1" ht="12" customHeight="1" thickBot="1" x14ac:dyDescent="0.25">
      <c r="A46" s="110"/>
      <c r="B46" s="111" t="s">
        <v>59</v>
      </c>
      <c r="C46" s="186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ht="12" customHeight="1" x14ac:dyDescent="0.2">
      <c r="A48" s="235" t="s">
        <v>100</v>
      </c>
      <c r="B48" s="7" t="s">
        <v>51</v>
      </c>
      <c r="C48" s="516"/>
    </row>
    <row r="49" spans="1:3" ht="12" customHeight="1" x14ac:dyDescent="0.2">
      <c r="A49" s="235" t="s">
        <v>101</v>
      </c>
      <c r="B49" s="6" t="s">
        <v>149</v>
      </c>
      <c r="C49" s="517"/>
    </row>
    <row r="50" spans="1:3" ht="12" customHeight="1" x14ac:dyDescent="0.2">
      <c r="A50" s="235" t="s">
        <v>102</v>
      </c>
      <c r="B50" s="6" t="s">
        <v>125</v>
      </c>
      <c r="C50" s="517"/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s="244" customFormat="1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5" customHeight="1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5" customHeight="1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4.25" customHeight="1" thickBot="1" x14ac:dyDescent="0.25">
      <c r="C60" s="393"/>
    </row>
    <row r="61" spans="1:3" ht="13.5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activeCell="C22" sqref="C2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0" style="114" hidden="1" customWidth="1"/>
    <col min="5" max="5" width="11.83203125" style="648" hidden="1" customWidth="1"/>
    <col min="6" max="6" width="12.5" style="648" hidden="1" customWidth="1"/>
    <col min="7" max="8" width="0" style="114" hidden="1" customWidth="1"/>
    <col min="9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58" customFormat="1" x14ac:dyDescent="0.2">
      <c r="A1" s="1540" t="str">
        <f>CONCATENATE("8. melléklet ",ALAPADATOK!A7," ",ALAPADATOK!B7," ",ALAPADATOK!C7," ",ALAPADATOK!D7," ",ALAPADATOK!E7," ",ALAPADATOK!F7," ",ALAPADATOK!G7," ",ALAPADATOK!H7)</f>
        <v>8. melléklet a 6 / 2020. ( II.27 ) önkormányzati határozathoz</v>
      </c>
      <c r="B1" s="1540"/>
      <c r="C1" s="1540"/>
      <c r="E1" s="1283"/>
      <c r="F1" s="1283"/>
    </row>
    <row r="2" spans="1:6" s="93" customFormat="1" ht="21" customHeight="1" thickBot="1" x14ac:dyDescent="0.25">
      <c r="A2" s="92"/>
      <c r="B2" s="94"/>
      <c r="C2" s="404"/>
      <c r="E2" s="648"/>
      <c r="F2" s="648"/>
    </row>
    <row r="3" spans="1:6" s="240" customFormat="1" ht="33.75" customHeight="1" x14ac:dyDescent="0.2">
      <c r="A3" s="197" t="s">
        <v>167</v>
      </c>
      <c r="B3" s="175" t="s">
        <v>548</v>
      </c>
      <c r="C3" s="405" t="s">
        <v>63</v>
      </c>
      <c r="E3" s="649"/>
      <c r="F3" s="649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9"/>
      <c r="F4" s="649"/>
    </row>
    <row r="5" spans="1:6" s="241" customFormat="1" ht="15.95" customHeight="1" thickBot="1" x14ac:dyDescent="0.3">
      <c r="A5" s="96"/>
      <c r="B5" s="96"/>
      <c r="C5" s="407" t="s">
        <v>558</v>
      </c>
      <c r="E5" s="649"/>
      <c r="F5" s="649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50"/>
      <c r="F7" s="650"/>
    </row>
    <row r="8" spans="1:6" s="242" customFormat="1" ht="15.95" customHeight="1" thickBot="1" x14ac:dyDescent="0.25">
      <c r="A8" s="100"/>
      <c r="B8" s="101" t="s">
        <v>58</v>
      </c>
      <c r="C8" s="410"/>
      <c r="E8" s="650"/>
      <c r="F8" s="650"/>
    </row>
    <row r="9" spans="1:6" s="191" customFormat="1" ht="12" customHeight="1" thickBot="1" x14ac:dyDescent="0.25">
      <c r="A9" s="85" t="s">
        <v>21</v>
      </c>
      <c r="B9" s="103" t="s">
        <v>523</v>
      </c>
      <c r="C9" s="794">
        <f>SUM(C10:C20)</f>
        <v>201233520</v>
      </c>
      <c r="E9" s="651">
        <f>'9.6.1. sz. mell Kornisné Kp. '!C9+'9.6.2. sz. mell Kornisné Kp.'!C9+'9.6.3. sz. mell Kornisné Kp '!C9</f>
        <v>201233520</v>
      </c>
      <c r="F9" s="651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5"/>
      <c r="E10" s="651">
        <f>'9.6.1. sz. mell Kornisné Kp. '!C10+'9.6.2. sz. mell Kornisné Kp.'!C10+'9.6.3. sz. mell Kornisné Kp '!C10</f>
        <v>0</v>
      </c>
      <c r="F10" s="651">
        <f t="shared" ref="F10:F64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6">
        <v>10867555</v>
      </c>
      <c r="E11" s="651">
        <f>'9.6.1. sz. mell Kornisné Kp. '!C11+'9.6.2. sz. mell Kornisné Kp.'!C11+'9.6.3. sz. mell Kornisné Kp '!C11</f>
        <v>10867555</v>
      </c>
      <c r="F11" s="651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6">
        <v>12700000</v>
      </c>
      <c r="E12" s="651">
        <f>'9.6.1. sz. mell Kornisné Kp. '!C12+'9.6.2. sz. mell Kornisné Kp.'!C12+'9.6.3. sz. mell Kornisné Kp '!C12</f>
        <v>12700000</v>
      </c>
      <c r="F12" s="651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6"/>
      <c r="E13" s="651">
        <f>'9.6.1. sz. mell Kornisné Kp. '!C13+'9.6.2. sz. mell Kornisné Kp.'!C13+'9.6.3. sz. mell Kornisné Kp '!C13</f>
        <v>0</v>
      </c>
      <c r="F13" s="651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6">
        <v>173575135</v>
      </c>
      <c r="E14" s="651">
        <f>'9.6.1. sz. mell Kornisné Kp. '!C14+'9.6.2. sz. mell Kornisné Kp.'!C14+'9.6.3. sz. mell Kornisné Kp '!C14</f>
        <v>173575135</v>
      </c>
      <c r="F14" s="651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6">
        <v>4090830</v>
      </c>
      <c r="E15" s="651">
        <f>'9.6.1. sz. mell Kornisné Kp. '!C15+'9.6.2. sz. mell Kornisné Kp.'!C15+'9.6.3. sz. mell Kornisné Kp '!C15</f>
        <v>4090830</v>
      </c>
      <c r="F15" s="651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6"/>
      <c r="E16" s="651">
        <f>'9.6.1. sz. mell Kornisné Kp. '!C16+'9.6.2. sz. mell Kornisné Kp.'!C16+'9.6.3. sz. mell Kornisné Kp '!C16</f>
        <v>0</v>
      </c>
      <c r="F16" s="651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7"/>
      <c r="E17" s="651">
        <f>'9.6.1. sz. mell Kornisné Kp. '!C17+'9.6.2. sz. mell Kornisné Kp.'!C17+'9.6.3. sz. mell Kornisné Kp '!C17</f>
        <v>0</v>
      </c>
      <c r="F17" s="651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6"/>
      <c r="E18" s="651">
        <f>'9.6.1. sz. mell Kornisné Kp. '!C18+'9.6.2. sz. mell Kornisné Kp.'!C18+'9.6.3. sz. mell Kornisné Kp '!C18</f>
        <v>0</v>
      </c>
      <c r="F18" s="651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8"/>
      <c r="E19" s="651">
        <f>'9.6.1. sz. mell Kornisné Kp. '!C19+'9.6.2. sz. mell Kornisné Kp.'!C19+'9.6.3. sz. mell Kornisné Kp '!C19</f>
        <v>0</v>
      </c>
      <c r="F19" s="651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8"/>
      <c r="E20" s="651">
        <f>'9.6.1. sz. mell Kornisné Kp. '!C20+'9.6.2. sz. mell Kornisné Kp.'!C20+'9.6.3. sz. mell Kornisné Kp '!C20</f>
        <v>0</v>
      </c>
      <c r="F20" s="651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94">
        <f>SUM(C22:C24)</f>
        <v>86729523</v>
      </c>
      <c r="E21" s="651">
        <f>'9.6.1. sz. mell Kornisné Kp. '!C21+'9.6.2. sz. mell Kornisné Kp.'!C21+'9.6.3. sz. mell Kornisné Kp '!C21</f>
        <v>86729523</v>
      </c>
      <c r="F21" s="651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6"/>
      <c r="E22" s="651">
        <f>'9.6.1. sz. mell Kornisné Kp. '!C22+'9.6.2. sz. mell Kornisné Kp.'!C22+'9.6.3. sz. mell Kornisné Kp '!C22</f>
        <v>0</v>
      </c>
      <c r="F22" s="651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6"/>
      <c r="E23" s="651">
        <f>'9.6.1. sz. mell Kornisné Kp. '!C23+'9.6.2. sz. mell Kornisné Kp.'!C23+'9.6.3. sz. mell Kornisné Kp '!C23</f>
        <v>0</v>
      </c>
      <c r="F23" s="651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6">
        <v>86729523</v>
      </c>
      <c r="E24" s="651">
        <f>'9.6.1. sz. mell Kornisné Kp. '!C24+'9.6.2. sz. mell Kornisné Kp.'!C24+'9.6.3. sz. mell Kornisné Kp '!C24</f>
        <v>86729523</v>
      </c>
      <c r="F24" s="651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6">
        <v>69276523</v>
      </c>
      <c r="E25" s="651">
        <f>'9.6.1. sz. mell Kornisné Kp. '!C25+'9.6.2. sz. mell Kornisné Kp.'!C25+'9.6.3. sz. mell Kornisné Kp '!C25</f>
        <v>69276523</v>
      </c>
      <c r="F25" s="651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801"/>
      <c r="E26" s="651">
        <f>'9.6.1. sz. mell Kornisné Kp. '!C26+'9.6.2. sz. mell Kornisné Kp.'!C26+'9.6.3. sz. mell Kornisné Kp '!C26</f>
        <v>0</v>
      </c>
      <c r="F26" s="651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94">
        <f>+C28+C29+C30</f>
        <v>10712200</v>
      </c>
      <c r="E27" s="651">
        <f>'9.6.1. sz. mell Kornisné Kp. '!C27+'9.6.2. sz. mell Kornisné Kp.'!C27+'9.6.3. sz. mell Kornisné Kp '!C27</f>
        <v>10712200</v>
      </c>
      <c r="F27" s="651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802"/>
      <c r="E28" s="651">
        <f>'9.6.1. sz. mell Kornisné Kp. '!C28+'9.6.2. sz. mell Kornisné Kp.'!C28+'9.6.3. sz. mell Kornisné Kp '!C28</f>
        <v>0</v>
      </c>
      <c r="F28" s="651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9"/>
      <c r="E29" s="651">
        <f>'9.6.1. sz. mell Kornisné Kp. '!C29+'9.6.2. sz. mell Kornisné Kp.'!C29+'9.6.3. sz. mell Kornisné Kp '!C29</f>
        <v>0</v>
      </c>
      <c r="F29" s="651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9">
        <v>10712200</v>
      </c>
      <c r="E30" s="651">
        <f>'9.6.1. sz. mell Kornisné Kp. '!C30+'9.6.2. sz. mell Kornisné Kp.'!C30+'9.6.3. sz. mell Kornisné Kp '!C30</f>
        <v>10712200</v>
      </c>
      <c r="F30" s="651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803">
        <v>1092200</v>
      </c>
      <c r="E31" s="651">
        <f>'9.6.1. sz. mell Kornisné Kp. '!C31+'9.6.2. sz. mell Kornisné Kp.'!C31+'9.6.3. sz. mell Kornisné Kp '!C31</f>
        <v>1092200</v>
      </c>
      <c r="F31" s="651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  <c r="E32" s="651">
        <f>'9.6.1. sz. mell Kornisné Kp. '!C32+'9.6.2. sz. mell Kornisné Kp.'!C32+'9.6.3. sz. mell Kornisné Kp '!C32</f>
        <v>0</v>
      </c>
      <c r="F32" s="651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802"/>
      <c r="E33" s="651">
        <f>'9.6.1. sz. mell Kornisné Kp. '!C33+'9.6.2. sz. mell Kornisné Kp.'!C33+'9.6.3. sz. mell Kornisné Kp '!C33</f>
        <v>0</v>
      </c>
      <c r="F33" s="651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7"/>
      <c r="E34" s="651">
        <f>'9.6.1. sz. mell Kornisné Kp. '!C34+'9.6.2. sz. mell Kornisné Kp.'!C34+'9.6.3. sz. mell Kornisné Kp '!C34</f>
        <v>0</v>
      </c>
      <c r="F34" s="651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803"/>
      <c r="E35" s="651">
        <f>'9.6.1. sz. mell Kornisné Kp. '!C35+'9.6.2. sz. mell Kornisné Kp.'!C35+'9.6.3. sz. mell Kornisné Kp '!C35</f>
        <v>0</v>
      </c>
      <c r="F35" s="651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801"/>
      <c r="E36" s="651">
        <f>'9.6.1. sz. mell Kornisné Kp. '!C36+'9.6.2. sz. mell Kornisné Kp.'!C36+'9.6.3. sz. mell Kornisné Kp '!C36</f>
        <v>0</v>
      </c>
      <c r="F36" s="651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804"/>
      <c r="E37" s="651">
        <f>'9.6.1. sz. mell Kornisné Kp. '!C37+'9.6.2. sz. mell Kornisné Kp.'!C37+'9.6.3. sz. mell Kornisné Kp '!C37</f>
        <v>0</v>
      </c>
      <c r="F37" s="651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298675243</v>
      </c>
      <c r="E38" s="651">
        <f>'9.6.1. sz. mell Kornisné Kp. '!C38+'9.6.2. sz. mell Kornisné Kp.'!C38+'9.6.3. sz. mell Kornisné Kp '!C38</f>
        <v>298675243</v>
      </c>
      <c r="F38" s="651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5">
        <f>SUM(C40:C42)</f>
        <v>627552300</v>
      </c>
      <c r="E39" s="651">
        <f>'9.6.1. sz. mell Kornisné Kp. '!C39+'9.6.2. sz. mell Kornisné Kp.'!C39+'9.6.3. sz. mell Kornisné Kp '!C39</f>
        <v>627552300</v>
      </c>
      <c r="F39" s="651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802">
        <v>20521695</v>
      </c>
      <c r="E40" s="651">
        <f>'9.6.1. sz. mell Kornisné Kp. '!C40+'9.6.2. sz. mell Kornisné Kp.'!C40+'9.6.3. sz. mell Kornisné Kp '!C40</f>
        <v>20521695</v>
      </c>
      <c r="F40" s="651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7"/>
      <c r="E41" s="651">
        <f>'9.6.1. sz. mell Kornisné Kp. '!C41+'9.6.2. sz. mell Kornisné Kp.'!C41+'9.6.3. sz. mell Kornisné Kp '!C41</f>
        <v>0</v>
      </c>
      <c r="F41" s="651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479">
        <f>574454744+32575861</f>
        <v>607030605</v>
      </c>
      <c r="E42" s="651">
        <f>'9.6.1. sz. mell Kornisné Kp. '!C42+'9.6.2. sz. mell Kornisné Kp.'!C42+'9.6.3. sz. mell Kornisné Kp '!C42</f>
        <v>607030605</v>
      </c>
      <c r="F42" s="651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1481">
        <f>+C38+C39</f>
        <v>926227543</v>
      </c>
      <c r="E43" s="651">
        <f>'9.6.1. sz. mell Kornisné Kp. '!C43+'9.6.2. sz. mell Kornisné Kp.'!C43+'9.6.3. sz. mell Kornisné Kp '!C43</f>
        <v>926227543</v>
      </c>
      <c r="F43" s="651">
        <f t="shared" si="0"/>
        <v>0</v>
      </c>
    </row>
    <row r="44" spans="1:6" x14ac:dyDescent="0.2">
      <c r="A44" s="106"/>
      <c r="B44" s="107"/>
      <c r="C44" s="807"/>
      <c r="E44" s="651">
        <f>'9.6.1. sz. mell Kornisné Kp. '!C44+'9.6.2. sz. mell Kornisné Kp.'!C44+'9.6.3. sz. mell Kornisné Kp '!C44</f>
        <v>0</v>
      </c>
      <c r="F44" s="651">
        <f t="shared" si="0"/>
        <v>0</v>
      </c>
    </row>
    <row r="45" spans="1:6" s="242" customFormat="1" ht="16.5" customHeight="1" thickBot="1" x14ac:dyDescent="0.25">
      <c r="A45" s="108"/>
      <c r="B45" s="109"/>
      <c r="C45" s="808"/>
      <c r="E45" s="651">
        <f>'9.6.1. sz. mell Kornisné Kp. '!C45+'9.6.2. sz. mell Kornisné Kp.'!C45+'9.6.3. sz. mell Kornisné Kp '!C45</f>
        <v>0</v>
      </c>
      <c r="F45" s="651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6"/>
      <c r="E46" s="651">
        <f>'9.6.1. sz. mell Kornisné Kp. '!C46+'9.6.2. sz. mell Kornisné Kp.'!C46+'9.6.3. sz. mell Kornisné Kp '!C46</f>
        <v>0</v>
      </c>
      <c r="F46" s="651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1477">
        <f>SUM(C48:C52)</f>
        <v>908204092</v>
      </c>
      <c r="E47" s="651">
        <f>'9.6.1. sz. mell Kornisné Kp. '!C47+'9.6.2. sz. mell Kornisné Kp.'!C47+'9.6.3. sz. mell Kornisné Kp '!C47</f>
        <v>908204092</v>
      </c>
      <c r="F47" s="651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516">
        <f>559242888+27724136</f>
        <v>586967024</v>
      </c>
      <c r="E48" s="651">
        <f>'9.6.1. sz. mell Kornisné Kp. '!C48+'9.6.2. sz. mell Kornisné Kp.'!C48+'9.6.3. sz. mell Kornisné Kp '!C48</f>
        <v>586967024</v>
      </c>
      <c r="F48" s="651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517">
        <f>105298280+4851725</f>
        <v>110150005</v>
      </c>
      <c r="E49" s="651">
        <f>'9.6.1. sz. mell Kornisné Kp. '!C49+'9.6.2. sz. mell Kornisné Kp.'!C49+'9.6.3. sz. mell Kornisné Kp '!C49</f>
        <v>110150005</v>
      </c>
      <c r="F49" s="651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6">
        <v>211087063</v>
      </c>
      <c r="E50" s="651">
        <f>'9.6.1. sz. mell Kornisné Kp. '!C50+'9.6.2. sz. mell Kornisné Kp.'!C50+'9.6.3. sz. mell Kornisné Kp '!C50</f>
        <v>211087063</v>
      </c>
      <c r="F50" s="651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6"/>
      <c r="E51" s="651">
        <f>'9.6.1. sz. mell Kornisné Kp. '!C51+'9.6.2. sz. mell Kornisné Kp.'!C51+'9.6.3. sz. mell Kornisné Kp '!C51</f>
        <v>0</v>
      </c>
      <c r="F51" s="651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6"/>
      <c r="E52" s="651">
        <f>'9.6.1. sz. mell Kornisné Kp. '!C52+'9.6.2. sz. mell Kornisné Kp.'!C52+'9.6.3. sz. mell Kornisné Kp '!C52</f>
        <v>0</v>
      </c>
      <c r="F52" s="651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18023451</v>
      </c>
      <c r="E53" s="651">
        <f>'9.6.1. sz. mell Kornisné Kp. '!C53+'9.6.2. sz. mell Kornisné Kp.'!C53+'9.6.3. sz. mell Kornisné Kp '!C53</f>
        <v>18023451</v>
      </c>
      <c r="F53" s="651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802">
        <v>18023451</v>
      </c>
      <c r="E54" s="651">
        <f>'9.6.1. sz. mell Kornisné Kp. '!C54+'9.6.2. sz. mell Kornisné Kp.'!C54+'9.6.3. sz. mell Kornisné Kp '!C54</f>
        <v>18023451</v>
      </c>
      <c r="F54" s="651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6"/>
      <c r="E55" s="651">
        <f>'9.6.1. sz. mell Kornisné Kp. '!C55+'9.6.2. sz. mell Kornisné Kp.'!C55+'9.6.3. sz. mell Kornisné Kp '!C55</f>
        <v>0</v>
      </c>
      <c r="F55" s="651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6"/>
      <c r="E56" s="651">
        <f>'9.6.1. sz. mell Kornisné Kp. '!C56+'9.6.2. sz. mell Kornisné Kp.'!C56+'9.6.3. sz. mell Kornisné Kp '!C56</f>
        <v>0</v>
      </c>
      <c r="F56" s="651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6"/>
      <c r="E57" s="651">
        <f>'9.6.1. sz. mell Kornisné Kp. '!C57+'9.6.2. sz. mell Kornisné Kp.'!C57+'9.6.3. sz. mell Kornisné Kp '!C57</f>
        <v>0</v>
      </c>
      <c r="F57" s="651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801"/>
      <c r="E58" s="651">
        <f>'9.6.1. sz. mell Kornisné Kp. '!C58+'9.6.2. sz. mell Kornisné Kp.'!C58+'9.6.3. sz. mell Kornisné Kp '!C58</f>
        <v>0</v>
      </c>
      <c r="F58" s="651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1478">
        <f>+C47+C53+C58</f>
        <v>926227543</v>
      </c>
      <c r="E59" s="651">
        <f>'9.6.1. sz. mell Kornisné Kp. '!C59+'9.6.2. sz. mell Kornisné Kp.'!C59+'9.6.3. sz. mell Kornisné Kp '!C59</f>
        <v>926227543</v>
      </c>
      <c r="F59" s="651">
        <f t="shared" si="0"/>
        <v>0</v>
      </c>
    </row>
    <row r="60" spans="1:6" ht="14.25" customHeight="1" thickBot="1" x14ac:dyDescent="0.25">
      <c r="C60" s="810"/>
      <c r="E60" s="651">
        <f>'9.6.1. sz. mell Kornisné Kp. '!C60+'9.6.2. sz. mell Kornisné Kp.'!C60+'9.6.3. sz. mell Kornisné Kp '!C60</f>
        <v>0</v>
      </c>
      <c r="F60" s="651">
        <f t="shared" si="0"/>
        <v>0</v>
      </c>
    </row>
    <row r="61" spans="1:6" ht="13.5" thickBot="1" x14ac:dyDescent="0.25">
      <c r="A61" s="115" t="s">
        <v>521</v>
      </c>
      <c r="B61" s="116"/>
      <c r="C61" s="811">
        <v>150</v>
      </c>
      <c r="E61" s="651">
        <f>'9.6.1. sz. mell Kornisné Kp. '!C61+'9.6.2. sz. mell Kornisné Kp.'!C61+'9.6.3. sz. mell Kornisné Kp '!C61</f>
        <v>150</v>
      </c>
      <c r="F61" s="651">
        <f t="shared" si="0"/>
        <v>0</v>
      </c>
    </row>
    <row r="62" spans="1:6" s="411" customFormat="1" ht="13.9" customHeight="1" thickBot="1" x14ac:dyDescent="0.25">
      <c r="A62" s="825" t="s">
        <v>853</v>
      </c>
      <c r="B62" s="824"/>
      <c r="C62" s="826">
        <v>8</v>
      </c>
      <c r="E62" s="651"/>
      <c r="F62" s="651"/>
    </row>
    <row r="63" spans="1:6" s="411" customFormat="1" ht="13.9" customHeight="1" thickBot="1" x14ac:dyDescent="0.25">
      <c r="A63" s="1544" t="s">
        <v>596</v>
      </c>
      <c r="B63" s="1545"/>
      <c r="C63" s="827">
        <v>4</v>
      </c>
      <c r="E63" s="651">
        <f>'9.6.1. sz. mell Kornisné Kp. '!C62+'9.6.2. sz. mell Kornisné Kp.'!C63+'9.6.3. sz. mell Kornisné Kp '!C62</f>
        <v>4</v>
      </c>
      <c r="F63" s="651">
        <f t="shared" si="0"/>
        <v>0</v>
      </c>
    </row>
    <row r="64" spans="1:6" s="411" customFormat="1" ht="19.899999999999999" customHeight="1" thickBot="1" x14ac:dyDescent="0.25">
      <c r="A64" s="1546" t="s">
        <v>595</v>
      </c>
      <c r="B64" s="1547"/>
      <c r="C64" s="532">
        <v>1.5</v>
      </c>
      <c r="E64" s="651">
        <f>'9.6.1. sz. mell Kornisné Kp. '!C63+'9.6.2. sz. mell Kornisné Kp.'!C64+'9.6.3. sz. mell Kornisné Kp '!C63</f>
        <v>1.5</v>
      </c>
      <c r="F64" s="651">
        <f t="shared" si="0"/>
        <v>0</v>
      </c>
    </row>
    <row r="65" spans="1:3" ht="13.5" thickBot="1" x14ac:dyDescent="0.25">
      <c r="A65" s="1548" t="s">
        <v>693</v>
      </c>
      <c r="B65" s="1549"/>
      <c r="C65" s="532">
        <v>55</v>
      </c>
    </row>
  </sheetData>
  <sheetProtection formatCells="0"/>
  <mergeCells count="4">
    <mergeCell ref="A63:B63"/>
    <mergeCell ref="A64:B64"/>
    <mergeCell ref="A65:B65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30" zoomScaleNormal="130" workbookViewId="0">
      <selection activeCell="C13" sqref="C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CONCATENATE("9. melléklet ",ALAPADATOK!A7," ",ALAPADATOK!B7," ",ALAPADATOK!C7," ",ALAPADATOK!D7," ",ALAPADATOK!E7," ",ALAPADATOK!F7," ",ALAPADATOK!G7," ",ALAPADATOK!H7)</f>
        <v>9.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5.25" customHeight="1" x14ac:dyDescent="0.2">
      <c r="A3" s="197" t="s">
        <v>167</v>
      </c>
      <c r="B3" s="175" t="s">
        <v>548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9637776</v>
      </c>
    </row>
    <row r="10" spans="1:3" s="191" customFormat="1" ht="12" customHeight="1" x14ac:dyDescent="0.2">
      <c r="A10" s="234" t="s">
        <v>100</v>
      </c>
      <c r="B10" s="8" t="s">
        <v>223</v>
      </c>
      <c r="C10" s="795"/>
    </row>
    <row r="11" spans="1:3" s="191" customFormat="1" ht="12" customHeight="1" x14ac:dyDescent="0.2">
      <c r="A11" s="235" t="s">
        <v>101</v>
      </c>
      <c r="B11" s="6" t="s">
        <v>224</v>
      </c>
      <c r="C11" s="796">
        <v>7588800</v>
      </c>
    </row>
    <row r="12" spans="1:3" s="191" customFormat="1" ht="12" customHeight="1" x14ac:dyDescent="0.2">
      <c r="A12" s="235" t="s">
        <v>102</v>
      </c>
      <c r="B12" s="6" t="s">
        <v>225</v>
      </c>
      <c r="C12" s="796"/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/>
    </row>
    <row r="15" spans="1:3" s="191" customFormat="1" ht="12" customHeight="1" x14ac:dyDescent="0.2">
      <c r="A15" s="235" t="s">
        <v>104</v>
      </c>
      <c r="B15" s="6" t="s">
        <v>348</v>
      </c>
      <c r="C15" s="796">
        <v>2048976</v>
      </c>
    </row>
    <row r="16" spans="1:3" s="191" customFormat="1" ht="12" customHeight="1" x14ac:dyDescent="0.2">
      <c r="A16" s="235" t="s">
        <v>105</v>
      </c>
      <c r="B16" s="5" t="s">
        <v>349</v>
      </c>
      <c r="C16" s="796"/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/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796"/>
    </row>
    <row r="25" spans="1:3" s="243" customFormat="1" ht="12" customHeight="1" thickBot="1" x14ac:dyDescent="0.25">
      <c r="A25" s="235" t="s">
        <v>109</v>
      </c>
      <c r="B25" s="6" t="s">
        <v>524</v>
      </c>
      <c r="C25" s="796"/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/>
    </row>
    <row r="31" spans="1:3" s="243" customFormat="1" ht="12" customHeight="1" thickBot="1" x14ac:dyDescent="0.25">
      <c r="A31" s="235" t="s">
        <v>216</v>
      </c>
      <c r="B31" s="69" t="s">
        <v>526</v>
      </c>
      <c r="C31" s="803"/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9637776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184556399</v>
      </c>
    </row>
    <row r="40" spans="1:3" s="191" customFormat="1" ht="12" customHeight="1" x14ac:dyDescent="0.2">
      <c r="A40" s="236" t="s">
        <v>358</v>
      </c>
      <c r="B40" s="237" t="s">
        <v>182</v>
      </c>
      <c r="C40" s="802">
        <v>16297751</v>
      </c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1479">
        <f>157005531+11253117</f>
        <v>168258648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481">
        <f>+C38+C39</f>
        <v>194194175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1477">
        <f>SUM(C48:C52)</f>
        <v>193559407</v>
      </c>
    </row>
    <row r="48" spans="1:3" ht="12" customHeight="1" x14ac:dyDescent="0.2">
      <c r="A48" s="235" t="s">
        <v>100</v>
      </c>
      <c r="B48" s="7" t="s">
        <v>51</v>
      </c>
      <c r="C48" s="516">
        <f>136029710+9577120</f>
        <v>145606830</v>
      </c>
    </row>
    <row r="49" spans="1:3" ht="12" customHeight="1" x14ac:dyDescent="0.2">
      <c r="A49" s="235" t="s">
        <v>101</v>
      </c>
      <c r="B49" s="6" t="s">
        <v>149</v>
      </c>
      <c r="C49" s="517">
        <f>24987418+1675997</f>
        <v>26663415</v>
      </c>
    </row>
    <row r="50" spans="1:3" ht="12" customHeight="1" x14ac:dyDescent="0.2">
      <c r="A50" s="235" t="s">
        <v>102</v>
      </c>
      <c r="B50" s="6" t="s">
        <v>125</v>
      </c>
      <c r="C50" s="796">
        <v>21289162</v>
      </c>
    </row>
    <row r="51" spans="1:3" ht="12" customHeight="1" x14ac:dyDescent="0.2">
      <c r="A51" s="235" t="s">
        <v>103</v>
      </c>
      <c r="B51" s="6" t="s">
        <v>150</v>
      </c>
      <c r="C51" s="796"/>
    </row>
    <row r="52" spans="1:3" ht="12" customHeight="1" thickBot="1" x14ac:dyDescent="0.25">
      <c r="A52" s="235" t="s">
        <v>126</v>
      </c>
      <c r="B52" s="6" t="s">
        <v>151</v>
      </c>
      <c r="C52" s="796"/>
    </row>
    <row r="53" spans="1:3" s="244" customFormat="1" ht="12" customHeight="1" thickBot="1" x14ac:dyDescent="0.25">
      <c r="A53" s="88" t="s">
        <v>22</v>
      </c>
      <c r="B53" s="66" t="s">
        <v>364</v>
      </c>
      <c r="C53" s="794">
        <f>SUM(C54:C56)</f>
        <v>634768</v>
      </c>
    </row>
    <row r="54" spans="1:3" ht="12" customHeight="1" x14ac:dyDescent="0.2">
      <c r="A54" s="235" t="s">
        <v>106</v>
      </c>
      <c r="B54" s="7" t="s">
        <v>173</v>
      </c>
      <c r="C54" s="802">
        <v>634768</v>
      </c>
    </row>
    <row r="55" spans="1:3" ht="12" customHeight="1" x14ac:dyDescent="0.2">
      <c r="A55" s="235" t="s">
        <v>107</v>
      </c>
      <c r="B55" s="6" t="s">
        <v>153</v>
      </c>
      <c r="C55" s="796"/>
    </row>
    <row r="56" spans="1:3" ht="12" customHeight="1" x14ac:dyDescent="0.2">
      <c r="A56" s="235" t="s">
        <v>108</v>
      </c>
      <c r="B56" s="6" t="s">
        <v>60</v>
      </c>
      <c r="C56" s="796"/>
    </row>
    <row r="57" spans="1:3" ht="15" customHeight="1" thickBot="1" x14ac:dyDescent="0.25">
      <c r="A57" s="235" t="s">
        <v>109</v>
      </c>
      <c r="B57" s="6" t="s">
        <v>527</v>
      </c>
      <c r="C57" s="796"/>
    </row>
    <row r="58" spans="1:3" ht="13.5" thickBot="1" x14ac:dyDescent="0.25">
      <c r="A58" s="88" t="s">
        <v>23</v>
      </c>
      <c r="B58" s="66" t="s">
        <v>15</v>
      </c>
      <c r="C58" s="801"/>
    </row>
    <row r="59" spans="1:3" ht="15" customHeight="1" thickBot="1" x14ac:dyDescent="0.25">
      <c r="A59" s="88" t="s">
        <v>24</v>
      </c>
      <c r="B59" s="112" t="s">
        <v>528</v>
      </c>
      <c r="C59" s="1478">
        <f>+C47+C53+C58</f>
        <v>194194175</v>
      </c>
    </row>
    <row r="60" spans="1:3" ht="14.25" customHeight="1" thickBot="1" x14ac:dyDescent="0.25">
      <c r="C60" s="810"/>
    </row>
    <row r="61" spans="1:3" ht="13.5" thickBot="1" x14ac:dyDescent="0.25">
      <c r="A61" s="115" t="s">
        <v>521</v>
      </c>
      <c r="B61" s="116"/>
      <c r="C61" s="811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145" zoomScaleNormal="145" workbookViewId="0">
      <selection activeCell="B9" sqref="B9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5" style="114" bestFit="1" customWidth="1"/>
    <col min="5" max="5" width="10.83203125" style="114" bestFit="1" customWidth="1"/>
    <col min="6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CONCATENATE("10. melléklet ",ALAPADATOK!A7," ",ALAPADATOK!B7," ",ALAPADATOK!C7," ",ALAPADATOK!D7," ",ALAPADATOK!E7," ",ALAPADATOK!F7," ",ALAPADATOK!G7," ",ALAPADATOK!H7)</f>
        <v>10.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548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406" t="s">
        <v>63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190324785</v>
      </c>
    </row>
    <row r="10" spans="1:3" s="191" customFormat="1" ht="12" customHeight="1" x14ac:dyDescent="0.2">
      <c r="A10" s="234" t="s">
        <v>100</v>
      </c>
      <c r="B10" s="8" t="s">
        <v>223</v>
      </c>
      <c r="C10" s="795"/>
    </row>
    <row r="11" spans="1:3" s="191" customFormat="1" ht="12" customHeight="1" x14ac:dyDescent="0.2">
      <c r="A11" s="235" t="s">
        <v>101</v>
      </c>
      <c r="B11" s="6" t="s">
        <v>224</v>
      </c>
      <c r="C11" s="796">
        <v>2278000</v>
      </c>
    </row>
    <row r="12" spans="1:3" s="191" customFormat="1" ht="12" customHeight="1" x14ac:dyDescent="0.2">
      <c r="A12" s="235" t="s">
        <v>102</v>
      </c>
      <c r="B12" s="6" t="s">
        <v>225</v>
      </c>
      <c r="C12" s="796">
        <v>12700000</v>
      </c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>
        <v>173575135</v>
      </c>
    </row>
    <row r="15" spans="1:3" s="191" customFormat="1" ht="12" customHeight="1" x14ac:dyDescent="0.2">
      <c r="A15" s="235" t="s">
        <v>104</v>
      </c>
      <c r="B15" s="6" t="s">
        <v>348</v>
      </c>
      <c r="C15" s="796">
        <v>1771650</v>
      </c>
    </row>
    <row r="16" spans="1:3" s="191" customFormat="1" ht="12" customHeight="1" x14ac:dyDescent="0.2">
      <c r="A16" s="235" t="s">
        <v>105</v>
      </c>
      <c r="B16" s="5" t="s">
        <v>349</v>
      </c>
      <c r="C16" s="796"/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/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86729523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796">
        <v>86729523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6">
        <v>69276523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10712200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>
        <v>10712200</v>
      </c>
    </row>
    <row r="31" spans="1:3" s="243" customFormat="1" ht="12" customHeight="1" thickBot="1" x14ac:dyDescent="0.25">
      <c r="A31" s="235" t="s">
        <v>216</v>
      </c>
      <c r="B31" s="69" t="s">
        <v>526</v>
      </c>
      <c r="C31" s="803">
        <v>1092200</v>
      </c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287766508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442995901</v>
      </c>
    </row>
    <row r="40" spans="1:3" s="191" customFormat="1" ht="12" customHeight="1" x14ac:dyDescent="0.2">
      <c r="A40" s="236" t="s">
        <v>358</v>
      </c>
      <c r="B40" s="237" t="s">
        <v>182</v>
      </c>
      <c r="C40" s="802">
        <v>4223944</v>
      </c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1479">
        <f>417892539-443326+21304586+18158</f>
        <v>438771957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481">
        <f>+C38+C39</f>
        <v>730762409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1477">
        <f>SUM(C48:C52)</f>
        <v>713798894</v>
      </c>
    </row>
    <row r="48" spans="1:3" ht="12" customHeight="1" x14ac:dyDescent="0.2">
      <c r="A48" s="235" t="s">
        <v>100</v>
      </c>
      <c r="B48" s="7" t="s">
        <v>51</v>
      </c>
      <c r="C48" s="516">
        <f>422879901+18131562</f>
        <v>441011463</v>
      </c>
    </row>
    <row r="49" spans="1:5" ht="12" customHeight="1" x14ac:dyDescent="0.2">
      <c r="A49" s="235" t="s">
        <v>101</v>
      </c>
      <c r="B49" s="6" t="s">
        <v>149</v>
      </c>
      <c r="C49" s="517">
        <f>80252538+3173024</f>
        <v>83425562</v>
      </c>
    </row>
    <row r="50" spans="1:5" ht="12" customHeight="1" x14ac:dyDescent="0.2">
      <c r="A50" s="235" t="s">
        <v>102</v>
      </c>
      <c r="B50" s="6" t="s">
        <v>125</v>
      </c>
      <c r="C50" s="796">
        <v>189361869</v>
      </c>
    </row>
    <row r="51" spans="1:5" ht="12" customHeight="1" x14ac:dyDescent="0.2">
      <c r="A51" s="235" t="s">
        <v>103</v>
      </c>
      <c r="B51" s="6" t="s">
        <v>150</v>
      </c>
      <c r="C51" s="796"/>
    </row>
    <row r="52" spans="1:5" ht="12" customHeight="1" thickBot="1" x14ac:dyDescent="0.25">
      <c r="A52" s="235" t="s">
        <v>126</v>
      </c>
      <c r="B52" s="6" t="s">
        <v>151</v>
      </c>
      <c r="C52" s="796"/>
    </row>
    <row r="53" spans="1:5" s="244" customFormat="1" ht="12" customHeight="1" thickBot="1" x14ac:dyDescent="0.25">
      <c r="A53" s="88" t="s">
        <v>22</v>
      </c>
      <c r="B53" s="66" t="s">
        <v>364</v>
      </c>
      <c r="C53" s="794">
        <f>SUM(C54:C56)</f>
        <v>17388683</v>
      </c>
    </row>
    <row r="54" spans="1:5" ht="12" customHeight="1" x14ac:dyDescent="0.2">
      <c r="A54" s="235" t="s">
        <v>106</v>
      </c>
      <c r="B54" s="7" t="s">
        <v>173</v>
      </c>
      <c r="C54" s="802">
        <v>17388683</v>
      </c>
    </row>
    <row r="55" spans="1:5" ht="12" customHeight="1" x14ac:dyDescent="0.2">
      <c r="A55" s="235" t="s">
        <v>107</v>
      </c>
      <c r="B55" s="6" t="s">
        <v>153</v>
      </c>
      <c r="C55" s="796"/>
    </row>
    <row r="56" spans="1:5" ht="12" customHeight="1" x14ac:dyDescent="0.2">
      <c r="A56" s="235" t="s">
        <v>108</v>
      </c>
      <c r="B56" s="6" t="s">
        <v>60</v>
      </c>
      <c r="C56" s="796"/>
    </row>
    <row r="57" spans="1:5" ht="15" customHeight="1" thickBot="1" x14ac:dyDescent="0.25">
      <c r="A57" s="235" t="s">
        <v>109</v>
      </c>
      <c r="B57" s="6" t="s">
        <v>527</v>
      </c>
      <c r="C57" s="796"/>
    </row>
    <row r="58" spans="1:5" ht="13.5" thickBot="1" x14ac:dyDescent="0.25">
      <c r="A58" s="88" t="s">
        <v>23</v>
      </c>
      <c r="B58" s="66" t="s">
        <v>15</v>
      </c>
      <c r="C58" s="801"/>
      <c r="D58" s="37"/>
      <c r="E58" s="37"/>
    </row>
    <row r="59" spans="1:5" ht="15" customHeight="1" thickBot="1" x14ac:dyDescent="0.25">
      <c r="A59" s="88" t="s">
        <v>24</v>
      </c>
      <c r="B59" s="112" t="s">
        <v>528</v>
      </c>
      <c r="C59" s="1478">
        <f>+C47+C53+C58</f>
        <v>731187577</v>
      </c>
    </row>
    <row r="60" spans="1:5" ht="14.25" customHeight="1" thickBot="1" x14ac:dyDescent="0.25">
      <c r="C60" s="810"/>
    </row>
    <row r="61" spans="1:5" ht="13.5" thickBot="1" x14ac:dyDescent="0.25">
      <c r="A61" s="115" t="s">
        <v>521</v>
      </c>
      <c r="B61" s="116"/>
      <c r="C61" s="811">
        <v>109</v>
      </c>
    </row>
    <row r="62" spans="1:5" ht="13.5" thickBot="1" x14ac:dyDescent="0.25">
      <c r="A62" s="825" t="s">
        <v>858</v>
      </c>
      <c r="B62" s="824"/>
      <c r="C62" s="826">
        <v>8</v>
      </c>
    </row>
    <row r="63" spans="1:5" s="411" customFormat="1" ht="13.9" customHeight="1" thickBot="1" x14ac:dyDescent="0.25">
      <c r="A63" s="1544" t="s">
        <v>596</v>
      </c>
      <c r="B63" s="1545"/>
      <c r="C63" s="827">
        <v>4</v>
      </c>
    </row>
    <row r="64" spans="1:5" s="411" customFormat="1" ht="13.5" thickBot="1" x14ac:dyDescent="0.25">
      <c r="A64" s="1546" t="s">
        <v>595</v>
      </c>
      <c r="B64" s="1547"/>
      <c r="C64" s="532">
        <v>1.5</v>
      </c>
    </row>
    <row r="65" spans="1:3" ht="13.5" thickBot="1" x14ac:dyDescent="0.25">
      <c r="A65" s="1548" t="s">
        <v>693</v>
      </c>
      <c r="B65" s="1549"/>
      <c r="C65" s="532">
        <v>55</v>
      </c>
    </row>
  </sheetData>
  <sheetProtection formatCells="0"/>
  <mergeCells count="4">
    <mergeCell ref="A63:B63"/>
    <mergeCell ref="A64:B64"/>
    <mergeCell ref="A65:B65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zoomScale="115" zoomScaleNormal="115" zoomScaleSheetLayoutView="100" workbookViewId="0">
      <selection activeCell="B17" sqref="B17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9.33203125" style="204" hidden="1" customWidth="1"/>
    <col min="5" max="5" width="15.83203125" style="204" hidden="1" customWidth="1"/>
    <col min="6" max="6" width="15.33203125" style="204" hidden="1" customWidth="1"/>
    <col min="7" max="16384" width="9.33203125" style="204"/>
  </cols>
  <sheetData>
    <row r="1" spans="1:6" s="1006" customFormat="1" x14ac:dyDescent="0.25">
      <c r="A1" s="1496" t="str">
        <f>CONCATENATE("3. melléklet"," ",ALAPADATOK!A7," ",ALAPADATOK!B7," ",ALAPADATOK!C7," ",ALAPADATOK!D7," ",ALAPADATOK!E7," ",ALAPADATOK!F7," ",ALAPADATOK!G7," ",ALAPADATOK!H7)</f>
        <v>3. melléklet a 6 / 2020. ( II.27 ) önkormányzati határozathoz</v>
      </c>
      <c r="B1" s="1496"/>
      <c r="C1" s="1496"/>
    </row>
    <row r="2" spans="1:6" s="1375" customFormat="1" x14ac:dyDescent="0.25">
      <c r="A2" s="1066"/>
      <c r="B2" s="1066"/>
      <c r="C2" s="1066"/>
    </row>
    <row r="3" spans="1:6" s="1006" customFormat="1" x14ac:dyDescent="0.25">
      <c r="A3" s="1494" t="str">
        <f>CONCATENATE(ALAPADATOK!A3)</f>
        <v>Tiszavasvári Város Önkormányzat</v>
      </c>
      <c r="B3" s="1494"/>
      <c r="C3" s="1494"/>
    </row>
    <row r="4" spans="1:6" s="1006" customFormat="1" x14ac:dyDescent="0.25">
      <c r="A4" s="1495" t="str">
        <f>CONCATENATE(ALAPADATOK!D7," ÉVI KÖLTSÉGVETÉS")</f>
        <v>2020. ÉVI KÖLTSÉGVETÉS</v>
      </c>
      <c r="B4" s="1495"/>
      <c r="C4" s="1495"/>
    </row>
    <row r="5" spans="1:6" s="1006" customFormat="1" x14ac:dyDescent="0.25">
      <c r="A5" s="1495" t="s">
        <v>902</v>
      </c>
      <c r="B5" s="1495"/>
      <c r="C5" s="1495"/>
    </row>
    <row r="6" spans="1:6" s="1006" customFormat="1" x14ac:dyDescent="0.25">
      <c r="A6" s="1005"/>
      <c r="B6" s="1005"/>
      <c r="C6" s="329"/>
    </row>
    <row r="7" spans="1:6" ht="15.95" customHeight="1" x14ac:dyDescent="0.25">
      <c r="A7" s="1498" t="s">
        <v>18</v>
      </c>
      <c r="B7" s="1498"/>
      <c r="C7" s="1498"/>
      <c r="D7" s="193"/>
      <c r="E7" s="193"/>
      <c r="F7" s="193"/>
    </row>
    <row r="8" spans="1:6" ht="15.95" customHeight="1" thickBot="1" x14ac:dyDescent="0.3">
      <c r="A8" s="1500"/>
      <c r="B8" s="1500"/>
      <c r="C8" s="139" t="s">
        <v>557</v>
      </c>
      <c r="D8" s="193"/>
      <c r="E8" s="193"/>
      <c r="F8" s="193"/>
    </row>
    <row r="9" spans="1:6" ht="38.1" customHeight="1" thickBot="1" x14ac:dyDescent="0.3">
      <c r="A9" s="21" t="s">
        <v>72</v>
      </c>
      <c r="B9" s="22" t="s">
        <v>20</v>
      </c>
      <c r="C9" s="31" t="s">
        <v>794</v>
      </c>
      <c r="D9" s="193" t="s">
        <v>563</v>
      </c>
      <c r="E9" s="193" t="s">
        <v>564</v>
      </c>
      <c r="F9" s="193" t="s">
        <v>565</v>
      </c>
    </row>
    <row r="10" spans="1:6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6" s="206" customFormat="1" ht="12" customHeight="1" thickBot="1" x14ac:dyDescent="0.25">
      <c r="A11" s="18" t="s">
        <v>21</v>
      </c>
      <c r="B11" s="19" t="s">
        <v>195</v>
      </c>
      <c r="C11" s="130">
        <f t="shared" ref="C11:C74" si="0">SUM(D11:F11)</f>
        <v>183403360</v>
      </c>
      <c r="D11" s="298">
        <f>+D12+D13+D14+D15+D16+D17</f>
        <v>183403360</v>
      </c>
      <c r="E11" s="130">
        <f>+E12+E13+E14+E15+E16+E17</f>
        <v>0</v>
      </c>
      <c r="F11" s="130">
        <f>+F12+F13+F14+F15+F16+F17</f>
        <v>0</v>
      </c>
    </row>
    <row r="12" spans="1:6" s="206" customFormat="1" ht="12" customHeight="1" x14ac:dyDescent="0.2">
      <c r="A12" s="13" t="s">
        <v>100</v>
      </c>
      <c r="B12" s="207" t="s">
        <v>196</v>
      </c>
      <c r="C12" s="202">
        <f t="shared" si="0"/>
        <v>0</v>
      </c>
      <c r="D12" s="300"/>
      <c r="E12" s="245"/>
      <c r="F12" s="132"/>
    </row>
    <row r="13" spans="1:6" s="206" customFormat="1" ht="12" customHeight="1" x14ac:dyDescent="0.2">
      <c r="A13" s="12" t="s">
        <v>101</v>
      </c>
      <c r="B13" s="208" t="s">
        <v>197</v>
      </c>
      <c r="C13" s="325">
        <f t="shared" si="0"/>
        <v>0</v>
      </c>
      <c r="D13" s="119"/>
      <c r="E13" s="134"/>
      <c r="F13" s="131"/>
    </row>
    <row r="14" spans="1:6" s="206" customFormat="1" ht="12" customHeight="1" x14ac:dyDescent="0.2">
      <c r="A14" s="12" t="s">
        <v>102</v>
      </c>
      <c r="B14" s="208" t="s">
        <v>547</v>
      </c>
      <c r="C14" s="325">
        <f t="shared" si="0"/>
        <v>183403360</v>
      </c>
      <c r="D14" s="119">
        <v>183403360</v>
      </c>
      <c r="E14" s="134"/>
      <c r="F14" s="131"/>
    </row>
    <row r="15" spans="1:6" s="206" customFormat="1" ht="12" customHeight="1" x14ac:dyDescent="0.2">
      <c r="A15" s="12" t="s">
        <v>103</v>
      </c>
      <c r="B15" s="208" t="s">
        <v>199</v>
      </c>
      <c r="C15" s="325">
        <f t="shared" si="0"/>
        <v>0</v>
      </c>
      <c r="D15" s="119"/>
      <c r="E15" s="134"/>
      <c r="F15" s="131"/>
    </row>
    <row r="16" spans="1:6" s="206" customFormat="1" ht="12" customHeight="1" x14ac:dyDescent="0.2">
      <c r="A16" s="12" t="s">
        <v>126</v>
      </c>
      <c r="B16" s="126" t="s">
        <v>450</v>
      </c>
      <c r="C16" s="325">
        <f t="shared" si="0"/>
        <v>0</v>
      </c>
      <c r="D16" s="282"/>
      <c r="E16" s="134"/>
      <c r="F16" s="134"/>
    </row>
    <row r="17" spans="1:6" s="206" customFormat="1" ht="12" customHeight="1" thickBot="1" x14ac:dyDescent="0.25">
      <c r="A17" s="14" t="s">
        <v>104</v>
      </c>
      <c r="B17" s="127" t="s">
        <v>451</v>
      </c>
      <c r="C17" s="326">
        <f t="shared" si="0"/>
        <v>0</v>
      </c>
      <c r="D17" s="119"/>
      <c r="E17" s="131"/>
      <c r="F17" s="131"/>
    </row>
    <row r="18" spans="1:6" s="206" customFormat="1" ht="12" customHeight="1" thickBot="1" x14ac:dyDescent="0.25">
      <c r="A18" s="18" t="s">
        <v>22</v>
      </c>
      <c r="B18" s="125" t="s">
        <v>200</v>
      </c>
      <c r="C18" s="130">
        <f t="shared" si="0"/>
        <v>200002191</v>
      </c>
      <c r="D18" s="298">
        <f>+D19+D20+D21+D22+D23</f>
        <v>113272668</v>
      </c>
      <c r="E18" s="130">
        <f>+E19+E20+E21+E22+E23</f>
        <v>0</v>
      </c>
      <c r="F18" s="130">
        <f>+F19+F20+F21+F22+F23</f>
        <v>86729523</v>
      </c>
    </row>
    <row r="19" spans="1:6" s="206" customFormat="1" ht="12" customHeight="1" x14ac:dyDescent="0.2">
      <c r="A19" s="13" t="s">
        <v>106</v>
      </c>
      <c r="B19" s="207" t="s">
        <v>201</v>
      </c>
      <c r="C19" s="202">
        <f t="shared" si="0"/>
        <v>0</v>
      </c>
      <c r="D19" s="300"/>
      <c r="E19" s="132"/>
      <c r="F19" s="132"/>
    </row>
    <row r="20" spans="1:6" s="206" customFormat="1" ht="12" customHeight="1" x14ac:dyDescent="0.2">
      <c r="A20" s="12" t="s">
        <v>107</v>
      </c>
      <c r="B20" s="208" t="s">
        <v>202</v>
      </c>
      <c r="C20" s="325">
        <f t="shared" si="0"/>
        <v>0</v>
      </c>
      <c r="D20" s="119"/>
      <c r="E20" s="131"/>
      <c r="F20" s="131"/>
    </row>
    <row r="21" spans="1:6" s="206" customFormat="1" ht="12" customHeight="1" x14ac:dyDescent="0.2">
      <c r="A21" s="12" t="s">
        <v>108</v>
      </c>
      <c r="B21" s="208" t="s">
        <v>370</v>
      </c>
      <c r="C21" s="325">
        <f t="shared" si="0"/>
        <v>0</v>
      </c>
      <c r="D21" s="119"/>
      <c r="E21" s="131"/>
      <c r="F21" s="131"/>
    </row>
    <row r="22" spans="1:6" s="206" customFormat="1" ht="12" customHeight="1" x14ac:dyDescent="0.2">
      <c r="A22" s="12" t="s">
        <v>109</v>
      </c>
      <c r="B22" s="208" t="s">
        <v>371</v>
      </c>
      <c r="C22" s="325">
        <f t="shared" si="0"/>
        <v>0</v>
      </c>
      <c r="D22" s="119"/>
      <c r="E22" s="131"/>
      <c r="F22" s="131"/>
    </row>
    <row r="23" spans="1:6" s="206" customFormat="1" ht="12" customHeight="1" x14ac:dyDescent="0.2">
      <c r="A23" s="12" t="s">
        <v>110</v>
      </c>
      <c r="B23" s="208" t="s">
        <v>203</v>
      </c>
      <c r="C23" s="513">
        <f t="shared" si="0"/>
        <v>200002191</v>
      </c>
      <c r="D23" s="282">
        <v>113272668</v>
      </c>
      <c r="E23" s="134"/>
      <c r="F23" s="134">
        <f>86729523</f>
        <v>86729523</v>
      </c>
    </row>
    <row r="24" spans="1:6" s="206" customFormat="1" ht="12" customHeight="1" thickBot="1" x14ac:dyDescent="0.25">
      <c r="A24" s="14" t="s">
        <v>119</v>
      </c>
      <c r="B24" s="127" t="s">
        <v>204</v>
      </c>
      <c r="C24" s="326">
        <f t="shared" si="0"/>
        <v>69276523</v>
      </c>
      <c r="D24" s="286"/>
      <c r="E24" s="196"/>
      <c r="F24" s="196">
        <f>69276523</f>
        <v>69276523</v>
      </c>
    </row>
    <row r="25" spans="1:6" s="206" customFormat="1" ht="12" customHeight="1" thickBot="1" x14ac:dyDescent="0.25">
      <c r="A25" s="18" t="s">
        <v>23</v>
      </c>
      <c r="B25" s="19" t="s">
        <v>205</v>
      </c>
      <c r="C25" s="130">
        <f t="shared" si="0"/>
        <v>10712200</v>
      </c>
      <c r="D25" s="298">
        <f>+D26+D27+D28+D29+D30</f>
        <v>0</v>
      </c>
      <c r="E25" s="130">
        <f>+E26+E27+E28+E29+E30</f>
        <v>0</v>
      </c>
      <c r="F25" s="130">
        <f>+F26+F27+F28+F29+F30</f>
        <v>10712200</v>
      </c>
    </row>
    <row r="26" spans="1:6" s="206" customFormat="1" ht="12" customHeight="1" x14ac:dyDescent="0.2">
      <c r="A26" s="13" t="s">
        <v>89</v>
      </c>
      <c r="B26" s="207" t="s">
        <v>206</v>
      </c>
      <c r="C26" s="202">
        <f t="shared" si="0"/>
        <v>0</v>
      </c>
      <c r="D26" s="300"/>
      <c r="E26" s="666"/>
      <c r="F26" s="132"/>
    </row>
    <row r="27" spans="1:6" s="206" customFormat="1" ht="12" customHeight="1" x14ac:dyDescent="0.2">
      <c r="A27" s="12" t="s">
        <v>90</v>
      </c>
      <c r="B27" s="208" t="s">
        <v>207</v>
      </c>
      <c r="C27" s="325">
        <f t="shared" si="0"/>
        <v>0</v>
      </c>
      <c r="D27" s="119"/>
      <c r="E27" s="134"/>
      <c r="F27" s="131"/>
    </row>
    <row r="28" spans="1:6" s="206" customFormat="1" ht="12" customHeight="1" x14ac:dyDescent="0.2">
      <c r="A28" s="12" t="s">
        <v>91</v>
      </c>
      <c r="B28" s="208" t="s">
        <v>372</v>
      </c>
      <c r="C28" s="325">
        <f t="shared" si="0"/>
        <v>0</v>
      </c>
      <c r="D28" s="119"/>
      <c r="E28" s="134"/>
      <c r="F28" s="131"/>
    </row>
    <row r="29" spans="1:6" s="206" customFormat="1" ht="12" customHeight="1" x14ac:dyDescent="0.2">
      <c r="A29" s="12" t="s">
        <v>92</v>
      </c>
      <c r="B29" s="208" t="s">
        <v>373</v>
      </c>
      <c r="C29" s="325">
        <f t="shared" si="0"/>
        <v>0</v>
      </c>
      <c r="D29" s="119"/>
      <c r="E29" s="134"/>
      <c r="F29" s="131"/>
    </row>
    <row r="30" spans="1:6" s="206" customFormat="1" ht="12" customHeight="1" x14ac:dyDescent="0.2">
      <c r="A30" s="12" t="s">
        <v>137</v>
      </c>
      <c r="B30" s="208" t="s">
        <v>208</v>
      </c>
      <c r="C30" s="325">
        <f t="shared" si="0"/>
        <v>10712200</v>
      </c>
      <c r="D30" s="282"/>
      <c r="E30" s="134"/>
      <c r="F30" s="134">
        <f>10712200</f>
        <v>10712200</v>
      </c>
    </row>
    <row r="31" spans="1:6" s="206" customFormat="1" ht="12" customHeight="1" thickBot="1" x14ac:dyDescent="0.25">
      <c r="A31" s="14" t="s">
        <v>138</v>
      </c>
      <c r="B31" s="209" t="s">
        <v>209</v>
      </c>
      <c r="C31" s="326">
        <f t="shared" si="0"/>
        <v>1092200</v>
      </c>
      <c r="D31" s="286"/>
      <c r="E31" s="196"/>
      <c r="F31" s="196">
        <f>1092200</f>
        <v>1092200</v>
      </c>
    </row>
    <row r="32" spans="1:6" s="206" customFormat="1" ht="12" customHeight="1" thickBot="1" x14ac:dyDescent="0.25">
      <c r="A32" s="18" t="s">
        <v>139</v>
      </c>
      <c r="B32" s="19" t="s">
        <v>661</v>
      </c>
      <c r="C32" s="327">
        <f t="shared" si="0"/>
        <v>0</v>
      </c>
      <c r="D32" s="301">
        <f>+D33+D37+D38+D39</f>
        <v>0</v>
      </c>
      <c r="E32" s="135">
        <f>+E33+E37+E38+E39</f>
        <v>0</v>
      </c>
      <c r="F32" s="135">
        <f>+F33+F37+F38+F39</f>
        <v>0</v>
      </c>
    </row>
    <row r="33" spans="1:6" s="206" customFormat="1" ht="12" customHeight="1" x14ac:dyDescent="0.2">
      <c r="A33" s="13" t="s">
        <v>211</v>
      </c>
      <c r="B33" s="207" t="s">
        <v>656</v>
      </c>
      <c r="C33" s="202">
        <f t="shared" si="0"/>
        <v>0</v>
      </c>
      <c r="D33" s="316">
        <f>SUM(D34:D35)</f>
        <v>0</v>
      </c>
      <c r="E33" s="316">
        <f t="shared" ref="E33:F33" si="1">SUM(E34:E35)</f>
        <v>0</v>
      </c>
      <c r="F33" s="316">
        <f t="shared" si="1"/>
        <v>0</v>
      </c>
    </row>
    <row r="34" spans="1:6" s="206" customFormat="1" ht="12" customHeight="1" x14ac:dyDescent="0.2">
      <c r="A34" s="12" t="s">
        <v>212</v>
      </c>
      <c r="B34" s="208" t="s">
        <v>217</v>
      </c>
      <c r="C34" s="325">
        <f t="shared" si="0"/>
        <v>0</v>
      </c>
      <c r="D34" s="119"/>
      <c r="E34" s="131"/>
      <c r="F34" s="131"/>
    </row>
    <row r="35" spans="1:6" s="206" customFormat="1" ht="12" customHeight="1" x14ac:dyDescent="0.2">
      <c r="A35" s="12" t="s">
        <v>213</v>
      </c>
      <c r="B35" s="266" t="s">
        <v>655</v>
      </c>
      <c r="C35" s="325">
        <f t="shared" si="0"/>
        <v>0</v>
      </c>
      <c r="D35" s="119"/>
      <c r="E35" s="131"/>
      <c r="F35" s="131"/>
    </row>
    <row r="36" spans="1:6" s="206" customFormat="1" ht="12" customHeight="1" x14ac:dyDescent="0.2">
      <c r="A36" s="12" t="s">
        <v>214</v>
      </c>
      <c r="B36" s="208" t="s">
        <v>538</v>
      </c>
      <c r="C36" s="325">
        <f t="shared" si="0"/>
        <v>0</v>
      </c>
      <c r="D36" s="119"/>
      <c r="E36" s="134"/>
      <c r="F36" s="131"/>
    </row>
    <row r="37" spans="1:6" s="206" customFormat="1" ht="12" customHeight="1" x14ac:dyDescent="0.2">
      <c r="A37" s="12" t="s">
        <v>539</v>
      </c>
      <c r="B37" s="208" t="s">
        <v>218</v>
      </c>
      <c r="C37" s="325">
        <f t="shared" si="0"/>
        <v>0</v>
      </c>
      <c r="D37" s="119"/>
      <c r="E37" s="131"/>
      <c r="F37" s="131"/>
    </row>
    <row r="38" spans="1:6" s="206" customFormat="1" ht="12" customHeight="1" x14ac:dyDescent="0.2">
      <c r="A38" s="12" t="s">
        <v>216</v>
      </c>
      <c r="B38" s="208" t="s">
        <v>219</v>
      </c>
      <c r="C38" s="325">
        <f t="shared" si="0"/>
        <v>0</v>
      </c>
      <c r="D38" s="119"/>
      <c r="E38" s="131"/>
      <c r="F38" s="131"/>
    </row>
    <row r="39" spans="1:6" s="206" customFormat="1" ht="12" customHeight="1" thickBot="1" x14ac:dyDescent="0.25">
      <c r="A39" s="14" t="s">
        <v>540</v>
      </c>
      <c r="B39" s="209" t="s">
        <v>220</v>
      </c>
      <c r="C39" s="326">
        <f t="shared" si="0"/>
        <v>0</v>
      </c>
      <c r="D39" s="120"/>
      <c r="E39" s="196"/>
      <c r="F39" s="133"/>
    </row>
    <row r="40" spans="1:6" s="206" customFormat="1" ht="12" customHeight="1" thickBot="1" x14ac:dyDescent="0.25">
      <c r="A40" s="18" t="s">
        <v>25</v>
      </c>
      <c r="B40" s="19" t="s">
        <v>452</v>
      </c>
      <c r="C40" s="130">
        <f t="shared" si="0"/>
        <v>196945485</v>
      </c>
      <c r="D40" s="298">
        <f>SUM(D41:D51)</f>
        <v>5465000</v>
      </c>
      <c r="E40" s="130">
        <f>SUM(E41:E51)</f>
        <v>0</v>
      </c>
      <c r="F40" s="130">
        <f>SUM(F41:F51)</f>
        <v>191480485</v>
      </c>
    </row>
    <row r="41" spans="1:6" s="206" customFormat="1" ht="12" customHeight="1" x14ac:dyDescent="0.2">
      <c r="A41" s="13" t="s">
        <v>93</v>
      </c>
      <c r="B41" s="207" t="s">
        <v>223</v>
      </c>
      <c r="C41" s="202">
        <f t="shared" si="0"/>
        <v>0</v>
      </c>
      <c r="D41" s="300"/>
      <c r="E41" s="245"/>
      <c r="F41" s="132"/>
    </row>
    <row r="42" spans="1:6" s="206" customFormat="1" ht="12" customHeight="1" x14ac:dyDescent="0.2">
      <c r="A42" s="12" t="s">
        <v>94</v>
      </c>
      <c r="B42" s="208" t="s">
        <v>224</v>
      </c>
      <c r="C42" s="325">
        <f t="shared" si="0"/>
        <v>7491149</v>
      </c>
      <c r="D42" s="282">
        <f>4303149</f>
        <v>4303149</v>
      </c>
      <c r="E42" s="134"/>
      <c r="F42" s="132">
        <f>2278000+910000</f>
        <v>3188000</v>
      </c>
    </row>
    <row r="43" spans="1:6" s="206" customFormat="1" ht="12" customHeight="1" x14ac:dyDescent="0.2">
      <c r="A43" s="12" t="s">
        <v>95</v>
      </c>
      <c r="B43" s="208" t="s">
        <v>225</v>
      </c>
      <c r="C43" s="325">
        <f t="shared" si="0"/>
        <v>12700000</v>
      </c>
      <c r="D43" s="282"/>
      <c r="E43" s="134"/>
      <c r="F43" s="132">
        <f>12700000</f>
        <v>12700000</v>
      </c>
    </row>
    <row r="44" spans="1:6" s="206" customFormat="1" ht="12" customHeight="1" x14ac:dyDescent="0.2">
      <c r="A44" s="12" t="s">
        <v>141</v>
      </c>
      <c r="B44" s="208" t="s">
        <v>226</v>
      </c>
      <c r="C44" s="325">
        <f t="shared" si="0"/>
        <v>0</v>
      </c>
      <c r="D44" s="119"/>
      <c r="E44" s="134"/>
      <c r="F44" s="132"/>
    </row>
    <row r="45" spans="1:6" s="206" customFormat="1" ht="12" customHeight="1" x14ac:dyDescent="0.2">
      <c r="A45" s="12" t="s">
        <v>142</v>
      </c>
      <c r="B45" s="208" t="s">
        <v>227</v>
      </c>
      <c r="C45" s="325">
        <f t="shared" si="0"/>
        <v>173575135</v>
      </c>
      <c r="D45" s="119"/>
      <c r="E45" s="134"/>
      <c r="F45" s="132">
        <f>173575135</f>
        <v>173575135</v>
      </c>
    </row>
    <row r="46" spans="1:6" s="206" customFormat="1" ht="12" customHeight="1" x14ac:dyDescent="0.2">
      <c r="A46" s="12" t="s">
        <v>143</v>
      </c>
      <c r="B46" s="208" t="s">
        <v>228</v>
      </c>
      <c r="C46" s="325">
        <f t="shared" si="0"/>
        <v>3179201</v>
      </c>
      <c r="D46" s="119">
        <v>1161851</v>
      </c>
      <c r="E46" s="134"/>
      <c r="F46" s="132">
        <f>1771650+245700</f>
        <v>2017350</v>
      </c>
    </row>
    <row r="47" spans="1:6" s="206" customFormat="1" ht="12" customHeight="1" x14ac:dyDescent="0.2">
      <c r="A47" s="12" t="s">
        <v>144</v>
      </c>
      <c r="B47" s="208" t="s">
        <v>229</v>
      </c>
      <c r="C47" s="325">
        <f t="shared" si="0"/>
        <v>0</v>
      </c>
      <c r="D47" s="119"/>
      <c r="E47" s="134"/>
      <c r="F47" s="132"/>
    </row>
    <row r="48" spans="1:6" s="206" customFormat="1" ht="12" customHeight="1" x14ac:dyDescent="0.2">
      <c r="A48" s="12" t="s">
        <v>145</v>
      </c>
      <c r="B48" s="208" t="s">
        <v>544</v>
      </c>
      <c r="C48" s="325">
        <f t="shared" si="0"/>
        <v>0</v>
      </c>
      <c r="D48" s="119"/>
      <c r="E48" s="134"/>
      <c r="F48" s="134"/>
    </row>
    <row r="49" spans="1:6" s="206" customFormat="1" ht="12" customHeight="1" x14ac:dyDescent="0.2">
      <c r="A49" s="12" t="s">
        <v>221</v>
      </c>
      <c r="B49" s="208" t="s">
        <v>231</v>
      </c>
      <c r="C49" s="325">
        <f t="shared" si="0"/>
        <v>0</v>
      </c>
      <c r="D49" s="282"/>
      <c r="E49" s="134"/>
      <c r="F49" s="134"/>
    </row>
    <row r="50" spans="1:6" s="206" customFormat="1" ht="12" customHeight="1" x14ac:dyDescent="0.2">
      <c r="A50" s="14" t="s">
        <v>222</v>
      </c>
      <c r="B50" s="209" t="s">
        <v>453</v>
      </c>
      <c r="C50" s="325">
        <f t="shared" si="0"/>
        <v>0</v>
      </c>
      <c r="D50" s="286"/>
      <c r="E50" s="196"/>
      <c r="F50" s="196"/>
    </row>
    <row r="51" spans="1:6" s="206" customFormat="1" ht="12" customHeight="1" thickBot="1" x14ac:dyDescent="0.25">
      <c r="A51" s="14" t="s">
        <v>454</v>
      </c>
      <c r="B51" s="127" t="s">
        <v>232</v>
      </c>
      <c r="C51" s="326">
        <f t="shared" si="0"/>
        <v>0</v>
      </c>
      <c r="D51" s="286"/>
      <c r="E51" s="196"/>
      <c r="F51" s="196"/>
    </row>
    <row r="52" spans="1:6" s="206" customFormat="1" ht="12" customHeight="1" thickBot="1" x14ac:dyDescent="0.25">
      <c r="A52" s="18" t="s">
        <v>26</v>
      </c>
      <c r="B52" s="19" t="s">
        <v>233</v>
      </c>
      <c r="C52" s="130">
        <f t="shared" si="0"/>
        <v>0</v>
      </c>
      <c r="D52" s="298">
        <f>SUM(D53:D57)</f>
        <v>0</v>
      </c>
      <c r="E52" s="130">
        <f>SUM(E53:E57)</f>
        <v>0</v>
      </c>
      <c r="F52" s="130">
        <f>SUM(F53:F57)</f>
        <v>0</v>
      </c>
    </row>
    <row r="53" spans="1:6" s="206" customFormat="1" ht="12" customHeight="1" x14ac:dyDescent="0.2">
      <c r="A53" s="13" t="s">
        <v>96</v>
      </c>
      <c r="B53" s="207" t="s">
        <v>237</v>
      </c>
      <c r="C53" s="202">
        <f t="shared" si="0"/>
        <v>0</v>
      </c>
      <c r="D53" s="302"/>
      <c r="E53" s="245"/>
      <c r="F53" s="245"/>
    </row>
    <row r="54" spans="1:6" s="206" customFormat="1" ht="12" customHeight="1" x14ac:dyDescent="0.2">
      <c r="A54" s="12" t="s">
        <v>97</v>
      </c>
      <c r="B54" s="208" t="s">
        <v>238</v>
      </c>
      <c r="C54" s="325">
        <f t="shared" si="0"/>
        <v>0</v>
      </c>
      <c r="D54" s="282"/>
      <c r="E54" s="134"/>
      <c r="F54" s="134"/>
    </row>
    <row r="55" spans="1:6" s="206" customFormat="1" ht="12" customHeight="1" x14ac:dyDescent="0.2">
      <c r="A55" s="12" t="s">
        <v>234</v>
      </c>
      <c r="B55" s="208" t="s">
        <v>239</v>
      </c>
      <c r="C55" s="325">
        <f t="shared" si="0"/>
        <v>0</v>
      </c>
      <c r="D55" s="282"/>
      <c r="E55" s="134"/>
      <c r="F55" s="134"/>
    </row>
    <row r="56" spans="1:6" s="206" customFormat="1" ht="12" customHeight="1" x14ac:dyDescent="0.2">
      <c r="A56" s="12" t="s">
        <v>235</v>
      </c>
      <c r="B56" s="208" t="s">
        <v>240</v>
      </c>
      <c r="C56" s="325">
        <f t="shared" si="0"/>
        <v>0</v>
      </c>
      <c r="D56" s="282"/>
      <c r="E56" s="134"/>
      <c r="F56" s="134"/>
    </row>
    <row r="57" spans="1:6" s="206" customFormat="1" ht="12" customHeight="1" thickBot="1" x14ac:dyDescent="0.25">
      <c r="A57" s="14" t="s">
        <v>236</v>
      </c>
      <c r="B57" s="127" t="s">
        <v>241</v>
      </c>
      <c r="C57" s="326">
        <f t="shared" si="0"/>
        <v>0</v>
      </c>
      <c r="D57" s="286"/>
      <c r="E57" s="196"/>
      <c r="F57" s="196"/>
    </row>
    <row r="58" spans="1:6" s="206" customFormat="1" ht="12" customHeight="1" thickBot="1" x14ac:dyDescent="0.25">
      <c r="A58" s="18" t="s">
        <v>146</v>
      </c>
      <c r="B58" s="19" t="s">
        <v>242</v>
      </c>
      <c r="C58" s="130">
        <f t="shared" si="0"/>
        <v>1075000</v>
      </c>
      <c r="D58" s="298">
        <f>SUM(D59:D61)</f>
        <v>1075000</v>
      </c>
      <c r="E58" s="130">
        <f>SUM(E59:E61)</f>
        <v>0</v>
      </c>
      <c r="F58" s="130">
        <f>SUM(F59:F61)</f>
        <v>0</v>
      </c>
    </row>
    <row r="59" spans="1:6" s="206" customFormat="1" ht="12" customHeight="1" x14ac:dyDescent="0.2">
      <c r="A59" s="13" t="s">
        <v>98</v>
      </c>
      <c r="B59" s="207" t="s">
        <v>243</v>
      </c>
      <c r="C59" s="202">
        <f t="shared" si="0"/>
        <v>0</v>
      </c>
      <c r="D59" s="300"/>
      <c r="E59" s="132"/>
      <c r="F59" s="132"/>
    </row>
    <row r="60" spans="1:6" s="206" customFormat="1" ht="12" customHeight="1" x14ac:dyDescent="0.2">
      <c r="A60" s="12" t="s">
        <v>99</v>
      </c>
      <c r="B60" s="208" t="s">
        <v>374</v>
      </c>
      <c r="C60" s="325">
        <f t="shared" si="0"/>
        <v>400000</v>
      </c>
      <c r="D60" s="282">
        <v>400000</v>
      </c>
      <c r="E60" s="134"/>
      <c r="F60" s="134"/>
    </row>
    <row r="61" spans="1:6" s="206" customFormat="1" ht="12" customHeight="1" x14ac:dyDescent="0.2">
      <c r="A61" s="12" t="s">
        <v>246</v>
      </c>
      <c r="B61" s="208" t="s">
        <v>244</v>
      </c>
      <c r="C61" s="325">
        <f t="shared" si="0"/>
        <v>675000</v>
      </c>
      <c r="D61" s="282">
        <v>675000</v>
      </c>
      <c r="E61" s="134"/>
      <c r="F61" s="134"/>
    </row>
    <row r="62" spans="1:6" s="206" customFormat="1" ht="12" customHeight="1" thickBot="1" x14ac:dyDescent="0.25">
      <c r="A62" s="14" t="s">
        <v>247</v>
      </c>
      <c r="B62" s="127" t="s">
        <v>245</v>
      </c>
      <c r="C62" s="326">
        <f t="shared" si="0"/>
        <v>0</v>
      </c>
      <c r="D62" s="120"/>
      <c r="E62" s="133"/>
      <c r="F62" s="133"/>
    </row>
    <row r="63" spans="1:6" s="206" customFormat="1" ht="12" customHeight="1" thickBot="1" x14ac:dyDescent="0.25">
      <c r="A63" s="18" t="s">
        <v>28</v>
      </c>
      <c r="B63" s="125" t="s">
        <v>248</v>
      </c>
      <c r="C63" s="130">
        <f t="shared" si="0"/>
        <v>0</v>
      </c>
      <c r="D63" s="298">
        <f>SUM(D64:D66)</f>
        <v>0</v>
      </c>
      <c r="E63" s="130">
        <f>SUM(E64:E66)</f>
        <v>0</v>
      </c>
      <c r="F63" s="130">
        <f>SUM(F64:F66)</f>
        <v>0</v>
      </c>
    </row>
    <row r="64" spans="1:6" s="206" customFormat="1" ht="12" customHeight="1" x14ac:dyDescent="0.2">
      <c r="A64" s="13" t="s">
        <v>147</v>
      </c>
      <c r="B64" s="207" t="s">
        <v>250</v>
      </c>
      <c r="C64" s="202">
        <f t="shared" si="0"/>
        <v>0</v>
      </c>
      <c r="D64" s="282"/>
      <c r="E64" s="134"/>
      <c r="F64" s="134"/>
    </row>
    <row r="65" spans="1:6" s="206" customFormat="1" ht="12" customHeight="1" x14ac:dyDescent="0.2">
      <c r="A65" s="12" t="s">
        <v>148</v>
      </c>
      <c r="B65" s="208" t="s">
        <v>375</v>
      </c>
      <c r="C65" s="325">
        <f t="shared" si="0"/>
        <v>0</v>
      </c>
      <c r="D65" s="282"/>
      <c r="E65" s="134"/>
      <c r="F65" s="134"/>
    </row>
    <row r="66" spans="1:6" s="206" customFormat="1" ht="12" customHeight="1" x14ac:dyDescent="0.2">
      <c r="A66" s="12" t="s">
        <v>174</v>
      </c>
      <c r="B66" s="208" t="s">
        <v>251</v>
      </c>
      <c r="C66" s="325">
        <f t="shared" si="0"/>
        <v>0</v>
      </c>
      <c r="D66" s="282"/>
      <c r="E66" s="134"/>
      <c r="F66" s="134"/>
    </row>
    <row r="67" spans="1:6" s="206" customFormat="1" ht="12" customHeight="1" thickBot="1" x14ac:dyDescent="0.25">
      <c r="A67" s="14" t="s">
        <v>249</v>
      </c>
      <c r="B67" s="127" t="s">
        <v>252</v>
      </c>
      <c r="C67" s="326">
        <f t="shared" si="0"/>
        <v>0</v>
      </c>
      <c r="D67" s="282"/>
      <c r="E67" s="134"/>
      <c r="F67" s="134"/>
    </row>
    <row r="68" spans="1:6" s="206" customFormat="1" ht="12" customHeight="1" thickBot="1" x14ac:dyDescent="0.25">
      <c r="A68" s="267" t="s">
        <v>455</v>
      </c>
      <c r="B68" s="19" t="s">
        <v>253</v>
      </c>
      <c r="C68" s="130">
        <f t="shared" si="0"/>
        <v>592138236</v>
      </c>
      <c r="D68" s="301">
        <f>+D11+D18+D25+D32+D40+D52+D58+D63</f>
        <v>303216028</v>
      </c>
      <c r="E68" s="135">
        <f>+E11+E18+E25+E32+E40+E52+E58+E63</f>
        <v>0</v>
      </c>
      <c r="F68" s="135">
        <f>+F11+F18+F25+F32+F40+F52+F58+F63</f>
        <v>288922208</v>
      </c>
    </row>
    <row r="69" spans="1:6" s="206" customFormat="1" ht="12" customHeight="1" thickBot="1" x14ac:dyDescent="0.25">
      <c r="A69" s="268" t="s">
        <v>254</v>
      </c>
      <c r="B69" s="125" t="s">
        <v>255</v>
      </c>
      <c r="C69" s="130">
        <f t="shared" si="0"/>
        <v>0</v>
      </c>
      <c r="D69" s="298">
        <f>SUM(D70:D72)</f>
        <v>0</v>
      </c>
      <c r="E69" s="130">
        <f>SUM(E70:E72)</f>
        <v>0</v>
      </c>
      <c r="F69" s="283">
        <f>SUM(F70:F72)</f>
        <v>0</v>
      </c>
    </row>
    <row r="70" spans="1:6" s="206" customFormat="1" ht="12" customHeight="1" x14ac:dyDescent="0.2">
      <c r="A70" s="13" t="s">
        <v>286</v>
      </c>
      <c r="B70" s="207" t="s">
        <v>256</v>
      </c>
      <c r="C70" s="202">
        <f t="shared" si="0"/>
        <v>0</v>
      </c>
      <c r="D70" s="282"/>
      <c r="E70" s="134"/>
      <c r="F70" s="134">
        <v>0</v>
      </c>
    </row>
    <row r="71" spans="1:6" s="206" customFormat="1" ht="12" customHeight="1" x14ac:dyDescent="0.2">
      <c r="A71" s="12" t="s">
        <v>295</v>
      </c>
      <c r="B71" s="208" t="s">
        <v>257</v>
      </c>
      <c r="C71" s="325">
        <f t="shared" si="0"/>
        <v>0</v>
      </c>
      <c r="D71" s="282"/>
      <c r="E71" s="134"/>
      <c r="F71" s="134"/>
    </row>
    <row r="72" spans="1:6" s="206" customFormat="1" ht="12" customHeight="1" thickBot="1" x14ac:dyDescent="0.25">
      <c r="A72" s="14" t="s">
        <v>296</v>
      </c>
      <c r="B72" s="269" t="s">
        <v>456</v>
      </c>
      <c r="C72" s="326">
        <f t="shared" si="0"/>
        <v>0</v>
      </c>
      <c r="D72" s="282"/>
      <c r="E72" s="134"/>
      <c r="F72" s="134"/>
    </row>
    <row r="73" spans="1:6" s="206" customFormat="1" ht="12" customHeight="1" thickBot="1" x14ac:dyDescent="0.25">
      <c r="A73" s="268" t="s">
        <v>259</v>
      </c>
      <c r="B73" s="125" t="s">
        <v>260</v>
      </c>
      <c r="C73" s="327">
        <f t="shared" si="0"/>
        <v>0</v>
      </c>
      <c r="D73" s="298">
        <f>SUM(D74:D77)</f>
        <v>0</v>
      </c>
      <c r="E73" s="130">
        <f>SUM(E74:E77)</f>
        <v>0</v>
      </c>
      <c r="F73" s="130">
        <f>SUM(F74:F77)</f>
        <v>0</v>
      </c>
    </row>
    <row r="74" spans="1:6" s="206" customFormat="1" ht="12" customHeight="1" x14ac:dyDescent="0.2">
      <c r="A74" s="13" t="s">
        <v>127</v>
      </c>
      <c r="B74" s="207" t="s">
        <v>261</v>
      </c>
      <c r="C74" s="202">
        <f t="shared" si="0"/>
        <v>0</v>
      </c>
      <c r="D74" s="282"/>
      <c r="E74" s="134"/>
      <c r="F74" s="134"/>
    </row>
    <row r="75" spans="1:6" s="206" customFormat="1" ht="12" customHeight="1" x14ac:dyDescent="0.2">
      <c r="A75" s="12" t="s">
        <v>128</v>
      </c>
      <c r="B75" s="208" t="s">
        <v>262</v>
      </c>
      <c r="C75" s="325">
        <f t="shared" ref="C75:C93" si="2">SUM(D75:F75)</f>
        <v>0</v>
      </c>
      <c r="D75" s="282"/>
      <c r="E75" s="134"/>
      <c r="F75" s="134"/>
    </row>
    <row r="76" spans="1:6" s="206" customFormat="1" ht="12" customHeight="1" x14ac:dyDescent="0.2">
      <c r="A76" s="12" t="s">
        <v>287</v>
      </c>
      <c r="B76" s="208" t="s">
        <v>263</v>
      </c>
      <c r="C76" s="325">
        <f t="shared" si="2"/>
        <v>0</v>
      </c>
      <c r="D76" s="282"/>
      <c r="E76" s="134"/>
      <c r="F76" s="134"/>
    </row>
    <row r="77" spans="1:6" s="206" customFormat="1" ht="12" customHeight="1" thickBot="1" x14ac:dyDescent="0.25">
      <c r="A77" s="14" t="s">
        <v>288</v>
      </c>
      <c r="B77" s="127" t="s">
        <v>264</v>
      </c>
      <c r="C77" s="326">
        <f t="shared" si="2"/>
        <v>0</v>
      </c>
      <c r="D77" s="282"/>
      <c r="E77" s="134"/>
      <c r="F77" s="134"/>
    </row>
    <row r="78" spans="1:6" s="206" customFormat="1" ht="12" customHeight="1" thickBot="1" x14ac:dyDescent="0.25">
      <c r="A78" s="268" t="s">
        <v>265</v>
      </c>
      <c r="B78" s="125" t="s">
        <v>266</v>
      </c>
      <c r="C78" s="130">
        <f t="shared" si="2"/>
        <v>12403772</v>
      </c>
      <c r="D78" s="298">
        <f>SUM(D79:D80)</f>
        <v>8179828</v>
      </c>
      <c r="E78" s="130">
        <f>SUM(E79:E80)</f>
        <v>0</v>
      </c>
      <c r="F78" s="130">
        <f>SUM(F79:F80)</f>
        <v>4223944</v>
      </c>
    </row>
    <row r="79" spans="1:6" s="206" customFormat="1" ht="12" customHeight="1" x14ac:dyDescent="0.2">
      <c r="A79" s="13" t="s">
        <v>289</v>
      </c>
      <c r="B79" s="207" t="s">
        <v>267</v>
      </c>
      <c r="C79" s="202">
        <f t="shared" si="2"/>
        <v>12403772</v>
      </c>
      <c r="D79" s="282">
        <v>8179828</v>
      </c>
      <c r="E79" s="134"/>
      <c r="F79" s="134">
        <f>4223944</f>
        <v>4223944</v>
      </c>
    </row>
    <row r="80" spans="1:6" s="206" customFormat="1" ht="12" customHeight="1" thickBot="1" x14ac:dyDescent="0.25">
      <c r="A80" s="14" t="s">
        <v>290</v>
      </c>
      <c r="B80" s="127" t="s">
        <v>268</v>
      </c>
      <c r="C80" s="326">
        <f t="shared" si="2"/>
        <v>0</v>
      </c>
      <c r="D80" s="282"/>
      <c r="E80" s="134"/>
      <c r="F80" s="134"/>
    </row>
    <row r="81" spans="1:6" s="206" customFormat="1" ht="12" customHeight="1" thickBot="1" x14ac:dyDescent="0.25">
      <c r="A81" s="268" t="s">
        <v>269</v>
      </c>
      <c r="B81" s="125" t="s">
        <v>270</v>
      </c>
      <c r="C81" s="130">
        <f t="shared" si="2"/>
        <v>0</v>
      </c>
      <c r="D81" s="298">
        <f>SUM(D82:D84)</f>
        <v>0</v>
      </c>
      <c r="E81" s="130">
        <f>SUM(E82:E84)</f>
        <v>0</v>
      </c>
      <c r="F81" s="130">
        <f>SUM(F82:F84)</f>
        <v>0</v>
      </c>
    </row>
    <row r="82" spans="1:6" s="206" customFormat="1" ht="12" customHeight="1" x14ac:dyDescent="0.2">
      <c r="A82" s="13" t="s">
        <v>291</v>
      </c>
      <c r="B82" s="207" t="s">
        <v>271</v>
      </c>
      <c r="C82" s="202">
        <f t="shared" si="2"/>
        <v>0</v>
      </c>
      <c r="D82" s="282"/>
      <c r="E82" s="134"/>
      <c r="F82" s="134"/>
    </row>
    <row r="83" spans="1:6" s="206" customFormat="1" ht="12" customHeight="1" x14ac:dyDescent="0.2">
      <c r="A83" s="12" t="s">
        <v>292</v>
      </c>
      <c r="B83" s="208" t="s">
        <v>272</v>
      </c>
      <c r="C83" s="325">
        <f t="shared" si="2"/>
        <v>0</v>
      </c>
      <c r="D83" s="282"/>
      <c r="E83" s="134"/>
      <c r="F83" s="134"/>
    </row>
    <row r="84" spans="1:6" s="206" customFormat="1" ht="12" customHeight="1" thickBot="1" x14ac:dyDescent="0.25">
      <c r="A84" s="14" t="s">
        <v>293</v>
      </c>
      <c r="B84" s="127" t="s">
        <v>273</v>
      </c>
      <c r="C84" s="326">
        <f t="shared" si="2"/>
        <v>0</v>
      </c>
      <c r="D84" s="282"/>
      <c r="E84" s="134"/>
      <c r="F84" s="134"/>
    </row>
    <row r="85" spans="1:6" s="206" customFormat="1" ht="12" customHeight="1" thickBot="1" x14ac:dyDescent="0.25">
      <c r="A85" s="268" t="s">
        <v>274</v>
      </c>
      <c r="B85" s="125" t="s">
        <v>294</v>
      </c>
      <c r="C85" s="130">
        <f t="shared" si="2"/>
        <v>0</v>
      </c>
      <c r="D85" s="298">
        <f>SUM(D86:D89)</f>
        <v>0</v>
      </c>
      <c r="E85" s="130">
        <f>SUM(E86:E89)</f>
        <v>0</v>
      </c>
      <c r="F85" s="130">
        <f>SUM(F86:F89)</f>
        <v>0</v>
      </c>
    </row>
    <row r="86" spans="1:6" s="206" customFormat="1" ht="12" customHeight="1" x14ac:dyDescent="0.2">
      <c r="A86" s="211" t="s">
        <v>275</v>
      </c>
      <c r="B86" s="207" t="s">
        <v>276</v>
      </c>
      <c r="C86" s="202">
        <f t="shared" si="2"/>
        <v>0</v>
      </c>
      <c r="D86" s="282"/>
      <c r="E86" s="134"/>
      <c r="F86" s="134"/>
    </row>
    <row r="87" spans="1:6" s="206" customFormat="1" ht="12" customHeight="1" x14ac:dyDescent="0.2">
      <c r="A87" s="212" t="s">
        <v>277</v>
      </c>
      <c r="B87" s="208" t="s">
        <v>278</v>
      </c>
      <c r="C87" s="325">
        <f t="shared" si="2"/>
        <v>0</v>
      </c>
      <c r="D87" s="282"/>
      <c r="E87" s="134"/>
      <c r="F87" s="134"/>
    </row>
    <row r="88" spans="1:6" s="206" customFormat="1" ht="12" customHeight="1" x14ac:dyDescent="0.2">
      <c r="A88" s="212" t="s">
        <v>279</v>
      </c>
      <c r="B88" s="208" t="s">
        <v>280</v>
      </c>
      <c r="C88" s="325">
        <f t="shared" si="2"/>
        <v>0</v>
      </c>
      <c r="D88" s="282"/>
      <c r="E88" s="134"/>
      <c r="F88" s="134"/>
    </row>
    <row r="89" spans="1:6" s="206" customFormat="1" ht="12" customHeight="1" thickBot="1" x14ac:dyDescent="0.25">
      <c r="A89" s="213" t="s">
        <v>281</v>
      </c>
      <c r="B89" s="127" t="s">
        <v>282</v>
      </c>
      <c r="C89" s="326">
        <f t="shared" si="2"/>
        <v>0</v>
      </c>
      <c r="D89" s="282"/>
      <c r="E89" s="134"/>
      <c r="F89" s="134"/>
    </row>
    <row r="90" spans="1:6" s="206" customFormat="1" ht="12" customHeight="1" thickBot="1" x14ac:dyDescent="0.25">
      <c r="A90" s="268" t="s">
        <v>283</v>
      </c>
      <c r="B90" s="125" t="s">
        <v>457</v>
      </c>
      <c r="C90" s="130">
        <f t="shared" si="2"/>
        <v>0</v>
      </c>
      <c r="D90" s="303"/>
      <c r="E90" s="246"/>
      <c r="F90" s="246"/>
    </row>
    <row r="91" spans="1:6" s="206" customFormat="1" ht="13.5" customHeight="1" thickBot="1" x14ac:dyDescent="0.25">
      <c r="A91" s="268" t="s">
        <v>285</v>
      </c>
      <c r="B91" s="125" t="s">
        <v>284</v>
      </c>
      <c r="C91" s="130">
        <f t="shared" si="2"/>
        <v>0</v>
      </c>
      <c r="D91" s="303"/>
      <c r="E91" s="246"/>
      <c r="F91" s="246"/>
    </row>
    <row r="92" spans="1:6" s="206" customFormat="1" ht="15.75" customHeight="1" thickBot="1" x14ac:dyDescent="0.25">
      <c r="A92" s="268" t="s">
        <v>297</v>
      </c>
      <c r="B92" s="214" t="s">
        <v>458</v>
      </c>
      <c r="C92" s="130">
        <f t="shared" si="2"/>
        <v>12403772</v>
      </c>
      <c r="D92" s="301">
        <f>+D69+D73+D78+D81+D85+D91+D90</f>
        <v>8179828</v>
      </c>
      <c r="E92" s="135">
        <f>+E69+E73+E78+E81+E85+E91+E90</f>
        <v>0</v>
      </c>
      <c r="F92" s="135">
        <f>+F69+F73+F78+F81+F85+F91+F90</f>
        <v>4223944</v>
      </c>
    </row>
    <row r="93" spans="1:6" s="206" customFormat="1" ht="16.5" customHeight="1" thickBot="1" x14ac:dyDescent="0.25">
      <c r="A93" s="270" t="s">
        <v>459</v>
      </c>
      <c r="B93" s="215" t="s">
        <v>460</v>
      </c>
      <c r="C93" s="130">
        <f t="shared" si="2"/>
        <v>604542008</v>
      </c>
      <c r="D93" s="301">
        <f>+D68+D92</f>
        <v>311395856</v>
      </c>
      <c r="E93" s="135">
        <f>+E68+E92</f>
        <v>0</v>
      </c>
      <c r="F93" s="135">
        <f>+F68+F92</f>
        <v>293146152</v>
      </c>
    </row>
    <row r="94" spans="1:6" s="206" customFormat="1" ht="83.25" customHeight="1" x14ac:dyDescent="0.2">
      <c r="A94" s="3"/>
      <c r="B94" s="4"/>
      <c r="C94" s="136"/>
    </row>
    <row r="95" spans="1:6" ht="16.5" customHeight="1" x14ac:dyDescent="0.25">
      <c r="A95" s="1498" t="s">
        <v>49</v>
      </c>
      <c r="B95" s="1498"/>
      <c r="C95" s="1498"/>
    </row>
    <row r="96" spans="1:6" s="216" customFormat="1" ht="16.5" customHeight="1" thickBot="1" x14ac:dyDescent="0.3">
      <c r="A96" s="1499" t="s">
        <v>130</v>
      </c>
      <c r="B96" s="1499"/>
      <c r="C96" s="68" t="s">
        <v>557</v>
      </c>
    </row>
    <row r="97" spans="1:6" ht="38.1" customHeight="1" thickBot="1" x14ac:dyDescent="0.3">
      <c r="A97" s="21" t="s">
        <v>72</v>
      </c>
      <c r="B97" s="22" t="s">
        <v>50</v>
      </c>
      <c r="C97" s="31" t="str">
        <f>+C9</f>
        <v>2020. évi előirányzat</v>
      </c>
    </row>
    <row r="98" spans="1:6" s="205" customFormat="1" ht="12" customHeight="1" thickBot="1" x14ac:dyDescent="0.25">
      <c r="A98" s="27" t="s">
        <v>447</v>
      </c>
      <c r="B98" s="28" t="s">
        <v>448</v>
      </c>
      <c r="C98" s="29" t="s">
        <v>449</v>
      </c>
    </row>
    <row r="99" spans="1:6" ht="12" customHeight="1" thickBot="1" x14ac:dyDescent="0.3">
      <c r="A99" s="20" t="s">
        <v>21</v>
      </c>
      <c r="B99" s="24" t="s">
        <v>498</v>
      </c>
      <c r="C99" s="130">
        <f t="shared" ref="C99:C160" si="3">SUM(D99:F99)</f>
        <v>795708886</v>
      </c>
      <c r="D99" s="306">
        <f>+D100+D101+D102+D103+D104+D117</f>
        <v>80982742</v>
      </c>
      <c r="E99" s="129">
        <f>+E100+E101+E102+E103+E104+E117</f>
        <v>0</v>
      </c>
      <c r="F99" s="130">
        <f>F100+F101+F102+F103+F104+F117</f>
        <v>714726144</v>
      </c>
    </row>
    <row r="100" spans="1:6" ht="12" customHeight="1" x14ac:dyDescent="0.25">
      <c r="A100" s="15" t="s">
        <v>100</v>
      </c>
      <c r="B100" s="8" t="s">
        <v>51</v>
      </c>
      <c r="C100" s="1484">
        <f t="shared" si="3"/>
        <v>449175701</v>
      </c>
      <c r="D100" s="317">
        <v>8164238</v>
      </c>
      <c r="E100" s="290"/>
      <c r="F100" s="290">
        <f>422879901+18131562</f>
        <v>441011463</v>
      </c>
    </row>
    <row r="101" spans="1:6" ht="12" customHeight="1" x14ac:dyDescent="0.25">
      <c r="A101" s="12" t="s">
        <v>101</v>
      </c>
      <c r="B101" s="6" t="s">
        <v>149</v>
      </c>
      <c r="C101" s="1482">
        <f t="shared" si="3"/>
        <v>85436752</v>
      </c>
      <c r="D101" s="282">
        <v>2011190</v>
      </c>
      <c r="E101" s="134"/>
      <c r="F101" s="134">
        <f>80252538+3173024</f>
        <v>83425562</v>
      </c>
    </row>
    <row r="102" spans="1:6" ht="12" customHeight="1" x14ac:dyDescent="0.25">
      <c r="A102" s="12" t="s">
        <v>102</v>
      </c>
      <c r="B102" s="6" t="s">
        <v>125</v>
      </c>
      <c r="C102" s="325">
        <f t="shared" si="3"/>
        <v>253096433</v>
      </c>
      <c r="D102" s="286">
        <v>62807314</v>
      </c>
      <c r="E102" s="196"/>
      <c r="F102" s="134">
        <f>189361869+927250</f>
        <v>190289119</v>
      </c>
    </row>
    <row r="103" spans="1:6" ht="12" customHeight="1" x14ac:dyDescent="0.25">
      <c r="A103" s="12" t="s">
        <v>103</v>
      </c>
      <c r="B103" s="6" t="s">
        <v>150</v>
      </c>
      <c r="C103" s="325">
        <f t="shared" si="3"/>
        <v>0</v>
      </c>
      <c r="D103" s="286"/>
      <c r="E103" s="196"/>
      <c r="F103" s="134"/>
    </row>
    <row r="104" spans="1:6" ht="12" customHeight="1" x14ac:dyDescent="0.25">
      <c r="A104" s="12" t="s">
        <v>114</v>
      </c>
      <c r="B104" s="5" t="s">
        <v>151</v>
      </c>
      <c r="C104" s="325">
        <f t="shared" si="3"/>
        <v>8000000</v>
      </c>
      <c r="D104" s="286">
        <f>SUM(D105:D116)</f>
        <v>8000000</v>
      </c>
      <c r="E104" s="286">
        <f t="shared" ref="E104:F104" si="4">SUM(E105:E116)</f>
        <v>0</v>
      </c>
      <c r="F104" s="286">
        <f t="shared" si="4"/>
        <v>0</v>
      </c>
    </row>
    <row r="105" spans="1:6" ht="12" customHeight="1" x14ac:dyDescent="0.25">
      <c r="A105" s="12" t="s">
        <v>104</v>
      </c>
      <c r="B105" s="6" t="s">
        <v>461</v>
      </c>
      <c r="C105" s="325">
        <f t="shared" si="3"/>
        <v>0</v>
      </c>
      <c r="D105" s="286"/>
      <c r="E105" s="196"/>
      <c r="F105" s="196"/>
    </row>
    <row r="106" spans="1:6" ht="12" customHeight="1" x14ac:dyDescent="0.25">
      <c r="A106" s="12" t="s">
        <v>105</v>
      </c>
      <c r="B106" s="72" t="s">
        <v>462</v>
      </c>
      <c r="C106" s="325">
        <f t="shared" si="3"/>
        <v>0</v>
      </c>
      <c r="D106" s="286"/>
      <c r="E106" s="196"/>
      <c r="F106" s="196"/>
    </row>
    <row r="107" spans="1:6" ht="12" customHeight="1" x14ac:dyDescent="0.25">
      <c r="A107" s="12" t="s">
        <v>115</v>
      </c>
      <c r="B107" s="72" t="s">
        <v>463</v>
      </c>
      <c r="C107" s="325">
        <f t="shared" si="3"/>
        <v>0</v>
      </c>
      <c r="D107" s="286"/>
      <c r="E107" s="196"/>
      <c r="F107" s="196"/>
    </row>
    <row r="108" spans="1:6" ht="12" customHeight="1" x14ac:dyDescent="0.25">
      <c r="A108" s="12" t="s">
        <v>116</v>
      </c>
      <c r="B108" s="70" t="s">
        <v>300</v>
      </c>
      <c r="C108" s="325">
        <f t="shared" si="3"/>
        <v>0</v>
      </c>
      <c r="D108" s="286"/>
      <c r="E108" s="196"/>
      <c r="F108" s="196"/>
    </row>
    <row r="109" spans="1:6" ht="12" customHeight="1" x14ac:dyDescent="0.25">
      <c r="A109" s="12" t="s">
        <v>117</v>
      </c>
      <c r="B109" s="71" t="s">
        <v>301</v>
      </c>
      <c r="C109" s="325">
        <f t="shared" si="3"/>
        <v>0</v>
      </c>
      <c r="D109" s="286"/>
      <c r="E109" s="196"/>
      <c r="F109" s="196"/>
    </row>
    <row r="110" spans="1:6" ht="12" customHeight="1" x14ac:dyDescent="0.25">
      <c r="A110" s="12" t="s">
        <v>118</v>
      </c>
      <c r="B110" s="71" t="s">
        <v>302</v>
      </c>
      <c r="C110" s="325">
        <f t="shared" si="3"/>
        <v>0</v>
      </c>
      <c r="D110" s="286"/>
      <c r="E110" s="196"/>
      <c r="F110" s="196"/>
    </row>
    <row r="111" spans="1:6" ht="12" customHeight="1" x14ac:dyDescent="0.25">
      <c r="A111" s="12" t="s">
        <v>120</v>
      </c>
      <c r="B111" s="70" t="s">
        <v>303</v>
      </c>
      <c r="C111" s="325">
        <f t="shared" si="3"/>
        <v>0</v>
      </c>
      <c r="D111" s="286"/>
      <c r="E111" s="196"/>
      <c r="F111" s="196"/>
    </row>
    <row r="112" spans="1:6" ht="12" customHeight="1" x14ac:dyDescent="0.25">
      <c r="A112" s="12" t="s">
        <v>152</v>
      </c>
      <c r="B112" s="70" t="s">
        <v>304</v>
      </c>
      <c r="C112" s="325">
        <f t="shared" si="3"/>
        <v>0</v>
      </c>
      <c r="D112" s="286"/>
      <c r="E112" s="196"/>
      <c r="F112" s="196"/>
    </row>
    <row r="113" spans="1:6" ht="12" customHeight="1" x14ac:dyDescent="0.25">
      <c r="A113" s="12" t="s">
        <v>298</v>
      </c>
      <c r="B113" s="71" t="s">
        <v>305</v>
      </c>
      <c r="C113" s="325">
        <f t="shared" si="3"/>
        <v>0</v>
      </c>
      <c r="D113" s="286"/>
      <c r="E113" s="196"/>
      <c r="F113" s="196"/>
    </row>
    <row r="114" spans="1:6" ht="12" customHeight="1" x14ac:dyDescent="0.25">
      <c r="A114" s="11" t="s">
        <v>299</v>
      </c>
      <c r="B114" s="72" t="s">
        <v>306</v>
      </c>
      <c r="C114" s="325">
        <f t="shared" si="3"/>
        <v>0</v>
      </c>
      <c r="D114" s="286"/>
      <c r="E114" s="196"/>
      <c r="F114" s="196"/>
    </row>
    <row r="115" spans="1:6" ht="12" customHeight="1" x14ac:dyDescent="0.25">
      <c r="A115" s="12" t="s">
        <v>464</v>
      </c>
      <c r="B115" s="72" t="s">
        <v>307</v>
      </c>
      <c r="C115" s="325">
        <f t="shared" si="3"/>
        <v>0</v>
      </c>
      <c r="D115" s="286"/>
      <c r="E115" s="196"/>
      <c r="F115" s="196"/>
    </row>
    <row r="116" spans="1:6" ht="12" customHeight="1" x14ac:dyDescent="0.25">
      <c r="A116" s="14" t="s">
        <v>465</v>
      </c>
      <c r="B116" s="72" t="s">
        <v>308</v>
      </c>
      <c r="C116" s="325">
        <f t="shared" si="3"/>
        <v>8000000</v>
      </c>
      <c r="D116" s="282">
        <v>8000000</v>
      </c>
      <c r="E116" s="134"/>
      <c r="F116" s="294"/>
    </row>
    <row r="117" spans="1:6" ht="12" customHeight="1" x14ac:dyDescent="0.25">
      <c r="A117" s="12" t="s">
        <v>466</v>
      </c>
      <c r="B117" s="6" t="s">
        <v>52</v>
      </c>
      <c r="C117" s="325">
        <f t="shared" si="3"/>
        <v>0</v>
      </c>
      <c r="D117" s="119"/>
      <c r="E117" s="134"/>
      <c r="F117" s="131"/>
    </row>
    <row r="118" spans="1:6" ht="12" customHeight="1" x14ac:dyDescent="0.25">
      <c r="A118" s="12" t="s">
        <v>467</v>
      </c>
      <c r="B118" s="6" t="s">
        <v>468</v>
      </c>
      <c r="C118" s="325">
        <f t="shared" si="3"/>
        <v>0</v>
      </c>
      <c r="D118" s="120"/>
      <c r="E118" s="196"/>
      <c r="F118" s="131"/>
    </row>
    <row r="119" spans="1:6" ht="12" customHeight="1" thickBot="1" x14ac:dyDescent="0.3">
      <c r="A119" s="16" t="s">
        <v>469</v>
      </c>
      <c r="B119" s="271" t="s">
        <v>470</v>
      </c>
      <c r="C119" s="325">
        <f t="shared" si="3"/>
        <v>0</v>
      </c>
      <c r="D119" s="307"/>
      <c r="E119" s="295"/>
      <c r="F119" s="137"/>
    </row>
    <row r="120" spans="1:6" ht="12" customHeight="1" thickBot="1" x14ac:dyDescent="0.3">
      <c r="A120" s="272" t="s">
        <v>22</v>
      </c>
      <c r="B120" s="273" t="s">
        <v>309</v>
      </c>
      <c r="C120" s="130">
        <f t="shared" si="3"/>
        <v>22800067</v>
      </c>
      <c r="D120" s="298">
        <f>+D121+D123+D125</f>
        <v>5411384</v>
      </c>
      <c r="E120" s="130">
        <f>+E121+E123+E125</f>
        <v>0</v>
      </c>
      <c r="F120" s="274">
        <f>+F121+F123+F125</f>
        <v>17388683</v>
      </c>
    </row>
    <row r="121" spans="1:6" ht="12" customHeight="1" x14ac:dyDescent="0.25">
      <c r="A121" s="13" t="s">
        <v>106</v>
      </c>
      <c r="B121" s="6" t="s">
        <v>173</v>
      </c>
      <c r="C121" s="202">
        <f t="shared" si="3"/>
        <v>22800067</v>
      </c>
      <c r="D121" s="302">
        <f>5410804+580</f>
        <v>5411384</v>
      </c>
      <c r="E121" s="245"/>
      <c r="F121" s="245">
        <f>17388683</f>
        <v>17388683</v>
      </c>
    </row>
    <row r="122" spans="1:6" ht="12" customHeight="1" x14ac:dyDescent="0.25">
      <c r="A122" s="13" t="s">
        <v>107</v>
      </c>
      <c r="B122" s="10" t="s">
        <v>313</v>
      </c>
      <c r="C122" s="325">
        <f t="shared" si="3"/>
        <v>6109096</v>
      </c>
      <c r="D122" s="302">
        <f>5016316+580</f>
        <v>5016896</v>
      </c>
      <c r="E122" s="245"/>
      <c r="F122" s="245">
        <f>1092200</f>
        <v>1092200</v>
      </c>
    </row>
    <row r="123" spans="1:6" ht="12" customHeight="1" x14ac:dyDescent="0.25">
      <c r="A123" s="13" t="s">
        <v>108</v>
      </c>
      <c r="B123" s="10" t="s">
        <v>153</v>
      </c>
      <c r="C123" s="325">
        <f t="shared" si="3"/>
        <v>0</v>
      </c>
      <c r="D123" s="119"/>
      <c r="E123" s="134"/>
      <c r="F123" s="134"/>
    </row>
    <row r="124" spans="1:6" ht="12" customHeight="1" x14ac:dyDescent="0.25">
      <c r="A124" s="13" t="s">
        <v>109</v>
      </c>
      <c r="B124" s="10" t="s">
        <v>314</v>
      </c>
      <c r="C124" s="325">
        <f t="shared" si="3"/>
        <v>0</v>
      </c>
      <c r="D124" s="119"/>
      <c r="E124" s="293"/>
      <c r="F124" s="282"/>
    </row>
    <row r="125" spans="1:6" ht="12" customHeight="1" x14ac:dyDescent="0.25">
      <c r="A125" s="13" t="s">
        <v>110</v>
      </c>
      <c r="B125" s="127" t="s">
        <v>175</v>
      </c>
      <c r="C125" s="119">
        <f>SUM(C126:C133)</f>
        <v>0</v>
      </c>
      <c r="D125" s="287"/>
      <c r="E125" s="282"/>
      <c r="F125" s="282"/>
    </row>
    <row r="126" spans="1:6" ht="12" customHeight="1" x14ac:dyDescent="0.25">
      <c r="A126" s="13" t="s">
        <v>119</v>
      </c>
      <c r="B126" s="126" t="s">
        <v>376</v>
      </c>
      <c r="C126" s="325">
        <f t="shared" si="3"/>
        <v>0</v>
      </c>
      <c r="D126" s="287"/>
      <c r="E126" s="119"/>
      <c r="F126" s="119"/>
    </row>
    <row r="127" spans="1:6" ht="12" customHeight="1" x14ac:dyDescent="0.25">
      <c r="A127" s="13" t="s">
        <v>121</v>
      </c>
      <c r="B127" s="203" t="s">
        <v>319</v>
      </c>
      <c r="C127" s="325">
        <f t="shared" si="3"/>
        <v>0</v>
      </c>
      <c r="D127" s="287"/>
      <c r="E127" s="119"/>
      <c r="F127" s="119"/>
    </row>
    <row r="128" spans="1:6" x14ac:dyDescent="0.25">
      <c r="A128" s="13" t="s">
        <v>154</v>
      </c>
      <c r="B128" s="71" t="s">
        <v>302</v>
      </c>
      <c r="C128" s="325">
        <f t="shared" si="3"/>
        <v>0</v>
      </c>
      <c r="D128" s="287"/>
      <c r="E128" s="119"/>
      <c r="F128" s="119"/>
    </row>
    <row r="129" spans="1:6" ht="12" customHeight="1" x14ac:dyDescent="0.25">
      <c r="A129" s="13" t="s">
        <v>155</v>
      </c>
      <c r="B129" s="71" t="s">
        <v>318</v>
      </c>
      <c r="C129" s="325">
        <f t="shared" si="3"/>
        <v>0</v>
      </c>
      <c r="D129" s="287"/>
      <c r="E129" s="119"/>
      <c r="F129" s="119"/>
    </row>
    <row r="130" spans="1:6" ht="12" customHeight="1" x14ac:dyDescent="0.25">
      <c r="A130" s="13" t="s">
        <v>156</v>
      </c>
      <c r="B130" s="71" t="s">
        <v>317</v>
      </c>
      <c r="C130" s="325">
        <f t="shared" si="3"/>
        <v>0</v>
      </c>
      <c r="D130" s="287"/>
      <c r="E130" s="119"/>
      <c r="F130" s="119"/>
    </row>
    <row r="131" spans="1:6" ht="12" customHeight="1" x14ac:dyDescent="0.25">
      <c r="A131" s="13" t="s">
        <v>310</v>
      </c>
      <c r="B131" s="71" t="s">
        <v>305</v>
      </c>
      <c r="C131" s="325">
        <f t="shared" si="3"/>
        <v>0</v>
      </c>
      <c r="D131" s="287"/>
      <c r="E131" s="119"/>
      <c r="F131" s="119"/>
    </row>
    <row r="132" spans="1:6" ht="12" customHeight="1" x14ac:dyDescent="0.25">
      <c r="A132" s="13" t="s">
        <v>311</v>
      </c>
      <c r="B132" s="71" t="s">
        <v>316</v>
      </c>
      <c r="C132" s="325">
        <f t="shared" si="3"/>
        <v>0</v>
      </c>
      <c r="D132" s="287"/>
      <c r="E132" s="119"/>
      <c r="F132" s="119"/>
    </row>
    <row r="133" spans="1:6" ht="16.5" thickBot="1" x14ac:dyDescent="0.3">
      <c r="A133" s="11" t="s">
        <v>312</v>
      </c>
      <c r="B133" s="71" t="s">
        <v>315</v>
      </c>
      <c r="C133" s="326">
        <f t="shared" si="3"/>
        <v>0</v>
      </c>
      <c r="D133" s="288"/>
      <c r="E133" s="286"/>
      <c r="F133" s="286"/>
    </row>
    <row r="134" spans="1:6" ht="12" customHeight="1" thickBot="1" x14ac:dyDescent="0.3">
      <c r="A134" s="18" t="s">
        <v>23</v>
      </c>
      <c r="B134" s="66" t="s">
        <v>471</v>
      </c>
      <c r="C134" s="130">
        <f t="shared" si="3"/>
        <v>818508953</v>
      </c>
      <c r="D134" s="298">
        <f>+D99+D120</f>
        <v>86394126</v>
      </c>
      <c r="E134" s="130">
        <f>+E99+E120</f>
        <v>0</v>
      </c>
      <c r="F134" s="130">
        <f>+F99+F120</f>
        <v>732114827</v>
      </c>
    </row>
    <row r="135" spans="1:6" ht="12" customHeight="1" thickBot="1" x14ac:dyDescent="0.3">
      <c r="A135" s="18" t="s">
        <v>24</v>
      </c>
      <c r="B135" s="66" t="s">
        <v>472</v>
      </c>
      <c r="C135" s="130">
        <f t="shared" si="3"/>
        <v>3474590</v>
      </c>
      <c r="D135" s="298">
        <f>+D136+D137+D138</f>
        <v>3474590</v>
      </c>
      <c r="E135" s="130">
        <f>+E136+E137+E138</f>
        <v>0</v>
      </c>
      <c r="F135" s="130">
        <f>+F136+F137+F138</f>
        <v>0</v>
      </c>
    </row>
    <row r="136" spans="1:6" ht="12" customHeight="1" x14ac:dyDescent="0.25">
      <c r="A136" s="13" t="s">
        <v>211</v>
      </c>
      <c r="B136" s="10" t="s">
        <v>473</v>
      </c>
      <c r="C136" s="202">
        <f t="shared" si="3"/>
        <v>3474590</v>
      </c>
      <c r="D136" s="282">
        <v>3474590</v>
      </c>
      <c r="E136" s="282"/>
      <c r="F136" s="282"/>
    </row>
    <row r="137" spans="1:6" ht="12" customHeight="1" x14ac:dyDescent="0.25">
      <c r="A137" s="13" t="s">
        <v>214</v>
      </c>
      <c r="B137" s="10" t="s">
        <v>474</v>
      </c>
      <c r="C137" s="325">
        <f t="shared" si="3"/>
        <v>0</v>
      </c>
      <c r="D137" s="119"/>
      <c r="E137" s="119"/>
      <c r="F137" s="119"/>
    </row>
    <row r="138" spans="1:6" ht="12" customHeight="1" thickBot="1" x14ac:dyDescent="0.3">
      <c r="A138" s="11" t="s">
        <v>215</v>
      </c>
      <c r="B138" s="10" t="s">
        <v>475</v>
      </c>
      <c r="C138" s="326">
        <f t="shared" si="3"/>
        <v>0</v>
      </c>
      <c r="D138" s="119"/>
      <c r="E138" s="119"/>
      <c r="F138" s="119"/>
    </row>
    <row r="139" spans="1:6" ht="12" customHeight="1" thickBot="1" x14ac:dyDescent="0.3">
      <c r="A139" s="18" t="s">
        <v>25</v>
      </c>
      <c r="B139" s="66" t="s">
        <v>476</v>
      </c>
      <c r="C139" s="327">
        <f t="shared" si="3"/>
        <v>0</v>
      </c>
      <c r="D139" s="298">
        <f>+D140+D141+D142+D143+D144+D145</f>
        <v>0</v>
      </c>
      <c r="E139" s="130">
        <f>+E140+E141+E142+E143+E144+E145</f>
        <v>0</v>
      </c>
      <c r="F139" s="130">
        <f>SUM(F140:F145)</f>
        <v>0</v>
      </c>
    </row>
    <row r="140" spans="1:6" ht="12" customHeight="1" x14ac:dyDescent="0.25">
      <c r="A140" s="13" t="s">
        <v>93</v>
      </c>
      <c r="B140" s="7" t="s">
        <v>477</v>
      </c>
      <c r="C140" s="202">
        <f t="shared" si="3"/>
        <v>0</v>
      </c>
      <c r="D140" s="119"/>
      <c r="E140" s="119"/>
      <c r="F140" s="119"/>
    </row>
    <row r="141" spans="1:6" ht="12" customHeight="1" x14ac:dyDescent="0.25">
      <c r="A141" s="13" t="s">
        <v>94</v>
      </c>
      <c r="B141" s="7" t="s">
        <v>478</v>
      </c>
      <c r="C141" s="325">
        <f t="shared" si="3"/>
        <v>0</v>
      </c>
      <c r="D141" s="119"/>
      <c r="E141" s="119"/>
      <c r="F141" s="119"/>
    </row>
    <row r="142" spans="1:6" ht="12" customHeight="1" x14ac:dyDescent="0.25">
      <c r="A142" s="13" t="s">
        <v>95</v>
      </c>
      <c r="B142" s="7" t="s">
        <v>479</v>
      </c>
      <c r="C142" s="325">
        <f t="shared" si="3"/>
        <v>0</v>
      </c>
      <c r="D142" s="119"/>
      <c r="E142" s="119"/>
      <c r="F142" s="119"/>
    </row>
    <row r="143" spans="1:6" ht="12" customHeight="1" x14ac:dyDescent="0.25">
      <c r="A143" s="13" t="s">
        <v>141</v>
      </c>
      <c r="B143" s="7" t="s">
        <v>480</v>
      </c>
      <c r="C143" s="325">
        <f t="shared" si="3"/>
        <v>0</v>
      </c>
      <c r="D143" s="119"/>
      <c r="E143" s="119"/>
      <c r="F143" s="119"/>
    </row>
    <row r="144" spans="1:6" ht="12" customHeight="1" x14ac:dyDescent="0.25">
      <c r="A144" s="13" t="s">
        <v>142</v>
      </c>
      <c r="B144" s="7" t="s">
        <v>481</v>
      </c>
      <c r="C144" s="325">
        <f t="shared" si="3"/>
        <v>0</v>
      </c>
      <c r="D144" s="119"/>
      <c r="E144" s="119"/>
      <c r="F144" s="119"/>
    </row>
    <row r="145" spans="1:9" ht="12" customHeight="1" thickBot="1" x14ac:dyDescent="0.3">
      <c r="A145" s="11" t="s">
        <v>143</v>
      </c>
      <c r="B145" s="7" t="s">
        <v>482</v>
      </c>
      <c r="C145" s="326">
        <f t="shared" si="3"/>
        <v>0</v>
      </c>
      <c r="D145" s="119"/>
      <c r="E145" s="119"/>
      <c r="F145" s="119"/>
    </row>
    <row r="146" spans="1:9" ht="12" customHeight="1" thickBot="1" x14ac:dyDescent="0.3">
      <c r="A146" s="18" t="s">
        <v>26</v>
      </c>
      <c r="B146" s="66" t="s">
        <v>483</v>
      </c>
      <c r="C146" s="130">
        <f t="shared" si="3"/>
        <v>0</v>
      </c>
      <c r="D146" s="301">
        <f>+D147+D148+D149+D150</f>
        <v>0</v>
      </c>
      <c r="E146" s="135">
        <f>+E147+E148+E149+E150</f>
        <v>0</v>
      </c>
      <c r="F146" s="135">
        <f>+F147+F148+F149+F150</f>
        <v>0</v>
      </c>
    </row>
    <row r="147" spans="1:9" ht="12" customHeight="1" x14ac:dyDescent="0.25">
      <c r="A147" s="13" t="s">
        <v>96</v>
      </c>
      <c r="B147" s="7" t="s">
        <v>320</v>
      </c>
      <c r="C147" s="202">
        <f t="shared" si="3"/>
        <v>0</v>
      </c>
      <c r="D147" s="119"/>
      <c r="E147" s="119"/>
      <c r="F147" s="119"/>
    </row>
    <row r="148" spans="1:9" ht="12" customHeight="1" x14ac:dyDescent="0.25">
      <c r="A148" s="13" t="s">
        <v>97</v>
      </c>
      <c r="B148" s="7" t="s">
        <v>321</v>
      </c>
      <c r="C148" s="325">
        <f t="shared" si="3"/>
        <v>0</v>
      </c>
      <c r="D148" s="119"/>
      <c r="E148" s="119"/>
      <c r="F148" s="119"/>
    </row>
    <row r="149" spans="1:9" ht="12" customHeight="1" x14ac:dyDescent="0.25">
      <c r="A149" s="13" t="s">
        <v>234</v>
      </c>
      <c r="B149" s="7" t="s">
        <v>484</v>
      </c>
      <c r="C149" s="325">
        <f t="shared" si="3"/>
        <v>0</v>
      </c>
      <c r="D149" s="119"/>
      <c r="E149" s="119"/>
      <c r="F149" s="119"/>
    </row>
    <row r="150" spans="1:9" ht="12" customHeight="1" thickBot="1" x14ac:dyDescent="0.3">
      <c r="A150" s="11" t="s">
        <v>235</v>
      </c>
      <c r="B150" s="5" t="s">
        <v>339</v>
      </c>
      <c r="C150" s="326">
        <f t="shared" si="3"/>
        <v>0</v>
      </c>
      <c r="D150" s="119"/>
      <c r="E150" s="119"/>
      <c r="F150" s="119"/>
    </row>
    <row r="151" spans="1:9" ht="12" customHeight="1" thickBot="1" x14ac:dyDescent="0.3">
      <c r="A151" s="18" t="s">
        <v>27</v>
      </c>
      <c r="B151" s="66" t="s">
        <v>485</v>
      </c>
      <c r="C151" s="130">
        <f t="shared" si="3"/>
        <v>0</v>
      </c>
      <c r="D151" s="308">
        <f>+D152+D153+D154+D155+D156</f>
        <v>0</v>
      </c>
      <c r="E151" s="138">
        <f>+E152+E153+E154+E155+E156</f>
        <v>0</v>
      </c>
      <c r="F151" s="138">
        <f>SUM(F152:F156)</f>
        <v>0</v>
      </c>
    </row>
    <row r="152" spans="1:9" ht="12" customHeight="1" x14ac:dyDescent="0.25">
      <c r="A152" s="13" t="s">
        <v>98</v>
      </c>
      <c r="B152" s="7" t="s">
        <v>486</v>
      </c>
      <c r="C152" s="202">
        <f t="shared" si="3"/>
        <v>0</v>
      </c>
      <c r="D152" s="119"/>
      <c r="E152" s="119"/>
      <c r="F152" s="119"/>
    </row>
    <row r="153" spans="1:9" ht="12" customHeight="1" x14ac:dyDescent="0.25">
      <c r="A153" s="13" t="s">
        <v>99</v>
      </c>
      <c r="B153" s="7" t="s">
        <v>487</v>
      </c>
      <c r="C153" s="325">
        <f t="shared" si="3"/>
        <v>0</v>
      </c>
      <c r="D153" s="119"/>
      <c r="E153" s="119"/>
      <c r="F153" s="119"/>
    </row>
    <row r="154" spans="1:9" ht="12" customHeight="1" x14ac:dyDescent="0.25">
      <c r="A154" s="13" t="s">
        <v>246</v>
      </c>
      <c r="B154" s="7" t="s">
        <v>488</v>
      </c>
      <c r="C154" s="325">
        <f t="shared" si="3"/>
        <v>0</v>
      </c>
      <c r="D154" s="119"/>
      <c r="E154" s="119"/>
      <c r="F154" s="119"/>
    </row>
    <row r="155" spans="1:9" ht="12" customHeight="1" x14ac:dyDescent="0.25">
      <c r="A155" s="13" t="s">
        <v>247</v>
      </c>
      <c r="B155" s="7" t="s">
        <v>489</v>
      </c>
      <c r="C155" s="325">
        <f t="shared" si="3"/>
        <v>0</v>
      </c>
      <c r="D155" s="119"/>
      <c r="E155" s="119"/>
      <c r="F155" s="119"/>
    </row>
    <row r="156" spans="1:9" ht="12" customHeight="1" thickBot="1" x14ac:dyDescent="0.3">
      <c r="A156" s="13" t="s">
        <v>490</v>
      </c>
      <c r="B156" s="7" t="s">
        <v>491</v>
      </c>
      <c r="C156" s="326">
        <f t="shared" si="3"/>
        <v>0</v>
      </c>
      <c r="D156" s="120"/>
      <c r="E156" s="120"/>
      <c r="F156" s="119"/>
    </row>
    <row r="157" spans="1:9" ht="12" customHeight="1" thickBot="1" x14ac:dyDescent="0.3">
      <c r="A157" s="18" t="s">
        <v>28</v>
      </c>
      <c r="B157" s="66" t="s">
        <v>492</v>
      </c>
      <c r="C157" s="130">
        <f t="shared" si="3"/>
        <v>0</v>
      </c>
      <c r="D157" s="308"/>
      <c r="E157" s="138"/>
      <c r="F157" s="275"/>
    </row>
    <row r="158" spans="1:9" ht="12" customHeight="1" thickBot="1" x14ac:dyDescent="0.3">
      <c r="A158" s="18" t="s">
        <v>29</v>
      </c>
      <c r="B158" s="66" t="s">
        <v>493</v>
      </c>
      <c r="C158" s="130">
        <f t="shared" si="3"/>
        <v>0</v>
      </c>
      <c r="D158" s="308"/>
      <c r="E158" s="138"/>
      <c r="F158" s="275"/>
    </row>
    <row r="159" spans="1:9" ht="15" customHeight="1" thickBot="1" x14ac:dyDescent="0.3">
      <c r="A159" s="18" t="s">
        <v>30</v>
      </c>
      <c r="B159" s="66" t="s">
        <v>494</v>
      </c>
      <c r="C159" s="130">
        <f t="shared" si="3"/>
        <v>3474590</v>
      </c>
      <c r="D159" s="309">
        <f>+D135+D139+D146+D151+D157+D158</f>
        <v>3474590</v>
      </c>
      <c r="E159" s="217">
        <f>+E135+E139+E146+E151+E157+E158</f>
        <v>0</v>
      </c>
      <c r="F159" s="217">
        <f>+F135+F139+F146+F151+F157+F158</f>
        <v>0</v>
      </c>
      <c r="G159" s="218"/>
      <c r="H159" s="218"/>
      <c r="I159" s="218"/>
    </row>
    <row r="160" spans="1:9" s="206" customFormat="1" ht="12.95" customHeight="1" thickBot="1" x14ac:dyDescent="0.25">
      <c r="A160" s="128" t="s">
        <v>31</v>
      </c>
      <c r="B160" s="192" t="s">
        <v>495</v>
      </c>
      <c r="C160" s="130">
        <f t="shared" si="3"/>
        <v>821983543</v>
      </c>
      <c r="D160" s="309">
        <f>+D134+D159</f>
        <v>89868716</v>
      </c>
      <c r="E160" s="217">
        <f>+E134+E159</f>
        <v>0</v>
      </c>
      <c r="F160" s="217">
        <f>+F134+F159</f>
        <v>732114827</v>
      </c>
    </row>
    <row r="161" spans="1:4" ht="7.5" customHeight="1" x14ac:dyDescent="0.25"/>
    <row r="162" spans="1:4" x14ac:dyDescent="0.25">
      <c r="A162" s="1495" t="s">
        <v>322</v>
      </c>
      <c r="B162" s="1495"/>
      <c r="C162" s="1495"/>
    </row>
    <row r="163" spans="1:4" ht="15" customHeight="1" thickBot="1" x14ac:dyDescent="0.3">
      <c r="A163" s="1497" t="s">
        <v>131</v>
      </c>
      <c r="B163" s="1497"/>
      <c r="C163" s="139" t="s">
        <v>557</v>
      </c>
    </row>
    <row r="164" spans="1:4" ht="13.5" customHeight="1" thickBot="1" x14ac:dyDescent="0.3">
      <c r="A164" s="18">
        <v>1</v>
      </c>
      <c r="B164" s="23" t="s">
        <v>496</v>
      </c>
      <c r="C164" s="130">
        <f>+C68-C134</f>
        <v>-226370717</v>
      </c>
    </row>
    <row r="165" spans="1:4" ht="21.75" thickBot="1" x14ac:dyDescent="0.3">
      <c r="A165" s="18" t="s">
        <v>22</v>
      </c>
      <c r="B165" s="23" t="s">
        <v>1006</v>
      </c>
      <c r="C165" s="130">
        <f>+C92-C159</f>
        <v>8929182</v>
      </c>
    </row>
    <row r="168" spans="1:4" x14ac:dyDescent="0.25">
      <c r="D168" s="218"/>
    </row>
  </sheetData>
  <mergeCells count="10">
    <mergeCell ref="A1:C1"/>
    <mergeCell ref="A3:C3"/>
    <mergeCell ref="A4:C4"/>
    <mergeCell ref="A5:C5"/>
    <mergeCell ref="A163:B163"/>
    <mergeCell ref="A7:C7"/>
    <mergeCell ref="A8:B8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8" orientation="portrait" r:id="rId1"/>
  <headerFooter alignWithMargins="0"/>
  <rowBreaks count="2" manualBreakCount="2">
    <brk id="72" max="2" man="1"/>
    <brk id="9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115" zoomScaleNormal="115" workbookViewId="0">
      <selection activeCell="C16" sqref="C16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5" style="114" bestFit="1" customWidth="1"/>
    <col min="5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CONCATENATE("11. melléklet ",ALAPADATOK!A7," ",ALAPADATOK!B7," ",ALAPADATOK!C7," ",ALAPADATOK!D7," ",ALAPADATOK!E7," ",ALAPADATOK!F7," ",ALAPADATOK!G7," ",ALAPADATOK!H7)</f>
        <v>11.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548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622</v>
      </c>
      <c r="C4" s="406" t="s">
        <v>63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1270959</v>
      </c>
    </row>
    <row r="10" spans="1:3" s="191" customFormat="1" ht="12" customHeight="1" x14ac:dyDescent="0.2">
      <c r="A10" s="234" t="s">
        <v>100</v>
      </c>
      <c r="B10" s="8" t="s">
        <v>223</v>
      </c>
      <c r="C10" s="795"/>
    </row>
    <row r="11" spans="1:3" s="191" customFormat="1" ht="12" customHeight="1" x14ac:dyDescent="0.2">
      <c r="A11" s="235" t="s">
        <v>101</v>
      </c>
      <c r="B11" s="6" t="s">
        <v>224</v>
      </c>
      <c r="C11" s="796">
        <v>1000755</v>
      </c>
    </row>
    <row r="12" spans="1:3" s="191" customFormat="1" ht="12" customHeight="1" x14ac:dyDescent="0.2">
      <c r="A12" s="235" t="s">
        <v>102</v>
      </c>
      <c r="B12" s="6" t="s">
        <v>225</v>
      </c>
      <c r="C12" s="796"/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/>
    </row>
    <row r="15" spans="1:3" s="191" customFormat="1" ht="12" customHeight="1" x14ac:dyDescent="0.2">
      <c r="A15" s="235" t="s">
        <v>104</v>
      </c>
      <c r="B15" s="6" t="s">
        <v>348</v>
      </c>
      <c r="C15" s="796">
        <v>270204</v>
      </c>
    </row>
    <row r="16" spans="1:3" s="191" customFormat="1" ht="12" customHeight="1" x14ac:dyDescent="0.2">
      <c r="A16" s="235" t="s">
        <v>105</v>
      </c>
      <c r="B16" s="5" t="s">
        <v>349</v>
      </c>
      <c r="C16" s="796"/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/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800"/>
    </row>
    <row r="25" spans="1:3" s="243" customFormat="1" ht="12" customHeight="1" thickBot="1" x14ac:dyDescent="0.25">
      <c r="A25" s="235" t="s">
        <v>109</v>
      </c>
      <c r="B25" s="6" t="s">
        <v>524</v>
      </c>
      <c r="C25" s="796"/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/>
    </row>
    <row r="31" spans="1:3" s="243" customFormat="1" ht="12" customHeight="1" thickBot="1" x14ac:dyDescent="0.25">
      <c r="A31" s="235" t="s">
        <v>216</v>
      </c>
      <c r="B31" s="69" t="s">
        <v>526</v>
      </c>
      <c r="C31" s="803"/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1270959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802"/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803"/>
    </row>
    <row r="43" spans="1:3" s="243" customFormat="1" ht="15" customHeight="1" thickBot="1" x14ac:dyDescent="0.25">
      <c r="A43" s="104" t="s">
        <v>30</v>
      </c>
      <c r="B43" s="105" t="s">
        <v>362</v>
      </c>
      <c r="C43" s="806">
        <f>+C38+C39</f>
        <v>1270959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1477">
        <f>SUM(C48:C52)</f>
        <v>845791</v>
      </c>
    </row>
    <row r="48" spans="1:3" ht="12" customHeight="1" x14ac:dyDescent="0.2">
      <c r="A48" s="235" t="s">
        <v>100</v>
      </c>
      <c r="B48" s="7" t="s">
        <v>51</v>
      </c>
      <c r="C48" s="516">
        <f>333277+15454</f>
        <v>348731</v>
      </c>
    </row>
    <row r="49" spans="1:4" ht="12" customHeight="1" x14ac:dyDescent="0.2">
      <c r="A49" s="235" t="s">
        <v>101</v>
      </c>
      <c r="B49" s="6" t="s">
        <v>149</v>
      </c>
      <c r="C49" s="517">
        <f>58324+2704</f>
        <v>61028</v>
      </c>
    </row>
    <row r="50" spans="1:4" ht="12" customHeight="1" x14ac:dyDescent="0.2">
      <c r="A50" s="235" t="s">
        <v>102</v>
      </c>
      <c r="B50" s="6" t="s">
        <v>125</v>
      </c>
      <c r="C50" s="796">
        <v>436032</v>
      </c>
    </row>
    <row r="51" spans="1:4" ht="12" customHeight="1" x14ac:dyDescent="0.2">
      <c r="A51" s="235" t="s">
        <v>103</v>
      </c>
      <c r="B51" s="6" t="s">
        <v>150</v>
      </c>
      <c r="C51" s="796"/>
    </row>
    <row r="52" spans="1:4" ht="12" customHeight="1" thickBot="1" x14ac:dyDescent="0.25">
      <c r="A52" s="235" t="s">
        <v>126</v>
      </c>
      <c r="B52" s="6" t="s">
        <v>151</v>
      </c>
      <c r="C52" s="796"/>
    </row>
    <row r="53" spans="1:4" s="244" customFormat="1" ht="12" customHeight="1" thickBot="1" x14ac:dyDescent="0.25">
      <c r="A53" s="88" t="s">
        <v>22</v>
      </c>
      <c r="B53" s="66" t="s">
        <v>364</v>
      </c>
      <c r="C53" s="794">
        <f>SUM(C54:C56)</f>
        <v>0</v>
      </c>
    </row>
    <row r="54" spans="1:4" ht="12" customHeight="1" x14ac:dyDescent="0.2">
      <c r="A54" s="235" t="s">
        <v>106</v>
      </c>
      <c r="B54" s="7" t="s">
        <v>173</v>
      </c>
      <c r="C54" s="802"/>
    </row>
    <row r="55" spans="1:4" ht="12" customHeight="1" x14ac:dyDescent="0.2">
      <c r="A55" s="235" t="s">
        <v>107</v>
      </c>
      <c r="B55" s="6" t="s">
        <v>153</v>
      </c>
      <c r="C55" s="796"/>
    </row>
    <row r="56" spans="1:4" ht="12" customHeight="1" x14ac:dyDescent="0.2">
      <c r="A56" s="235" t="s">
        <v>108</v>
      </c>
      <c r="B56" s="6" t="s">
        <v>60</v>
      </c>
      <c r="C56" s="796"/>
    </row>
    <row r="57" spans="1:4" ht="15" customHeight="1" thickBot="1" x14ac:dyDescent="0.25">
      <c r="A57" s="235" t="s">
        <v>109</v>
      </c>
      <c r="B57" s="6" t="s">
        <v>527</v>
      </c>
      <c r="C57" s="796"/>
    </row>
    <row r="58" spans="1:4" ht="13.5" thickBot="1" x14ac:dyDescent="0.25">
      <c r="A58" s="88" t="s">
        <v>23</v>
      </c>
      <c r="B58" s="66" t="s">
        <v>15</v>
      </c>
      <c r="C58" s="801"/>
      <c r="D58" s="37"/>
    </row>
    <row r="59" spans="1:4" ht="15" customHeight="1" thickBot="1" x14ac:dyDescent="0.25">
      <c r="A59" s="88" t="s">
        <v>24</v>
      </c>
      <c r="B59" s="112" t="s">
        <v>528</v>
      </c>
      <c r="C59" s="1478">
        <f>+C47+C53+C58</f>
        <v>845791</v>
      </c>
    </row>
    <row r="60" spans="1:4" ht="14.25" customHeight="1" thickBot="1" x14ac:dyDescent="0.25">
      <c r="C60" s="810"/>
    </row>
    <row r="61" spans="1:4" ht="13.5" thickBot="1" x14ac:dyDescent="0.25">
      <c r="A61" s="115" t="s">
        <v>521</v>
      </c>
      <c r="B61" s="116"/>
      <c r="C61" s="811">
        <v>0</v>
      </c>
    </row>
    <row r="62" spans="1:4" ht="13.5" thickBot="1" x14ac:dyDescent="0.25">
      <c r="A62" s="1550"/>
      <c r="B62" s="1551"/>
      <c r="C62" s="595"/>
      <c r="D62" s="39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130" zoomScaleNormal="130" workbookViewId="0">
      <selection activeCell="B10" sqref="B10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0" style="114" hidden="1" customWidth="1"/>
    <col min="5" max="5" width="11.83203125" style="648" hidden="1" customWidth="1"/>
    <col min="6" max="6" width="12.5" style="648" hidden="1" customWidth="1"/>
    <col min="7" max="8" width="0" style="114" hidden="1" customWidth="1"/>
    <col min="9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58" customFormat="1" x14ac:dyDescent="0.2">
      <c r="A1" s="1540" t="str">
        <f>CONCATENATE("12. melléklet ",ALAPADATOK!A7," ",ALAPADATOK!B7," ",ALAPADATOK!C7," ",ALAPADATOK!D7," ",ALAPADATOK!E7," ",ALAPADATOK!F7," ",ALAPADATOK!G7," ",ALAPADATOK!H7)</f>
        <v>12. melléklet a 6 / 2020. ( II.27 ) önkormányzati határozathoz</v>
      </c>
      <c r="B1" s="1540"/>
      <c r="C1" s="1540"/>
      <c r="E1" s="1283"/>
      <c r="F1" s="1283"/>
    </row>
    <row r="2" spans="1:6" s="93" customFormat="1" ht="21" customHeight="1" thickBot="1" x14ac:dyDescent="0.25">
      <c r="A2" s="92"/>
      <c r="B2" s="94"/>
      <c r="C2" s="404"/>
      <c r="E2" s="648"/>
      <c r="F2" s="648"/>
    </row>
    <row r="3" spans="1:6" s="240" customFormat="1" ht="36" customHeight="1" x14ac:dyDescent="0.2">
      <c r="A3" s="197" t="s">
        <v>167</v>
      </c>
      <c r="B3" s="175" t="s">
        <v>537</v>
      </c>
      <c r="C3" s="405" t="s">
        <v>63</v>
      </c>
      <c r="E3" s="649"/>
      <c r="F3" s="649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9"/>
      <c r="F4" s="649"/>
    </row>
    <row r="5" spans="1:6" s="241" customFormat="1" ht="15.95" customHeight="1" thickBot="1" x14ac:dyDescent="0.3">
      <c r="A5" s="96"/>
      <c r="B5" s="96"/>
      <c r="C5" s="407" t="s">
        <v>558</v>
      </c>
      <c r="E5" s="649"/>
      <c r="F5" s="649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50"/>
      <c r="F7" s="650"/>
    </row>
    <row r="8" spans="1:6" s="242" customFormat="1" ht="15.95" customHeight="1" thickBot="1" x14ac:dyDescent="0.25">
      <c r="A8" s="100"/>
      <c r="B8" s="101" t="s">
        <v>58</v>
      </c>
      <c r="C8" s="410"/>
      <c r="E8" s="650"/>
      <c r="F8" s="650"/>
    </row>
    <row r="9" spans="1:6" s="191" customFormat="1" ht="12" customHeight="1" thickBot="1" x14ac:dyDescent="0.25">
      <c r="A9" s="85" t="s">
        <v>21</v>
      </c>
      <c r="B9" s="103" t="s">
        <v>523</v>
      </c>
      <c r="C9" s="794">
        <f>SUM(C10:C20)</f>
        <v>1382012</v>
      </c>
      <c r="E9" s="651">
        <f>'9.7.1. sz. mell TIB  '!C9+'9.7.2. sz. mell TIB'!C9</f>
        <v>1382012</v>
      </c>
      <c r="F9" s="651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95"/>
      <c r="E10" s="651">
        <f>'9.7.1. sz. mell TIB  '!C10+'9.7.2. sz. mell TIB'!C10</f>
        <v>0</v>
      </c>
      <c r="F10" s="651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6"/>
      <c r="E11" s="651">
        <f>'9.7.1. sz. mell TIB  '!C11+'9.7.2. sz. mell TIB'!C11</f>
        <v>0</v>
      </c>
      <c r="F11" s="651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6"/>
      <c r="E12" s="651">
        <f>'9.7.1. sz. mell TIB  '!C12+'9.7.2. sz. mell TIB'!C12</f>
        <v>0</v>
      </c>
      <c r="F12" s="651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6"/>
      <c r="E13" s="651">
        <f>'9.7.1. sz. mell TIB  '!C13+'9.7.2. sz. mell TIB'!C13</f>
        <v>0</v>
      </c>
      <c r="F13" s="651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6">
        <v>1382012</v>
      </c>
      <c r="E14" s="651">
        <f>'9.7.1. sz. mell TIB  '!C14+'9.7.2. sz. mell TIB'!C14</f>
        <v>1382012</v>
      </c>
      <c r="F14" s="651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6"/>
      <c r="E15" s="651">
        <f>'9.7.1. sz. mell TIB  '!C15+'9.7.2. sz. mell TIB'!C15</f>
        <v>0</v>
      </c>
      <c r="F15" s="651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6"/>
      <c r="E16" s="651">
        <f>'9.7.1. sz. mell TIB  '!C16+'9.7.2. sz. mell TIB'!C16</f>
        <v>0</v>
      </c>
      <c r="F16" s="651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7"/>
      <c r="E17" s="651">
        <f>'9.7.1. sz. mell TIB  '!C17+'9.7.2. sz. mell TIB'!C17</f>
        <v>0</v>
      </c>
      <c r="F17" s="651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6"/>
      <c r="E18" s="651">
        <f>'9.7.1. sz. mell TIB  '!C18+'9.7.2. sz. mell TIB'!C18</f>
        <v>0</v>
      </c>
      <c r="F18" s="651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8"/>
      <c r="E19" s="651">
        <f>'9.7.1. sz. mell TIB  '!C19+'9.7.2. sz. mell TIB'!C19</f>
        <v>0</v>
      </c>
      <c r="F19" s="651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8"/>
      <c r="E20" s="651">
        <f>'9.7.1. sz. mell TIB  '!C20+'9.7.2. sz. mell TIB'!C20</f>
        <v>0</v>
      </c>
      <c r="F20" s="651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94">
        <f>SUM(C22:C24)</f>
        <v>358859</v>
      </c>
      <c r="E21" s="651">
        <f>'9.7.1. sz. mell TIB  '!C21+'9.7.2. sz. mell TIB'!C21</f>
        <v>358859</v>
      </c>
      <c r="F21" s="651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9"/>
      <c r="E22" s="651">
        <f>'9.7.1. sz. mell TIB  '!C22+'9.7.2. sz. mell TIB'!C22</f>
        <v>0</v>
      </c>
      <c r="F22" s="651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6"/>
      <c r="E23" s="651">
        <f>'9.7.1. sz. mell TIB  '!C23+'9.7.2. sz. mell TIB'!C23</f>
        <v>0</v>
      </c>
      <c r="F23" s="651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800">
        <v>358859</v>
      </c>
      <c r="E24" s="651">
        <f>'9.7.1. sz. mell TIB  '!C24+'9.7.2. sz. mell TIB'!C24</f>
        <v>358859</v>
      </c>
      <c r="F24" s="651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6">
        <v>358859</v>
      </c>
      <c r="E25" s="651">
        <f>'9.7.1. sz. mell TIB  '!C25+'9.7.2. sz. mell TIB'!C25</f>
        <v>358859</v>
      </c>
      <c r="F25" s="651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801"/>
      <c r="E26" s="651">
        <f>'9.7.1. sz. mell TIB  '!C26+'9.7.2. sz. mell TIB'!C26</f>
        <v>0</v>
      </c>
      <c r="F26" s="651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  <c r="E27" s="651">
        <f>'9.7.1. sz. mell TIB  '!C27+'9.7.2. sz. mell TIB'!C27</f>
        <v>0</v>
      </c>
      <c r="F27" s="651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802"/>
      <c r="E28" s="651">
        <f>'9.7.1. sz. mell TIB  '!C28+'9.7.2. sz. mell TIB'!C28</f>
        <v>0</v>
      </c>
      <c r="F28" s="651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9"/>
      <c r="E29" s="651">
        <f>'9.7.1. sz. mell TIB  '!C29+'9.7.2. sz. mell TIB'!C29</f>
        <v>0</v>
      </c>
      <c r="F29" s="651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9"/>
      <c r="E30" s="651">
        <f>'9.7.1. sz. mell TIB  '!C30+'9.7.2. sz. mell TIB'!C30</f>
        <v>0</v>
      </c>
      <c r="F30" s="651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803"/>
      <c r="E31" s="651">
        <f>'9.7.1. sz. mell TIB  '!C31+'9.7.2. sz. mell TIB'!C31</f>
        <v>0</v>
      </c>
      <c r="F31" s="651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  <c r="E32" s="651">
        <f>'9.7.1. sz. mell TIB  '!C32+'9.7.2. sz. mell TIB'!C32</f>
        <v>0</v>
      </c>
      <c r="F32" s="651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802"/>
      <c r="E33" s="651">
        <f>'9.7.1. sz. mell TIB  '!C33+'9.7.2. sz. mell TIB'!C33</f>
        <v>0</v>
      </c>
      <c r="F33" s="651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7"/>
      <c r="E34" s="651">
        <f>'9.7.1. sz. mell TIB  '!C34+'9.7.2. sz. mell TIB'!C34</f>
        <v>0</v>
      </c>
      <c r="F34" s="651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803"/>
      <c r="E35" s="651">
        <f>'9.7.1. sz. mell TIB  '!C35+'9.7.2. sz. mell TIB'!C35</f>
        <v>0</v>
      </c>
      <c r="F35" s="651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801"/>
      <c r="E36" s="651">
        <f>'9.7.1. sz. mell TIB  '!C36+'9.7.2. sz. mell TIB'!C36</f>
        <v>0</v>
      </c>
      <c r="F36" s="651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804"/>
      <c r="E37" s="651">
        <f>'9.7.1. sz. mell TIB  '!C37+'9.7.2. sz. mell TIB'!C37</f>
        <v>0</v>
      </c>
      <c r="F37" s="651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1740871</v>
      </c>
      <c r="E38" s="651">
        <f>'9.7.1. sz. mell TIB  '!C38+'9.7.2. sz. mell TIB'!C38</f>
        <v>1740871</v>
      </c>
      <c r="F38" s="651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805">
        <f>+C40+C41+C42</f>
        <v>99400772</v>
      </c>
      <c r="E39" s="651">
        <f>'9.7.1. sz. mell TIB  '!C39+'9.7.2. sz. mell TIB'!C39</f>
        <v>99400772</v>
      </c>
      <c r="F39" s="651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802">
        <v>820681</v>
      </c>
      <c r="E40" s="651">
        <f>'9.7.1. sz. mell TIB  '!C40+'9.7.2. sz. mell TIB'!C40</f>
        <v>820681</v>
      </c>
      <c r="F40" s="651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7"/>
      <c r="E41" s="651">
        <f>'9.7.1. sz. mell TIB  '!C41+'9.7.2. sz. mell TIB'!C41</f>
        <v>0</v>
      </c>
      <c r="F41" s="651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479">
        <f>97939593+640498</f>
        <v>98580091</v>
      </c>
      <c r="E42" s="651">
        <f>'9.7.1. sz. mell TIB  '!C42+'9.7.2. sz. mell TIB'!C42</f>
        <v>98580091</v>
      </c>
      <c r="F42" s="651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1480">
        <f>+C38+C39</f>
        <v>101141643</v>
      </c>
      <c r="E43" s="651">
        <f>'9.7.1. sz. mell TIB  '!C43+'9.7.2. sz. mell TIB'!C43</f>
        <v>101141643</v>
      </c>
      <c r="F43" s="651">
        <f t="shared" si="0"/>
        <v>0</v>
      </c>
    </row>
    <row r="44" spans="1:6" x14ac:dyDescent="0.2">
      <c r="A44" s="106"/>
      <c r="B44" s="107"/>
      <c r="C44" s="807"/>
      <c r="E44" s="651">
        <f>'9.7.1. sz. mell TIB  '!C44+'9.7.2. sz. mell TIB'!C44</f>
        <v>0</v>
      </c>
      <c r="F44" s="651">
        <f t="shared" si="0"/>
        <v>0</v>
      </c>
    </row>
    <row r="45" spans="1:6" s="242" customFormat="1" ht="16.5" customHeight="1" thickBot="1" x14ac:dyDescent="0.25">
      <c r="A45" s="108"/>
      <c r="B45" s="109"/>
      <c r="C45" s="808"/>
      <c r="E45" s="651">
        <f>'9.7.1. sz. mell TIB  '!C45+'9.7.2. sz. mell TIB'!C45</f>
        <v>0</v>
      </c>
      <c r="F45" s="651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6"/>
      <c r="E46" s="651">
        <f>'9.7.1. sz. mell TIB  '!C46+'9.7.2. sz. mell TIB'!C46</f>
        <v>0</v>
      </c>
      <c r="F46" s="651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1477">
        <f>SUM(C48:C52)</f>
        <v>100530793</v>
      </c>
      <c r="E47" s="651">
        <f>'9.7.1. sz. mell TIB  '!C47+'9.7.2. sz. mell TIB'!C47</f>
        <v>100530793</v>
      </c>
      <c r="F47" s="651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516">
        <f>71236352+545105</f>
        <v>71781457</v>
      </c>
      <c r="E48" s="651">
        <f>'9.7.1. sz. mell TIB  '!C48+'9.7.2. sz. mell TIB'!C48</f>
        <v>71781457</v>
      </c>
      <c r="F48" s="651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517">
        <f>12731399+95393</f>
        <v>12826792</v>
      </c>
      <c r="E49" s="651">
        <f>'9.7.1. sz. mell TIB  '!C49+'9.7.2. sz. mell TIB'!C49</f>
        <v>12826792</v>
      </c>
      <c r="F49" s="651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6">
        <v>15922544</v>
      </c>
      <c r="E50" s="651">
        <f>'9.7.1. sz. mell TIB  '!C50+'9.7.2. sz. mell TIB'!C50</f>
        <v>15922544</v>
      </c>
      <c r="F50" s="651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6"/>
      <c r="E51" s="651">
        <f>'9.7.1. sz. mell TIB  '!C51+'9.7.2. sz. mell TIB'!C51</f>
        <v>0</v>
      </c>
      <c r="F51" s="651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6"/>
      <c r="E52" s="651">
        <f>'9.7.1. sz. mell TIB  '!C52+'9.7.2. sz. mell TIB'!C52</f>
        <v>0</v>
      </c>
      <c r="F52" s="651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94">
        <f>SUM(C54:C56)</f>
        <v>610850</v>
      </c>
      <c r="E53" s="651">
        <f>'9.7.1. sz. mell TIB  '!C53+'9.7.2. sz. mell TIB'!C53</f>
        <v>610850</v>
      </c>
      <c r="F53" s="651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802">
        <v>610850</v>
      </c>
      <c r="E54" s="651">
        <f>'9.7.1. sz. mell TIB  '!C54+'9.7.2. sz. mell TIB'!C54</f>
        <v>610850</v>
      </c>
      <c r="F54" s="651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6"/>
      <c r="E55" s="651">
        <f>'9.7.1. sz. mell TIB  '!C55+'9.7.2. sz. mell TIB'!C55</f>
        <v>0</v>
      </c>
      <c r="F55" s="651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6"/>
      <c r="E56" s="651">
        <f>'9.7.1. sz. mell TIB  '!C56+'9.7.2. sz. mell TIB'!C56</f>
        <v>0</v>
      </c>
      <c r="F56" s="651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6"/>
      <c r="E57" s="651">
        <f>'9.7.1. sz. mell TIB  '!C57+'9.7.2. sz. mell TIB'!C57</f>
        <v>0</v>
      </c>
      <c r="F57" s="651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801"/>
      <c r="E58" s="651">
        <f>'9.7.1. sz. mell TIB  '!C58+'9.7.2. sz. mell TIB'!C58</f>
        <v>0</v>
      </c>
      <c r="F58" s="651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1478">
        <f>+C47+C53+C58</f>
        <v>101141643</v>
      </c>
      <c r="E59" s="651">
        <f>'9.7.1. sz. mell TIB  '!C59+'9.7.2. sz. mell TIB'!C59</f>
        <v>101141643</v>
      </c>
      <c r="F59" s="651">
        <f t="shared" si="0"/>
        <v>0</v>
      </c>
    </row>
    <row r="60" spans="1:6" ht="14.25" customHeight="1" thickBot="1" x14ac:dyDescent="0.25">
      <c r="C60" s="810"/>
      <c r="E60" s="651">
        <f>'9.7.1. sz. mell TIB  '!C60+'9.7.2. sz. mell TIB'!C60</f>
        <v>0</v>
      </c>
      <c r="F60" s="651">
        <f t="shared" si="0"/>
        <v>0</v>
      </c>
    </row>
    <row r="61" spans="1:6" ht="13.5" thickBot="1" x14ac:dyDescent="0.25">
      <c r="A61" s="115" t="s">
        <v>521</v>
      </c>
      <c r="B61" s="116"/>
      <c r="C61" s="811">
        <v>21</v>
      </c>
      <c r="E61" s="651" t="e">
        <f>'9.7.1. sz. mell TIB  '!C61+'9.7.2. sz. mell TIB'!#REF!</f>
        <v>#REF!</v>
      </c>
      <c r="F61" s="651" t="e">
        <f t="shared" si="0"/>
        <v>#REF!</v>
      </c>
    </row>
    <row r="62" spans="1:6" x14ac:dyDescent="0.2">
      <c r="E62" s="651"/>
      <c r="F62" s="651"/>
    </row>
    <row r="63" spans="1:6" x14ac:dyDescent="0.2">
      <c r="E63" s="651"/>
      <c r="F63" s="65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45" zoomScaleNormal="14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58" customFormat="1" x14ac:dyDescent="0.2">
      <c r="A1" s="1540" t="str">
        <f>CONCATENATE("13. melléklet ",ALAPADATOK!A7," ",ALAPADATOK!B7," ",ALAPADATOK!C7," ",ALAPADATOK!D7," ",ALAPADATOK!E7," ",ALAPADATOK!F7," ",ALAPADATOK!G7," ",ALAPADATOK!H7)</f>
        <v>13. melléklet a 6 / 2020. ( II.27 ) önkormányzati határozathoz</v>
      </c>
      <c r="B1" s="1540"/>
      <c r="C1" s="1540"/>
    </row>
    <row r="2" spans="1:3" s="93" customFormat="1" ht="21" customHeight="1" thickBot="1" x14ac:dyDescent="0.25">
      <c r="A2" s="92"/>
      <c r="B2" s="94"/>
      <c r="C2" s="404"/>
    </row>
    <row r="3" spans="1:3" s="240" customFormat="1" ht="36" customHeight="1" x14ac:dyDescent="0.2">
      <c r="A3" s="197" t="s">
        <v>167</v>
      </c>
      <c r="B3" s="175" t="s">
        <v>537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55</v>
      </c>
    </row>
    <row r="5" spans="1:3" s="241" customFormat="1" ht="15.95" customHeight="1" thickBot="1" x14ac:dyDescent="0.3">
      <c r="A5" s="96"/>
      <c r="B5" s="96"/>
      <c r="C5" s="407" t="s">
        <v>558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94">
        <f>SUM(C10:C20)</f>
        <v>1382012</v>
      </c>
    </row>
    <row r="10" spans="1:3" s="191" customFormat="1" ht="12" customHeight="1" x14ac:dyDescent="0.2">
      <c r="A10" s="234" t="s">
        <v>100</v>
      </c>
      <c r="B10" s="8" t="s">
        <v>223</v>
      </c>
      <c r="C10" s="795"/>
    </row>
    <row r="11" spans="1:3" s="191" customFormat="1" ht="12" customHeight="1" x14ac:dyDescent="0.2">
      <c r="A11" s="235" t="s">
        <v>101</v>
      </c>
      <c r="B11" s="6" t="s">
        <v>224</v>
      </c>
      <c r="C11" s="796"/>
    </row>
    <row r="12" spans="1:3" s="191" customFormat="1" ht="12" customHeight="1" x14ac:dyDescent="0.2">
      <c r="A12" s="235" t="s">
        <v>102</v>
      </c>
      <c r="B12" s="6" t="s">
        <v>225</v>
      </c>
      <c r="C12" s="796"/>
    </row>
    <row r="13" spans="1:3" s="191" customFormat="1" ht="12" customHeight="1" x14ac:dyDescent="0.2">
      <c r="A13" s="235" t="s">
        <v>103</v>
      </c>
      <c r="B13" s="6" t="s">
        <v>226</v>
      </c>
      <c r="C13" s="796"/>
    </row>
    <row r="14" spans="1:3" s="191" customFormat="1" ht="12" customHeight="1" x14ac:dyDescent="0.2">
      <c r="A14" s="235" t="s">
        <v>126</v>
      </c>
      <c r="B14" s="6" t="s">
        <v>227</v>
      </c>
      <c r="C14" s="796">
        <v>1382012</v>
      </c>
    </row>
    <row r="15" spans="1:3" s="191" customFormat="1" ht="12" customHeight="1" x14ac:dyDescent="0.2">
      <c r="A15" s="235" t="s">
        <v>104</v>
      </c>
      <c r="B15" s="6" t="s">
        <v>348</v>
      </c>
      <c r="C15" s="796"/>
    </row>
    <row r="16" spans="1:3" s="191" customFormat="1" ht="12" customHeight="1" x14ac:dyDescent="0.2">
      <c r="A16" s="235" t="s">
        <v>105</v>
      </c>
      <c r="B16" s="5" t="s">
        <v>349</v>
      </c>
      <c r="C16" s="796"/>
    </row>
    <row r="17" spans="1:3" s="191" customFormat="1" ht="12" customHeight="1" x14ac:dyDescent="0.2">
      <c r="A17" s="235" t="s">
        <v>115</v>
      </c>
      <c r="B17" s="6" t="s">
        <v>230</v>
      </c>
      <c r="C17" s="797"/>
    </row>
    <row r="18" spans="1:3" s="243" customFormat="1" ht="12" customHeight="1" x14ac:dyDescent="0.2">
      <c r="A18" s="235" t="s">
        <v>116</v>
      </c>
      <c r="B18" s="6" t="s">
        <v>231</v>
      </c>
      <c r="C18" s="796"/>
    </row>
    <row r="19" spans="1:3" s="243" customFormat="1" ht="12" customHeight="1" x14ac:dyDescent="0.2">
      <c r="A19" s="235" t="s">
        <v>117</v>
      </c>
      <c r="B19" s="6" t="s">
        <v>453</v>
      </c>
      <c r="C19" s="798"/>
    </row>
    <row r="20" spans="1:3" s="243" customFormat="1" ht="12" customHeight="1" thickBot="1" x14ac:dyDescent="0.25">
      <c r="A20" s="235" t="s">
        <v>118</v>
      </c>
      <c r="B20" s="5" t="s">
        <v>232</v>
      </c>
      <c r="C20" s="798"/>
    </row>
    <row r="21" spans="1:3" s="191" customFormat="1" ht="12" customHeight="1" thickBot="1" x14ac:dyDescent="0.25">
      <c r="A21" s="85" t="s">
        <v>22</v>
      </c>
      <c r="B21" s="103" t="s">
        <v>350</v>
      </c>
      <c r="C21" s="794">
        <f>SUM(C22:C24)</f>
        <v>358859</v>
      </c>
    </row>
    <row r="22" spans="1:3" s="243" customFormat="1" ht="12" customHeight="1" x14ac:dyDescent="0.2">
      <c r="A22" s="235" t="s">
        <v>106</v>
      </c>
      <c r="B22" s="7" t="s">
        <v>201</v>
      </c>
      <c r="C22" s="799"/>
    </row>
    <row r="23" spans="1:3" s="243" customFormat="1" ht="12" customHeight="1" x14ac:dyDescent="0.2">
      <c r="A23" s="235" t="s">
        <v>107</v>
      </c>
      <c r="B23" s="6" t="s">
        <v>351</v>
      </c>
      <c r="C23" s="796"/>
    </row>
    <row r="24" spans="1:3" s="243" customFormat="1" ht="12" customHeight="1" x14ac:dyDescent="0.2">
      <c r="A24" s="235" t="s">
        <v>108</v>
      </c>
      <c r="B24" s="6" t="s">
        <v>352</v>
      </c>
      <c r="C24" s="800">
        <v>358859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6">
        <v>358859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801"/>
    </row>
    <row r="27" spans="1:3" s="243" customFormat="1" ht="12" customHeight="1" thickBot="1" x14ac:dyDescent="0.25">
      <c r="A27" s="88" t="s">
        <v>24</v>
      </c>
      <c r="B27" s="66" t="s">
        <v>525</v>
      </c>
      <c r="C27" s="79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802"/>
    </row>
    <row r="29" spans="1:3" s="243" customFormat="1" ht="12" customHeight="1" x14ac:dyDescent="0.2">
      <c r="A29" s="236" t="s">
        <v>214</v>
      </c>
      <c r="B29" s="237" t="s">
        <v>351</v>
      </c>
      <c r="C29" s="799"/>
    </row>
    <row r="30" spans="1:3" s="243" customFormat="1" ht="12" customHeight="1" x14ac:dyDescent="0.2">
      <c r="A30" s="236" t="s">
        <v>215</v>
      </c>
      <c r="B30" s="238" t="s">
        <v>353</v>
      </c>
      <c r="C30" s="799"/>
    </row>
    <row r="31" spans="1:3" s="243" customFormat="1" ht="12" customHeight="1" thickBot="1" x14ac:dyDescent="0.25">
      <c r="A31" s="235" t="s">
        <v>216</v>
      </c>
      <c r="B31" s="69" t="s">
        <v>526</v>
      </c>
      <c r="C31" s="803"/>
    </row>
    <row r="32" spans="1:3" s="243" customFormat="1" ht="12" customHeight="1" thickBot="1" x14ac:dyDescent="0.25">
      <c r="A32" s="88" t="s">
        <v>25</v>
      </c>
      <c r="B32" s="66" t="s">
        <v>354</v>
      </c>
      <c r="C32" s="79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802"/>
    </row>
    <row r="34" spans="1:3" s="243" customFormat="1" ht="12" customHeight="1" x14ac:dyDescent="0.2">
      <c r="A34" s="236" t="s">
        <v>94</v>
      </c>
      <c r="B34" s="238" t="s">
        <v>238</v>
      </c>
      <c r="C34" s="797"/>
    </row>
    <row r="35" spans="1:3" s="191" customFormat="1" ht="12" customHeight="1" thickBot="1" x14ac:dyDescent="0.25">
      <c r="A35" s="235" t="s">
        <v>95</v>
      </c>
      <c r="B35" s="69" t="s">
        <v>239</v>
      </c>
      <c r="C35" s="803"/>
    </row>
    <row r="36" spans="1:3" s="191" customFormat="1" ht="12" customHeight="1" thickBot="1" x14ac:dyDescent="0.25">
      <c r="A36" s="88" t="s">
        <v>26</v>
      </c>
      <c r="B36" s="66" t="s">
        <v>325</v>
      </c>
      <c r="C36" s="801"/>
    </row>
    <row r="37" spans="1:3" s="191" customFormat="1" ht="12" customHeight="1" thickBot="1" x14ac:dyDescent="0.25">
      <c r="A37" s="88" t="s">
        <v>27</v>
      </c>
      <c r="B37" s="66" t="s">
        <v>355</v>
      </c>
      <c r="C37" s="804"/>
    </row>
    <row r="38" spans="1:3" s="191" customFormat="1" ht="12" customHeight="1" thickBot="1" x14ac:dyDescent="0.25">
      <c r="A38" s="85" t="s">
        <v>28</v>
      </c>
      <c r="B38" s="66" t="s">
        <v>356</v>
      </c>
      <c r="C38" s="805">
        <f>+C9+C21+C26+C27+C32+C36+C37</f>
        <v>1740871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805">
        <f>+C40+C41+C42</f>
        <v>99400772</v>
      </c>
    </row>
    <row r="40" spans="1:3" s="191" customFormat="1" ht="12" customHeight="1" x14ac:dyDescent="0.2">
      <c r="A40" s="236" t="s">
        <v>358</v>
      </c>
      <c r="B40" s="237" t="s">
        <v>182</v>
      </c>
      <c r="C40" s="802">
        <v>820681</v>
      </c>
    </row>
    <row r="41" spans="1:3" s="243" customFormat="1" ht="12" customHeight="1" x14ac:dyDescent="0.2">
      <c r="A41" s="236" t="s">
        <v>359</v>
      </c>
      <c r="B41" s="238" t="s">
        <v>9</v>
      </c>
      <c r="C41" s="797"/>
    </row>
    <row r="42" spans="1:3" s="243" customFormat="1" ht="15" customHeight="1" thickBot="1" x14ac:dyDescent="0.25">
      <c r="A42" s="235" t="s">
        <v>360</v>
      </c>
      <c r="B42" s="69" t="s">
        <v>361</v>
      </c>
      <c r="C42" s="1479">
        <f>97939593+640498</f>
        <v>98580091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480">
        <f>+C38+C39</f>
        <v>101141643</v>
      </c>
    </row>
    <row r="44" spans="1:3" x14ac:dyDescent="0.2">
      <c r="A44" s="106"/>
      <c r="B44" s="107"/>
      <c r="C44" s="807"/>
    </row>
    <row r="45" spans="1:3" s="242" customFormat="1" ht="16.5" customHeight="1" thickBot="1" x14ac:dyDescent="0.25">
      <c r="A45" s="108"/>
      <c r="B45" s="109"/>
      <c r="C45" s="808"/>
    </row>
    <row r="46" spans="1:3" s="244" customFormat="1" ht="12" customHeight="1" thickBot="1" x14ac:dyDescent="0.25">
      <c r="A46" s="110"/>
      <c r="B46" s="111" t="s">
        <v>59</v>
      </c>
      <c r="C46" s="806"/>
    </row>
    <row r="47" spans="1:3" ht="12" customHeight="1" thickBot="1" x14ac:dyDescent="0.25">
      <c r="A47" s="88" t="s">
        <v>21</v>
      </c>
      <c r="B47" s="66" t="s">
        <v>363</v>
      </c>
      <c r="C47" s="1477">
        <f>SUM(C48:C52)</f>
        <v>100530793</v>
      </c>
    </row>
    <row r="48" spans="1:3" ht="12" customHeight="1" x14ac:dyDescent="0.2">
      <c r="A48" s="235" t="s">
        <v>100</v>
      </c>
      <c r="B48" s="7" t="s">
        <v>51</v>
      </c>
      <c r="C48" s="516">
        <f>71236352+545105</f>
        <v>71781457</v>
      </c>
    </row>
    <row r="49" spans="1:3" ht="12" customHeight="1" x14ac:dyDescent="0.2">
      <c r="A49" s="235" t="s">
        <v>101</v>
      </c>
      <c r="B49" s="6" t="s">
        <v>149</v>
      </c>
      <c r="C49" s="517">
        <f>12731399+95393</f>
        <v>12826792</v>
      </c>
    </row>
    <row r="50" spans="1:3" ht="12" customHeight="1" x14ac:dyDescent="0.2">
      <c r="A50" s="235" t="s">
        <v>102</v>
      </c>
      <c r="B50" s="6" t="s">
        <v>125</v>
      </c>
      <c r="C50" s="796">
        <v>15922544</v>
      </c>
    </row>
    <row r="51" spans="1:3" ht="12" customHeight="1" x14ac:dyDescent="0.2">
      <c r="A51" s="235" t="s">
        <v>103</v>
      </c>
      <c r="B51" s="6" t="s">
        <v>150</v>
      </c>
      <c r="C51" s="796"/>
    </row>
    <row r="52" spans="1:3" ht="12" customHeight="1" thickBot="1" x14ac:dyDescent="0.25">
      <c r="A52" s="235" t="s">
        <v>126</v>
      </c>
      <c r="B52" s="6" t="s">
        <v>151</v>
      </c>
      <c r="C52" s="796"/>
    </row>
    <row r="53" spans="1:3" s="244" customFormat="1" ht="12" customHeight="1" thickBot="1" x14ac:dyDescent="0.25">
      <c r="A53" s="88" t="s">
        <v>22</v>
      </c>
      <c r="B53" s="66" t="s">
        <v>364</v>
      </c>
      <c r="C53" s="794">
        <f>SUM(C54:C56)</f>
        <v>610850</v>
      </c>
    </row>
    <row r="54" spans="1:3" ht="12" customHeight="1" x14ac:dyDescent="0.2">
      <c r="A54" s="235" t="s">
        <v>106</v>
      </c>
      <c r="B54" s="7" t="s">
        <v>173</v>
      </c>
      <c r="C54" s="802">
        <v>610850</v>
      </c>
    </row>
    <row r="55" spans="1:3" ht="12" customHeight="1" x14ac:dyDescent="0.2">
      <c r="A55" s="235" t="s">
        <v>107</v>
      </c>
      <c r="B55" s="6" t="s">
        <v>153</v>
      </c>
      <c r="C55" s="796"/>
    </row>
    <row r="56" spans="1:3" ht="12" customHeight="1" x14ac:dyDescent="0.2">
      <c r="A56" s="235" t="s">
        <v>108</v>
      </c>
      <c r="B56" s="6" t="s">
        <v>60</v>
      </c>
      <c r="C56" s="796"/>
    </row>
    <row r="57" spans="1:3" ht="15" customHeight="1" thickBot="1" x14ac:dyDescent="0.25">
      <c r="A57" s="235" t="s">
        <v>109</v>
      </c>
      <c r="B57" s="6" t="s">
        <v>527</v>
      </c>
      <c r="C57" s="796"/>
    </row>
    <row r="58" spans="1:3" ht="13.5" thickBot="1" x14ac:dyDescent="0.25">
      <c r="A58" s="88" t="s">
        <v>23</v>
      </c>
      <c r="B58" s="66" t="s">
        <v>15</v>
      </c>
      <c r="C58" s="801"/>
    </row>
    <row r="59" spans="1:3" ht="15" customHeight="1" thickBot="1" x14ac:dyDescent="0.25">
      <c r="A59" s="88" t="s">
        <v>24</v>
      </c>
      <c r="B59" s="112" t="s">
        <v>528</v>
      </c>
      <c r="C59" s="1478">
        <f>+C47+C53+C58</f>
        <v>101141643</v>
      </c>
    </row>
    <row r="60" spans="1:3" ht="14.25" customHeight="1" thickBot="1" x14ac:dyDescent="0.25">
      <c r="C60" s="810"/>
    </row>
    <row r="61" spans="1:3" ht="13.5" thickBot="1" x14ac:dyDescent="0.25">
      <c r="A61" s="115" t="s">
        <v>521</v>
      </c>
      <c r="B61" s="116"/>
      <c r="C61" s="811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zoomScaleNormal="100" workbookViewId="0">
      <selection activeCell="C17" sqref="C17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s="1249" customFormat="1" x14ac:dyDescent="0.2">
      <c r="A1" s="1541" t="str">
        <f>CONCATENATE("9.7.2. melléklet ",ALAPADATOK!A7," ",ALAPADATOK!B7," ",ALAPADATOK!C7," ",ALAPADATOK!D7," ",ALAPADATOK!E7," ",ALAPADATOK!F7," ",ALAPADATOK!G7," ",ALAPADATOK!H7)</f>
        <v>9.7.2. melléklet a 6 / 2020. ( II.27 ) önkormányzati határozathoz</v>
      </c>
      <c r="B1" s="1541"/>
      <c r="C1" s="1541"/>
    </row>
    <row r="2" spans="1:3" ht="16.5" thickBot="1" x14ac:dyDescent="0.25">
      <c r="A2" s="92"/>
      <c r="B2" s="94"/>
      <c r="C2" s="239"/>
    </row>
    <row r="3" spans="1:3" ht="36" x14ac:dyDescent="0.2">
      <c r="A3" s="197" t="s">
        <v>167</v>
      </c>
      <c r="B3" s="175" t="s">
        <v>537</v>
      </c>
      <c r="C3" s="189" t="s">
        <v>63</v>
      </c>
    </row>
    <row r="4" spans="1:3" ht="24.75" thickBot="1" x14ac:dyDescent="0.25">
      <c r="A4" s="233" t="s">
        <v>166</v>
      </c>
      <c r="B4" s="176" t="s">
        <v>366</v>
      </c>
      <c r="C4" s="190" t="s">
        <v>62</v>
      </c>
    </row>
    <row r="5" spans="1:3" ht="14.25" thickBot="1" x14ac:dyDescent="0.3">
      <c r="A5" s="96"/>
      <c r="B5" s="96"/>
      <c r="C5" s="97" t="s">
        <v>558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ht="13.5" thickBot="1" x14ac:dyDescent="0.25">
      <c r="A7" s="85" t="s">
        <v>447</v>
      </c>
      <c r="B7" s="86" t="s">
        <v>448</v>
      </c>
      <c r="C7" s="87" t="s">
        <v>449</v>
      </c>
    </row>
    <row r="8" spans="1:3" ht="13.5" thickBot="1" x14ac:dyDescent="0.25">
      <c r="A8" s="100"/>
      <c r="B8" s="101" t="s">
        <v>58</v>
      </c>
      <c r="C8" s="102"/>
    </row>
    <row r="9" spans="1:3" ht="13.5" thickBot="1" x14ac:dyDescent="0.25">
      <c r="A9" s="85" t="s">
        <v>21</v>
      </c>
      <c r="B9" s="103" t="s">
        <v>523</v>
      </c>
      <c r="C9" s="144">
        <f>SUM(C10:C20)</f>
        <v>0</v>
      </c>
    </row>
    <row r="10" spans="1:3" x14ac:dyDescent="0.2">
      <c r="A10" s="234" t="s">
        <v>100</v>
      </c>
      <c r="B10" s="8" t="s">
        <v>223</v>
      </c>
      <c r="C10" s="180"/>
    </row>
    <row r="11" spans="1:3" x14ac:dyDescent="0.2">
      <c r="A11" s="235" t="s">
        <v>101</v>
      </c>
      <c r="B11" s="6" t="s">
        <v>224</v>
      </c>
      <c r="C11" s="142"/>
    </row>
    <row r="12" spans="1:3" x14ac:dyDescent="0.2">
      <c r="A12" s="235" t="s">
        <v>102</v>
      </c>
      <c r="B12" s="6" t="s">
        <v>225</v>
      </c>
      <c r="C12" s="142"/>
    </row>
    <row r="13" spans="1:3" x14ac:dyDescent="0.2">
      <c r="A13" s="235" t="s">
        <v>103</v>
      </c>
      <c r="B13" s="6" t="s">
        <v>226</v>
      </c>
      <c r="C13" s="142"/>
    </row>
    <row r="14" spans="1:3" x14ac:dyDescent="0.2">
      <c r="A14" s="235" t="s">
        <v>126</v>
      </c>
      <c r="B14" s="6" t="s">
        <v>227</v>
      </c>
      <c r="C14" s="142"/>
    </row>
    <row r="15" spans="1:3" x14ac:dyDescent="0.2">
      <c r="A15" s="235" t="s">
        <v>104</v>
      </c>
      <c r="B15" s="6" t="s">
        <v>348</v>
      </c>
      <c r="C15" s="142"/>
    </row>
    <row r="16" spans="1:3" x14ac:dyDescent="0.2">
      <c r="A16" s="235" t="s">
        <v>105</v>
      </c>
      <c r="B16" s="5" t="s">
        <v>349</v>
      </c>
      <c r="C16" s="142"/>
    </row>
    <row r="17" spans="1:3" x14ac:dyDescent="0.2">
      <c r="A17" s="235" t="s">
        <v>115</v>
      </c>
      <c r="B17" s="6" t="s">
        <v>230</v>
      </c>
      <c r="C17" s="181"/>
    </row>
    <row r="18" spans="1:3" x14ac:dyDescent="0.2">
      <c r="A18" s="235" t="s">
        <v>116</v>
      </c>
      <c r="B18" s="6" t="s">
        <v>231</v>
      </c>
      <c r="C18" s="142"/>
    </row>
    <row r="19" spans="1:3" x14ac:dyDescent="0.2">
      <c r="A19" s="235" t="s">
        <v>117</v>
      </c>
      <c r="B19" s="6" t="s">
        <v>453</v>
      </c>
      <c r="C19" s="143"/>
    </row>
    <row r="20" spans="1:3" ht="13.5" thickBot="1" x14ac:dyDescent="0.25">
      <c r="A20" s="235" t="s">
        <v>118</v>
      </c>
      <c r="B20" s="5" t="s">
        <v>232</v>
      </c>
      <c r="C20" s="143"/>
    </row>
    <row r="21" spans="1:3" ht="13.5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x14ac:dyDescent="0.2">
      <c r="A22" s="235" t="s">
        <v>106</v>
      </c>
      <c r="B22" s="7" t="s">
        <v>201</v>
      </c>
      <c r="C22" s="142"/>
    </row>
    <row r="23" spans="1:3" x14ac:dyDescent="0.2">
      <c r="A23" s="235" t="s">
        <v>107</v>
      </c>
      <c r="B23" s="6" t="s">
        <v>351</v>
      </c>
      <c r="C23" s="142"/>
    </row>
    <row r="24" spans="1:3" x14ac:dyDescent="0.2">
      <c r="A24" s="235" t="s">
        <v>108</v>
      </c>
      <c r="B24" s="6" t="s">
        <v>352</v>
      </c>
      <c r="C24" s="142"/>
    </row>
    <row r="25" spans="1:3" ht="13.5" thickBot="1" x14ac:dyDescent="0.25">
      <c r="A25" s="235" t="s">
        <v>109</v>
      </c>
      <c r="B25" s="6" t="s">
        <v>532</v>
      </c>
      <c r="C25" s="142"/>
    </row>
    <row r="26" spans="1:3" ht="13.5" thickBot="1" x14ac:dyDescent="0.25">
      <c r="A26" s="88" t="s">
        <v>23</v>
      </c>
      <c r="B26" s="66" t="s">
        <v>140</v>
      </c>
      <c r="C26" s="165"/>
    </row>
    <row r="27" spans="1:3" ht="13.5" thickBot="1" x14ac:dyDescent="0.25">
      <c r="A27" s="88" t="s">
        <v>24</v>
      </c>
      <c r="B27" s="66" t="s">
        <v>533</v>
      </c>
      <c r="C27" s="144">
        <f>+C28+C29</f>
        <v>0</v>
      </c>
    </row>
    <row r="28" spans="1:3" x14ac:dyDescent="0.2">
      <c r="A28" s="236" t="s">
        <v>211</v>
      </c>
      <c r="B28" s="237" t="s">
        <v>351</v>
      </c>
      <c r="C28" s="41"/>
    </row>
    <row r="29" spans="1:3" x14ac:dyDescent="0.2">
      <c r="A29" s="236" t="s">
        <v>214</v>
      </c>
      <c r="B29" s="238" t="s">
        <v>353</v>
      </c>
      <c r="C29" s="145"/>
    </row>
    <row r="30" spans="1:3" ht="13.5" thickBot="1" x14ac:dyDescent="0.25">
      <c r="A30" s="235" t="s">
        <v>215</v>
      </c>
      <c r="B30" s="69" t="s">
        <v>534</v>
      </c>
      <c r="C30" s="44"/>
    </row>
    <row r="31" spans="1:3" ht="13.5" thickBot="1" x14ac:dyDescent="0.25">
      <c r="A31" s="88" t="s">
        <v>25</v>
      </c>
      <c r="B31" s="66" t="s">
        <v>354</v>
      </c>
      <c r="C31" s="144">
        <f>+C32+C33+C34</f>
        <v>0</v>
      </c>
    </row>
    <row r="32" spans="1:3" x14ac:dyDescent="0.2">
      <c r="A32" s="236" t="s">
        <v>93</v>
      </c>
      <c r="B32" s="237" t="s">
        <v>237</v>
      </c>
      <c r="C32" s="41"/>
    </row>
    <row r="33" spans="1:3" x14ac:dyDescent="0.2">
      <c r="A33" s="236" t="s">
        <v>94</v>
      </c>
      <c r="B33" s="238" t="s">
        <v>238</v>
      </c>
      <c r="C33" s="145"/>
    </row>
    <row r="34" spans="1:3" ht="13.5" thickBot="1" x14ac:dyDescent="0.25">
      <c r="A34" s="235" t="s">
        <v>95</v>
      </c>
      <c r="B34" s="69" t="s">
        <v>239</v>
      </c>
      <c r="C34" s="44"/>
    </row>
    <row r="35" spans="1:3" ht="13.5" thickBot="1" x14ac:dyDescent="0.25">
      <c r="A35" s="88" t="s">
        <v>26</v>
      </c>
      <c r="B35" s="66" t="s">
        <v>325</v>
      </c>
      <c r="C35" s="165"/>
    </row>
    <row r="36" spans="1:3" ht="13.5" thickBot="1" x14ac:dyDescent="0.25">
      <c r="A36" s="88" t="s">
        <v>27</v>
      </c>
      <c r="B36" s="66" t="s">
        <v>355</v>
      </c>
      <c r="C36" s="182"/>
    </row>
    <row r="37" spans="1:3" ht="13.5" thickBot="1" x14ac:dyDescent="0.25">
      <c r="A37" s="85" t="s">
        <v>28</v>
      </c>
      <c r="B37" s="66" t="s">
        <v>535</v>
      </c>
      <c r="C37" s="183">
        <f>+C9+C21+C26+C27+C31+C35+C36</f>
        <v>0</v>
      </c>
    </row>
    <row r="38" spans="1:3" ht="13.5" thickBot="1" x14ac:dyDescent="0.25">
      <c r="A38" s="104" t="s">
        <v>29</v>
      </c>
      <c r="B38" s="66" t="s">
        <v>357</v>
      </c>
      <c r="C38" s="183">
        <f>+C39+C40+C41</f>
        <v>0</v>
      </c>
    </row>
    <row r="39" spans="1:3" x14ac:dyDescent="0.2">
      <c r="A39" s="236" t="s">
        <v>358</v>
      </c>
      <c r="B39" s="237" t="s">
        <v>182</v>
      </c>
      <c r="C39" s="41"/>
    </row>
    <row r="40" spans="1:3" x14ac:dyDescent="0.2">
      <c r="A40" s="236" t="s">
        <v>359</v>
      </c>
      <c r="B40" s="238" t="s">
        <v>9</v>
      </c>
      <c r="C40" s="145"/>
    </row>
    <row r="41" spans="1:3" ht="13.5" thickBot="1" x14ac:dyDescent="0.25">
      <c r="A41" s="235" t="s">
        <v>360</v>
      </c>
      <c r="B41" s="69" t="s">
        <v>361</v>
      </c>
      <c r="C41" s="44"/>
    </row>
    <row r="42" spans="1:3" ht="13.5" thickBot="1" x14ac:dyDescent="0.25">
      <c r="A42" s="104" t="s">
        <v>30</v>
      </c>
      <c r="B42" s="105" t="s">
        <v>362</v>
      </c>
      <c r="C42" s="186">
        <f>+C37+C38</f>
        <v>0</v>
      </c>
    </row>
    <row r="43" spans="1:3" x14ac:dyDescent="0.2">
      <c r="A43" s="106"/>
      <c r="B43" s="107"/>
      <c r="C43" s="184"/>
    </row>
    <row r="44" spans="1:3" ht="13.5" thickBot="1" x14ac:dyDescent="0.25">
      <c r="A44" s="108"/>
      <c r="B44" s="109"/>
      <c r="C44" s="185"/>
    </row>
    <row r="45" spans="1:3" ht="13.5" thickBot="1" x14ac:dyDescent="0.25">
      <c r="A45" s="110"/>
      <c r="B45" s="111" t="s">
        <v>59</v>
      </c>
      <c r="C45" s="186"/>
    </row>
    <row r="46" spans="1:3" ht="13.5" thickBot="1" x14ac:dyDescent="0.25">
      <c r="A46" s="88" t="s">
        <v>21</v>
      </c>
      <c r="B46" s="66" t="s">
        <v>363</v>
      </c>
      <c r="C46" s="144">
        <f>SUM(C47:C51)</f>
        <v>0</v>
      </c>
    </row>
    <row r="47" spans="1:3" x14ac:dyDescent="0.2">
      <c r="A47" s="235" t="s">
        <v>100</v>
      </c>
      <c r="B47" s="7" t="s">
        <v>51</v>
      </c>
      <c r="C47" s="41"/>
    </row>
    <row r="48" spans="1:3" x14ac:dyDescent="0.2">
      <c r="A48" s="235" t="s">
        <v>101</v>
      </c>
      <c r="B48" s="6" t="s">
        <v>149</v>
      </c>
      <c r="C48" s="43"/>
    </row>
    <row r="49" spans="1:3" x14ac:dyDescent="0.2">
      <c r="A49" s="235" t="s">
        <v>102</v>
      </c>
      <c r="B49" s="6" t="s">
        <v>125</v>
      </c>
      <c r="C49" s="43"/>
    </row>
    <row r="50" spans="1:3" x14ac:dyDescent="0.2">
      <c r="A50" s="235" t="s">
        <v>103</v>
      </c>
      <c r="B50" s="6" t="s">
        <v>150</v>
      </c>
      <c r="C50" s="43"/>
    </row>
    <row r="51" spans="1:3" ht="13.5" thickBot="1" x14ac:dyDescent="0.25">
      <c r="A51" s="235" t="s">
        <v>126</v>
      </c>
      <c r="B51" s="6" t="s">
        <v>151</v>
      </c>
      <c r="C51" s="43"/>
    </row>
    <row r="52" spans="1:3" ht="13.5" thickBot="1" x14ac:dyDescent="0.25">
      <c r="A52" s="88" t="s">
        <v>22</v>
      </c>
      <c r="B52" s="66" t="s">
        <v>364</v>
      </c>
      <c r="C52" s="144">
        <f>SUM(C53:C55)</f>
        <v>0</v>
      </c>
    </row>
    <row r="53" spans="1:3" x14ac:dyDescent="0.2">
      <c r="A53" s="235" t="s">
        <v>106</v>
      </c>
      <c r="B53" s="7" t="s">
        <v>173</v>
      </c>
      <c r="C53" s="41"/>
    </row>
    <row r="54" spans="1:3" x14ac:dyDescent="0.2">
      <c r="A54" s="235" t="s">
        <v>107</v>
      </c>
      <c r="B54" s="6" t="s">
        <v>153</v>
      </c>
      <c r="C54" s="43"/>
    </row>
    <row r="55" spans="1:3" x14ac:dyDescent="0.2">
      <c r="A55" s="235" t="s">
        <v>108</v>
      </c>
      <c r="B55" s="6" t="s">
        <v>60</v>
      </c>
      <c r="C55" s="43"/>
    </row>
    <row r="56" spans="1:3" ht="13.5" thickBot="1" x14ac:dyDescent="0.25">
      <c r="A56" s="235" t="s">
        <v>109</v>
      </c>
      <c r="B56" s="6" t="s">
        <v>527</v>
      </c>
      <c r="C56" s="43"/>
    </row>
    <row r="57" spans="1:3" ht="13.5" thickBot="1" x14ac:dyDescent="0.25">
      <c r="A57" s="88" t="s">
        <v>23</v>
      </c>
      <c r="B57" s="66" t="s">
        <v>15</v>
      </c>
      <c r="C57" s="165"/>
    </row>
    <row r="58" spans="1:3" ht="13.5" thickBot="1" x14ac:dyDescent="0.25">
      <c r="A58" s="88" t="s">
        <v>24</v>
      </c>
      <c r="B58" s="112" t="s">
        <v>528</v>
      </c>
      <c r="C58" s="187">
        <f>+C46+C52+C57</f>
        <v>0</v>
      </c>
    </row>
    <row r="59" spans="1:3" ht="13.5" thickBot="1" x14ac:dyDescent="0.25">
      <c r="A59" s="113"/>
      <c r="B59" s="114"/>
      <c r="C59" s="188"/>
    </row>
    <row r="60" spans="1:3" ht="13.5" thickBot="1" x14ac:dyDescent="0.25">
      <c r="A60" s="115" t="s">
        <v>521</v>
      </c>
      <c r="B60" s="116"/>
      <c r="C60" s="65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zoomScaleSheetLayoutView="115" zoomScalePageLayoutView="85" workbookViewId="0">
      <selection activeCell="H17" sqref="H17"/>
    </sheetView>
  </sheetViews>
  <sheetFormatPr defaultColWidth="12.5" defaultRowHeight="12.75" x14ac:dyDescent="0.2"/>
  <cols>
    <col min="1" max="1" width="35.83203125" style="916" customWidth="1"/>
    <col min="2" max="2" width="12" style="916" customWidth="1"/>
    <col min="3" max="3" width="16" style="916" customWidth="1"/>
    <col min="4" max="4" width="15" style="931" customWidth="1"/>
    <col min="5" max="5" width="14" style="916" customWidth="1"/>
    <col min="6" max="6" width="13.6640625" style="916" customWidth="1"/>
    <col min="7" max="7" width="13.33203125" style="916" customWidth="1"/>
    <col min="8" max="8" width="14.1640625" style="916" customWidth="1"/>
    <col min="9" max="10" width="12" style="916" customWidth="1"/>
    <col min="11" max="11" width="14.83203125" style="931" customWidth="1"/>
    <col min="12" max="254" width="12.5" style="812"/>
    <col min="255" max="255" width="34" style="812" bestFit="1" customWidth="1"/>
    <col min="256" max="256" width="13" style="812" bestFit="1" customWidth="1"/>
    <col min="257" max="258" width="14.83203125" style="812" bestFit="1" customWidth="1"/>
    <col min="259" max="259" width="13.1640625" style="812" customWidth="1"/>
    <col min="260" max="261" width="13" style="812" bestFit="1" customWidth="1"/>
    <col min="262" max="262" width="12.83203125" style="812" customWidth="1"/>
    <col min="263" max="263" width="11.83203125" style="812" bestFit="1" customWidth="1"/>
    <col min="264" max="264" width="14.83203125" style="812" bestFit="1" customWidth="1"/>
    <col min="265" max="510" width="12.5" style="812"/>
    <col min="511" max="511" width="34" style="812" bestFit="1" customWidth="1"/>
    <col min="512" max="512" width="13" style="812" bestFit="1" customWidth="1"/>
    <col min="513" max="514" width="14.83203125" style="812" bestFit="1" customWidth="1"/>
    <col min="515" max="515" width="13.1640625" style="812" customWidth="1"/>
    <col min="516" max="517" width="13" style="812" bestFit="1" customWidth="1"/>
    <col min="518" max="518" width="12.83203125" style="812" customWidth="1"/>
    <col min="519" max="519" width="11.83203125" style="812" bestFit="1" customWidth="1"/>
    <col min="520" max="520" width="14.83203125" style="812" bestFit="1" customWidth="1"/>
    <col min="521" max="766" width="12.5" style="812"/>
    <col min="767" max="767" width="34" style="812" bestFit="1" customWidth="1"/>
    <col min="768" max="768" width="13" style="812" bestFit="1" customWidth="1"/>
    <col min="769" max="770" width="14.83203125" style="812" bestFit="1" customWidth="1"/>
    <col min="771" max="771" width="13.1640625" style="812" customWidth="1"/>
    <col min="772" max="773" width="13" style="812" bestFit="1" customWidth="1"/>
    <col min="774" max="774" width="12.83203125" style="812" customWidth="1"/>
    <col min="775" max="775" width="11.83203125" style="812" bestFit="1" customWidth="1"/>
    <col min="776" max="776" width="14.83203125" style="812" bestFit="1" customWidth="1"/>
    <col min="777" max="1022" width="12.5" style="812"/>
    <col min="1023" max="1023" width="34" style="812" bestFit="1" customWidth="1"/>
    <col min="1024" max="1024" width="13" style="812" bestFit="1" customWidth="1"/>
    <col min="1025" max="1026" width="14.83203125" style="812" bestFit="1" customWidth="1"/>
    <col min="1027" max="1027" width="13.1640625" style="812" customWidth="1"/>
    <col min="1028" max="1029" width="13" style="812" bestFit="1" customWidth="1"/>
    <col min="1030" max="1030" width="12.83203125" style="812" customWidth="1"/>
    <col min="1031" max="1031" width="11.83203125" style="812" bestFit="1" customWidth="1"/>
    <col min="1032" max="1032" width="14.83203125" style="812" bestFit="1" customWidth="1"/>
    <col min="1033" max="1278" width="12.5" style="812"/>
    <col min="1279" max="1279" width="34" style="812" bestFit="1" customWidth="1"/>
    <col min="1280" max="1280" width="13" style="812" bestFit="1" customWidth="1"/>
    <col min="1281" max="1282" width="14.83203125" style="812" bestFit="1" customWidth="1"/>
    <col min="1283" max="1283" width="13.1640625" style="812" customWidth="1"/>
    <col min="1284" max="1285" width="13" style="812" bestFit="1" customWidth="1"/>
    <col min="1286" max="1286" width="12.83203125" style="812" customWidth="1"/>
    <col min="1287" max="1287" width="11.83203125" style="812" bestFit="1" customWidth="1"/>
    <col min="1288" max="1288" width="14.83203125" style="812" bestFit="1" customWidth="1"/>
    <col min="1289" max="1534" width="12.5" style="812"/>
    <col min="1535" max="1535" width="34" style="812" bestFit="1" customWidth="1"/>
    <col min="1536" max="1536" width="13" style="812" bestFit="1" customWidth="1"/>
    <col min="1537" max="1538" width="14.83203125" style="812" bestFit="1" customWidth="1"/>
    <col min="1539" max="1539" width="13.1640625" style="812" customWidth="1"/>
    <col min="1540" max="1541" width="13" style="812" bestFit="1" customWidth="1"/>
    <col min="1542" max="1542" width="12.83203125" style="812" customWidth="1"/>
    <col min="1543" max="1543" width="11.83203125" style="812" bestFit="1" customWidth="1"/>
    <col min="1544" max="1544" width="14.83203125" style="812" bestFit="1" customWidth="1"/>
    <col min="1545" max="1790" width="12.5" style="812"/>
    <col min="1791" max="1791" width="34" style="812" bestFit="1" customWidth="1"/>
    <col min="1792" max="1792" width="13" style="812" bestFit="1" customWidth="1"/>
    <col min="1793" max="1794" width="14.83203125" style="812" bestFit="1" customWidth="1"/>
    <col min="1795" max="1795" width="13.1640625" style="812" customWidth="1"/>
    <col min="1796" max="1797" width="13" style="812" bestFit="1" customWidth="1"/>
    <col min="1798" max="1798" width="12.83203125" style="812" customWidth="1"/>
    <col min="1799" max="1799" width="11.83203125" style="812" bestFit="1" customWidth="1"/>
    <col min="1800" max="1800" width="14.83203125" style="812" bestFit="1" customWidth="1"/>
    <col min="1801" max="2046" width="12.5" style="812"/>
    <col min="2047" max="2047" width="34" style="812" bestFit="1" customWidth="1"/>
    <col min="2048" max="2048" width="13" style="812" bestFit="1" customWidth="1"/>
    <col min="2049" max="2050" width="14.83203125" style="812" bestFit="1" customWidth="1"/>
    <col min="2051" max="2051" width="13.1640625" style="812" customWidth="1"/>
    <col min="2052" max="2053" width="13" style="812" bestFit="1" customWidth="1"/>
    <col min="2054" max="2054" width="12.83203125" style="812" customWidth="1"/>
    <col min="2055" max="2055" width="11.83203125" style="812" bestFit="1" customWidth="1"/>
    <col min="2056" max="2056" width="14.83203125" style="812" bestFit="1" customWidth="1"/>
    <col min="2057" max="2302" width="12.5" style="812"/>
    <col min="2303" max="2303" width="34" style="812" bestFit="1" customWidth="1"/>
    <col min="2304" max="2304" width="13" style="812" bestFit="1" customWidth="1"/>
    <col min="2305" max="2306" width="14.83203125" style="812" bestFit="1" customWidth="1"/>
    <col min="2307" max="2307" width="13.1640625" style="812" customWidth="1"/>
    <col min="2308" max="2309" width="13" style="812" bestFit="1" customWidth="1"/>
    <col min="2310" max="2310" width="12.83203125" style="812" customWidth="1"/>
    <col min="2311" max="2311" width="11.83203125" style="812" bestFit="1" customWidth="1"/>
    <col min="2312" max="2312" width="14.83203125" style="812" bestFit="1" customWidth="1"/>
    <col min="2313" max="2558" width="12.5" style="812"/>
    <col min="2559" max="2559" width="34" style="812" bestFit="1" customWidth="1"/>
    <col min="2560" max="2560" width="13" style="812" bestFit="1" customWidth="1"/>
    <col min="2561" max="2562" width="14.83203125" style="812" bestFit="1" customWidth="1"/>
    <col min="2563" max="2563" width="13.1640625" style="812" customWidth="1"/>
    <col min="2564" max="2565" width="13" style="812" bestFit="1" customWidth="1"/>
    <col min="2566" max="2566" width="12.83203125" style="812" customWidth="1"/>
    <col min="2567" max="2567" width="11.83203125" style="812" bestFit="1" customWidth="1"/>
    <col min="2568" max="2568" width="14.83203125" style="812" bestFit="1" customWidth="1"/>
    <col min="2569" max="2814" width="12.5" style="812"/>
    <col min="2815" max="2815" width="34" style="812" bestFit="1" customWidth="1"/>
    <col min="2816" max="2816" width="13" style="812" bestFit="1" customWidth="1"/>
    <col min="2817" max="2818" width="14.83203125" style="812" bestFit="1" customWidth="1"/>
    <col min="2819" max="2819" width="13.1640625" style="812" customWidth="1"/>
    <col min="2820" max="2821" width="13" style="812" bestFit="1" customWidth="1"/>
    <col min="2822" max="2822" width="12.83203125" style="812" customWidth="1"/>
    <col min="2823" max="2823" width="11.83203125" style="812" bestFit="1" customWidth="1"/>
    <col min="2824" max="2824" width="14.83203125" style="812" bestFit="1" customWidth="1"/>
    <col min="2825" max="3070" width="12.5" style="812"/>
    <col min="3071" max="3071" width="34" style="812" bestFit="1" customWidth="1"/>
    <col min="3072" max="3072" width="13" style="812" bestFit="1" customWidth="1"/>
    <col min="3073" max="3074" width="14.83203125" style="812" bestFit="1" customWidth="1"/>
    <col min="3075" max="3075" width="13.1640625" style="812" customWidth="1"/>
    <col min="3076" max="3077" width="13" style="812" bestFit="1" customWidth="1"/>
    <col min="3078" max="3078" width="12.83203125" style="812" customWidth="1"/>
    <col min="3079" max="3079" width="11.83203125" style="812" bestFit="1" customWidth="1"/>
    <col min="3080" max="3080" width="14.83203125" style="812" bestFit="1" customWidth="1"/>
    <col min="3081" max="3326" width="12.5" style="812"/>
    <col min="3327" max="3327" width="34" style="812" bestFit="1" customWidth="1"/>
    <col min="3328" max="3328" width="13" style="812" bestFit="1" customWidth="1"/>
    <col min="3329" max="3330" width="14.83203125" style="812" bestFit="1" customWidth="1"/>
    <col min="3331" max="3331" width="13.1640625" style="812" customWidth="1"/>
    <col min="3332" max="3333" width="13" style="812" bestFit="1" customWidth="1"/>
    <col min="3334" max="3334" width="12.83203125" style="812" customWidth="1"/>
    <col min="3335" max="3335" width="11.83203125" style="812" bestFit="1" customWidth="1"/>
    <col min="3336" max="3336" width="14.83203125" style="812" bestFit="1" customWidth="1"/>
    <col min="3337" max="3582" width="12.5" style="812"/>
    <col min="3583" max="3583" width="34" style="812" bestFit="1" customWidth="1"/>
    <col min="3584" max="3584" width="13" style="812" bestFit="1" customWidth="1"/>
    <col min="3585" max="3586" width="14.83203125" style="812" bestFit="1" customWidth="1"/>
    <col min="3587" max="3587" width="13.1640625" style="812" customWidth="1"/>
    <col min="3588" max="3589" width="13" style="812" bestFit="1" customWidth="1"/>
    <col min="3590" max="3590" width="12.83203125" style="812" customWidth="1"/>
    <col min="3591" max="3591" width="11.83203125" style="812" bestFit="1" customWidth="1"/>
    <col min="3592" max="3592" width="14.83203125" style="812" bestFit="1" customWidth="1"/>
    <col min="3593" max="3838" width="12.5" style="812"/>
    <col min="3839" max="3839" width="34" style="812" bestFit="1" customWidth="1"/>
    <col min="3840" max="3840" width="13" style="812" bestFit="1" customWidth="1"/>
    <col min="3841" max="3842" width="14.83203125" style="812" bestFit="1" customWidth="1"/>
    <col min="3843" max="3843" width="13.1640625" style="812" customWidth="1"/>
    <col min="3844" max="3845" width="13" style="812" bestFit="1" customWidth="1"/>
    <col min="3846" max="3846" width="12.83203125" style="812" customWidth="1"/>
    <col min="3847" max="3847" width="11.83203125" style="812" bestFit="1" customWidth="1"/>
    <col min="3848" max="3848" width="14.83203125" style="812" bestFit="1" customWidth="1"/>
    <col min="3849" max="4094" width="12.5" style="812"/>
    <col min="4095" max="4095" width="34" style="812" bestFit="1" customWidth="1"/>
    <col min="4096" max="4096" width="13" style="812" bestFit="1" customWidth="1"/>
    <col min="4097" max="4098" width="14.83203125" style="812" bestFit="1" customWidth="1"/>
    <col min="4099" max="4099" width="13.1640625" style="812" customWidth="1"/>
    <col min="4100" max="4101" width="13" style="812" bestFit="1" customWidth="1"/>
    <col min="4102" max="4102" width="12.83203125" style="812" customWidth="1"/>
    <col min="4103" max="4103" width="11.83203125" style="812" bestFit="1" customWidth="1"/>
    <col min="4104" max="4104" width="14.83203125" style="812" bestFit="1" customWidth="1"/>
    <col min="4105" max="4350" width="12.5" style="812"/>
    <col min="4351" max="4351" width="34" style="812" bestFit="1" customWidth="1"/>
    <col min="4352" max="4352" width="13" style="812" bestFit="1" customWidth="1"/>
    <col min="4353" max="4354" width="14.83203125" style="812" bestFit="1" customWidth="1"/>
    <col min="4355" max="4355" width="13.1640625" style="812" customWidth="1"/>
    <col min="4356" max="4357" width="13" style="812" bestFit="1" customWidth="1"/>
    <col min="4358" max="4358" width="12.83203125" style="812" customWidth="1"/>
    <col min="4359" max="4359" width="11.83203125" style="812" bestFit="1" customWidth="1"/>
    <col min="4360" max="4360" width="14.83203125" style="812" bestFit="1" customWidth="1"/>
    <col min="4361" max="4606" width="12.5" style="812"/>
    <col min="4607" max="4607" width="34" style="812" bestFit="1" customWidth="1"/>
    <col min="4608" max="4608" width="13" style="812" bestFit="1" customWidth="1"/>
    <col min="4609" max="4610" width="14.83203125" style="812" bestFit="1" customWidth="1"/>
    <col min="4611" max="4611" width="13.1640625" style="812" customWidth="1"/>
    <col min="4612" max="4613" width="13" style="812" bestFit="1" customWidth="1"/>
    <col min="4614" max="4614" width="12.83203125" style="812" customWidth="1"/>
    <col min="4615" max="4615" width="11.83203125" style="812" bestFit="1" customWidth="1"/>
    <col min="4616" max="4616" width="14.83203125" style="812" bestFit="1" customWidth="1"/>
    <col min="4617" max="4862" width="12.5" style="812"/>
    <col min="4863" max="4863" width="34" style="812" bestFit="1" customWidth="1"/>
    <col min="4864" max="4864" width="13" style="812" bestFit="1" customWidth="1"/>
    <col min="4865" max="4866" width="14.83203125" style="812" bestFit="1" customWidth="1"/>
    <col min="4867" max="4867" width="13.1640625" style="812" customWidth="1"/>
    <col min="4868" max="4869" width="13" style="812" bestFit="1" customWidth="1"/>
    <col min="4870" max="4870" width="12.83203125" style="812" customWidth="1"/>
    <col min="4871" max="4871" width="11.83203125" style="812" bestFit="1" customWidth="1"/>
    <col min="4872" max="4872" width="14.83203125" style="812" bestFit="1" customWidth="1"/>
    <col min="4873" max="5118" width="12.5" style="812"/>
    <col min="5119" max="5119" width="34" style="812" bestFit="1" customWidth="1"/>
    <col min="5120" max="5120" width="13" style="812" bestFit="1" customWidth="1"/>
    <col min="5121" max="5122" width="14.83203125" style="812" bestFit="1" customWidth="1"/>
    <col min="5123" max="5123" width="13.1640625" style="812" customWidth="1"/>
    <col min="5124" max="5125" width="13" style="812" bestFit="1" customWidth="1"/>
    <col min="5126" max="5126" width="12.83203125" style="812" customWidth="1"/>
    <col min="5127" max="5127" width="11.83203125" style="812" bestFit="1" customWidth="1"/>
    <col min="5128" max="5128" width="14.83203125" style="812" bestFit="1" customWidth="1"/>
    <col min="5129" max="5374" width="12.5" style="812"/>
    <col min="5375" max="5375" width="34" style="812" bestFit="1" customWidth="1"/>
    <col min="5376" max="5376" width="13" style="812" bestFit="1" customWidth="1"/>
    <col min="5377" max="5378" width="14.83203125" style="812" bestFit="1" customWidth="1"/>
    <col min="5379" max="5379" width="13.1640625" style="812" customWidth="1"/>
    <col min="5380" max="5381" width="13" style="812" bestFit="1" customWidth="1"/>
    <col min="5382" max="5382" width="12.83203125" style="812" customWidth="1"/>
    <col min="5383" max="5383" width="11.83203125" style="812" bestFit="1" customWidth="1"/>
    <col min="5384" max="5384" width="14.83203125" style="812" bestFit="1" customWidth="1"/>
    <col min="5385" max="5630" width="12.5" style="812"/>
    <col min="5631" max="5631" width="34" style="812" bestFit="1" customWidth="1"/>
    <col min="5632" max="5632" width="13" style="812" bestFit="1" customWidth="1"/>
    <col min="5633" max="5634" width="14.83203125" style="812" bestFit="1" customWidth="1"/>
    <col min="5635" max="5635" width="13.1640625" style="812" customWidth="1"/>
    <col min="5636" max="5637" width="13" style="812" bestFit="1" customWidth="1"/>
    <col min="5638" max="5638" width="12.83203125" style="812" customWidth="1"/>
    <col min="5639" max="5639" width="11.83203125" style="812" bestFit="1" customWidth="1"/>
    <col min="5640" max="5640" width="14.83203125" style="812" bestFit="1" customWidth="1"/>
    <col min="5641" max="5886" width="12.5" style="812"/>
    <col min="5887" max="5887" width="34" style="812" bestFit="1" customWidth="1"/>
    <col min="5888" max="5888" width="13" style="812" bestFit="1" customWidth="1"/>
    <col min="5889" max="5890" width="14.83203125" style="812" bestFit="1" customWidth="1"/>
    <col min="5891" max="5891" width="13.1640625" style="812" customWidth="1"/>
    <col min="5892" max="5893" width="13" style="812" bestFit="1" customWidth="1"/>
    <col min="5894" max="5894" width="12.83203125" style="812" customWidth="1"/>
    <col min="5895" max="5895" width="11.83203125" style="812" bestFit="1" customWidth="1"/>
    <col min="5896" max="5896" width="14.83203125" style="812" bestFit="1" customWidth="1"/>
    <col min="5897" max="6142" width="12.5" style="812"/>
    <col min="6143" max="6143" width="34" style="812" bestFit="1" customWidth="1"/>
    <col min="6144" max="6144" width="13" style="812" bestFit="1" customWidth="1"/>
    <col min="6145" max="6146" width="14.83203125" style="812" bestFit="1" customWidth="1"/>
    <col min="6147" max="6147" width="13.1640625" style="812" customWidth="1"/>
    <col min="6148" max="6149" width="13" style="812" bestFit="1" customWidth="1"/>
    <col min="6150" max="6150" width="12.83203125" style="812" customWidth="1"/>
    <col min="6151" max="6151" width="11.83203125" style="812" bestFit="1" customWidth="1"/>
    <col min="6152" max="6152" width="14.83203125" style="812" bestFit="1" customWidth="1"/>
    <col min="6153" max="6398" width="12.5" style="812"/>
    <col min="6399" max="6399" width="34" style="812" bestFit="1" customWidth="1"/>
    <col min="6400" max="6400" width="13" style="812" bestFit="1" customWidth="1"/>
    <col min="6401" max="6402" width="14.83203125" style="812" bestFit="1" customWidth="1"/>
    <col min="6403" max="6403" width="13.1640625" style="812" customWidth="1"/>
    <col min="6404" max="6405" width="13" style="812" bestFit="1" customWidth="1"/>
    <col min="6406" max="6406" width="12.83203125" style="812" customWidth="1"/>
    <col min="6407" max="6407" width="11.83203125" style="812" bestFit="1" customWidth="1"/>
    <col min="6408" max="6408" width="14.83203125" style="812" bestFit="1" customWidth="1"/>
    <col min="6409" max="6654" width="12.5" style="812"/>
    <col min="6655" max="6655" width="34" style="812" bestFit="1" customWidth="1"/>
    <col min="6656" max="6656" width="13" style="812" bestFit="1" customWidth="1"/>
    <col min="6657" max="6658" width="14.83203125" style="812" bestFit="1" customWidth="1"/>
    <col min="6659" max="6659" width="13.1640625" style="812" customWidth="1"/>
    <col min="6660" max="6661" width="13" style="812" bestFit="1" customWidth="1"/>
    <col min="6662" max="6662" width="12.83203125" style="812" customWidth="1"/>
    <col min="6663" max="6663" width="11.83203125" style="812" bestFit="1" customWidth="1"/>
    <col min="6664" max="6664" width="14.83203125" style="812" bestFit="1" customWidth="1"/>
    <col min="6665" max="6910" width="12.5" style="812"/>
    <col min="6911" max="6911" width="34" style="812" bestFit="1" customWidth="1"/>
    <col min="6912" max="6912" width="13" style="812" bestFit="1" customWidth="1"/>
    <col min="6913" max="6914" width="14.83203125" style="812" bestFit="1" customWidth="1"/>
    <col min="6915" max="6915" width="13.1640625" style="812" customWidth="1"/>
    <col min="6916" max="6917" width="13" style="812" bestFit="1" customWidth="1"/>
    <col min="6918" max="6918" width="12.83203125" style="812" customWidth="1"/>
    <col min="6919" max="6919" width="11.83203125" style="812" bestFit="1" customWidth="1"/>
    <col min="6920" max="6920" width="14.83203125" style="812" bestFit="1" customWidth="1"/>
    <col min="6921" max="7166" width="12.5" style="812"/>
    <col min="7167" max="7167" width="34" style="812" bestFit="1" customWidth="1"/>
    <col min="7168" max="7168" width="13" style="812" bestFit="1" customWidth="1"/>
    <col min="7169" max="7170" width="14.83203125" style="812" bestFit="1" customWidth="1"/>
    <col min="7171" max="7171" width="13.1640625" style="812" customWidth="1"/>
    <col min="7172" max="7173" width="13" style="812" bestFit="1" customWidth="1"/>
    <col min="7174" max="7174" width="12.83203125" style="812" customWidth="1"/>
    <col min="7175" max="7175" width="11.83203125" style="812" bestFit="1" customWidth="1"/>
    <col min="7176" max="7176" width="14.83203125" style="812" bestFit="1" customWidth="1"/>
    <col min="7177" max="7422" width="12.5" style="812"/>
    <col min="7423" max="7423" width="34" style="812" bestFit="1" customWidth="1"/>
    <col min="7424" max="7424" width="13" style="812" bestFit="1" customWidth="1"/>
    <col min="7425" max="7426" width="14.83203125" style="812" bestFit="1" customWidth="1"/>
    <col min="7427" max="7427" width="13.1640625" style="812" customWidth="1"/>
    <col min="7428" max="7429" width="13" style="812" bestFit="1" customWidth="1"/>
    <col min="7430" max="7430" width="12.83203125" style="812" customWidth="1"/>
    <col min="7431" max="7431" width="11.83203125" style="812" bestFit="1" customWidth="1"/>
    <col min="7432" max="7432" width="14.83203125" style="812" bestFit="1" customWidth="1"/>
    <col min="7433" max="7678" width="12.5" style="812"/>
    <col min="7679" max="7679" width="34" style="812" bestFit="1" customWidth="1"/>
    <col min="7680" max="7680" width="13" style="812" bestFit="1" customWidth="1"/>
    <col min="7681" max="7682" width="14.83203125" style="812" bestFit="1" customWidth="1"/>
    <col min="7683" max="7683" width="13.1640625" style="812" customWidth="1"/>
    <col min="7684" max="7685" width="13" style="812" bestFit="1" customWidth="1"/>
    <col min="7686" max="7686" width="12.83203125" style="812" customWidth="1"/>
    <col min="7687" max="7687" width="11.83203125" style="812" bestFit="1" customWidth="1"/>
    <col min="7688" max="7688" width="14.83203125" style="812" bestFit="1" customWidth="1"/>
    <col min="7689" max="7934" width="12.5" style="812"/>
    <col min="7935" max="7935" width="34" style="812" bestFit="1" customWidth="1"/>
    <col min="7936" max="7936" width="13" style="812" bestFit="1" customWidth="1"/>
    <col min="7937" max="7938" width="14.83203125" style="812" bestFit="1" customWidth="1"/>
    <col min="7939" max="7939" width="13.1640625" style="812" customWidth="1"/>
    <col min="7940" max="7941" width="13" style="812" bestFit="1" customWidth="1"/>
    <col min="7942" max="7942" width="12.83203125" style="812" customWidth="1"/>
    <col min="7943" max="7943" width="11.83203125" style="812" bestFit="1" customWidth="1"/>
    <col min="7944" max="7944" width="14.83203125" style="812" bestFit="1" customWidth="1"/>
    <col min="7945" max="8190" width="12.5" style="812"/>
    <col min="8191" max="8191" width="34" style="812" bestFit="1" customWidth="1"/>
    <col min="8192" max="8192" width="13" style="812" bestFit="1" customWidth="1"/>
    <col min="8193" max="8194" width="14.83203125" style="812" bestFit="1" customWidth="1"/>
    <col min="8195" max="8195" width="13.1640625" style="812" customWidth="1"/>
    <col min="8196" max="8197" width="13" style="812" bestFit="1" customWidth="1"/>
    <col min="8198" max="8198" width="12.83203125" style="812" customWidth="1"/>
    <col min="8199" max="8199" width="11.83203125" style="812" bestFit="1" customWidth="1"/>
    <col min="8200" max="8200" width="14.83203125" style="812" bestFit="1" customWidth="1"/>
    <col min="8201" max="8446" width="12.5" style="812"/>
    <col min="8447" max="8447" width="34" style="812" bestFit="1" customWidth="1"/>
    <col min="8448" max="8448" width="13" style="812" bestFit="1" customWidth="1"/>
    <col min="8449" max="8450" width="14.83203125" style="812" bestFit="1" customWidth="1"/>
    <col min="8451" max="8451" width="13.1640625" style="812" customWidth="1"/>
    <col min="8452" max="8453" width="13" style="812" bestFit="1" customWidth="1"/>
    <col min="8454" max="8454" width="12.83203125" style="812" customWidth="1"/>
    <col min="8455" max="8455" width="11.83203125" style="812" bestFit="1" customWidth="1"/>
    <col min="8456" max="8456" width="14.83203125" style="812" bestFit="1" customWidth="1"/>
    <col min="8457" max="8702" width="12.5" style="812"/>
    <col min="8703" max="8703" width="34" style="812" bestFit="1" customWidth="1"/>
    <col min="8704" max="8704" width="13" style="812" bestFit="1" customWidth="1"/>
    <col min="8705" max="8706" width="14.83203125" style="812" bestFit="1" customWidth="1"/>
    <col min="8707" max="8707" width="13.1640625" style="812" customWidth="1"/>
    <col min="8708" max="8709" width="13" style="812" bestFit="1" customWidth="1"/>
    <col min="8710" max="8710" width="12.83203125" style="812" customWidth="1"/>
    <col min="8711" max="8711" width="11.83203125" style="812" bestFit="1" customWidth="1"/>
    <col min="8712" max="8712" width="14.83203125" style="812" bestFit="1" customWidth="1"/>
    <col min="8713" max="8958" width="12.5" style="812"/>
    <col min="8959" max="8959" width="34" style="812" bestFit="1" customWidth="1"/>
    <col min="8960" max="8960" width="13" style="812" bestFit="1" customWidth="1"/>
    <col min="8961" max="8962" width="14.83203125" style="812" bestFit="1" customWidth="1"/>
    <col min="8963" max="8963" width="13.1640625" style="812" customWidth="1"/>
    <col min="8964" max="8965" width="13" style="812" bestFit="1" customWidth="1"/>
    <col min="8966" max="8966" width="12.83203125" style="812" customWidth="1"/>
    <col min="8967" max="8967" width="11.83203125" style="812" bestFit="1" customWidth="1"/>
    <col min="8968" max="8968" width="14.83203125" style="812" bestFit="1" customWidth="1"/>
    <col min="8969" max="9214" width="12.5" style="812"/>
    <col min="9215" max="9215" width="34" style="812" bestFit="1" customWidth="1"/>
    <col min="9216" max="9216" width="13" style="812" bestFit="1" customWidth="1"/>
    <col min="9217" max="9218" width="14.83203125" style="812" bestFit="1" customWidth="1"/>
    <col min="9219" max="9219" width="13.1640625" style="812" customWidth="1"/>
    <col min="9220" max="9221" width="13" style="812" bestFit="1" customWidth="1"/>
    <col min="9222" max="9222" width="12.83203125" style="812" customWidth="1"/>
    <col min="9223" max="9223" width="11.83203125" style="812" bestFit="1" customWidth="1"/>
    <col min="9224" max="9224" width="14.83203125" style="812" bestFit="1" customWidth="1"/>
    <col min="9225" max="9470" width="12.5" style="812"/>
    <col min="9471" max="9471" width="34" style="812" bestFit="1" customWidth="1"/>
    <col min="9472" max="9472" width="13" style="812" bestFit="1" customWidth="1"/>
    <col min="9473" max="9474" width="14.83203125" style="812" bestFit="1" customWidth="1"/>
    <col min="9475" max="9475" width="13.1640625" style="812" customWidth="1"/>
    <col min="9476" max="9477" width="13" style="812" bestFit="1" customWidth="1"/>
    <col min="9478" max="9478" width="12.83203125" style="812" customWidth="1"/>
    <col min="9479" max="9479" width="11.83203125" style="812" bestFit="1" customWidth="1"/>
    <col min="9480" max="9480" width="14.83203125" style="812" bestFit="1" customWidth="1"/>
    <col min="9481" max="9726" width="12.5" style="812"/>
    <col min="9727" max="9727" width="34" style="812" bestFit="1" customWidth="1"/>
    <col min="9728" max="9728" width="13" style="812" bestFit="1" customWidth="1"/>
    <col min="9729" max="9730" width="14.83203125" style="812" bestFit="1" customWidth="1"/>
    <col min="9731" max="9731" width="13.1640625" style="812" customWidth="1"/>
    <col min="9732" max="9733" width="13" style="812" bestFit="1" customWidth="1"/>
    <col min="9734" max="9734" width="12.83203125" style="812" customWidth="1"/>
    <col min="9735" max="9735" width="11.83203125" style="812" bestFit="1" customWidth="1"/>
    <col min="9736" max="9736" width="14.83203125" style="812" bestFit="1" customWidth="1"/>
    <col min="9737" max="9982" width="12.5" style="812"/>
    <col min="9983" max="9983" width="34" style="812" bestFit="1" customWidth="1"/>
    <col min="9984" max="9984" width="13" style="812" bestFit="1" customWidth="1"/>
    <col min="9985" max="9986" width="14.83203125" style="812" bestFit="1" customWidth="1"/>
    <col min="9987" max="9987" width="13.1640625" style="812" customWidth="1"/>
    <col min="9988" max="9989" width="13" style="812" bestFit="1" customWidth="1"/>
    <col min="9990" max="9990" width="12.83203125" style="812" customWidth="1"/>
    <col min="9991" max="9991" width="11.83203125" style="812" bestFit="1" customWidth="1"/>
    <col min="9992" max="9992" width="14.83203125" style="812" bestFit="1" customWidth="1"/>
    <col min="9993" max="10238" width="12.5" style="812"/>
    <col min="10239" max="10239" width="34" style="812" bestFit="1" customWidth="1"/>
    <col min="10240" max="10240" width="13" style="812" bestFit="1" customWidth="1"/>
    <col min="10241" max="10242" width="14.83203125" style="812" bestFit="1" customWidth="1"/>
    <col min="10243" max="10243" width="13.1640625" style="812" customWidth="1"/>
    <col min="10244" max="10245" width="13" style="812" bestFit="1" customWidth="1"/>
    <col min="10246" max="10246" width="12.83203125" style="812" customWidth="1"/>
    <col min="10247" max="10247" width="11.83203125" style="812" bestFit="1" customWidth="1"/>
    <col min="10248" max="10248" width="14.83203125" style="812" bestFit="1" customWidth="1"/>
    <col min="10249" max="10494" width="12.5" style="812"/>
    <col min="10495" max="10495" width="34" style="812" bestFit="1" customWidth="1"/>
    <col min="10496" max="10496" width="13" style="812" bestFit="1" customWidth="1"/>
    <col min="10497" max="10498" width="14.83203125" style="812" bestFit="1" customWidth="1"/>
    <col min="10499" max="10499" width="13.1640625" style="812" customWidth="1"/>
    <col min="10500" max="10501" width="13" style="812" bestFit="1" customWidth="1"/>
    <col min="10502" max="10502" width="12.83203125" style="812" customWidth="1"/>
    <col min="10503" max="10503" width="11.83203125" style="812" bestFit="1" customWidth="1"/>
    <col min="10504" max="10504" width="14.83203125" style="812" bestFit="1" customWidth="1"/>
    <col min="10505" max="10750" width="12.5" style="812"/>
    <col min="10751" max="10751" width="34" style="812" bestFit="1" customWidth="1"/>
    <col min="10752" max="10752" width="13" style="812" bestFit="1" customWidth="1"/>
    <col min="10753" max="10754" width="14.83203125" style="812" bestFit="1" customWidth="1"/>
    <col min="10755" max="10755" width="13.1640625" style="812" customWidth="1"/>
    <col min="10756" max="10757" width="13" style="812" bestFit="1" customWidth="1"/>
    <col min="10758" max="10758" width="12.83203125" style="812" customWidth="1"/>
    <col min="10759" max="10759" width="11.83203125" style="812" bestFit="1" customWidth="1"/>
    <col min="10760" max="10760" width="14.83203125" style="812" bestFit="1" customWidth="1"/>
    <col min="10761" max="11006" width="12.5" style="812"/>
    <col min="11007" max="11007" width="34" style="812" bestFit="1" customWidth="1"/>
    <col min="11008" max="11008" width="13" style="812" bestFit="1" customWidth="1"/>
    <col min="11009" max="11010" width="14.83203125" style="812" bestFit="1" customWidth="1"/>
    <col min="11011" max="11011" width="13.1640625" style="812" customWidth="1"/>
    <col min="11012" max="11013" width="13" style="812" bestFit="1" customWidth="1"/>
    <col min="11014" max="11014" width="12.83203125" style="812" customWidth="1"/>
    <col min="11015" max="11015" width="11.83203125" style="812" bestFit="1" customWidth="1"/>
    <col min="11016" max="11016" width="14.83203125" style="812" bestFit="1" customWidth="1"/>
    <col min="11017" max="11262" width="12.5" style="812"/>
    <col min="11263" max="11263" width="34" style="812" bestFit="1" customWidth="1"/>
    <col min="11264" max="11264" width="13" style="812" bestFit="1" customWidth="1"/>
    <col min="11265" max="11266" width="14.83203125" style="812" bestFit="1" customWidth="1"/>
    <col min="11267" max="11267" width="13.1640625" style="812" customWidth="1"/>
    <col min="11268" max="11269" width="13" style="812" bestFit="1" customWidth="1"/>
    <col min="11270" max="11270" width="12.83203125" style="812" customWidth="1"/>
    <col min="11271" max="11271" width="11.83203125" style="812" bestFit="1" customWidth="1"/>
    <col min="11272" max="11272" width="14.83203125" style="812" bestFit="1" customWidth="1"/>
    <col min="11273" max="11518" width="12.5" style="812"/>
    <col min="11519" max="11519" width="34" style="812" bestFit="1" customWidth="1"/>
    <col min="11520" max="11520" width="13" style="812" bestFit="1" customWidth="1"/>
    <col min="11521" max="11522" width="14.83203125" style="812" bestFit="1" customWidth="1"/>
    <col min="11523" max="11523" width="13.1640625" style="812" customWidth="1"/>
    <col min="11524" max="11525" width="13" style="812" bestFit="1" customWidth="1"/>
    <col min="11526" max="11526" width="12.83203125" style="812" customWidth="1"/>
    <col min="11527" max="11527" width="11.83203125" style="812" bestFit="1" customWidth="1"/>
    <col min="11528" max="11528" width="14.83203125" style="812" bestFit="1" customWidth="1"/>
    <col min="11529" max="11774" width="12.5" style="812"/>
    <col min="11775" max="11775" width="34" style="812" bestFit="1" customWidth="1"/>
    <col min="11776" max="11776" width="13" style="812" bestFit="1" customWidth="1"/>
    <col min="11777" max="11778" width="14.83203125" style="812" bestFit="1" customWidth="1"/>
    <col min="11779" max="11779" width="13.1640625" style="812" customWidth="1"/>
    <col min="11780" max="11781" width="13" style="812" bestFit="1" customWidth="1"/>
    <col min="11782" max="11782" width="12.83203125" style="812" customWidth="1"/>
    <col min="11783" max="11783" width="11.83203125" style="812" bestFit="1" customWidth="1"/>
    <col min="11784" max="11784" width="14.83203125" style="812" bestFit="1" customWidth="1"/>
    <col min="11785" max="12030" width="12.5" style="812"/>
    <col min="12031" max="12031" width="34" style="812" bestFit="1" customWidth="1"/>
    <col min="12032" max="12032" width="13" style="812" bestFit="1" customWidth="1"/>
    <col min="12033" max="12034" width="14.83203125" style="812" bestFit="1" customWidth="1"/>
    <col min="12035" max="12035" width="13.1640625" style="812" customWidth="1"/>
    <col min="12036" max="12037" width="13" style="812" bestFit="1" customWidth="1"/>
    <col min="12038" max="12038" width="12.83203125" style="812" customWidth="1"/>
    <col min="12039" max="12039" width="11.83203125" style="812" bestFit="1" customWidth="1"/>
    <col min="12040" max="12040" width="14.83203125" style="812" bestFit="1" customWidth="1"/>
    <col min="12041" max="12286" width="12.5" style="812"/>
    <col min="12287" max="12287" width="34" style="812" bestFit="1" customWidth="1"/>
    <col min="12288" max="12288" width="13" style="812" bestFit="1" customWidth="1"/>
    <col min="12289" max="12290" width="14.83203125" style="812" bestFit="1" customWidth="1"/>
    <col min="12291" max="12291" width="13.1640625" style="812" customWidth="1"/>
    <col min="12292" max="12293" width="13" style="812" bestFit="1" customWidth="1"/>
    <col min="12294" max="12294" width="12.83203125" style="812" customWidth="1"/>
    <col min="12295" max="12295" width="11.83203125" style="812" bestFit="1" customWidth="1"/>
    <col min="12296" max="12296" width="14.83203125" style="812" bestFit="1" customWidth="1"/>
    <col min="12297" max="12542" width="12.5" style="812"/>
    <col min="12543" max="12543" width="34" style="812" bestFit="1" customWidth="1"/>
    <col min="12544" max="12544" width="13" style="812" bestFit="1" customWidth="1"/>
    <col min="12545" max="12546" width="14.83203125" style="812" bestFit="1" customWidth="1"/>
    <col min="12547" max="12547" width="13.1640625" style="812" customWidth="1"/>
    <col min="12548" max="12549" width="13" style="812" bestFit="1" customWidth="1"/>
    <col min="12550" max="12550" width="12.83203125" style="812" customWidth="1"/>
    <col min="12551" max="12551" width="11.83203125" style="812" bestFit="1" customWidth="1"/>
    <col min="12552" max="12552" width="14.83203125" style="812" bestFit="1" customWidth="1"/>
    <col min="12553" max="12798" width="12.5" style="812"/>
    <col min="12799" max="12799" width="34" style="812" bestFit="1" customWidth="1"/>
    <col min="12800" max="12800" width="13" style="812" bestFit="1" customWidth="1"/>
    <col min="12801" max="12802" width="14.83203125" style="812" bestFit="1" customWidth="1"/>
    <col min="12803" max="12803" width="13.1640625" style="812" customWidth="1"/>
    <col min="12804" max="12805" width="13" style="812" bestFit="1" customWidth="1"/>
    <col min="12806" max="12806" width="12.83203125" style="812" customWidth="1"/>
    <col min="12807" max="12807" width="11.83203125" style="812" bestFit="1" customWidth="1"/>
    <col min="12808" max="12808" width="14.83203125" style="812" bestFit="1" customWidth="1"/>
    <col min="12809" max="13054" width="12.5" style="812"/>
    <col min="13055" max="13055" width="34" style="812" bestFit="1" customWidth="1"/>
    <col min="13056" max="13056" width="13" style="812" bestFit="1" customWidth="1"/>
    <col min="13057" max="13058" width="14.83203125" style="812" bestFit="1" customWidth="1"/>
    <col min="13059" max="13059" width="13.1640625" style="812" customWidth="1"/>
    <col min="13060" max="13061" width="13" style="812" bestFit="1" customWidth="1"/>
    <col min="13062" max="13062" width="12.83203125" style="812" customWidth="1"/>
    <col min="13063" max="13063" width="11.83203125" style="812" bestFit="1" customWidth="1"/>
    <col min="13064" max="13064" width="14.83203125" style="812" bestFit="1" customWidth="1"/>
    <col min="13065" max="13310" width="12.5" style="812"/>
    <col min="13311" max="13311" width="34" style="812" bestFit="1" customWidth="1"/>
    <col min="13312" max="13312" width="13" style="812" bestFit="1" customWidth="1"/>
    <col min="13313" max="13314" width="14.83203125" style="812" bestFit="1" customWidth="1"/>
    <col min="13315" max="13315" width="13.1640625" style="812" customWidth="1"/>
    <col min="13316" max="13317" width="13" style="812" bestFit="1" customWidth="1"/>
    <col min="13318" max="13318" width="12.83203125" style="812" customWidth="1"/>
    <col min="13319" max="13319" width="11.83203125" style="812" bestFit="1" customWidth="1"/>
    <col min="13320" max="13320" width="14.83203125" style="812" bestFit="1" customWidth="1"/>
    <col min="13321" max="13566" width="12.5" style="812"/>
    <col min="13567" max="13567" width="34" style="812" bestFit="1" customWidth="1"/>
    <col min="13568" max="13568" width="13" style="812" bestFit="1" customWidth="1"/>
    <col min="13569" max="13570" width="14.83203125" style="812" bestFit="1" customWidth="1"/>
    <col min="13571" max="13571" width="13.1640625" style="812" customWidth="1"/>
    <col min="13572" max="13573" width="13" style="812" bestFit="1" customWidth="1"/>
    <col min="13574" max="13574" width="12.83203125" style="812" customWidth="1"/>
    <col min="13575" max="13575" width="11.83203125" style="812" bestFit="1" customWidth="1"/>
    <col min="13576" max="13576" width="14.83203125" style="812" bestFit="1" customWidth="1"/>
    <col min="13577" max="13822" width="12.5" style="812"/>
    <col min="13823" max="13823" width="34" style="812" bestFit="1" customWidth="1"/>
    <col min="13824" max="13824" width="13" style="812" bestFit="1" customWidth="1"/>
    <col min="13825" max="13826" width="14.83203125" style="812" bestFit="1" customWidth="1"/>
    <col min="13827" max="13827" width="13.1640625" style="812" customWidth="1"/>
    <col min="13828" max="13829" width="13" style="812" bestFit="1" customWidth="1"/>
    <col min="13830" max="13830" width="12.83203125" style="812" customWidth="1"/>
    <col min="13831" max="13831" width="11.83203125" style="812" bestFit="1" customWidth="1"/>
    <col min="13832" max="13832" width="14.83203125" style="812" bestFit="1" customWidth="1"/>
    <col min="13833" max="14078" width="12.5" style="812"/>
    <col min="14079" max="14079" width="34" style="812" bestFit="1" customWidth="1"/>
    <col min="14080" max="14080" width="13" style="812" bestFit="1" customWidth="1"/>
    <col min="14081" max="14082" width="14.83203125" style="812" bestFit="1" customWidth="1"/>
    <col min="14083" max="14083" width="13.1640625" style="812" customWidth="1"/>
    <col min="14084" max="14085" width="13" style="812" bestFit="1" customWidth="1"/>
    <col min="14086" max="14086" width="12.83203125" style="812" customWidth="1"/>
    <col min="14087" max="14087" width="11.83203125" style="812" bestFit="1" customWidth="1"/>
    <col min="14088" max="14088" width="14.83203125" style="812" bestFit="1" customWidth="1"/>
    <col min="14089" max="14334" width="12.5" style="812"/>
    <col min="14335" max="14335" width="34" style="812" bestFit="1" customWidth="1"/>
    <col min="14336" max="14336" width="13" style="812" bestFit="1" customWidth="1"/>
    <col min="14337" max="14338" width="14.83203125" style="812" bestFit="1" customWidth="1"/>
    <col min="14339" max="14339" width="13.1640625" style="812" customWidth="1"/>
    <col min="14340" max="14341" width="13" style="812" bestFit="1" customWidth="1"/>
    <col min="14342" max="14342" width="12.83203125" style="812" customWidth="1"/>
    <col min="14343" max="14343" width="11.83203125" style="812" bestFit="1" customWidth="1"/>
    <col min="14344" max="14344" width="14.83203125" style="812" bestFit="1" customWidth="1"/>
    <col min="14345" max="14590" width="12.5" style="812"/>
    <col min="14591" max="14591" width="34" style="812" bestFit="1" customWidth="1"/>
    <col min="14592" max="14592" width="13" style="812" bestFit="1" customWidth="1"/>
    <col min="14593" max="14594" width="14.83203125" style="812" bestFit="1" customWidth="1"/>
    <col min="14595" max="14595" width="13.1640625" style="812" customWidth="1"/>
    <col min="14596" max="14597" width="13" style="812" bestFit="1" customWidth="1"/>
    <col min="14598" max="14598" width="12.83203125" style="812" customWidth="1"/>
    <col min="14599" max="14599" width="11.83203125" style="812" bestFit="1" customWidth="1"/>
    <col min="14600" max="14600" width="14.83203125" style="812" bestFit="1" customWidth="1"/>
    <col min="14601" max="14846" width="12.5" style="812"/>
    <col min="14847" max="14847" width="34" style="812" bestFit="1" customWidth="1"/>
    <col min="14848" max="14848" width="13" style="812" bestFit="1" customWidth="1"/>
    <col min="14849" max="14850" width="14.83203125" style="812" bestFit="1" customWidth="1"/>
    <col min="14851" max="14851" width="13.1640625" style="812" customWidth="1"/>
    <col min="14852" max="14853" width="13" style="812" bestFit="1" customWidth="1"/>
    <col min="14854" max="14854" width="12.83203125" style="812" customWidth="1"/>
    <col min="14855" max="14855" width="11.83203125" style="812" bestFit="1" customWidth="1"/>
    <col min="14856" max="14856" width="14.83203125" style="812" bestFit="1" customWidth="1"/>
    <col min="14857" max="15102" width="12.5" style="812"/>
    <col min="15103" max="15103" width="34" style="812" bestFit="1" customWidth="1"/>
    <col min="15104" max="15104" width="13" style="812" bestFit="1" customWidth="1"/>
    <col min="15105" max="15106" width="14.83203125" style="812" bestFit="1" customWidth="1"/>
    <col min="15107" max="15107" width="13.1640625" style="812" customWidth="1"/>
    <col min="15108" max="15109" width="13" style="812" bestFit="1" customWidth="1"/>
    <col min="15110" max="15110" width="12.83203125" style="812" customWidth="1"/>
    <col min="15111" max="15111" width="11.83203125" style="812" bestFit="1" customWidth="1"/>
    <col min="15112" max="15112" width="14.83203125" style="812" bestFit="1" customWidth="1"/>
    <col min="15113" max="15358" width="12.5" style="812"/>
    <col min="15359" max="15359" width="34" style="812" bestFit="1" customWidth="1"/>
    <col min="15360" max="15360" width="13" style="812" bestFit="1" customWidth="1"/>
    <col min="15361" max="15362" width="14.83203125" style="812" bestFit="1" customWidth="1"/>
    <col min="15363" max="15363" width="13.1640625" style="812" customWidth="1"/>
    <col min="15364" max="15365" width="13" style="812" bestFit="1" customWidth="1"/>
    <col min="15366" max="15366" width="12.83203125" style="812" customWidth="1"/>
    <col min="15367" max="15367" width="11.83203125" style="812" bestFit="1" customWidth="1"/>
    <col min="15368" max="15368" width="14.83203125" style="812" bestFit="1" customWidth="1"/>
    <col min="15369" max="15614" width="12.5" style="812"/>
    <col min="15615" max="15615" width="34" style="812" bestFit="1" customWidth="1"/>
    <col min="15616" max="15616" width="13" style="812" bestFit="1" customWidth="1"/>
    <col min="15617" max="15618" width="14.83203125" style="812" bestFit="1" customWidth="1"/>
    <col min="15619" max="15619" width="13.1640625" style="812" customWidth="1"/>
    <col min="15620" max="15621" width="13" style="812" bestFit="1" customWidth="1"/>
    <col min="15622" max="15622" width="12.83203125" style="812" customWidth="1"/>
    <col min="15623" max="15623" width="11.83203125" style="812" bestFit="1" customWidth="1"/>
    <col min="15624" max="15624" width="14.83203125" style="812" bestFit="1" customWidth="1"/>
    <col min="15625" max="15870" width="12.5" style="812"/>
    <col min="15871" max="15871" width="34" style="812" bestFit="1" customWidth="1"/>
    <col min="15872" max="15872" width="13" style="812" bestFit="1" customWidth="1"/>
    <col min="15873" max="15874" width="14.83203125" style="812" bestFit="1" customWidth="1"/>
    <col min="15875" max="15875" width="13.1640625" style="812" customWidth="1"/>
    <col min="15876" max="15877" width="13" style="812" bestFit="1" customWidth="1"/>
    <col min="15878" max="15878" width="12.83203125" style="812" customWidth="1"/>
    <col min="15879" max="15879" width="11.83203125" style="812" bestFit="1" customWidth="1"/>
    <col min="15880" max="15880" width="14.83203125" style="812" bestFit="1" customWidth="1"/>
    <col min="15881" max="16126" width="12.5" style="812"/>
    <col min="16127" max="16127" width="34" style="812" bestFit="1" customWidth="1"/>
    <col min="16128" max="16128" width="13" style="812" bestFit="1" customWidth="1"/>
    <col min="16129" max="16130" width="14.83203125" style="812" bestFit="1" customWidth="1"/>
    <col min="16131" max="16131" width="13.1640625" style="812" customWidth="1"/>
    <col min="16132" max="16133" width="13" style="812" bestFit="1" customWidth="1"/>
    <col min="16134" max="16134" width="12.83203125" style="812" customWidth="1"/>
    <col min="16135" max="16135" width="11.83203125" style="812" bestFit="1" customWidth="1"/>
    <col min="16136" max="16136" width="14.83203125" style="812" bestFit="1" customWidth="1"/>
    <col min="16137" max="16384" width="12.5" style="812"/>
  </cols>
  <sheetData>
    <row r="1" spans="1:11" x14ac:dyDescent="0.2">
      <c r="A1" s="1562" t="str">
        <f>CONCATENATE("14. melléklet ",ALAPADATOK!A7," ",ALAPADATOK!B7," ",ALAPADATOK!C7," ",ALAPADATOK!D7," ",ALAPADATOK!E7," ",ALAPADATOK!F7," ",ALAPADATOK!G7," ",ALAPADATOK!H7)</f>
        <v>14. melléklet a 6 / 2020. ( II.27 ) önkormányzati határozathoz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</row>
    <row r="2" spans="1:11" x14ac:dyDescent="0.2">
      <c r="A2" s="914"/>
      <c r="B2" s="914"/>
      <c r="C2" s="914"/>
      <c r="D2" s="915"/>
      <c r="E2" s="914"/>
      <c r="F2" s="914"/>
      <c r="G2" s="917"/>
      <c r="H2" s="917"/>
      <c r="I2" s="917"/>
      <c r="J2" s="917"/>
      <c r="K2" s="918"/>
    </row>
    <row r="3" spans="1:11" x14ac:dyDescent="0.2">
      <c r="A3" s="914"/>
      <c r="B3" s="914"/>
      <c r="C3" s="914"/>
      <c r="D3" s="915"/>
      <c r="E3" s="914"/>
      <c r="F3" s="914"/>
      <c r="G3" s="917"/>
      <c r="H3" s="917"/>
      <c r="I3" s="917"/>
      <c r="J3" s="917"/>
      <c r="K3" s="919"/>
    </row>
    <row r="4" spans="1:11" ht="19.5" x14ac:dyDescent="0.35">
      <c r="A4" s="920" t="s">
        <v>385</v>
      </c>
      <c r="B4" s="920"/>
      <c r="C4" s="920"/>
      <c r="D4" s="920"/>
      <c r="E4" s="920"/>
      <c r="F4" s="920"/>
      <c r="G4" s="920"/>
      <c r="H4" s="920"/>
      <c r="I4" s="920"/>
      <c r="J4" s="920"/>
      <c r="K4" s="920"/>
    </row>
    <row r="5" spans="1:11" ht="19.5" x14ac:dyDescent="0.35">
      <c r="A5" s="920" t="s">
        <v>823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</row>
    <row r="6" spans="1:11" ht="13.5" thickBot="1" x14ac:dyDescent="0.25">
      <c r="A6" s="914"/>
      <c r="B6" s="914"/>
      <c r="C6" s="914"/>
      <c r="D6" s="915"/>
      <c r="E6" s="914"/>
      <c r="F6" s="914"/>
      <c r="G6" s="914"/>
      <c r="H6" s="914"/>
      <c r="I6" s="914"/>
      <c r="J6" s="914"/>
      <c r="K6" s="921" t="s">
        <v>4</v>
      </c>
    </row>
    <row r="7" spans="1:11" ht="15.95" customHeight="1" x14ac:dyDescent="0.2">
      <c r="A7" s="1552" t="s">
        <v>2</v>
      </c>
      <c r="B7" s="1555" t="s">
        <v>386</v>
      </c>
      <c r="C7" s="1556"/>
      <c r="D7" s="1556"/>
      <c r="E7" s="1557" t="s">
        <v>578</v>
      </c>
      <c r="F7" s="1558"/>
      <c r="G7" s="1558"/>
      <c r="H7" s="1558"/>
      <c r="I7" s="1558"/>
      <c r="J7" s="1558"/>
      <c r="K7" s="1559"/>
    </row>
    <row r="8" spans="1:11" ht="15.95" customHeight="1" x14ac:dyDescent="0.2">
      <c r="A8" s="1553"/>
      <c r="B8" s="922" t="s">
        <v>387</v>
      </c>
      <c r="C8" s="922" t="s">
        <v>388</v>
      </c>
      <c r="D8" s="922" t="s">
        <v>389</v>
      </c>
      <c r="E8" s="922" t="s">
        <v>390</v>
      </c>
      <c r="F8" s="922" t="s">
        <v>391</v>
      </c>
      <c r="G8" s="922" t="s">
        <v>392</v>
      </c>
      <c r="H8" s="1560" t="s">
        <v>151</v>
      </c>
      <c r="I8" s="922" t="s">
        <v>393</v>
      </c>
      <c r="J8" s="922" t="s">
        <v>394</v>
      </c>
      <c r="K8" s="923" t="s">
        <v>389</v>
      </c>
    </row>
    <row r="9" spans="1:11" ht="15.95" customHeight="1" x14ac:dyDescent="0.2">
      <c r="A9" s="1554"/>
      <c r="B9" s="922" t="s">
        <v>395</v>
      </c>
      <c r="C9" s="922" t="s">
        <v>396</v>
      </c>
      <c r="D9" s="922" t="s">
        <v>397</v>
      </c>
      <c r="E9" s="922" t="s">
        <v>398</v>
      </c>
      <c r="F9" s="922" t="s">
        <v>399</v>
      </c>
      <c r="G9" s="922" t="s">
        <v>400</v>
      </c>
      <c r="H9" s="1561"/>
      <c r="I9" s="922" t="s">
        <v>401</v>
      </c>
      <c r="J9" s="922" t="s">
        <v>400</v>
      </c>
      <c r="K9" s="923" t="s">
        <v>402</v>
      </c>
    </row>
    <row r="10" spans="1:11" ht="15.95" customHeight="1" x14ac:dyDescent="0.2">
      <c r="A10" s="924" t="s">
        <v>403</v>
      </c>
      <c r="B10" s="932">
        <v>75647602</v>
      </c>
      <c r="C10" s="932">
        <f t="shared" ref="C10:C14" si="0">K10-B10</f>
        <v>164184089</v>
      </c>
      <c r="D10" s="933">
        <f t="shared" ref="D10:D14" si="1">SUM(B10:C10)</f>
        <v>239831691</v>
      </c>
      <c r="E10" s="932">
        <v>69090783</v>
      </c>
      <c r="F10" s="932">
        <v>12885750</v>
      </c>
      <c r="G10" s="932">
        <v>155755158</v>
      </c>
      <c r="H10" s="932"/>
      <c r="I10" s="932"/>
      <c r="J10" s="932">
        <v>2100000</v>
      </c>
      <c r="K10" s="791">
        <f t="shared" ref="K10:K14" si="2">SUM(E10:J10)</f>
        <v>239831691</v>
      </c>
    </row>
    <row r="11" spans="1:11" ht="15.95" customHeight="1" x14ac:dyDescent="0.2">
      <c r="A11" s="924" t="s">
        <v>0</v>
      </c>
      <c r="B11" s="932">
        <v>9594258</v>
      </c>
      <c r="C11" s="932">
        <f>K11-B11</f>
        <v>324957833</v>
      </c>
      <c r="D11" s="933">
        <f t="shared" si="1"/>
        <v>334552091</v>
      </c>
      <c r="E11" s="932">
        <v>200165718</v>
      </c>
      <c r="F11" s="932">
        <v>40236890</v>
      </c>
      <c r="G11" s="932">
        <v>92726933</v>
      </c>
      <c r="H11" s="932"/>
      <c r="I11" s="932"/>
      <c r="J11" s="932">
        <v>1422550</v>
      </c>
      <c r="K11" s="791">
        <f t="shared" si="2"/>
        <v>334552091</v>
      </c>
    </row>
    <row r="12" spans="1:11" ht="15.95" customHeight="1" x14ac:dyDescent="0.2">
      <c r="A12" s="924" t="s">
        <v>567</v>
      </c>
      <c r="B12" s="790">
        <v>25278253</v>
      </c>
      <c r="C12" s="790">
        <f t="shared" si="0"/>
        <v>93181485</v>
      </c>
      <c r="D12" s="933">
        <f t="shared" si="1"/>
        <v>118459738</v>
      </c>
      <c r="E12" s="932">
        <v>55350452</v>
      </c>
      <c r="F12" s="932">
        <v>9898597</v>
      </c>
      <c r="G12" s="790">
        <v>50681034</v>
      </c>
      <c r="H12" s="790">
        <v>2500</v>
      </c>
      <c r="I12" s="932"/>
      <c r="J12" s="932">
        <v>2527155</v>
      </c>
      <c r="K12" s="791">
        <f t="shared" si="2"/>
        <v>118459738</v>
      </c>
    </row>
    <row r="13" spans="1:11" s="333" customFormat="1" ht="18" customHeight="1" x14ac:dyDescent="0.2">
      <c r="A13" s="925" t="s">
        <v>550</v>
      </c>
      <c r="B13" s="792">
        <v>319196938</v>
      </c>
      <c r="C13" s="1472">
        <f t="shared" si="0"/>
        <v>607030605</v>
      </c>
      <c r="D13" s="1472">
        <f t="shared" si="1"/>
        <v>926227543</v>
      </c>
      <c r="E13" s="1472">
        <f>559242888+27724136</f>
        <v>586967024</v>
      </c>
      <c r="F13" s="1472">
        <f>105298280+4851725</f>
        <v>110150005</v>
      </c>
      <c r="G13" s="932">
        <v>211087063</v>
      </c>
      <c r="H13" s="932"/>
      <c r="I13" s="932"/>
      <c r="J13" s="932">
        <v>18023451</v>
      </c>
      <c r="K13" s="1473">
        <f t="shared" si="2"/>
        <v>926227543</v>
      </c>
    </row>
    <row r="14" spans="1:11" s="333" customFormat="1" ht="18" customHeight="1" x14ac:dyDescent="0.2">
      <c r="A14" s="925" t="s">
        <v>537</v>
      </c>
      <c r="B14" s="934">
        <v>2561552</v>
      </c>
      <c r="C14" s="1472">
        <f t="shared" si="0"/>
        <v>98580091</v>
      </c>
      <c r="D14" s="1472">
        <f t="shared" si="1"/>
        <v>101141643</v>
      </c>
      <c r="E14" s="1474">
        <f>71236352+545105</f>
        <v>71781457</v>
      </c>
      <c r="F14" s="1474">
        <f>12731399+95393</f>
        <v>12826792</v>
      </c>
      <c r="G14" s="935">
        <v>15922544</v>
      </c>
      <c r="H14" s="935"/>
      <c r="I14" s="935"/>
      <c r="J14" s="935">
        <v>610850</v>
      </c>
      <c r="K14" s="1473">
        <f t="shared" si="2"/>
        <v>101141643</v>
      </c>
    </row>
    <row r="15" spans="1:11" s="333" customFormat="1" ht="18" customHeight="1" x14ac:dyDescent="0.2">
      <c r="A15" s="925" t="s">
        <v>551</v>
      </c>
      <c r="B15" s="934">
        <v>10810079</v>
      </c>
      <c r="C15" s="932">
        <f>K15-B15</f>
        <v>232822178</v>
      </c>
      <c r="D15" s="933">
        <f>SUM(B15:C15)</f>
        <v>243632257</v>
      </c>
      <c r="E15" s="935">
        <v>164405869</v>
      </c>
      <c r="F15" s="935">
        <v>32731163</v>
      </c>
      <c r="G15" s="935">
        <v>41447825</v>
      </c>
      <c r="H15" s="935"/>
      <c r="I15" s="935"/>
      <c r="J15" s="935">
        <v>5047400</v>
      </c>
      <c r="K15" s="791">
        <f>SUM(E15:J15)</f>
        <v>243632257</v>
      </c>
    </row>
    <row r="16" spans="1:11" s="519" customFormat="1" ht="18" customHeight="1" thickBot="1" x14ac:dyDescent="0.25">
      <c r="A16" s="926" t="s">
        <v>405</v>
      </c>
      <c r="B16" s="927">
        <f t="shared" ref="B16:J16" si="3">SUM(B10:B15)</f>
        <v>443088682</v>
      </c>
      <c r="C16" s="1475">
        <f t="shared" si="3"/>
        <v>1520756281</v>
      </c>
      <c r="D16" s="1475">
        <f t="shared" si="3"/>
        <v>1963844963</v>
      </c>
      <c r="E16" s="1475">
        <f t="shared" si="3"/>
        <v>1147761303</v>
      </c>
      <c r="F16" s="1475">
        <f t="shared" si="3"/>
        <v>218729197</v>
      </c>
      <c r="G16" s="927">
        <f t="shared" si="3"/>
        <v>567620557</v>
      </c>
      <c r="H16" s="927">
        <f t="shared" si="3"/>
        <v>2500</v>
      </c>
      <c r="I16" s="927">
        <f t="shared" si="3"/>
        <v>0</v>
      </c>
      <c r="J16" s="927">
        <f t="shared" si="3"/>
        <v>29731406</v>
      </c>
      <c r="K16" s="1476">
        <f>SUM(K10:K15)</f>
        <v>1963844963</v>
      </c>
    </row>
    <row r="17" spans="1:11" s="462" customFormat="1" ht="11.25" x14ac:dyDescent="0.2">
      <c r="A17" s="928"/>
      <c r="B17" s="928"/>
      <c r="C17" s="928"/>
      <c r="D17" s="929"/>
      <c r="E17" s="928"/>
      <c r="F17" s="928"/>
      <c r="G17" s="928"/>
      <c r="H17" s="928"/>
      <c r="I17" s="928"/>
      <c r="J17" s="928"/>
      <c r="K17" s="929"/>
    </row>
    <row r="18" spans="1:11" s="462" customFormat="1" ht="11.25" x14ac:dyDescent="0.2">
      <c r="A18" s="928"/>
      <c r="B18" s="928"/>
      <c r="C18" s="928"/>
      <c r="D18" s="929"/>
      <c r="E18" s="928"/>
      <c r="F18" s="928"/>
      <c r="G18" s="928"/>
      <c r="H18" s="928"/>
      <c r="I18" s="928"/>
      <c r="J18" s="928"/>
      <c r="K18" s="929"/>
    </row>
    <row r="19" spans="1:11" x14ac:dyDescent="0.2">
      <c r="B19" s="930"/>
      <c r="C19" s="930"/>
      <c r="D19" s="930"/>
    </row>
    <row r="20" spans="1:11" x14ac:dyDescent="0.2">
      <c r="C20" s="930"/>
    </row>
  </sheetData>
  <mergeCells count="5">
    <mergeCell ref="A7:A9"/>
    <mergeCell ref="B7:D7"/>
    <mergeCell ref="E7:K7"/>
    <mergeCell ref="H8:H9"/>
    <mergeCell ref="A1:K1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3" zoomScaleNormal="100" workbookViewId="0">
      <selection activeCell="D11" sqref="D11"/>
    </sheetView>
  </sheetViews>
  <sheetFormatPr defaultColWidth="10.6640625" defaultRowHeight="12.75" x14ac:dyDescent="0.2"/>
  <cols>
    <col min="1" max="1" width="10" style="528" customWidth="1"/>
    <col min="2" max="2" width="37.33203125" style="528" customWidth="1"/>
    <col min="3" max="3" width="24.83203125" style="528" customWidth="1"/>
    <col min="4" max="4" width="22.6640625" style="528" customWidth="1"/>
    <col min="5" max="5" width="11.6640625" style="528" bestFit="1" customWidth="1"/>
    <col min="6" max="16384" width="10.6640625" style="528"/>
  </cols>
  <sheetData>
    <row r="1" spans="1:7" ht="15.75" x14ac:dyDescent="0.25">
      <c r="A1" s="1563" t="str">
        <f>CONCATENATE("11. melléklet ",ALAPADATOK!A7," ",ALAPADATOK!B7," ",ALAPADATOK!C7," ",ALAPADATOK!D7," ",ALAPADATOK!E7," ",ALAPADATOK!F7," ",ALAPADATOK!G7," ",ALAPADATOK!H7)</f>
        <v>11. melléklet a 6 / 2020. ( II.27 ) önkormányzati határozathoz</v>
      </c>
      <c r="B1" s="1563"/>
      <c r="C1" s="1563"/>
      <c r="D1" s="1563"/>
      <c r="E1" s="1284"/>
      <c r="F1" s="1284"/>
      <c r="G1" s="1284"/>
    </row>
    <row r="2" spans="1:7" ht="15.75" x14ac:dyDescent="0.25">
      <c r="A2" s="334"/>
      <c r="B2" s="334"/>
      <c r="C2" s="334"/>
      <c r="D2" s="335"/>
    </row>
    <row r="3" spans="1:7" ht="15.75" x14ac:dyDescent="0.25">
      <c r="A3" s="334"/>
      <c r="B3" s="334"/>
      <c r="C3" s="334"/>
      <c r="D3" s="437"/>
    </row>
    <row r="4" spans="1:7" ht="15.75" x14ac:dyDescent="0.25">
      <c r="A4" s="334"/>
      <c r="B4" s="334"/>
      <c r="C4" s="334"/>
      <c r="D4" s="438"/>
    </row>
    <row r="5" spans="1:7" ht="15.75" x14ac:dyDescent="0.25">
      <c r="A5" s="334"/>
      <c r="B5" s="334"/>
      <c r="C5" s="334"/>
      <c r="D5" s="438"/>
    </row>
    <row r="6" spans="1:7" ht="15.75" x14ac:dyDescent="0.25">
      <c r="A6" s="334"/>
      <c r="B6" s="334"/>
      <c r="C6" s="334"/>
      <c r="D6" s="439"/>
    </row>
    <row r="7" spans="1:7" ht="19.5" x14ac:dyDescent="0.35">
      <c r="A7" s="336" t="s">
        <v>380</v>
      </c>
      <c r="B7" s="336"/>
      <c r="C7" s="336"/>
      <c r="D7" s="440"/>
    </row>
    <row r="8" spans="1:7" ht="19.5" x14ac:dyDescent="0.35">
      <c r="A8" s="336" t="s">
        <v>824</v>
      </c>
      <c r="B8" s="336"/>
      <c r="C8" s="336"/>
      <c r="D8" s="440"/>
    </row>
    <row r="9" spans="1:7" ht="19.5" x14ac:dyDescent="0.35">
      <c r="A9" s="336"/>
      <c r="B9" s="336"/>
      <c r="C9" s="336"/>
      <c r="D9" s="440"/>
    </row>
    <row r="10" spans="1:7" ht="19.5" x14ac:dyDescent="0.35">
      <c r="A10" s="336"/>
      <c r="B10" s="336"/>
      <c r="C10" s="336"/>
      <c r="D10" s="440"/>
    </row>
    <row r="11" spans="1:7" ht="19.5" x14ac:dyDescent="0.35">
      <c r="A11" s="336"/>
      <c r="B11" s="336"/>
      <c r="C11" s="336"/>
      <c r="D11" s="440"/>
    </row>
    <row r="12" spans="1:7" ht="16.5" thickBot="1" x14ac:dyDescent="0.3">
      <c r="A12" s="334"/>
      <c r="B12" s="334"/>
      <c r="C12" s="334"/>
      <c r="D12" s="441" t="s">
        <v>4</v>
      </c>
    </row>
    <row r="13" spans="1:7" s="529" customFormat="1" ht="33" customHeight="1" thickBot="1" x14ac:dyDescent="0.25">
      <c r="A13" s="337" t="s">
        <v>64</v>
      </c>
      <c r="B13" s="338"/>
      <c r="C13" s="339"/>
      <c r="D13" s="442" t="s">
        <v>57</v>
      </c>
    </row>
    <row r="14" spans="1:7" ht="16.5" thickBot="1" x14ac:dyDescent="0.3">
      <c r="A14" s="479" t="s">
        <v>61</v>
      </c>
      <c r="B14" s="480"/>
      <c r="C14" s="481"/>
      <c r="D14" s="482">
        <v>20000000</v>
      </c>
      <c r="E14" s="530"/>
      <c r="F14" s="531"/>
    </row>
    <row r="15" spans="1:7" ht="15.75" x14ac:dyDescent="0.25">
      <c r="A15" s="474" t="s">
        <v>382</v>
      </c>
      <c r="B15" s="483"/>
      <c r="C15" s="484"/>
      <c r="D15" s="485"/>
      <c r="E15" s="531"/>
      <c r="F15" s="531"/>
    </row>
    <row r="16" spans="1:7" x14ac:dyDescent="0.2">
      <c r="A16" s="818" t="s">
        <v>681</v>
      </c>
      <c r="B16" s="445"/>
      <c r="C16" s="475"/>
      <c r="D16" s="443">
        <v>10000000</v>
      </c>
      <c r="E16" s="446"/>
      <c r="F16" s="444"/>
    </row>
    <row r="17" spans="1:6" x14ac:dyDescent="0.2">
      <c r="A17" s="818" t="s">
        <v>682</v>
      </c>
      <c r="B17" s="445"/>
      <c r="C17" s="475"/>
      <c r="D17" s="443">
        <v>300000</v>
      </c>
      <c r="E17" s="446"/>
      <c r="F17" s="444"/>
    </row>
    <row r="18" spans="1:6" x14ac:dyDescent="0.2">
      <c r="A18" s="818" t="s">
        <v>683</v>
      </c>
      <c r="B18" s="445"/>
      <c r="C18" s="475"/>
      <c r="D18" s="443">
        <v>900000</v>
      </c>
      <c r="E18" s="446"/>
      <c r="F18" s="444"/>
    </row>
    <row r="19" spans="1:6" x14ac:dyDescent="0.2">
      <c r="A19" s="818" t="s">
        <v>684</v>
      </c>
      <c r="B19" s="445"/>
      <c r="C19" s="475"/>
      <c r="D19" s="443">
        <v>400000</v>
      </c>
      <c r="E19" s="446"/>
      <c r="F19" s="444"/>
    </row>
    <row r="20" spans="1:6" x14ac:dyDescent="0.2">
      <c r="A20" s="1294" t="s">
        <v>946</v>
      </c>
      <c r="B20" s="445"/>
      <c r="C20" s="475"/>
      <c r="D20" s="443">
        <v>46062453</v>
      </c>
      <c r="E20" s="446"/>
      <c r="F20" s="444"/>
    </row>
    <row r="21" spans="1:6" x14ac:dyDescent="0.2">
      <c r="A21" s="820" t="s">
        <v>686</v>
      </c>
      <c r="B21" s="464"/>
      <c r="C21" s="475"/>
      <c r="D21" s="443">
        <v>500000</v>
      </c>
      <c r="E21" s="446"/>
      <c r="F21" s="444"/>
    </row>
    <row r="22" spans="1:6" x14ac:dyDescent="0.2">
      <c r="A22" s="463" t="s">
        <v>585</v>
      </c>
      <c r="B22" s="464"/>
      <c r="C22" s="475"/>
      <c r="D22" s="443">
        <v>3500000</v>
      </c>
      <c r="E22" s="446"/>
      <c r="F22" s="444"/>
    </row>
    <row r="23" spans="1:6" x14ac:dyDescent="0.2">
      <c r="A23" s="819" t="s">
        <v>953</v>
      </c>
      <c r="B23" s="522"/>
      <c r="C23" s="523"/>
      <c r="D23" s="524">
        <v>2750000</v>
      </c>
      <c r="E23" s="446"/>
      <c r="F23" s="444"/>
    </row>
    <row r="24" spans="1:6" x14ac:dyDescent="0.2">
      <c r="A24" s="819" t="s">
        <v>952</v>
      </c>
      <c r="B24" s="522"/>
      <c r="C24" s="523"/>
      <c r="D24" s="524">
        <v>1825000</v>
      </c>
      <c r="E24" s="446"/>
      <c r="F24" s="444"/>
    </row>
    <row r="25" spans="1:6" x14ac:dyDescent="0.2">
      <c r="A25" s="819" t="s">
        <v>951</v>
      </c>
      <c r="B25" s="522"/>
      <c r="C25" s="523"/>
      <c r="D25" s="524">
        <v>10080000</v>
      </c>
      <c r="E25" s="446"/>
      <c r="F25" s="444"/>
    </row>
    <row r="26" spans="1:6" x14ac:dyDescent="0.2">
      <c r="A26" s="819" t="s">
        <v>950</v>
      </c>
      <c r="B26" s="522"/>
      <c r="C26" s="523"/>
      <c r="D26" s="524">
        <v>3000000</v>
      </c>
      <c r="E26" s="446"/>
      <c r="F26" s="444"/>
    </row>
    <row r="27" spans="1:6" x14ac:dyDescent="0.2">
      <c r="A27" s="819" t="s">
        <v>949</v>
      </c>
      <c r="B27" s="522"/>
      <c r="C27" s="523"/>
      <c r="D27" s="524">
        <v>6350000</v>
      </c>
      <c r="E27" s="446"/>
      <c r="F27" s="444"/>
    </row>
    <row r="28" spans="1:6" x14ac:dyDescent="0.2">
      <c r="A28" s="819" t="s">
        <v>948</v>
      </c>
      <c r="B28" s="522"/>
      <c r="C28" s="523"/>
      <c r="D28" s="524">
        <v>6985000</v>
      </c>
      <c r="E28" s="446"/>
      <c r="F28" s="444"/>
    </row>
    <row r="29" spans="1:6" x14ac:dyDescent="0.2">
      <c r="A29" s="819" t="s">
        <v>947</v>
      </c>
      <c r="B29" s="522"/>
      <c r="C29" s="523"/>
      <c r="D29" s="524">
        <v>15000000</v>
      </c>
      <c r="E29" s="446"/>
      <c r="F29" s="444"/>
    </row>
    <row r="30" spans="1:6" x14ac:dyDescent="0.2">
      <c r="A30" s="819" t="s">
        <v>687</v>
      </c>
      <c r="B30" s="522"/>
      <c r="C30" s="523"/>
      <c r="D30" s="524">
        <v>4000000</v>
      </c>
      <c r="E30" s="446"/>
      <c r="F30" s="444"/>
    </row>
    <row r="31" spans="1:6" x14ac:dyDescent="0.2">
      <c r="A31" s="819" t="s">
        <v>685</v>
      </c>
      <c r="B31" s="522"/>
      <c r="C31" s="523"/>
      <c r="D31" s="524">
        <v>1588385</v>
      </c>
      <c r="E31" s="446"/>
      <c r="F31" s="444"/>
    </row>
    <row r="32" spans="1:6" ht="16.5" thickBot="1" x14ac:dyDescent="0.3">
      <c r="A32" s="476" t="s">
        <v>383</v>
      </c>
      <c r="B32" s="477"/>
      <c r="C32" s="478"/>
      <c r="D32" s="699">
        <f>SUM(D16:D31)</f>
        <v>113240838</v>
      </c>
    </row>
    <row r="33" spans="1:4" ht="16.5" thickBot="1" x14ac:dyDescent="0.3">
      <c r="A33" s="486"/>
      <c r="B33" s="487"/>
      <c r="C33" s="488"/>
      <c r="D33" s="488"/>
    </row>
    <row r="34" spans="1:4" ht="16.5" thickBot="1" x14ac:dyDescent="0.3">
      <c r="A34" s="479" t="s">
        <v>384</v>
      </c>
      <c r="B34" s="480"/>
      <c r="C34" s="481"/>
      <c r="D34" s="482">
        <f>SUM(D14,D32)</f>
        <v>133240838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zoomScaleNormal="100" zoomScaleSheetLayoutView="85" workbookViewId="0">
      <selection activeCell="D16" sqref="D16"/>
    </sheetView>
  </sheetViews>
  <sheetFormatPr defaultRowHeight="15.75" x14ac:dyDescent="0.25"/>
  <cols>
    <col min="1" max="1" width="9" style="310" customWidth="1"/>
    <col min="2" max="2" width="67.1640625" style="310" bestFit="1" customWidth="1"/>
    <col min="3" max="3" width="16.5" style="788" customWidth="1"/>
    <col min="4" max="4" width="15.5" style="788" customWidth="1"/>
    <col min="5" max="7" width="15.5" style="788" hidden="1" customWidth="1"/>
    <col min="8" max="8" width="15.5" style="788" customWidth="1"/>
    <col min="9" max="9" width="14.33203125" style="296" hidden="1" customWidth="1"/>
    <col min="10" max="10" width="12.6640625" style="296" hidden="1" customWidth="1"/>
    <col min="11" max="11" width="14.33203125" style="296" hidden="1" customWidth="1"/>
    <col min="12" max="16384" width="9.33203125" style="296"/>
  </cols>
  <sheetData>
    <row r="1" spans="1:11" s="1260" customFormat="1" x14ac:dyDescent="0.25">
      <c r="A1" s="1564" t="str">
        <f>CONCATENATE("15. számú tájékoztató tábla ",ALAPADATOK!A7," ",ALAPADATOK!B7," ",ALAPADATOK!C7," ",ALAPADATOK!D7," ",ALAPADATOK!E7," ",ALAPADATOK!F7," ",ALAPADATOK!G7," ",ALAPADATOK!H7)</f>
        <v>15. számú tájékoztató tábla a 6 / 2020. ( II.27 ) önkormányzati határozathoz</v>
      </c>
      <c r="B1" s="1564"/>
      <c r="C1" s="1564"/>
      <c r="D1" s="1564"/>
      <c r="E1" s="1564"/>
      <c r="F1" s="1564"/>
      <c r="G1" s="1564"/>
      <c r="H1" s="1564"/>
    </row>
    <row r="2" spans="1:11" s="1260" customFormat="1" x14ac:dyDescent="0.25">
      <c r="A2" s="1261"/>
      <c r="B2" s="1261"/>
      <c r="C2" s="1277"/>
      <c r="D2" s="1277"/>
      <c r="E2" s="1277"/>
      <c r="F2" s="1277"/>
      <c r="G2" s="1277"/>
      <c r="H2" s="1277"/>
    </row>
    <row r="3" spans="1:11" ht="35.25" customHeight="1" x14ac:dyDescent="0.25">
      <c r="A3" s="1565" t="s">
        <v>826</v>
      </c>
      <c r="B3" s="1566"/>
      <c r="C3" s="1566"/>
      <c r="D3" s="1566"/>
      <c r="E3" s="1566"/>
      <c r="F3" s="1566"/>
      <c r="G3" s="1566"/>
      <c r="H3" s="1566"/>
    </row>
    <row r="5" spans="1:11" ht="15.95" customHeight="1" x14ac:dyDescent="0.25">
      <c r="A5" s="1498" t="s">
        <v>18</v>
      </c>
      <c r="B5" s="1498"/>
      <c r="C5" s="1498"/>
      <c r="D5" s="1498"/>
      <c r="E5" s="1498"/>
      <c r="F5" s="1498"/>
      <c r="G5" s="1498"/>
      <c r="H5" s="1498"/>
    </row>
    <row r="6" spans="1:11" ht="15.95" customHeight="1" thickBot="1" x14ac:dyDescent="0.3">
      <c r="A6" s="1497" t="s">
        <v>129</v>
      </c>
      <c r="B6" s="1497"/>
      <c r="C6" s="701"/>
      <c r="D6" s="701"/>
      <c r="E6" s="702"/>
      <c r="F6" s="702"/>
      <c r="G6" s="702"/>
      <c r="H6" s="703" t="s">
        <v>566</v>
      </c>
    </row>
    <row r="7" spans="1:11" ht="38.1" customHeight="1" thickBot="1" x14ac:dyDescent="0.3">
      <c r="A7" s="21" t="s">
        <v>72</v>
      </c>
      <c r="B7" s="22" t="s">
        <v>20</v>
      </c>
      <c r="C7" s="704" t="s">
        <v>825</v>
      </c>
      <c r="D7" s="704" t="s">
        <v>954</v>
      </c>
      <c r="E7" s="705"/>
      <c r="F7" s="705"/>
      <c r="G7" s="705"/>
      <c r="H7" s="706" t="s">
        <v>794</v>
      </c>
    </row>
    <row r="8" spans="1:11" s="297" customFormat="1" ht="12" customHeight="1" thickBot="1" x14ac:dyDescent="0.25">
      <c r="A8" s="27" t="s">
        <v>447</v>
      </c>
      <c r="B8" s="28" t="s">
        <v>448</v>
      </c>
      <c r="C8" s="707" t="s">
        <v>449</v>
      </c>
      <c r="D8" s="707" t="s">
        <v>499</v>
      </c>
      <c r="E8" s="708"/>
      <c r="F8" s="708"/>
      <c r="G8" s="708"/>
      <c r="H8" s="709" t="s">
        <v>500</v>
      </c>
    </row>
    <row r="9" spans="1:11" s="299" customFormat="1" ht="12" customHeight="1" thickBot="1" x14ac:dyDescent="0.25">
      <c r="A9" s="18" t="s">
        <v>21</v>
      </c>
      <c r="B9" s="19" t="s">
        <v>195</v>
      </c>
      <c r="C9" s="707">
        <f>SUM(C10:C15)</f>
        <v>1170233686</v>
      </c>
      <c r="D9" s="707">
        <f>SUM(D10:D15)</f>
        <v>1324135065</v>
      </c>
      <c r="E9" s="711">
        <f>+E10+E11+E12+E13+E14+E15</f>
        <v>1133144785</v>
      </c>
      <c r="F9" s="710">
        <f>+F10+F11+F12+F13+F14+F15</f>
        <v>0</v>
      </c>
      <c r="G9" s="710">
        <f>+G10+G11+G12+G13+G14+G15</f>
        <v>0</v>
      </c>
      <c r="H9" s="130">
        <f>'1.1.sz.mell. '!C11</f>
        <v>1425055633</v>
      </c>
      <c r="I9" s="298">
        <f>+I10+I11+I12+I13+I14+I15</f>
        <v>1460810310</v>
      </c>
      <c r="J9" s="130">
        <f>+J10+J11+J12+J13+J14+J15</f>
        <v>0</v>
      </c>
      <c r="K9" s="130">
        <f>+K10+K11+K12+K13+K14+K15</f>
        <v>0</v>
      </c>
    </row>
    <row r="10" spans="1:11" s="299" customFormat="1" ht="12" customHeight="1" x14ac:dyDescent="0.2">
      <c r="A10" s="13" t="s">
        <v>100</v>
      </c>
      <c r="B10" s="313" t="s">
        <v>196</v>
      </c>
      <c r="C10" s="712">
        <v>228389971</v>
      </c>
      <c r="D10" s="713">
        <v>218098142</v>
      </c>
      <c r="E10" s="714">
        <v>227512539</v>
      </c>
      <c r="F10" s="715"/>
      <c r="G10" s="715"/>
      <c r="H10" s="510">
        <f>'1.1.sz.mell. '!C12</f>
        <v>229318994</v>
      </c>
      <c r="I10" s="245">
        <v>211161846</v>
      </c>
      <c r="J10" s="245"/>
      <c r="K10" s="245"/>
    </row>
    <row r="11" spans="1:11" s="299" customFormat="1" ht="12" customHeight="1" x14ac:dyDescent="0.2">
      <c r="A11" s="12" t="s">
        <v>101</v>
      </c>
      <c r="B11" s="314" t="s">
        <v>197</v>
      </c>
      <c r="C11" s="716">
        <v>227307468</v>
      </c>
      <c r="D11" s="717">
        <v>238466411</v>
      </c>
      <c r="E11" s="718">
        <v>218107294</v>
      </c>
      <c r="F11" s="719"/>
      <c r="G11" s="719"/>
      <c r="H11" s="322">
        <f>'1.1.sz.mell. '!C13</f>
        <v>229603230</v>
      </c>
      <c r="I11" s="134">
        <v>235351616</v>
      </c>
      <c r="J11" s="134"/>
      <c r="K11" s="134"/>
    </row>
    <row r="12" spans="1:11" s="299" customFormat="1" ht="12" customHeight="1" x14ac:dyDescent="0.2">
      <c r="A12" s="12" t="s">
        <v>102</v>
      </c>
      <c r="B12" s="314" t="s">
        <v>198</v>
      </c>
      <c r="C12" s="716">
        <v>660574907</v>
      </c>
      <c r="D12" s="717">
        <v>784493453</v>
      </c>
      <c r="E12" s="718">
        <f>121200000+67844165+118423160+15562200+177597260+4526280+11511000+24250000+62625967</f>
        <v>603540032</v>
      </c>
      <c r="F12" s="719"/>
      <c r="G12" s="719"/>
      <c r="H12" s="322">
        <f>'1.1.sz.mell. '!C14</f>
        <v>785215024</v>
      </c>
      <c r="I12" s="134">
        <f>132342947+82528441+152850000+191583306+50232560+61299400+1796961+73694436</f>
        <v>746328051</v>
      </c>
      <c r="J12" s="134"/>
      <c r="K12" s="134"/>
    </row>
    <row r="13" spans="1:11" s="299" customFormat="1" ht="12" customHeight="1" x14ac:dyDescent="0.2">
      <c r="A13" s="12" t="s">
        <v>103</v>
      </c>
      <c r="B13" s="314" t="s">
        <v>199</v>
      </c>
      <c r="C13" s="716">
        <v>34596226</v>
      </c>
      <c r="D13" s="717">
        <v>34753573</v>
      </c>
      <c r="E13" s="718">
        <f>4412740+15262320+10629000</f>
        <v>30304060</v>
      </c>
      <c r="F13" s="719"/>
      <c r="G13" s="719"/>
      <c r="H13" s="322">
        <f>'1.1.sz.mell. '!C15</f>
        <v>20802409</v>
      </c>
      <c r="I13" s="134">
        <f>4617241+15998620+12622000</f>
        <v>33237861</v>
      </c>
      <c r="J13" s="134"/>
      <c r="K13" s="134"/>
    </row>
    <row r="14" spans="1:11" s="299" customFormat="1" ht="12" customHeight="1" x14ac:dyDescent="0.2">
      <c r="A14" s="12" t="s">
        <v>126</v>
      </c>
      <c r="B14" s="490" t="s">
        <v>450</v>
      </c>
      <c r="C14" s="716">
        <v>19365114</v>
      </c>
      <c r="D14" s="717">
        <v>48323486</v>
      </c>
      <c r="E14" s="718">
        <f>3551000+1060845+168707597+58000+128000-119824582</f>
        <v>53680860</v>
      </c>
      <c r="F14" s="719"/>
      <c r="G14" s="719"/>
      <c r="H14" s="322">
        <f>'1.1.sz.mell. '!C16</f>
        <v>160115976</v>
      </c>
      <c r="I14" s="134">
        <f>29417493+205313443</f>
        <v>234730936</v>
      </c>
      <c r="J14" s="134"/>
      <c r="K14" s="134"/>
    </row>
    <row r="15" spans="1:11" s="299" customFormat="1" ht="12" customHeight="1" thickBot="1" x14ac:dyDescent="0.25">
      <c r="A15" s="14" t="s">
        <v>104</v>
      </c>
      <c r="B15" s="491" t="s">
        <v>451</v>
      </c>
      <c r="C15" s="720"/>
      <c r="D15" s="721"/>
      <c r="E15" s="722"/>
      <c r="F15" s="723"/>
      <c r="G15" s="723"/>
      <c r="H15" s="511">
        <f>'1.1.sz.mell. '!C17</f>
        <v>0</v>
      </c>
      <c r="I15" s="119"/>
      <c r="J15" s="131"/>
      <c r="K15" s="131"/>
    </row>
    <row r="16" spans="1:11" s="299" customFormat="1" ht="12" customHeight="1" thickBot="1" x14ac:dyDescent="0.25">
      <c r="A16" s="18" t="s">
        <v>22</v>
      </c>
      <c r="B16" s="492" t="s">
        <v>200</v>
      </c>
      <c r="C16" s="724">
        <f>SUM(C17:C21)</f>
        <v>215496398</v>
      </c>
      <c r="D16" s="724">
        <f>SUM(D17:D21)</f>
        <v>185927249</v>
      </c>
      <c r="E16" s="711">
        <f>+E17+E18+E19+E20+E21</f>
        <v>-145452435</v>
      </c>
      <c r="F16" s="710">
        <f>+F17+F18+F19+F20+F21</f>
        <v>0</v>
      </c>
      <c r="G16" s="710">
        <f>+G17+G18+G19+G20+G21</f>
        <v>5485000</v>
      </c>
      <c r="H16" s="130">
        <f>'1.1.sz.mell. '!C18</f>
        <v>340613687</v>
      </c>
      <c r="I16" s="298">
        <f>+I17+I18+I19+I20+I21</f>
        <v>203725813</v>
      </c>
      <c r="J16" s="130">
        <f>+J17+J18+J19+J20+J21</f>
        <v>0</v>
      </c>
      <c r="K16" s="130">
        <f>+K17+K18+K19+K20+K21</f>
        <v>22754943</v>
      </c>
    </row>
    <row r="17" spans="1:11" s="299" customFormat="1" ht="12" customHeight="1" x14ac:dyDescent="0.2">
      <c r="A17" s="13" t="s">
        <v>106</v>
      </c>
      <c r="B17" s="313" t="s">
        <v>201</v>
      </c>
      <c r="C17" s="716"/>
      <c r="D17" s="713"/>
      <c r="E17" s="725"/>
      <c r="F17" s="726"/>
      <c r="G17" s="726"/>
      <c r="H17" s="510">
        <f>'1.1.sz.mell. '!C19</f>
        <v>0</v>
      </c>
      <c r="I17" s="300"/>
      <c r="J17" s="132"/>
      <c r="K17" s="132"/>
    </row>
    <row r="18" spans="1:11" s="299" customFormat="1" ht="12" customHeight="1" x14ac:dyDescent="0.2">
      <c r="A18" s="12" t="s">
        <v>107</v>
      </c>
      <c r="B18" s="314" t="s">
        <v>202</v>
      </c>
      <c r="C18" s="716"/>
      <c r="D18" s="717"/>
      <c r="E18" s="722"/>
      <c r="F18" s="723"/>
      <c r="G18" s="723"/>
      <c r="H18" s="322">
        <f>'1.1.sz.mell. '!C20</f>
        <v>0</v>
      </c>
      <c r="I18" s="119"/>
      <c r="J18" s="131"/>
      <c r="K18" s="131"/>
    </row>
    <row r="19" spans="1:11" s="299" customFormat="1" ht="12" customHeight="1" x14ac:dyDescent="0.2">
      <c r="A19" s="12" t="s">
        <v>108</v>
      </c>
      <c r="B19" s="314" t="s">
        <v>370</v>
      </c>
      <c r="C19" s="716"/>
      <c r="D19" s="717"/>
      <c r="E19" s="722"/>
      <c r="F19" s="723"/>
      <c r="G19" s="723"/>
      <c r="H19" s="322">
        <f>'1.1.sz.mell. '!C21</f>
        <v>0</v>
      </c>
      <c r="I19" s="119"/>
      <c r="J19" s="131"/>
      <c r="K19" s="131"/>
    </row>
    <row r="20" spans="1:11" s="299" customFormat="1" ht="12" customHeight="1" x14ac:dyDescent="0.2">
      <c r="A20" s="12" t="s">
        <v>109</v>
      </c>
      <c r="B20" s="314" t="s">
        <v>371</v>
      </c>
      <c r="C20" s="716"/>
      <c r="D20" s="717"/>
      <c r="E20" s="722"/>
      <c r="F20" s="723"/>
      <c r="G20" s="723"/>
      <c r="H20" s="322">
        <f>'1.1.sz.mell. '!C22</f>
        <v>0</v>
      </c>
      <c r="I20" s="119"/>
      <c r="J20" s="131"/>
      <c r="K20" s="131"/>
    </row>
    <row r="21" spans="1:11" s="299" customFormat="1" ht="12" customHeight="1" x14ac:dyDescent="0.2">
      <c r="A21" s="12" t="s">
        <v>110</v>
      </c>
      <c r="B21" s="314" t="s">
        <v>203</v>
      </c>
      <c r="C21" s="716">
        <v>215496398</v>
      </c>
      <c r="D21" s="717">
        <v>185927249</v>
      </c>
      <c r="E21" s="718">
        <f>2285000+210000+110446000+65342000-323735435</f>
        <v>-145452435</v>
      </c>
      <c r="F21" s="719"/>
      <c r="G21" s="719">
        <v>5485000</v>
      </c>
      <c r="H21" s="322">
        <f>'1.1.sz.mell. '!C23</f>
        <v>340613687</v>
      </c>
      <c r="I21" s="282">
        <f>102792540+24250000+3975280+5670000+67037993</f>
        <v>203725813</v>
      </c>
      <c r="J21" s="134"/>
      <c r="K21" s="134">
        <v>22754943</v>
      </c>
    </row>
    <row r="22" spans="1:11" s="299" customFormat="1" ht="12" customHeight="1" thickBot="1" x14ac:dyDescent="0.25">
      <c r="A22" s="14" t="s">
        <v>119</v>
      </c>
      <c r="B22" s="491" t="s">
        <v>204</v>
      </c>
      <c r="C22" s="720">
        <v>27120913</v>
      </c>
      <c r="D22" s="721">
        <f>44046085</f>
        <v>44046085</v>
      </c>
      <c r="E22" s="727"/>
      <c r="F22" s="728"/>
      <c r="G22" s="728"/>
      <c r="H22" s="511">
        <f>'1.1.sz.mell. '!C24</f>
        <v>205568019</v>
      </c>
      <c r="I22" s="286">
        <f>67037993</f>
        <v>67037993</v>
      </c>
      <c r="J22" s="196"/>
      <c r="K22" s="196">
        <v>754943</v>
      </c>
    </row>
    <row r="23" spans="1:11" s="299" customFormat="1" ht="12" customHeight="1" thickBot="1" x14ac:dyDescent="0.25">
      <c r="A23" s="18" t="s">
        <v>23</v>
      </c>
      <c r="B23" s="489" t="s">
        <v>205</v>
      </c>
      <c r="C23" s="724">
        <f>SUM(C24:C28)</f>
        <v>27196638</v>
      </c>
      <c r="D23" s="724">
        <f>SUM(D24:D28)</f>
        <v>1026676989</v>
      </c>
      <c r="E23" s="711">
        <f>+E24+E25+E26+E27+E28</f>
        <v>-11381976</v>
      </c>
      <c r="F23" s="710">
        <f>+F24+F25+F26+F27+F28</f>
        <v>0</v>
      </c>
      <c r="G23" s="710">
        <f>+G24+G25+G26+G27+G28</f>
        <v>0</v>
      </c>
      <c r="H23" s="130">
        <f>'1.1.sz.mell. '!C25</f>
        <v>47689834</v>
      </c>
      <c r="I23" s="298">
        <f>+I24+I25+I26+I27+I28</f>
        <v>82409566</v>
      </c>
      <c r="J23" s="130">
        <f>+J24+J25+J26+J27+J28</f>
        <v>0</v>
      </c>
      <c r="K23" s="130">
        <f>+K24+K25+K26+K27+K28</f>
        <v>0</v>
      </c>
    </row>
    <row r="24" spans="1:11" s="299" customFormat="1" ht="12" customHeight="1" x14ac:dyDescent="0.2">
      <c r="A24" s="13" t="s">
        <v>89</v>
      </c>
      <c r="B24" s="313" t="s">
        <v>206</v>
      </c>
      <c r="C24" s="716">
        <v>19753000</v>
      </c>
      <c r="D24" s="713">
        <v>370138900</v>
      </c>
      <c r="E24" s="729"/>
      <c r="F24" s="730"/>
      <c r="G24" s="730"/>
      <c r="H24" s="510">
        <f>'1.1.sz.mell. '!C26</f>
        <v>0</v>
      </c>
      <c r="I24" s="302"/>
      <c r="J24" s="666"/>
      <c r="K24" s="666"/>
    </row>
    <row r="25" spans="1:11" s="299" customFormat="1" ht="12" customHeight="1" x14ac:dyDescent="0.2">
      <c r="A25" s="12" t="s">
        <v>90</v>
      </c>
      <c r="B25" s="314" t="s">
        <v>207</v>
      </c>
      <c r="C25" s="716"/>
      <c r="D25" s="731"/>
      <c r="E25" s="718"/>
      <c r="F25" s="719"/>
      <c r="G25" s="719"/>
      <c r="H25" s="513">
        <f>'1.1.sz.mell. '!C27</f>
        <v>0</v>
      </c>
      <c r="I25" s="282"/>
      <c r="J25" s="134"/>
      <c r="K25" s="134"/>
    </row>
    <row r="26" spans="1:11" s="299" customFormat="1" ht="12" customHeight="1" x14ac:dyDescent="0.2">
      <c r="A26" s="12" t="s">
        <v>91</v>
      </c>
      <c r="B26" s="314" t="s">
        <v>372</v>
      </c>
      <c r="C26" s="716"/>
      <c r="D26" s="717"/>
      <c r="E26" s="718"/>
      <c r="F26" s="719"/>
      <c r="G26" s="719"/>
      <c r="H26" s="322">
        <f>'1.1.sz.mell. '!C28</f>
        <v>0</v>
      </c>
      <c r="I26" s="282"/>
      <c r="J26" s="134"/>
      <c r="K26" s="134"/>
    </row>
    <row r="27" spans="1:11" s="299" customFormat="1" ht="12" customHeight="1" x14ac:dyDescent="0.2">
      <c r="A27" s="12" t="s">
        <v>92</v>
      </c>
      <c r="B27" s="314" t="s">
        <v>373</v>
      </c>
      <c r="C27" s="716"/>
      <c r="D27" s="717"/>
      <c r="E27" s="718"/>
      <c r="F27" s="719"/>
      <c r="G27" s="719"/>
      <c r="H27" s="322">
        <f>'1.1.sz.mell. '!C29</f>
        <v>0</v>
      </c>
      <c r="I27" s="282"/>
      <c r="J27" s="134"/>
      <c r="K27" s="134"/>
    </row>
    <row r="28" spans="1:11" s="299" customFormat="1" ht="12" customHeight="1" x14ac:dyDescent="0.2">
      <c r="A28" s="12" t="s">
        <v>137</v>
      </c>
      <c r="B28" s="314" t="s">
        <v>208</v>
      </c>
      <c r="C28" s="716">
        <v>7443638</v>
      </c>
      <c r="D28" s="717">
        <v>656538089</v>
      </c>
      <c r="E28" s="718">
        <f>3797300-15179276</f>
        <v>-11381976</v>
      </c>
      <c r="F28" s="719"/>
      <c r="G28" s="719"/>
      <c r="H28" s="322">
        <f>'1.1.sz.mell. '!C30</f>
        <v>47689834</v>
      </c>
      <c r="I28" s="282">
        <f>5596040+25377271+3487179+47949076</f>
        <v>82409566</v>
      </c>
      <c r="J28" s="134"/>
      <c r="K28" s="134"/>
    </row>
    <row r="29" spans="1:11" s="299" customFormat="1" ht="12" customHeight="1" thickBot="1" x14ac:dyDescent="0.25">
      <c r="A29" s="14" t="s">
        <v>138</v>
      </c>
      <c r="B29" s="315" t="s">
        <v>209</v>
      </c>
      <c r="C29" s="720">
        <v>3104638</v>
      </c>
      <c r="D29" s="721">
        <v>647953089</v>
      </c>
      <c r="E29" s="727">
        <v>3797300</v>
      </c>
      <c r="F29" s="728"/>
      <c r="G29" s="728"/>
      <c r="H29" s="511">
        <f>'1.1.sz.mell. '!C31</f>
        <v>38069834</v>
      </c>
      <c r="I29" s="286">
        <f>5596040+25377271+3487179+47949076</f>
        <v>82409566</v>
      </c>
      <c r="J29" s="196"/>
      <c r="K29" s="196"/>
    </row>
    <row r="30" spans="1:11" s="299" customFormat="1" ht="12" customHeight="1" thickBot="1" x14ac:dyDescent="0.25">
      <c r="A30" s="18" t="s">
        <v>139</v>
      </c>
      <c r="B30" s="489" t="s">
        <v>210</v>
      </c>
      <c r="C30" s="724">
        <f>C31+C34+C35+C36+C37</f>
        <v>401728642</v>
      </c>
      <c r="D30" s="724">
        <f>D31+D34+D35+D36+D37</f>
        <v>470233739</v>
      </c>
      <c r="E30" s="732">
        <f>+E31+E35+E36+E37</f>
        <v>329390000</v>
      </c>
      <c r="F30" s="733">
        <f>+F31+F35+F36+F37</f>
        <v>0</v>
      </c>
      <c r="G30" s="733">
        <f>+G31+G35+G36+G37</f>
        <v>0</v>
      </c>
      <c r="H30" s="130">
        <f>'1.1.sz.mell. '!C32</f>
        <v>538000000</v>
      </c>
      <c r="I30" s="301">
        <f>+I31+I35+I36+I37</f>
        <v>481500000</v>
      </c>
      <c r="J30" s="135">
        <f>+J31+J35+J36+J37</f>
        <v>0</v>
      </c>
      <c r="K30" s="135">
        <f>+K31+K35+K36+K37</f>
        <v>0</v>
      </c>
    </row>
    <row r="31" spans="1:11" s="299" customFormat="1" ht="12" customHeight="1" x14ac:dyDescent="0.2">
      <c r="A31" s="13" t="s">
        <v>211</v>
      </c>
      <c r="B31" s="313" t="s">
        <v>656</v>
      </c>
      <c r="C31" s="716">
        <f>SUM(C32:C33)</f>
        <v>361268804</v>
      </c>
      <c r="D31" s="716">
        <f>SUM(D32:D33)</f>
        <v>424778074</v>
      </c>
      <c r="E31" s="734">
        <f>SUM(E32:E34)</f>
        <v>292830000</v>
      </c>
      <c r="F31" s="735"/>
      <c r="G31" s="735"/>
      <c r="H31" s="510">
        <f>'1.1.sz.mell. '!C33</f>
        <v>486000000</v>
      </c>
      <c r="I31" s="316">
        <f>SUM(I32:I33)</f>
        <v>430000000</v>
      </c>
      <c r="J31" s="316">
        <f t="shared" ref="J31:K31" si="0">SUM(J32:J33)</f>
        <v>0</v>
      </c>
      <c r="K31" s="316">
        <f t="shared" si="0"/>
        <v>0</v>
      </c>
    </row>
    <row r="32" spans="1:11" s="299" customFormat="1" ht="12" customHeight="1" x14ac:dyDescent="0.2">
      <c r="A32" s="12" t="s">
        <v>212</v>
      </c>
      <c r="B32" s="314" t="s">
        <v>217</v>
      </c>
      <c r="C32" s="716">
        <f>76659666</f>
        <v>76659666</v>
      </c>
      <c r="D32" s="717">
        <v>81767339</v>
      </c>
      <c r="E32" s="722">
        <f>8990000+70000000</f>
        <v>78990000</v>
      </c>
      <c r="F32" s="723"/>
      <c r="G32" s="723"/>
      <c r="H32" s="322">
        <f>'1.1.sz.mell. '!C34</f>
        <v>86000000</v>
      </c>
      <c r="I32" s="119">
        <f>80000000+9000000</f>
        <v>89000000</v>
      </c>
      <c r="J32" s="131"/>
      <c r="K32" s="131"/>
    </row>
    <row r="33" spans="1:11" s="299" customFormat="1" ht="12" customHeight="1" x14ac:dyDescent="0.2">
      <c r="A33" s="12" t="s">
        <v>213</v>
      </c>
      <c r="B33" s="789" t="s">
        <v>655</v>
      </c>
      <c r="C33" s="716">
        <f>284609138</f>
        <v>284609138</v>
      </c>
      <c r="D33" s="717">
        <v>343010735</v>
      </c>
      <c r="E33" s="722">
        <f>203840000+10000000</f>
        <v>213840000</v>
      </c>
      <c r="F33" s="723"/>
      <c r="G33" s="723"/>
      <c r="H33" s="321">
        <f>'1.1.sz.mell. '!C35</f>
        <v>400000000</v>
      </c>
      <c r="I33" s="119">
        <f>341000000</f>
        <v>341000000</v>
      </c>
      <c r="J33" s="131"/>
      <c r="K33" s="131"/>
    </row>
    <row r="34" spans="1:11" s="299" customFormat="1" ht="12" customHeight="1" x14ac:dyDescent="0.2">
      <c r="A34" s="12" t="s">
        <v>214</v>
      </c>
      <c r="B34" s="314" t="s">
        <v>538</v>
      </c>
      <c r="C34" s="716">
        <f>67510</f>
        <v>67510</v>
      </c>
      <c r="D34" s="717">
        <v>39072</v>
      </c>
      <c r="E34" s="718"/>
      <c r="F34" s="719"/>
      <c r="G34" s="719"/>
      <c r="H34" s="321">
        <f>'1.1.sz.mell. '!C36</f>
        <v>0</v>
      </c>
      <c r="I34" s="282"/>
      <c r="J34" s="134"/>
      <c r="K34" s="134"/>
    </row>
    <row r="35" spans="1:11" s="299" customFormat="1" ht="12" customHeight="1" x14ac:dyDescent="0.2">
      <c r="A35" s="12" t="s">
        <v>539</v>
      </c>
      <c r="B35" s="314" t="s">
        <v>218</v>
      </c>
      <c r="C35" s="716">
        <v>30048092</v>
      </c>
      <c r="D35" s="717">
        <v>31727403</v>
      </c>
      <c r="E35" s="722">
        <f>27000000</f>
        <v>27000000</v>
      </c>
      <c r="F35" s="723"/>
      <c r="G35" s="723"/>
      <c r="H35" s="321">
        <f>'1.1.sz.mell. '!C37</f>
        <v>35000000</v>
      </c>
      <c r="I35" s="119">
        <f>35000000</f>
        <v>35000000</v>
      </c>
      <c r="J35" s="131"/>
      <c r="K35" s="131"/>
    </row>
    <row r="36" spans="1:11" s="299" customFormat="1" ht="12" customHeight="1" x14ac:dyDescent="0.2">
      <c r="A36" s="12" t="s">
        <v>216</v>
      </c>
      <c r="B36" s="314" t="s">
        <v>219</v>
      </c>
      <c r="C36" s="716"/>
      <c r="D36" s="717">
        <v>158400</v>
      </c>
      <c r="E36" s="722">
        <v>4060000</v>
      </c>
      <c r="F36" s="723"/>
      <c r="G36" s="723"/>
      <c r="H36" s="321">
        <f>'1.1.sz.mell. '!C38</f>
        <v>1000000</v>
      </c>
      <c r="I36" s="119"/>
      <c r="J36" s="131"/>
      <c r="K36" s="131"/>
    </row>
    <row r="37" spans="1:11" s="299" customFormat="1" ht="12" customHeight="1" thickBot="1" x14ac:dyDescent="0.25">
      <c r="A37" s="14" t="s">
        <v>540</v>
      </c>
      <c r="B37" s="315" t="s">
        <v>220</v>
      </c>
      <c r="C37" s="720">
        <v>10344236</v>
      </c>
      <c r="D37" s="721">
        <v>13530790</v>
      </c>
      <c r="E37" s="727">
        <v>5500000</v>
      </c>
      <c r="F37" s="728"/>
      <c r="G37" s="728"/>
      <c r="H37" s="511">
        <f>'1.1.sz.mell. '!C39</f>
        <v>16000000</v>
      </c>
      <c r="I37" s="286">
        <f>6000000+4000000+2500000+500000+3500000</f>
        <v>16500000</v>
      </c>
      <c r="J37" s="196"/>
      <c r="K37" s="196"/>
    </row>
    <row r="38" spans="1:11" s="299" customFormat="1" ht="12" customHeight="1" thickBot="1" x14ac:dyDescent="0.25">
      <c r="A38" s="18" t="s">
        <v>25</v>
      </c>
      <c r="B38" s="489" t="s">
        <v>452</v>
      </c>
      <c r="C38" s="724">
        <f>SUM(C39:C49)</f>
        <v>393429144</v>
      </c>
      <c r="D38" s="724">
        <f>SUM(D39:D49)</f>
        <v>314593205</v>
      </c>
      <c r="E38" s="711">
        <f>SUM(E39:E49)</f>
        <v>54395907</v>
      </c>
      <c r="F38" s="710">
        <f>SUM(F39:F49)</f>
        <v>9416500</v>
      </c>
      <c r="G38" s="710">
        <f>SUM(G39:G49)</f>
        <v>385266178</v>
      </c>
      <c r="H38" s="130">
        <f>'1.1.sz.mell. '!C40</f>
        <v>345277930</v>
      </c>
      <c r="I38" s="298">
        <f>SUM(I39:I49)</f>
        <v>64295778</v>
      </c>
      <c r="J38" s="130">
        <f>SUM(J39:J49)</f>
        <v>8150828</v>
      </c>
      <c r="K38" s="130">
        <f>SUM(K39:K49)</f>
        <v>266151972</v>
      </c>
    </row>
    <row r="39" spans="1:11" s="299" customFormat="1" ht="12" customHeight="1" x14ac:dyDescent="0.2">
      <c r="A39" s="13" t="s">
        <v>93</v>
      </c>
      <c r="B39" s="313" t="s">
        <v>223</v>
      </c>
      <c r="C39" s="716">
        <v>13719843</v>
      </c>
      <c r="D39" s="713">
        <v>8179095</v>
      </c>
      <c r="E39" s="714">
        <f>3937000+4000000+5000000-2941522</f>
        <v>9995478</v>
      </c>
      <c r="F39" s="715"/>
      <c r="G39" s="715">
        <v>150000</v>
      </c>
      <c r="H39" s="510">
        <f>'1.1.sz.mell. '!C41</f>
        <v>8195576</v>
      </c>
      <c r="I39" s="302">
        <f>7385026+10000+10375680</f>
        <v>17770706</v>
      </c>
      <c r="J39" s="245"/>
      <c r="K39" s="245">
        <v>20000</v>
      </c>
    </row>
    <row r="40" spans="1:11" s="299" customFormat="1" ht="12" customHeight="1" x14ac:dyDescent="0.2">
      <c r="A40" s="12" t="s">
        <v>94</v>
      </c>
      <c r="B40" s="314" t="s">
        <v>224</v>
      </c>
      <c r="C40" s="716">
        <v>75708415</v>
      </c>
      <c r="D40" s="717">
        <v>77258808</v>
      </c>
      <c r="E40" s="718">
        <f>100000+12004000+160000+7128864</f>
        <v>19392864</v>
      </c>
      <c r="F40" s="719">
        <v>7533500</v>
      </c>
      <c r="G40" s="715">
        <v>68193838</v>
      </c>
      <c r="H40" s="322">
        <f>'1.1.sz.mell. '!C42</f>
        <v>76669769</v>
      </c>
      <c r="I40" s="282">
        <f>15901900+787402+500000</f>
        <v>17189302</v>
      </c>
      <c r="J40" s="134">
        <f>4000000+1241400+372638</f>
        <v>5614038</v>
      </c>
      <c r="K40" s="245">
        <f>32107480+8820000+616000+13688512</f>
        <v>55231992</v>
      </c>
    </row>
    <row r="41" spans="1:11" s="299" customFormat="1" ht="12" customHeight="1" x14ac:dyDescent="0.2">
      <c r="A41" s="12" t="s">
        <v>95</v>
      </c>
      <c r="B41" s="314" t="s">
        <v>225</v>
      </c>
      <c r="C41" s="716">
        <v>70681986</v>
      </c>
      <c r="D41" s="717">
        <v>17781177</v>
      </c>
      <c r="E41" s="718">
        <f>8458000+947000</f>
        <v>9405000</v>
      </c>
      <c r="F41" s="719">
        <v>500000</v>
      </c>
      <c r="G41" s="715">
        <v>85718340</v>
      </c>
      <c r="H41" s="322">
        <f>'1.1.sz.mell. '!C43</f>
        <v>27920669</v>
      </c>
      <c r="I41" s="282">
        <f>20000+6000000+700000+1000000+1109692</f>
        <v>8829692</v>
      </c>
      <c r="J41" s="134">
        <f>300000</f>
        <v>300000</v>
      </c>
      <c r="K41" s="245">
        <f>1586000+50000+4200000+12700000</f>
        <v>18536000</v>
      </c>
    </row>
    <row r="42" spans="1:11" s="299" customFormat="1" ht="12" customHeight="1" x14ac:dyDescent="0.2">
      <c r="A42" s="12" t="s">
        <v>141</v>
      </c>
      <c r="B42" s="314" t="s">
        <v>226</v>
      </c>
      <c r="C42" s="716">
        <v>671293</v>
      </c>
      <c r="D42" s="717">
        <v>965935</v>
      </c>
      <c r="E42" s="718">
        <f>430000</f>
        <v>430000</v>
      </c>
      <c r="F42" s="719"/>
      <c r="G42" s="715"/>
      <c r="H42" s="322">
        <f>'1.1.sz.mell. '!C44</f>
        <v>1006560</v>
      </c>
      <c r="I42" s="282">
        <f>440000+300000</f>
        <v>740000</v>
      </c>
      <c r="J42" s="134"/>
      <c r="K42" s="245"/>
    </row>
    <row r="43" spans="1:11" s="299" customFormat="1" ht="12" customHeight="1" x14ac:dyDescent="0.2">
      <c r="A43" s="12" t="s">
        <v>142</v>
      </c>
      <c r="B43" s="314" t="s">
        <v>227</v>
      </c>
      <c r="C43" s="716">
        <v>168360806</v>
      </c>
      <c r="D43" s="717">
        <v>175322036</v>
      </c>
      <c r="E43" s="718"/>
      <c r="F43" s="719"/>
      <c r="G43" s="715">
        <f>182811402-4572000</f>
        <v>178239402</v>
      </c>
      <c r="H43" s="322">
        <f>'1.1.sz.mell. '!C45</f>
        <v>196813506</v>
      </c>
      <c r="I43" s="282"/>
      <c r="J43" s="134"/>
      <c r="K43" s="245">
        <f>17535396+708995+862330+152500000</f>
        <v>171606721</v>
      </c>
    </row>
    <row r="44" spans="1:11" s="299" customFormat="1" ht="12" customHeight="1" x14ac:dyDescent="0.2">
      <c r="A44" s="12" t="s">
        <v>143</v>
      </c>
      <c r="B44" s="314" t="s">
        <v>228</v>
      </c>
      <c r="C44" s="716">
        <v>34776685</v>
      </c>
      <c r="D44" s="717">
        <v>21427421</v>
      </c>
      <c r="E44" s="718">
        <f>1063000+3242000+5853000+44000+378000+600000+1350000+1408565</f>
        <v>13938565</v>
      </c>
      <c r="F44" s="719">
        <v>1283000</v>
      </c>
      <c r="G44" s="715">
        <v>31920598</v>
      </c>
      <c r="H44" s="322">
        <f>'1.1.sz.mell. '!C46</f>
        <v>23568249</v>
      </c>
      <c r="I44" s="282">
        <f>5400+1993957+12052638+212598+189000+2801434+333450+135000</f>
        <v>17723477</v>
      </c>
      <c r="J44" s="134">
        <f>1161000+335178+100612</f>
        <v>1596790</v>
      </c>
      <c r="K44" s="245">
        <f>4914377+191429+869400+1533149+4814904</f>
        <v>12323259</v>
      </c>
    </row>
    <row r="45" spans="1:11" s="299" customFormat="1" ht="12" customHeight="1" x14ac:dyDescent="0.2">
      <c r="A45" s="12" t="s">
        <v>144</v>
      </c>
      <c r="B45" s="314" t="s">
        <v>229</v>
      </c>
      <c r="C45" s="716">
        <v>17251000</v>
      </c>
      <c r="D45" s="717">
        <v>7222000</v>
      </c>
      <c r="E45" s="718"/>
      <c r="F45" s="719"/>
      <c r="G45" s="715">
        <v>21034000</v>
      </c>
      <c r="H45" s="322">
        <f>'1.1.sz.mell. '!C47</f>
        <v>8775000</v>
      </c>
      <c r="I45" s="282"/>
      <c r="J45" s="134"/>
      <c r="K45" s="245">
        <f>7614000+650000+169000</f>
        <v>8433000</v>
      </c>
    </row>
    <row r="46" spans="1:11" s="299" customFormat="1" ht="12" customHeight="1" x14ac:dyDescent="0.2">
      <c r="A46" s="12" t="s">
        <v>145</v>
      </c>
      <c r="B46" s="314" t="s">
        <v>554</v>
      </c>
      <c r="C46" s="716">
        <v>603</v>
      </c>
      <c r="D46" s="717">
        <v>167</v>
      </c>
      <c r="E46" s="718">
        <v>30000</v>
      </c>
      <c r="F46" s="719"/>
      <c r="G46" s="715">
        <v>10000</v>
      </c>
      <c r="H46" s="322">
        <f>'1.1.sz.mell. '!C48</f>
        <v>0</v>
      </c>
      <c r="I46" s="282"/>
      <c r="J46" s="134"/>
      <c r="K46" s="245"/>
    </row>
    <row r="47" spans="1:11" s="299" customFormat="1" ht="12" customHeight="1" x14ac:dyDescent="0.2">
      <c r="A47" s="12" t="s">
        <v>221</v>
      </c>
      <c r="B47" s="314" t="s">
        <v>231</v>
      </c>
      <c r="C47" s="716"/>
      <c r="D47" s="717"/>
      <c r="E47" s="718"/>
      <c r="F47" s="719"/>
      <c r="G47" s="715"/>
      <c r="H47" s="322">
        <f>'1.1.sz.mell. '!C49</f>
        <v>0</v>
      </c>
      <c r="I47" s="282"/>
      <c r="J47" s="134"/>
      <c r="K47" s="245"/>
    </row>
    <row r="48" spans="1:11" s="299" customFormat="1" ht="12" customHeight="1" x14ac:dyDescent="0.2">
      <c r="A48" s="14" t="s">
        <v>222</v>
      </c>
      <c r="B48" s="315" t="s">
        <v>453</v>
      </c>
      <c r="C48" s="716">
        <v>194740</v>
      </c>
      <c r="D48" s="717">
        <v>1209667</v>
      </c>
      <c r="E48" s="727">
        <f>500000</f>
        <v>500000</v>
      </c>
      <c r="F48" s="728"/>
      <c r="G48" s="715"/>
      <c r="H48" s="322">
        <f>'1.1.sz.mell. '!C50</f>
        <v>1000000</v>
      </c>
      <c r="I48" s="286">
        <f>500000</f>
        <v>500000</v>
      </c>
      <c r="J48" s="196"/>
      <c r="K48" s="245"/>
    </row>
    <row r="49" spans="1:11" s="299" customFormat="1" ht="12" customHeight="1" thickBot="1" x14ac:dyDescent="0.25">
      <c r="A49" s="14" t="s">
        <v>454</v>
      </c>
      <c r="B49" s="491" t="s">
        <v>232</v>
      </c>
      <c r="C49" s="720">
        <v>12063773</v>
      </c>
      <c r="D49" s="721">
        <v>5226899</v>
      </c>
      <c r="E49" s="727">
        <f>704000</f>
        <v>704000</v>
      </c>
      <c r="F49" s="728">
        <v>100000</v>
      </c>
      <c r="G49" s="715"/>
      <c r="H49" s="511">
        <f>'1.1.sz.mell. '!C51</f>
        <v>1328601</v>
      </c>
      <c r="I49" s="286">
        <f>507601+335000+700000</f>
        <v>1542601</v>
      </c>
      <c r="J49" s="196">
        <f>640000</f>
        <v>640000</v>
      </c>
      <c r="K49" s="245">
        <v>1000</v>
      </c>
    </row>
    <row r="50" spans="1:11" s="299" customFormat="1" ht="12" customHeight="1" thickBot="1" x14ac:dyDescent="0.25">
      <c r="A50" s="18" t="s">
        <v>26</v>
      </c>
      <c r="B50" s="489" t="s">
        <v>233</v>
      </c>
      <c r="C50" s="724">
        <f>SUM(C51:C55)</f>
        <v>9600404</v>
      </c>
      <c r="D50" s="724">
        <f>SUM(D51:D55)</f>
        <v>5525134</v>
      </c>
      <c r="E50" s="711">
        <f>SUM(E51:E55)</f>
        <v>25179000</v>
      </c>
      <c r="F50" s="710">
        <f>SUM(F51:F55)</f>
        <v>0</v>
      </c>
      <c r="G50" s="710">
        <f>SUM(G51:G55)</f>
        <v>0</v>
      </c>
      <c r="H50" s="130">
        <f>'1.1.sz.mell. '!C52</f>
        <v>44604508</v>
      </c>
      <c r="I50" s="298">
        <f>SUM(I51:I55)</f>
        <v>21787500</v>
      </c>
      <c r="J50" s="130">
        <f>SUM(J51:J55)</f>
        <v>300000</v>
      </c>
      <c r="K50" s="130">
        <f>SUM(K51:K55)</f>
        <v>0</v>
      </c>
    </row>
    <row r="51" spans="1:11" s="299" customFormat="1" ht="12" customHeight="1" x14ac:dyDescent="0.2">
      <c r="A51" s="13" t="s">
        <v>96</v>
      </c>
      <c r="B51" s="313" t="s">
        <v>237</v>
      </c>
      <c r="C51" s="716"/>
      <c r="D51" s="736"/>
      <c r="E51" s="714"/>
      <c r="F51" s="715"/>
      <c r="G51" s="715"/>
      <c r="H51" s="512">
        <f>'1.1.sz.mell. '!C53</f>
        <v>0</v>
      </c>
      <c r="I51" s="302"/>
      <c r="J51" s="245"/>
      <c r="K51" s="245"/>
    </row>
    <row r="52" spans="1:11" s="299" customFormat="1" ht="12" customHeight="1" x14ac:dyDescent="0.2">
      <c r="A52" s="12" t="s">
        <v>97</v>
      </c>
      <c r="B52" s="314" t="s">
        <v>238</v>
      </c>
      <c r="C52" s="716">
        <v>9581550</v>
      </c>
      <c r="D52" s="717">
        <v>5202984</v>
      </c>
      <c r="E52" s="718">
        <f>25179000</f>
        <v>25179000</v>
      </c>
      <c r="F52" s="719"/>
      <c r="G52" s="719"/>
      <c r="H52" s="322">
        <f>'1.1.sz.mell. '!C54</f>
        <v>44304508</v>
      </c>
      <c r="I52" s="282">
        <f>21787500</f>
        <v>21787500</v>
      </c>
      <c r="J52" s="134"/>
      <c r="K52" s="134"/>
    </row>
    <row r="53" spans="1:11" s="299" customFormat="1" ht="12" customHeight="1" x14ac:dyDescent="0.2">
      <c r="A53" s="12" t="s">
        <v>234</v>
      </c>
      <c r="B53" s="314" t="s">
        <v>239</v>
      </c>
      <c r="C53" s="716">
        <v>18854</v>
      </c>
      <c r="D53" s="717">
        <v>177050</v>
      </c>
      <c r="E53" s="718"/>
      <c r="F53" s="719"/>
      <c r="G53" s="719"/>
      <c r="H53" s="322">
        <f>'1.1.sz.mell. '!C55</f>
        <v>300000</v>
      </c>
      <c r="I53" s="282"/>
      <c r="J53" s="134">
        <f>300000</f>
        <v>300000</v>
      </c>
      <c r="K53" s="134"/>
    </row>
    <row r="54" spans="1:11" s="299" customFormat="1" ht="12" customHeight="1" x14ac:dyDescent="0.2">
      <c r="A54" s="12" t="s">
        <v>235</v>
      </c>
      <c r="B54" s="314" t="s">
        <v>240</v>
      </c>
      <c r="C54" s="716"/>
      <c r="D54" s="717"/>
      <c r="E54" s="718"/>
      <c r="F54" s="719"/>
      <c r="G54" s="719"/>
      <c r="H54" s="322">
        <f>'1.1.sz.mell. '!C56</f>
        <v>0</v>
      </c>
      <c r="I54" s="282"/>
      <c r="J54" s="134"/>
      <c r="K54" s="134"/>
    </row>
    <row r="55" spans="1:11" s="299" customFormat="1" ht="12" customHeight="1" thickBot="1" x14ac:dyDescent="0.25">
      <c r="A55" s="14" t="s">
        <v>236</v>
      </c>
      <c r="B55" s="491" t="s">
        <v>241</v>
      </c>
      <c r="C55" s="720"/>
      <c r="D55" s="721">
        <v>145100</v>
      </c>
      <c r="E55" s="727"/>
      <c r="F55" s="728"/>
      <c r="G55" s="728"/>
      <c r="H55" s="514">
        <f>'1.1.sz.mell. '!C57</f>
        <v>0</v>
      </c>
      <c r="I55" s="286"/>
      <c r="J55" s="196"/>
      <c r="K55" s="196"/>
    </row>
    <row r="56" spans="1:11" s="299" customFormat="1" ht="12" customHeight="1" thickBot="1" x14ac:dyDescent="0.25">
      <c r="A56" s="18" t="s">
        <v>146</v>
      </c>
      <c r="B56" s="489" t="s">
        <v>242</v>
      </c>
      <c r="C56" s="724">
        <f>SUM(C57:C59)</f>
        <v>4421313</v>
      </c>
      <c r="D56" s="724">
        <f>SUM(D57:D59)</f>
        <v>18124157</v>
      </c>
      <c r="E56" s="711">
        <f>SUM(E57:E59)</f>
        <v>6164433</v>
      </c>
      <c r="F56" s="710">
        <f>SUM(F57:F59)</f>
        <v>0</v>
      </c>
      <c r="G56" s="710">
        <f>SUM(G57:G59)</f>
        <v>0</v>
      </c>
      <c r="H56" s="312">
        <f>'1.1.sz.mell. '!C58</f>
        <v>2175000</v>
      </c>
      <c r="I56" s="298">
        <f>SUM(I57:I59)</f>
        <v>1430000</v>
      </c>
      <c r="J56" s="130">
        <f>SUM(J57:J59)</f>
        <v>0</v>
      </c>
      <c r="K56" s="130">
        <f>SUM(K57:K59)</f>
        <v>0</v>
      </c>
    </row>
    <row r="57" spans="1:11" s="299" customFormat="1" ht="12" customHeight="1" x14ac:dyDescent="0.2">
      <c r="A57" s="13" t="s">
        <v>98</v>
      </c>
      <c r="B57" s="313" t="s">
        <v>243</v>
      </c>
      <c r="C57" s="716"/>
      <c r="D57" s="739"/>
      <c r="E57" s="725"/>
      <c r="F57" s="726"/>
      <c r="G57" s="726"/>
      <c r="H57" s="515">
        <f>'1.1.sz.mell. '!C59</f>
        <v>0</v>
      </c>
      <c r="I57" s="300"/>
      <c r="J57" s="132"/>
      <c r="K57" s="132"/>
    </row>
    <row r="58" spans="1:11" s="299" customFormat="1" ht="12" customHeight="1" x14ac:dyDescent="0.2">
      <c r="A58" s="12" t="s">
        <v>99</v>
      </c>
      <c r="B58" s="314" t="s">
        <v>374</v>
      </c>
      <c r="C58" s="716">
        <v>2079965</v>
      </c>
      <c r="D58" s="717">
        <v>15332864</v>
      </c>
      <c r="E58" s="718">
        <f>383000+1566000</f>
        <v>1949000</v>
      </c>
      <c r="F58" s="719"/>
      <c r="G58" s="719"/>
      <c r="H58" s="322">
        <f>'1.1.sz.mell. '!C60</f>
        <v>600000</v>
      </c>
      <c r="I58" s="282">
        <f>480000</f>
        <v>480000</v>
      </c>
      <c r="J58" s="134"/>
      <c r="K58" s="134"/>
    </row>
    <row r="59" spans="1:11" s="299" customFormat="1" ht="12" customHeight="1" x14ac:dyDescent="0.2">
      <c r="A59" s="12" t="s">
        <v>246</v>
      </c>
      <c r="B59" s="314" t="s">
        <v>244</v>
      </c>
      <c r="C59" s="716">
        <v>2341348</v>
      </c>
      <c r="D59" s="717">
        <v>2791293</v>
      </c>
      <c r="E59" s="718">
        <f>4075000+140433</f>
        <v>4215433</v>
      </c>
      <c r="F59" s="719"/>
      <c r="G59" s="719"/>
      <c r="H59" s="322">
        <f>'1.1.sz.mell. '!C61</f>
        <v>1575000</v>
      </c>
      <c r="I59" s="282">
        <f>950000</f>
        <v>950000</v>
      </c>
      <c r="J59" s="134"/>
      <c r="K59" s="134"/>
    </row>
    <row r="60" spans="1:11" s="299" customFormat="1" ht="12" customHeight="1" thickBot="1" x14ac:dyDescent="0.25">
      <c r="A60" s="14" t="s">
        <v>247</v>
      </c>
      <c r="B60" s="491" t="s">
        <v>245</v>
      </c>
      <c r="C60" s="720"/>
      <c r="D60" s="721"/>
      <c r="E60" s="740"/>
      <c r="F60" s="741"/>
      <c r="G60" s="741"/>
      <c r="H60" s="511">
        <f>'1.1.sz.mell. '!C62</f>
        <v>0</v>
      </c>
      <c r="I60" s="120"/>
      <c r="J60" s="133"/>
      <c r="K60" s="133"/>
    </row>
    <row r="61" spans="1:11" s="299" customFormat="1" ht="12" customHeight="1" thickBot="1" x14ac:dyDescent="0.25">
      <c r="A61" s="18" t="s">
        <v>28</v>
      </c>
      <c r="B61" s="492" t="s">
        <v>248</v>
      </c>
      <c r="C61" s="724">
        <f>SUM(C62:C64)</f>
        <v>20000</v>
      </c>
      <c r="D61" s="724">
        <f>SUM(D62:D64)</f>
        <v>0</v>
      </c>
      <c r="E61" s="711">
        <f>SUM(E62:E64)</f>
        <v>0</v>
      </c>
      <c r="F61" s="710">
        <f>SUM(F62:F64)</f>
        <v>0</v>
      </c>
      <c r="G61" s="710">
        <f>SUM(G62:G64)</f>
        <v>0</v>
      </c>
      <c r="H61" s="130">
        <f>'1.1.sz.mell. '!C63</f>
        <v>0</v>
      </c>
      <c r="I61" s="298">
        <f>SUM(I62:I64)</f>
        <v>0</v>
      </c>
      <c r="J61" s="130">
        <f>SUM(J62:J64)</f>
        <v>0</v>
      </c>
      <c r="K61" s="130">
        <f>SUM(K62:K64)</f>
        <v>0</v>
      </c>
    </row>
    <row r="62" spans="1:11" s="299" customFormat="1" ht="12" customHeight="1" x14ac:dyDescent="0.2">
      <c r="A62" s="13" t="s">
        <v>147</v>
      </c>
      <c r="B62" s="313" t="s">
        <v>250</v>
      </c>
      <c r="C62" s="716"/>
      <c r="D62" s="736"/>
      <c r="E62" s="718"/>
      <c r="F62" s="719"/>
      <c r="G62" s="719"/>
      <c r="H62" s="512">
        <f>'1.1.sz.mell. '!C64</f>
        <v>0</v>
      </c>
      <c r="I62" s="282"/>
      <c r="J62" s="134"/>
      <c r="K62" s="134"/>
    </row>
    <row r="63" spans="1:11" s="299" customFormat="1" ht="12" customHeight="1" x14ac:dyDescent="0.2">
      <c r="A63" s="12" t="s">
        <v>148</v>
      </c>
      <c r="B63" s="314" t="s">
        <v>375</v>
      </c>
      <c r="C63" s="716"/>
      <c r="D63" s="731"/>
      <c r="E63" s="718"/>
      <c r="F63" s="719"/>
      <c r="G63" s="719"/>
      <c r="H63" s="513">
        <f>'1.1.sz.mell. '!C65</f>
        <v>0</v>
      </c>
      <c r="I63" s="282"/>
      <c r="J63" s="134"/>
      <c r="K63" s="134"/>
    </row>
    <row r="64" spans="1:11" s="299" customFormat="1" ht="12" customHeight="1" x14ac:dyDescent="0.2">
      <c r="A64" s="12" t="s">
        <v>174</v>
      </c>
      <c r="B64" s="314" t="s">
        <v>251</v>
      </c>
      <c r="C64" s="716">
        <v>20000</v>
      </c>
      <c r="D64" s="731"/>
      <c r="E64" s="718"/>
      <c r="F64" s="719"/>
      <c r="G64" s="719"/>
      <c r="H64" s="513">
        <f>'1.1.sz.mell. '!C66</f>
        <v>0</v>
      </c>
      <c r="I64" s="282"/>
      <c r="J64" s="134"/>
      <c r="K64" s="134"/>
    </row>
    <row r="65" spans="1:11" s="299" customFormat="1" ht="12" customHeight="1" thickBot="1" x14ac:dyDescent="0.25">
      <c r="A65" s="14" t="s">
        <v>249</v>
      </c>
      <c r="B65" s="491" t="s">
        <v>252</v>
      </c>
      <c r="C65" s="720"/>
      <c r="D65" s="737"/>
      <c r="E65" s="718"/>
      <c r="F65" s="719"/>
      <c r="G65" s="719"/>
      <c r="H65" s="514">
        <f>'1.1.sz.mell. '!C67</f>
        <v>0</v>
      </c>
      <c r="I65" s="282"/>
      <c r="J65" s="134"/>
      <c r="K65" s="134"/>
    </row>
    <row r="66" spans="1:11" s="299" customFormat="1" ht="12" customHeight="1" thickBot="1" x14ac:dyDescent="0.25">
      <c r="A66" s="267" t="s">
        <v>455</v>
      </c>
      <c r="B66" s="489" t="s">
        <v>253</v>
      </c>
      <c r="C66" s="738">
        <f>C9+C16+C23+C30+C38+C50+C56+C61</f>
        <v>2222126225</v>
      </c>
      <c r="D66" s="738">
        <f>D9+D16+D23+D30+D38+D50+D56+D61</f>
        <v>3345215538</v>
      </c>
      <c r="E66" s="732">
        <f>+E9+E16+E23+E30+E38+E50+E56+E61</f>
        <v>1391439714</v>
      </c>
      <c r="F66" s="733">
        <f>+F9+F16+F23+F30+F38+F50+F56+F61</f>
        <v>9416500</v>
      </c>
      <c r="G66" s="733">
        <f>+G9+G16+G23+G30+G38+G50+G56+G61</f>
        <v>390751178</v>
      </c>
      <c r="H66" s="130">
        <f>'1.1.sz.mell. '!C68</f>
        <v>2743416592</v>
      </c>
      <c r="I66" s="301">
        <f>+I9+I16+I23+I30+I38+I50+I56+I61</f>
        <v>2315958967</v>
      </c>
      <c r="J66" s="135">
        <f>+J9+J16+J23+J30+J38+J50+J56+J61</f>
        <v>8450828</v>
      </c>
      <c r="K66" s="135">
        <f>+K9+K16+K23+K30+K38+K50+K56+K61</f>
        <v>288906915</v>
      </c>
    </row>
    <row r="67" spans="1:11" s="299" customFormat="1" ht="12" customHeight="1" thickBot="1" x14ac:dyDescent="0.25">
      <c r="A67" s="268" t="s">
        <v>254</v>
      </c>
      <c r="B67" s="492" t="s">
        <v>555</v>
      </c>
      <c r="C67" s="738">
        <f>SUM(C68:C70)</f>
        <v>63319557</v>
      </c>
      <c r="D67" s="738">
        <f>SUM(D68:D70)</f>
        <v>30020437</v>
      </c>
      <c r="E67" s="711">
        <f>SUM(E68:E70)</f>
        <v>144100000</v>
      </c>
      <c r="F67" s="710">
        <f>SUM(F68:F70)</f>
        <v>0</v>
      </c>
      <c r="G67" s="710">
        <f>SUM(G68:G70)</f>
        <v>0</v>
      </c>
      <c r="H67" s="130">
        <f>'1.1.sz.mell. '!C69</f>
        <v>742411899</v>
      </c>
      <c r="I67" s="298">
        <f>SUM(I68:I70)</f>
        <v>169269106</v>
      </c>
      <c r="J67" s="130">
        <f>SUM(J68:J70)</f>
        <v>0</v>
      </c>
      <c r="K67" s="130">
        <f>SUM(K68:K70)</f>
        <v>0</v>
      </c>
    </row>
    <row r="68" spans="1:11" s="299" customFormat="1" ht="12" customHeight="1" x14ac:dyDescent="0.2">
      <c r="A68" s="13" t="s">
        <v>286</v>
      </c>
      <c r="B68" s="313" t="s">
        <v>256</v>
      </c>
      <c r="C68" s="716">
        <v>63319557</v>
      </c>
      <c r="D68" s="713">
        <v>30020437</v>
      </c>
      <c r="E68" s="718">
        <v>44100000</v>
      </c>
      <c r="F68" s="719"/>
      <c r="G68" s="719"/>
      <c r="H68" s="510">
        <f>'1.1.sz.mell. '!C70</f>
        <v>42411899</v>
      </c>
      <c r="I68" s="282">
        <f>69269106</f>
        <v>69269106</v>
      </c>
      <c r="J68" s="134"/>
      <c r="K68" s="134"/>
    </row>
    <row r="69" spans="1:11" s="299" customFormat="1" ht="12" customHeight="1" x14ac:dyDescent="0.2">
      <c r="A69" s="12" t="s">
        <v>295</v>
      </c>
      <c r="B69" s="314" t="s">
        <v>257</v>
      </c>
      <c r="C69" s="716"/>
      <c r="D69" s="717"/>
      <c r="E69" s="718">
        <v>100000000</v>
      </c>
      <c r="F69" s="719"/>
      <c r="G69" s="719"/>
      <c r="H69" s="322">
        <f>'1.1.sz.mell. '!C71</f>
        <v>700000000</v>
      </c>
      <c r="I69" s="282">
        <v>100000000</v>
      </c>
      <c r="J69" s="134"/>
      <c r="K69" s="134"/>
    </row>
    <row r="70" spans="1:11" s="299" customFormat="1" ht="12" customHeight="1" thickBot="1" x14ac:dyDescent="0.25">
      <c r="A70" s="14" t="s">
        <v>296</v>
      </c>
      <c r="B70" s="493" t="s">
        <v>456</v>
      </c>
      <c r="C70" s="720"/>
      <c r="D70" s="737"/>
      <c r="E70" s="718"/>
      <c r="F70" s="719"/>
      <c r="G70" s="719"/>
      <c r="H70" s="514">
        <f>'1.1.sz.mell. '!C72</f>
        <v>0</v>
      </c>
      <c r="I70" s="282"/>
      <c r="J70" s="134"/>
      <c r="K70" s="134"/>
    </row>
    <row r="71" spans="1:11" s="299" customFormat="1" ht="12" customHeight="1" thickBot="1" x14ac:dyDescent="0.25">
      <c r="A71" s="268" t="s">
        <v>259</v>
      </c>
      <c r="B71" s="492" t="s">
        <v>260</v>
      </c>
      <c r="C71" s="781">
        <f>SUM(C72:C75)</f>
        <v>0</v>
      </c>
      <c r="D71" s="781">
        <f>SUM(D72:D75)</f>
        <v>0</v>
      </c>
      <c r="E71" s="711">
        <f>SUM(E72:E75)</f>
        <v>0</v>
      </c>
      <c r="F71" s="710">
        <f>SUM(F72:F75)</f>
        <v>0</v>
      </c>
      <c r="G71" s="710">
        <f>SUM(G72:G75)</f>
        <v>0</v>
      </c>
      <c r="H71" s="130">
        <f>'1.1.sz.mell. '!C73</f>
        <v>0</v>
      </c>
      <c r="I71" s="298">
        <f>SUM(I72:I75)</f>
        <v>0</v>
      </c>
      <c r="J71" s="130">
        <f>SUM(J72:J75)</f>
        <v>0</v>
      </c>
      <c r="K71" s="130">
        <f>SUM(K72:K75)</f>
        <v>0</v>
      </c>
    </row>
    <row r="72" spans="1:11" s="299" customFormat="1" ht="12" customHeight="1" x14ac:dyDescent="0.2">
      <c r="A72" s="13" t="s">
        <v>127</v>
      </c>
      <c r="B72" s="313" t="s">
        <v>261</v>
      </c>
      <c r="C72" s="716"/>
      <c r="D72" s="736"/>
      <c r="E72" s="718"/>
      <c r="F72" s="719"/>
      <c r="G72" s="719"/>
      <c r="H72" s="512">
        <f>'1.1.sz.mell. '!C74</f>
        <v>0</v>
      </c>
      <c r="I72" s="282"/>
      <c r="J72" s="134"/>
      <c r="K72" s="134"/>
    </row>
    <row r="73" spans="1:11" s="299" customFormat="1" ht="17.25" customHeight="1" x14ac:dyDescent="0.2">
      <c r="A73" s="12" t="s">
        <v>128</v>
      </c>
      <c r="B73" s="314" t="s">
        <v>262</v>
      </c>
      <c r="C73" s="716"/>
      <c r="D73" s="731"/>
      <c r="E73" s="718"/>
      <c r="F73" s="719"/>
      <c r="G73" s="719"/>
      <c r="H73" s="513">
        <f>'1.1.sz.mell. '!C75</f>
        <v>0</v>
      </c>
      <c r="I73" s="282"/>
      <c r="J73" s="134"/>
      <c r="K73" s="134"/>
    </row>
    <row r="74" spans="1:11" s="299" customFormat="1" ht="12" customHeight="1" x14ac:dyDescent="0.2">
      <c r="A74" s="12" t="s">
        <v>287</v>
      </c>
      <c r="B74" s="314" t="s">
        <v>263</v>
      </c>
      <c r="C74" s="716"/>
      <c r="D74" s="731"/>
      <c r="E74" s="718"/>
      <c r="F74" s="719"/>
      <c r="G74" s="719"/>
      <c r="H74" s="513">
        <f>'1.1.sz.mell. '!C76</f>
        <v>0</v>
      </c>
      <c r="I74" s="282"/>
      <c r="J74" s="134"/>
      <c r="K74" s="134"/>
    </row>
    <row r="75" spans="1:11" s="299" customFormat="1" ht="12" customHeight="1" thickBot="1" x14ac:dyDescent="0.25">
      <c r="A75" s="14" t="s">
        <v>288</v>
      </c>
      <c r="B75" s="491" t="s">
        <v>264</v>
      </c>
      <c r="C75" s="720"/>
      <c r="D75" s="737"/>
      <c r="E75" s="718"/>
      <c r="F75" s="719"/>
      <c r="G75" s="719"/>
      <c r="H75" s="514">
        <f>'1.1.sz.mell. '!C77</f>
        <v>0</v>
      </c>
      <c r="I75" s="282"/>
      <c r="J75" s="134"/>
      <c r="K75" s="134"/>
    </row>
    <row r="76" spans="1:11" s="299" customFormat="1" ht="12" customHeight="1" thickBot="1" x14ac:dyDescent="0.25">
      <c r="A76" s="268" t="s">
        <v>265</v>
      </c>
      <c r="B76" s="492" t="s">
        <v>266</v>
      </c>
      <c r="C76" s="738">
        <f>SUM(C77:C78)</f>
        <v>620677200</v>
      </c>
      <c r="D76" s="738">
        <f>SUM(D77:D78)</f>
        <v>367267935</v>
      </c>
      <c r="E76" s="711">
        <f>SUM(E77:E78)</f>
        <v>289331423</v>
      </c>
      <c r="F76" s="710">
        <f>SUM(F77:F78)</f>
        <v>447404</v>
      </c>
      <c r="G76" s="710">
        <f>SUM(G77:G78)</f>
        <v>3220588</v>
      </c>
      <c r="H76" s="130">
        <f>'1.1.sz.mell. '!C78</f>
        <v>967968475</v>
      </c>
      <c r="I76" s="298">
        <f>SUM(I77:I78)</f>
        <v>346583469</v>
      </c>
      <c r="J76" s="130">
        <f>SUM(J77:J78)</f>
        <v>829764</v>
      </c>
      <c r="K76" s="130">
        <f>SUM(K77:K78)</f>
        <v>17254367</v>
      </c>
    </row>
    <row r="77" spans="1:11" s="299" customFormat="1" ht="12" customHeight="1" x14ac:dyDescent="0.2">
      <c r="A77" s="13" t="s">
        <v>289</v>
      </c>
      <c r="B77" s="313" t="s">
        <v>267</v>
      </c>
      <c r="C77" s="716">
        <v>620677200</v>
      </c>
      <c r="D77" s="713">
        <v>367267935</v>
      </c>
      <c r="E77" s="718">
        <v>289331423</v>
      </c>
      <c r="F77" s="719">
        <v>447404</v>
      </c>
      <c r="G77" s="719">
        <v>3220588</v>
      </c>
      <c r="H77" s="510">
        <f>'1.1.sz.mell. '!C79</f>
        <v>967968475</v>
      </c>
      <c r="I77" s="282">
        <f>346583469</f>
        <v>346583469</v>
      </c>
      <c r="J77" s="134">
        <f>829764</f>
        <v>829764</v>
      </c>
      <c r="K77" s="134">
        <f>1550858+372804+435258+1054835+13840612</f>
        <v>17254367</v>
      </c>
    </row>
    <row r="78" spans="1:11" s="299" customFormat="1" ht="12" customHeight="1" thickBot="1" x14ac:dyDescent="0.25">
      <c r="A78" s="14" t="s">
        <v>290</v>
      </c>
      <c r="B78" s="491" t="s">
        <v>268</v>
      </c>
      <c r="C78" s="720"/>
      <c r="D78" s="737"/>
      <c r="E78" s="718"/>
      <c r="F78" s="719"/>
      <c r="G78" s="719"/>
      <c r="H78" s="514">
        <f>'1.1.sz.mell. '!C80</f>
        <v>0</v>
      </c>
      <c r="I78" s="282"/>
      <c r="J78" s="134"/>
      <c r="K78" s="134"/>
    </row>
    <row r="79" spans="1:11" s="299" customFormat="1" ht="12" customHeight="1" thickBot="1" x14ac:dyDescent="0.25">
      <c r="A79" s="268" t="s">
        <v>269</v>
      </c>
      <c r="B79" s="492" t="s">
        <v>270</v>
      </c>
      <c r="C79" s="743">
        <f>SUM(C80:C82)</f>
        <v>41904332</v>
      </c>
      <c r="D79" s="743">
        <f>SUM(D80:D82)</f>
        <v>45672254</v>
      </c>
      <c r="E79" s="711">
        <f>SUM(E80:E82)</f>
        <v>0</v>
      </c>
      <c r="F79" s="710">
        <f>SUM(F80:F82)</f>
        <v>0</v>
      </c>
      <c r="G79" s="710">
        <f>SUM(G80:G82)</f>
        <v>0</v>
      </c>
      <c r="H79" s="130">
        <f>'1.1.sz.mell. '!C81</f>
        <v>0</v>
      </c>
      <c r="I79" s="298">
        <f>SUM(I80:I82)</f>
        <v>0</v>
      </c>
      <c r="J79" s="130">
        <f>SUM(J80:J82)</f>
        <v>0</v>
      </c>
      <c r="K79" s="130">
        <f>SUM(K80:K82)</f>
        <v>0</v>
      </c>
    </row>
    <row r="80" spans="1:11" s="299" customFormat="1" ht="12" customHeight="1" x14ac:dyDescent="0.2">
      <c r="A80" s="13" t="s">
        <v>291</v>
      </c>
      <c r="B80" s="313" t="s">
        <v>271</v>
      </c>
      <c r="C80" s="716">
        <v>41904332</v>
      </c>
      <c r="D80" s="713">
        <v>45672254</v>
      </c>
      <c r="E80" s="718"/>
      <c r="F80" s="719"/>
      <c r="G80" s="719"/>
      <c r="H80" s="512">
        <f>'1.1.sz.mell. '!C82</f>
        <v>0</v>
      </c>
      <c r="I80" s="282"/>
      <c r="J80" s="134"/>
      <c r="K80" s="134"/>
    </row>
    <row r="81" spans="1:11" s="299" customFormat="1" ht="12" customHeight="1" x14ac:dyDescent="0.2">
      <c r="A81" s="12" t="s">
        <v>292</v>
      </c>
      <c r="B81" s="314" t="s">
        <v>272</v>
      </c>
      <c r="C81" s="716"/>
      <c r="D81" s="731"/>
      <c r="E81" s="718"/>
      <c r="F81" s="719"/>
      <c r="G81" s="719"/>
      <c r="H81" s="513">
        <f>'1.1.sz.mell. '!C83</f>
        <v>0</v>
      </c>
      <c r="I81" s="282"/>
      <c r="J81" s="134"/>
      <c r="K81" s="134"/>
    </row>
    <row r="82" spans="1:11" s="299" customFormat="1" ht="12" customHeight="1" thickBot="1" x14ac:dyDescent="0.25">
      <c r="A82" s="14" t="s">
        <v>293</v>
      </c>
      <c r="B82" s="491" t="s">
        <v>273</v>
      </c>
      <c r="C82" s="720"/>
      <c r="D82" s="737"/>
      <c r="E82" s="718"/>
      <c r="F82" s="719"/>
      <c r="G82" s="719"/>
      <c r="H82" s="514">
        <f>'1.1.sz.mell. '!C84</f>
        <v>0</v>
      </c>
      <c r="I82" s="282"/>
      <c r="J82" s="134"/>
      <c r="K82" s="134"/>
    </row>
    <row r="83" spans="1:11" s="299" customFormat="1" ht="12" customHeight="1" thickBot="1" x14ac:dyDescent="0.25">
      <c r="A83" s="268" t="s">
        <v>274</v>
      </c>
      <c r="B83" s="492" t="s">
        <v>294</v>
      </c>
      <c r="C83" s="781">
        <f>SUM(C84:C87)</f>
        <v>0</v>
      </c>
      <c r="D83" s="781">
        <f>SUM(D84:D87)</f>
        <v>0</v>
      </c>
      <c r="E83" s="711">
        <f>SUM(E84:E87)</f>
        <v>0</v>
      </c>
      <c r="F83" s="710">
        <f>SUM(F84:F87)</f>
        <v>0</v>
      </c>
      <c r="G83" s="710">
        <f>SUM(G84:G87)</f>
        <v>0</v>
      </c>
      <c r="H83" s="130">
        <f>'1.1.sz.mell. '!C85</f>
        <v>0</v>
      </c>
      <c r="I83" s="298">
        <f>SUM(I84:I87)</f>
        <v>0</v>
      </c>
      <c r="J83" s="130">
        <f>SUM(J84:J87)</f>
        <v>0</v>
      </c>
      <c r="K83" s="130">
        <f>SUM(K84:K87)</f>
        <v>0</v>
      </c>
    </row>
    <row r="84" spans="1:11" s="299" customFormat="1" ht="12" customHeight="1" x14ac:dyDescent="0.2">
      <c r="A84" s="211" t="s">
        <v>275</v>
      </c>
      <c r="B84" s="313" t="s">
        <v>276</v>
      </c>
      <c r="C84" s="716"/>
      <c r="D84" s="736"/>
      <c r="E84" s="718"/>
      <c r="F84" s="719"/>
      <c r="G84" s="719"/>
      <c r="H84" s="512">
        <f>'1.1.sz.mell. '!C86</f>
        <v>0</v>
      </c>
      <c r="I84" s="282"/>
      <c r="J84" s="134"/>
      <c r="K84" s="134"/>
    </row>
    <row r="85" spans="1:11" s="299" customFormat="1" ht="12" customHeight="1" x14ac:dyDescent="0.2">
      <c r="A85" s="212" t="s">
        <v>277</v>
      </c>
      <c r="B85" s="314" t="s">
        <v>278</v>
      </c>
      <c r="C85" s="716"/>
      <c r="D85" s="731"/>
      <c r="E85" s="718"/>
      <c r="F85" s="719"/>
      <c r="G85" s="719"/>
      <c r="H85" s="513">
        <f>'1.1.sz.mell. '!C87</f>
        <v>0</v>
      </c>
      <c r="I85" s="282"/>
      <c r="J85" s="134"/>
      <c r="K85" s="134"/>
    </row>
    <row r="86" spans="1:11" s="299" customFormat="1" ht="12" customHeight="1" x14ac:dyDescent="0.2">
      <c r="A86" s="212" t="s">
        <v>279</v>
      </c>
      <c r="B86" s="314" t="s">
        <v>280</v>
      </c>
      <c r="C86" s="716"/>
      <c r="D86" s="731"/>
      <c r="E86" s="718"/>
      <c r="F86" s="719"/>
      <c r="G86" s="719"/>
      <c r="H86" s="513">
        <f>'1.1.sz.mell. '!C88</f>
        <v>0</v>
      </c>
      <c r="I86" s="282"/>
      <c r="J86" s="134"/>
      <c r="K86" s="134"/>
    </row>
    <row r="87" spans="1:11" s="299" customFormat="1" ht="12" customHeight="1" thickBot="1" x14ac:dyDescent="0.25">
      <c r="A87" s="213" t="s">
        <v>281</v>
      </c>
      <c r="B87" s="491" t="s">
        <v>282</v>
      </c>
      <c r="C87" s="720"/>
      <c r="D87" s="737"/>
      <c r="E87" s="718"/>
      <c r="F87" s="719"/>
      <c r="G87" s="719"/>
      <c r="H87" s="514">
        <f>'1.1.sz.mell. '!C89</f>
        <v>0</v>
      </c>
      <c r="I87" s="282"/>
      <c r="J87" s="134"/>
      <c r="K87" s="134"/>
    </row>
    <row r="88" spans="1:11" s="299" customFormat="1" ht="12" customHeight="1" thickBot="1" x14ac:dyDescent="0.25">
      <c r="A88" s="268" t="s">
        <v>283</v>
      </c>
      <c r="B88" s="492" t="s">
        <v>457</v>
      </c>
      <c r="C88" s="744"/>
      <c r="D88" s="710"/>
      <c r="E88" s="745"/>
      <c r="F88" s="746"/>
      <c r="G88" s="746"/>
      <c r="H88" s="130">
        <f>'1.1.sz.mell. '!C90</f>
        <v>0</v>
      </c>
      <c r="I88" s="303"/>
      <c r="J88" s="246"/>
      <c r="K88" s="246"/>
    </row>
    <row r="89" spans="1:11" s="299" customFormat="1" ht="12" customHeight="1" thickBot="1" x14ac:dyDescent="0.25">
      <c r="A89" s="268" t="s">
        <v>285</v>
      </c>
      <c r="B89" s="492" t="s">
        <v>284</v>
      </c>
      <c r="C89" s="744"/>
      <c r="D89" s="710"/>
      <c r="E89" s="745"/>
      <c r="F89" s="746"/>
      <c r="G89" s="746"/>
      <c r="H89" s="130">
        <f>'1.1.sz.mell. '!C91</f>
        <v>0</v>
      </c>
      <c r="I89" s="303"/>
      <c r="J89" s="246"/>
      <c r="K89" s="246"/>
    </row>
    <row r="90" spans="1:11" s="299" customFormat="1" ht="12" customHeight="1" thickBot="1" x14ac:dyDescent="0.25">
      <c r="A90" s="268" t="s">
        <v>297</v>
      </c>
      <c r="B90" s="494" t="s">
        <v>458</v>
      </c>
      <c r="C90" s="738">
        <f>C89+C88+C83+C79+C76+C71+C67</f>
        <v>725901089</v>
      </c>
      <c r="D90" s="738">
        <f>D89+D88+D83+D79+D76+D71+D67</f>
        <v>442960626</v>
      </c>
      <c r="E90" s="732">
        <f>+E67+E71+E76+E79+E83+E89+E88</f>
        <v>433431423</v>
      </c>
      <c r="F90" s="733">
        <f>+F67+F71+F76+F79+F83+F89+F88</f>
        <v>447404</v>
      </c>
      <c r="G90" s="733">
        <f>+G67+G71+G76+G79+G83+G89+G88</f>
        <v>3220588</v>
      </c>
      <c r="H90" s="130">
        <f>'1.1.sz.mell. '!C92</f>
        <v>1710380374</v>
      </c>
      <c r="I90" s="301">
        <f>+I67+I71+I76+I79+I83+I89+I88</f>
        <v>515852575</v>
      </c>
      <c r="J90" s="135">
        <f>+J67+J71+J76+J79+J83+J89+J88</f>
        <v>829764</v>
      </c>
      <c r="K90" s="135">
        <f>+K67+K71+K76+K79+K83+K89+K88</f>
        <v>17254367</v>
      </c>
    </row>
    <row r="91" spans="1:11" s="299" customFormat="1" ht="12" customHeight="1" thickBot="1" x14ac:dyDescent="0.25">
      <c r="A91" s="270" t="s">
        <v>459</v>
      </c>
      <c r="B91" s="495" t="s">
        <v>460</v>
      </c>
      <c r="C91" s="738">
        <f>C90+C66</f>
        <v>2948027314</v>
      </c>
      <c r="D91" s="738">
        <f>D90+D66</f>
        <v>3788176164</v>
      </c>
      <c r="E91" s="732">
        <f>+E66+E90</f>
        <v>1824871137</v>
      </c>
      <c r="F91" s="733">
        <f>+F66+F90</f>
        <v>9863904</v>
      </c>
      <c r="G91" s="733">
        <f>+G66+G90</f>
        <v>393971766</v>
      </c>
      <c r="H91" s="130">
        <f>'1.1.sz.mell. '!C93</f>
        <v>4453796966</v>
      </c>
      <c r="I91" s="301">
        <f>+I66+I90</f>
        <v>2831811542</v>
      </c>
      <c r="J91" s="135">
        <f>+J66+J90</f>
        <v>9280592</v>
      </c>
      <c r="K91" s="135">
        <f>+K66+K90</f>
        <v>306161282</v>
      </c>
    </row>
    <row r="92" spans="1:11" s="299" customFormat="1" ht="12" customHeight="1" x14ac:dyDescent="0.2">
      <c r="A92" s="304"/>
      <c r="B92" s="305"/>
      <c r="C92" s="747"/>
      <c r="D92" s="748"/>
      <c r="E92" s="749"/>
      <c r="F92" s="749"/>
      <c r="G92" s="749"/>
      <c r="H92" s="750"/>
    </row>
    <row r="93" spans="1:11" s="299" customFormat="1" ht="12" customHeight="1" x14ac:dyDescent="0.2">
      <c r="A93" s="1498" t="s">
        <v>49</v>
      </c>
      <c r="B93" s="1498"/>
      <c r="C93" s="1498"/>
      <c r="D93" s="1498"/>
      <c r="E93" s="1498"/>
      <c r="F93" s="1498"/>
      <c r="G93" s="1498"/>
      <c r="H93" s="1498"/>
    </row>
    <row r="94" spans="1:11" s="299" customFormat="1" ht="12" customHeight="1" thickBot="1" x14ac:dyDescent="0.25">
      <c r="A94" s="1499" t="s">
        <v>130</v>
      </c>
      <c r="B94" s="1499"/>
      <c r="C94" s="751"/>
      <c r="D94" s="701"/>
      <c r="E94" s="701"/>
      <c r="F94" s="701"/>
      <c r="G94" s="701"/>
      <c r="H94" s="752" t="str">
        <f>H6</f>
        <v>Forintban!</v>
      </c>
    </row>
    <row r="95" spans="1:11" s="299" customFormat="1" ht="36.75" customHeight="1" thickBot="1" x14ac:dyDescent="0.25">
      <c r="A95" s="21" t="s">
        <v>19</v>
      </c>
      <c r="B95" s="507" t="s">
        <v>50</v>
      </c>
      <c r="C95" s="704" t="str">
        <f>C7</f>
        <v>2018. évi tény</v>
      </c>
      <c r="D95" s="704" t="str">
        <f t="shared" ref="D95:H95" si="1">D7</f>
        <v>2019. évi várható adat</v>
      </c>
      <c r="E95" s="704">
        <f t="shared" si="1"/>
        <v>0</v>
      </c>
      <c r="F95" s="704">
        <f t="shared" si="1"/>
        <v>0</v>
      </c>
      <c r="G95" s="704">
        <f t="shared" si="1"/>
        <v>0</v>
      </c>
      <c r="H95" s="704" t="str">
        <f t="shared" si="1"/>
        <v>2020. évi előirányzat</v>
      </c>
    </row>
    <row r="96" spans="1:11" s="299" customFormat="1" ht="12" customHeight="1" thickBot="1" x14ac:dyDescent="0.25">
      <c r="A96" s="27" t="s">
        <v>447</v>
      </c>
      <c r="B96" s="323" t="s">
        <v>448</v>
      </c>
      <c r="C96" s="738" t="s">
        <v>449</v>
      </c>
      <c r="D96" s="753" t="s">
        <v>499</v>
      </c>
      <c r="E96" s="708"/>
      <c r="F96" s="708"/>
      <c r="G96" s="708"/>
      <c r="H96" s="709" t="s">
        <v>500</v>
      </c>
    </row>
    <row r="97" spans="1:11" s="299" customFormat="1" ht="15" customHeight="1" thickBot="1" x14ac:dyDescent="0.25">
      <c r="A97" s="20" t="s">
        <v>21</v>
      </c>
      <c r="B97" s="496" t="s">
        <v>498</v>
      </c>
      <c r="C97" s="738">
        <f>SUM(C98:C102,C115)</f>
        <v>2137354184</v>
      </c>
      <c r="D97" s="738">
        <f>SUM(D98:D102,D115)</f>
        <v>2286219244</v>
      </c>
      <c r="E97" s="754"/>
      <c r="F97" s="709"/>
      <c r="G97" s="738"/>
      <c r="H97" s="328">
        <f>'1.1.sz.mell. '!C99</f>
        <v>2777107681</v>
      </c>
      <c r="I97" s="306">
        <f>+I98+I99+I100+I101+I102+I115</f>
        <v>729611526</v>
      </c>
      <c r="J97" s="129">
        <f>+J98+J99+J100+J101+J102+J115</f>
        <v>223670940</v>
      </c>
      <c r="K97" s="312">
        <f>K98+K99+K100+K101+K102+K115</f>
        <v>1606947760</v>
      </c>
    </row>
    <row r="98" spans="1:11" s="299" customFormat="1" ht="12.95" customHeight="1" x14ac:dyDescent="0.2">
      <c r="A98" s="15" t="s">
        <v>100</v>
      </c>
      <c r="B98" s="497" t="s">
        <v>51</v>
      </c>
      <c r="C98" s="755">
        <v>954601761</v>
      </c>
      <c r="D98" s="756">
        <v>1036807081</v>
      </c>
      <c r="E98" s="757"/>
      <c r="F98" s="758"/>
      <c r="G98" s="758"/>
      <c r="H98" s="465">
        <f>'1.1.sz.mell. '!C100</f>
        <v>1205958121</v>
      </c>
      <c r="I98" s="317">
        <f>23173251+2787126+1407675+14384916+61829+2528076+5742073</f>
        <v>50084946</v>
      </c>
      <c r="J98" s="290">
        <f>147375885+935085+4069918</f>
        <v>152380888</v>
      </c>
      <c r="K98" s="290">
        <f>60512486+64039486+48091292+208655734+471445483</f>
        <v>852744481</v>
      </c>
    </row>
    <row r="99" spans="1:11" ht="16.5" customHeight="1" x14ac:dyDescent="0.25">
      <c r="A99" s="12" t="s">
        <v>101</v>
      </c>
      <c r="B99" s="498" t="s">
        <v>149</v>
      </c>
      <c r="C99" s="759">
        <v>198202661</v>
      </c>
      <c r="D99" s="760">
        <v>207856870</v>
      </c>
      <c r="E99" s="718"/>
      <c r="F99" s="719"/>
      <c r="G99" s="719"/>
      <c r="H99" s="465">
        <f>'1.1.sz.mell. '!C101</f>
        <v>228956668</v>
      </c>
      <c r="I99" s="282">
        <f>4364055+1409889+7817+2684650+14227+10944+444000+1007723</f>
        <v>9943305</v>
      </c>
      <c r="J99" s="134">
        <f>30406649+133681+815187</f>
        <v>31355517</v>
      </c>
      <c r="K99" s="134">
        <f>13261042+12834203+9499320+44850807+98130166</f>
        <v>178575538</v>
      </c>
    </row>
    <row r="100" spans="1:11" x14ac:dyDescent="0.25">
      <c r="A100" s="12" t="s">
        <v>102</v>
      </c>
      <c r="B100" s="498" t="s">
        <v>125</v>
      </c>
      <c r="C100" s="761">
        <v>759722479</v>
      </c>
      <c r="D100" s="760">
        <v>803850676</v>
      </c>
      <c r="E100" s="727"/>
      <c r="F100" s="728"/>
      <c r="G100" s="719"/>
      <c r="H100" s="465">
        <f>'1.1.sz.mell. '!C102</f>
        <v>937314096</v>
      </c>
      <c r="I100" s="28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196">
        <f>38780508+150000+369027+635000</f>
        <v>39934535</v>
      </c>
      <c r="K100" s="134">
        <f>229985778+15749737+50789082+80145873+198957271</f>
        <v>575627741</v>
      </c>
    </row>
    <row r="101" spans="1:11" s="297" customFormat="1" ht="12" customHeight="1" x14ac:dyDescent="0.2">
      <c r="A101" s="12" t="s">
        <v>103</v>
      </c>
      <c r="B101" s="501" t="s">
        <v>150</v>
      </c>
      <c r="C101" s="759">
        <v>67052084</v>
      </c>
      <c r="D101" s="760">
        <v>47275053</v>
      </c>
      <c r="E101" s="727"/>
      <c r="F101" s="728"/>
      <c r="G101" s="728"/>
      <c r="H101" s="465">
        <f>'1.1.sz.mell. '!C103</f>
        <v>61300000</v>
      </c>
      <c r="I101" s="286">
        <f>24250000+48100000+3500000</f>
        <v>75850000</v>
      </c>
      <c r="J101" s="196"/>
      <c r="K101" s="196"/>
    </row>
    <row r="102" spans="1:11" ht="12" customHeight="1" x14ac:dyDescent="0.25">
      <c r="A102" s="12" t="s">
        <v>114</v>
      </c>
      <c r="B102" s="17" t="s">
        <v>151</v>
      </c>
      <c r="C102" s="759">
        <f>SUM(C103:C114)</f>
        <v>157775199</v>
      </c>
      <c r="D102" s="759">
        <f t="shared" ref="D102:H102" si="2">SUM(D103:D114)</f>
        <v>190429564</v>
      </c>
      <c r="E102" s="759">
        <f t="shared" si="2"/>
        <v>0</v>
      </c>
      <c r="F102" s="759">
        <f t="shared" si="2"/>
        <v>0</v>
      </c>
      <c r="G102" s="759">
        <f t="shared" si="2"/>
        <v>0</v>
      </c>
      <c r="H102" s="759">
        <f t="shared" si="2"/>
        <v>210337958</v>
      </c>
      <c r="I102" s="286">
        <f>SUM(I103:I114)</f>
        <v>219979003</v>
      </c>
      <c r="J102" s="286">
        <f t="shared" ref="J102" si="3">SUM(J103:J114)</f>
        <v>0</v>
      </c>
      <c r="K102" s="196"/>
    </row>
    <row r="103" spans="1:11" ht="12" customHeight="1" x14ac:dyDescent="0.25">
      <c r="A103" s="12" t="s">
        <v>104</v>
      </c>
      <c r="B103" s="498" t="s">
        <v>461</v>
      </c>
      <c r="C103" s="761">
        <v>5090844</v>
      </c>
      <c r="D103" s="760">
        <v>9463052</v>
      </c>
      <c r="E103" s="727"/>
      <c r="F103" s="728"/>
      <c r="G103" s="728"/>
      <c r="H103" s="465">
        <f>'1.1.sz.mell. '!C105</f>
        <v>2500</v>
      </c>
      <c r="I103" s="286">
        <v>100000</v>
      </c>
      <c r="J103" s="196"/>
      <c r="K103" s="196"/>
    </row>
    <row r="104" spans="1:11" ht="12" customHeight="1" x14ac:dyDescent="0.25">
      <c r="A104" s="12" t="s">
        <v>105</v>
      </c>
      <c r="B104" s="500" t="s">
        <v>462</v>
      </c>
      <c r="C104" s="761"/>
      <c r="D104" s="760"/>
      <c r="E104" s="727"/>
      <c r="F104" s="728"/>
      <c r="G104" s="728"/>
      <c r="H104" s="465">
        <f>'1.1.sz.mell. '!C106</f>
        <v>0</v>
      </c>
      <c r="I104" s="286"/>
      <c r="J104" s="196"/>
      <c r="K104" s="196"/>
    </row>
    <row r="105" spans="1:11" ht="12" customHeight="1" x14ac:dyDescent="0.25">
      <c r="A105" s="12" t="s">
        <v>115</v>
      </c>
      <c r="B105" s="500" t="s">
        <v>463</v>
      </c>
      <c r="C105" s="761">
        <v>159000</v>
      </c>
      <c r="D105" s="760"/>
      <c r="E105" s="727"/>
      <c r="F105" s="728"/>
      <c r="G105" s="728"/>
      <c r="H105" s="465">
        <f>'1.1.sz.mell. '!C107</f>
        <v>0</v>
      </c>
      <c r="I105" s="286"/>
      <c r="J105" s="196"/>
      <c r="K105" s="196"/>
    </row>
    <row r="106" spans="1:11" ht="12" customHeight="1" x14ac:dyDescent="0.25">
      <c r="A106" s="12" t="s">
        <v>116</v>
      </c>
      <c r="B106" s="509" t="s">
        <v>300</v>
      </c>
      <c r="C106" s="762"/>
      <c r="D106" s="760"/>
      <c r="E106" s="727"/>
      <c r="F106" s="728"/>
      <c r="G106" s="728"/>
      <c r="H106" s="465">
        <f>'1.1.sz.mell. '!C108</f>
        <v>0</v>
      </c>
      <c r="I106" s="286"/>
      <c r="J106" s="196"/>
      <c r="K106" s="196"/>
    </row>
    <row r="107" spans="1:11" ht="12" customHeight="1" x14ac:dyDescent="0.25">
      <c r="A107" s="12" t="s">
        <v>117</v>
      </c>
      <c r="B107" s="506" t="s">
        <v>301</v>
      </c>
      <c r="C107" s="761"/>
      <c r="D107" s="760"/>
      <c r="E107" s="727"/>
      <c r="F107" s="728"/>
      <c r="G107" s="728"/>
      <c r="H107" s="465">
        <f>'1.1.sz.mell. '!C109</f>
        <v>0</v>
      </c>
      <c r="I107" s="286"/>
      <c r="J107" s="196"/>
      <c r="K107" s="196"/>
    </row>
    <row r="108" spans="1:11" ht="12" customHeight="1" x14ac:dyDescent="0.25">
      <c r="A108" s="12" t="s">
        <v>118</v>
      </c>
      <c r="B108" s="506" t="s">
        <v>302</v>
      </c>
      <c r="C108" s="761"/>
      <c r="D108" s="760"/>
      <c r="E108" s="727"/>
      <c r="F108" s="728"/>
      <c r="G108" s="728"/>
      <c r="H108" s="465">
        <f>'1.1.sz.mell. '!C110</f>
        <v>0</v>
      </c>
      <c r="I108" s="286"/>
      <c r="J108" s="196"/>
      <c r="K108" s="196"/>
    </row>
    <row r="109" spans="1:11" ht="12" customHeight="1" x14ac:dyDescent="0.25">
      <c r="A109" s="12" t="s">
        <v>120</v>
      </c>
      <c r="B109" s="509" t="s">
        <v>303</v>
      </c>
      <c r="C109" s="763">
        <v>746500</v>
      </c>
      <c r="D109" s="760">
        <v>4012934</v>
      </c>
      <c r="E109" s="727"/>
      <c r="F109" s="728"/>
      <c r="G109" s="728"/>
      <c r="H109" s="465">
        <f>'1.1.sz.mell. '!C111</f>
        <v>526000</v>
      </c>
      <c r="I109" s="286">
        <f>523000</f>
        <v>523000</v>
      </c>
      <c r="J109" s="196"/>
      <c r="K109" s="196"/>
    </row>
    <row r="110" spans="1:11" ht="12" customHeight="1" x14ac:dyDescent="0.25">
      <c r="A110" s="12" t="s">
        <v>152</v>
      </c>
      <c r="B110" s="509" t="s">
        <v>304</v>
      </c>
      <c r="C110" s="762"/>
      <c r="D110" s="760"/>
      <c r="E110" s="727"/>
      <c r="F110" s="728"/>
      <c r="G110" s="728"/>
      <c r="H110" s="465">
        <f>'1.1.sz.mell. '!C112</f>
        <v>0</v>
      </c>
      <c r="I110" s="286"/>
      <c r="J110" s="196"/>
      <c r="K110" s="196"/>
    </row>
    <row r="111" spans="1:11" ht="12" customHeight="1" x14ac:dyDescent="0.25">
      <c r="A111" s="12" t="s">
        <v>298</v>
      </c>
      <c r="B111" s="506" t="s">
        <v>305</v>
      </c>
      <c r="C111" s="763"/>
      <c r="D111" s="760">
        <v>15400000</v>
      </c>
      <c r="E111" s="727"/>
      <c r="F111" s="728"/>
      <c r="G111" s="728"/>
      <c r="H111" s="465">
        <f>'1.1.sz.mell. '!C113</f>
        <v>0</v>
      </c>
      <c r="I111" s="286"/>
      <c r="J111" s="196"/>
      <c r="K111" s="196"/>
    </row>
    <row r="112" spans="1:11" ht="12" customHeight="1" x14ac:dyDescent="0.25">
      <c r="A112" s="11" t="s">
        <v>299</v>
      </c>
      <c r="B112" s="500" t="s">
        <v>306</v>
      </c>
      <c r="C112" s="763"/>
      <c r="D112" s="760"/>
      <c r="E112" s="727"/>
      <c r="F112" s="728"/>
      <c r="G112" s="728"/>
      <c r="H112" s="465">
        <f>'1.1.sz.mell. '!C114</f>
        <v>0</v>
      </c>
      <c r="I112" s="286"/>
      <c r="J112" s="196"/>
      <c r="K112" s="196"/>
    </row>
    <row r="113" spans="1:11" ht="12" customHeight="1" x14ac:dyDescent="0.25">
      <c r="A113" s="12" t="s">
        <v>464</v>
      </c>
      <c r="B113" s="500" t="s">
        <v>307</v>
      </c>
      <c r="C113" s="763"/>
      <c r="D113" s="760"/>
      <c r="E113" s="727"/>
      <c r="F113" s="728"/>
      <c r="G113" s="728"/>
      <c r="H113" s="465">
        <f>'1.1.sz.mell. '!C115</f>
        <v>0</v>
      </c>
      <c r="I113" s="286"/>
      <c r="J113" s="196"/>
      <c r="K113" s="196"/>
    </row>
    <row r="114" spans="1:11" ht="12" customHeight="1" x14ac:dyDescent="0.25">
      <c r="A114" s="14" t="s">
        <v>465</v>
      </c>
      <c r="B114" s="500" t="s">
        <v>308</v>
      </c>
      <c r="C114" s="763">
        <v>151778855</v>
      </c>
      <c r="D114" s="760">
        <v>161553578</v>
      </c>
      <c r="E114" s="718"/>
      <c r="F114" s="719"/>
      <c r="G114" s="728"/>
      <c r="H114" s="465">
        <f>'1.1.sz.mell. '!C116</f>
        <v>209809458</v>
      </c>
      <c r="I114" s="282">
        <f>1000000+47869145+6604733+15489215+46984511+23326783+69312000+7332000+1437616</f>
        <v>219356003</v>
      </c>
      <c r="J114" s="134"/>
      <c r="K114" s="196"/>
    </row>
    <row r="115" spans="1:11" ht="12" customHeight="1" x14ac:dyDescent="0.25">
      <c r="A115" s="12" t="s">
        <v>466</v>
      </c>
      <c r="B115" s="501" t="s">
        <v>52</v>
      </c>
      <c r="C115" s="764"/>
      <c r="D115" s="760"/>
      <c r="E115" s="718"/>
      <c r="F115" s="719"/>
      <c r="G115" s="719"/>
      <c r="H115" s="465">
        <f>'1.1.sz.mell. '!C117</f>
        <v>133240838</v>
      </c>
      <c r="I115" s="282">
        <f>SUM(I116:I117)</f>
        <v>78390965</v>
      </c>
      <c r="J115" s="282">
        <f t="shared" ref="J115" si="4">SUM(J116:J117)</f>
        <v>0</v>
      </c>
      <c r="K115" s="134"/>
    </row>
    <row r="116" spans="1:11" ht="12" customHeight="1" x14ac:dyDescent="0.25">
      <c r="A116" s="12" t="s">
        <v>467</v>
      </c>
      <c r="B116" s="498" t="s">
        <v>468</v>
      </c>
      <c r="C116" s="765"/>
      <c r="D116" s="760"/>
      <c r="E116" s="727"/>
      <c r="F116" s="728"/>
      <c r="G116" s="719"/>
      <c r="H116" s="465">
        <f>'1.1.sz.mell. '!C118</f>
        <v>20000000</v>
      </c>
      <c r="I116" s="286">
        <v>15000000</v>
      </c>
      <c r="J116" s="196"/>
      <c r="K116" s="134"/>
    </row>
    <row r="117" spans="1:11" ht="12" customHeight="1" thickBot="1" x14ac:dyDescent="0.3">
      <c r="A117" s="16" t="s">
        <v>469</v>
      </c>
      <c r="B117" s="502" t="s">
        <v>470</v>
      </c>
      <c r="C117" s="766"/>
      <c r="D117" s="767"/>
      <c r="E117" s="768"/>
      <c r="F117" s="769"/>
      <c r="G117" s="769"/>
      <c r="H117" s="465">
        <f>'1.1.sz.mell. '!C119</f>
        <v>113240838</v>
      </c>
      <c r="I117" s="318">
        <f>63390965</f>
        <v>63390965</v>
      </c>
      <c r="J117" s="295"/>
      <c r="K117" s="295"/>
    </row>
    <row r="118" spans="1:11" ht="12" customHeight="1" thickBot="1" x14ac:dyDescent="0.3">
      <c r="A118" s="272" t="s">
        <v>22</v>
      </c>
      <c r="B118" s="467" t="s">
        <v>309</v>
      </c>
      <c r="C118" s="738">
        <f>C119+C121+C123</f>
        <v>397118900</v>
      </c>
      <c r="D118" s="738">
        <f>D119+D121+D123</f>
        <v>478464804</v>
      </c>
      <c r="E118" s="711"/>
      <c r="F118" s="710"/>
      <c r="G118" s="770"/>
      <c r="H118" s="470">
        <f>'1.1.sz.mell. '!C120</f>
        <v>950650851</v>
      </c>
      <c r="I118" s="298">
        <f>+I119+I121+I123</f>
        <v>404630354</v>
      </c>
      <c r="J118" s="130">
        <f>+J119+J121+J123</f>
        <v>3585917</v>
      </c>
      <c r="K118" s="274">
        <f>+K119+K121+K123</f>
        <v>19950087</v>
      </c>
    </row>
    <row r="119" spans="1:11" ht="12" customHeight="1" x14ac:dyDescent="0.25">
      <c r="A119" s="13" t="s">
        <v>106</v>
      </c>
      <c r="B119" s="498" t="s">
        <v>173</v>
      </c>
      <c r="C119" s="771">
        <v>117395559</v>
      </c>
      <c r="D119" s="756">
        <v>211704361</v>
      </c>
      <c r="E119" s="714"/>
      <c r="F119" s="715"/>
      <c r="G119" s="715"/>
      <c r="H119" s="465">
        <f>'1.1.sz.mell. '!C121</f>
        <v>680503226</v>
      </c>
      <c r="I119" s="302">
        <f>229989520+300000+13809000+835610+12076323+1270000+359410+4508500+2505001+5000+6704583</f>
        <v>272362947</v>
      </c>
      <c r="J119" s="245">
        <f>3355917+230000</f>
        <v>3585917</v>
      </c>
      <c r="K119" s="245">
        <f>506050+641350+1986214+1926590+13924683</f>
        <v>18984887</v>
      </c>
    </row>
    <row r="120" spans="1:11" x14ac:dyDescent="0.25">
      <c r="A120" s="13" t="s">
        <v>107</v>
      </c>
      <c r="B120" s="499" t="s">
        <v>313</v>
      </c>
      <c r="C120" s="772"/>
      <c r="D120" s="760"/>
      <c r="E120" s="714"/>
      <c r="F120" s="715"/>
      <c r="G120" s="715"/>
      <c r="H120" s="465">
        <f>'1.1.sz.mell. '!C122</f>
        <v>575467863</v>
      </c>
      <c r="I120" s="302">
        <f>156693000+42191010+12076323+6704583</f>
        <v>217664916</v>
      </c>
      <c r="J120" s="245"/>
      <c r="K120" s="245">
        <v>717651</v>
      </c>
    </row>
    <row r="121" spans="1:11" ht="12" customHeight="1" x14ac:dyDescent="0.25">
      <c r="A121" s="13" t="s">
        <v>108</v>
      </c>
      <c r="B121" s="499" t="s">
        <v>153</v>
      </c>
      <c r="C121" s="763">
        <v>234332492</v>
      </c>
      <c r="D121" s="760">
        <v>259516521</v>
      </c>
      <c r="E121" s="718"/>
      <c r="F121" s="719"/>
      <c r="G121" s="719"/>
      <c r="H121" s="465">
        <f>'1.1.sz.mell. '!C123</f>
        <v>262245726</v>
      </c>
      <c r="I121" s="282">
        <f>9517731+51474577+42450993+1905000</f>
        <v>105348301</v>
      </c>
      <c r="J121" s="134"/>
      <c r="K121" s="134">
        <v>965200</v>
      </c>
    </row>
    <row r="122" spans="1:11" ht="12" customHeight="1" x14ac:dyDescent="0.25">
      <c r="A122" s="13" t="s">
        <v>109</v>
      </c>
      <c r="B122" s="499" t="s">
        <v>314</v>
      </c>
      <c r="C122" s="773"/>
      <c r="D122" s="760"/>
      <c r="E122" s="718"/>
      <c r="F122" s="774"/>
      <c r="G122" s="718"/>
      <c r="H122" s="465">
        <f>'1.1.sz.mell. '!C124</f>
        <v>92353398</v>
      </c>
      <c r="I122" s="282">
        <f>28614577+42450993-1206500</f>
        <v>69859070</v>
      </c>
      <c r="J122" s="667"/>
      <c r="K122" s="282"/>
    </row>
    <row r="123" spans="1:11" ht="12" customHeight="1" x14ac:dyDescent="0.25">
      <c r="A123" s="13" t="s">
        <v>110</v>
      </c>
      <c r="B123" s="491" t="s">
        <v>175</v>
      </c>
      <c r="C123" s="775">
        <f>SUM(C124:C131)</f>
        <v>45390849</v>
      </c>
      <c r="D123" s="760">
        <f>SUM(D124:D131)</f>
        <v>7243922</v>
      </c>
      <c r="E123" s="718"/>
      <c r="F123" s="718"/>
      <c r="G123" s="718"/>
      <c r="H123" s="465">
        <f>'1.1.sz.mell. '!C125</f>
        <v>7901899</v>
      </c>
      <c r="I123" s="282">
        <f>SUM(I124:I131)</f>
        <v>26919106</v>
      </c>
      <c r="J123" s="282">
        <f t="shared" ref="J123" si="5">SUM(J124:J131)</f>
        <v>0</v>
      </c>
      <c r="K123" s="282"/>
    </row>
    <row r="124" spans="1:11" ht="12" customHeight="1" x14ac:dyDescent="0.25">
      <c r="A124" s="13" t="s">
        <v>119</v>
      </c>
      <c r="B124" s="490" t="s">
        <v>376</v>
      </c>
      <c r="C124" s="776"/>
      <c r="D124" s="760"/>
      <c r="E124" s="722"/>
      <c r="F124" s="722"/>
      <c r="G124" s="718"/>
      <c r="H124" s="465">
        <f>'1.1.sz.mell. '!C126</f>
        <v>0</v>
      </c>
      <c r="I124" s="119"/>
      <c r="J124" s="119"/>
      <c r="K124" s="282"/>
    </row>
    <row r="125" spans="1:11" ht="12" customHeight="1" x14ac:dyDescent="0.25">
      <c r="A125" s="13" t="s">
        <v>121</v>
      </c>
      <c r="B125" s="505" t="s">
        <v>319</v>
      </c>
      <c r="C125" s="777"/>
      <c r="D125" s="760"/>
      <c r="E125" s="722"/>
      <c r="F125" s="722"/>
      <c r="G125" s="718"/>
      <c r="H125" s="465">
        <f>'1.1.sz.mell. '!C127</f>
        <v>0</v>
      </c>
      <c r="I125" s="119"/>
      <c r="J125" s="119"/>
      <c r="K125" s="282"/>
    </row>
    <row r="126" spans="1:11" ht="12" customHeight="1" x14ac:dyDescent="0.25">
      <c r="A126" s="13" t="s">
        <v>154</v>
      </c>
      <c r="B126" s="506" t="s">
        <v>302</v>
      </c>
      <c r="C126" s="778"/>
      <c r="D126" s="760"/>
      <c r="E126" s="722"/>
      <c r="F126" s="722"/>
      <c r="G126" s="718"/>
      <c r="H126" s="465">
        <f>'1.1.sz.mell. '!C128</f>
        <v>0</v>
      </c>
      <c r="I126" s="119"/>
      <c r="J126" s="119"/>
      <c r="K126" s="282"/>
    </row>
    <row r="127" spans="1:11" ht="12" customHeight="1" x14ac:dyDescent="0.25">
      <c r="A127" s="13" t="s">
        <v>155</v>
      </c>
      <c r="B127" s="506" t="s">
        <v>318</v>
      </c>
      <c r="C127" s="778"/>
      <c r="D127" s="760">
        <v>308980</v>
      </c>
      <c r="E127" s="722"/>
      <c r="F127" s="722"/>
      <c r="G127" s="718"/>
      <c r="H127" s="465">
        <f>'1.1.sz.mell. '!C129</f>
        <v>0</v>
      </c>
      <c r="I127" s="119"/>
      <c r="J127" s="119"/>
      <c r="K127" s="282"/>
    </row>
    <row r="128" spans="1:11" ht="12" customHeight="1" x14ac:dyDescent="0.25">
      <c r="A128" s="13" t="s">
        <v>156</v>
      </c>
      <c r="B128" s="506" t="s">
        <v>317</v>
      </c>
      <c r="C128" s="778"/>
      <c r="D128" s="760"/>
      <c r="E128" s="722"/>
      <c r="F128" s="722"/>
      <c r="G128" s="718"/>
      <c r="H128" s="465">
        <f>'1.1.sz.mell. '!C130</f>
        <v>0</v>
      </c>
      <c r="I128" s="119"/>
      <c r="J128" s="119"/>
      <c r="K128" s="282"/>
    </row>
    <row r="129" spans="1:11" ht="12" customHeight="1" x14ac:dyDescent="0.25">
      <c r="A129" s="13" t="s">
        <v>310</v>
      </c>
      <c r="B129" s="506" t="s">
        <v>305</v>
      </c>
      <c r="C129" s="778"/>
      <c r="D129" s="760"/>
      <c r="E129" s="722"/>
      <c r="F129" s="722"/>
      <c r="G129" s="718"/>
      <c r="H129" s="465">
        <f>'1.1.sz.mell. '!C131</f>
        <v>0</v>
      </c>
      <c r="I129" s="119"/>
      <c r="J129" s="119"/>
      <c r="K129" s="282"/>
    </row>
    <row r="130" spans="1:11" ht="12" customHeight="1" x14ac:dyDescent="0.25">
      <c r="A130" s="13" t="s">
        <v>311</v>
      </c>
      <c r="B130" s="506" t="s">
        <v>316</v>
      </c>
      <c r="C130" s="778"/>
      <c r="D130" s="760"/>
      <c r="E130" s="722"/>
      <c r="F130" s="722"/>
      <c r="G130" s="718"/>
      <c r="H130" s="465">
        <f>'1.1.sz.mell. '!C132</f>
        <v>0</v>
      </c>
      <c r="I130" s="119"/>
      <c r="J130" s="119"/>
      <c r="K130" s="282"/>
    </row>
    <row r="131" spans="1:11" ht="12" customHeight="1" thickBot="1" x14ac:dyDescent="0.3">
      <c r="A131" s="11" t="s">
        <v>312</v>
      </c>
      <c r="B131" s="506" t="s">
        <v>315</v>
      </c>
      <c r="C131" s="763">
        <v>45390849</v>
      </c>
      <c r="D131" s="767">
        <v>6934942</v>
      </c>
      <c r="E131" s="727"/>
      <c r="F131" s="727"/>
      <c r="G131" s="727"/>
      <c r="H131" s="465">
        <f>'1.1.sz.mell. '!C133</f>
        <v>7901899</v>
      </c>
      <c r="I131" s="286">
        <f>650000+26269106</f>
        <v>26919106</v>
      </c>
      <c r="J131" s="286"/>
      <c r="K131" s="286"/>
    </row>
    <row r="132" spans="1:11" ht="12" customHeight="1" thickBot="1" x14ac:dyDescent="0.3">
      <c r="A132" s="18" t="s">
        <v>23</v>
      </c>
      <c r="B132" s="468" t="s">
        <v>471</v>
      </c>
      <c r="C132" s="738">
        <f>C118+C97</f>
        <v>2534473084</v>
      </c>
      <c r="D132" s="738">
        <f>D118+D97</f>
        <v>2764684048</v>
      </c>
      <c r="E132" s="711"/>
      <c r="F132" s="710"/>
      <c r="G132" s="710"/>
      <c r="H132" s="470">
        <f>'1.1.sz.mell. '!C134</f>
        <v>3727758532</v>
      </c>
      <c r="I132" s="298">
        <f>+I97+I118</f>
        <v>1134241880</v>
      </c>
      <c r="J132" s="130">
        <f>+J97+J118</f>
        <v>227256857</v>
      </c>
      <c r="K132" s="130">
        <f>+K97+K118</f>
        <v>1626897847</v>
      </c>
    </row>
    <row r="133" spans="1:11" ht="12" customHeight="1" thickBot="1" x14ac:dyDescent="0.3">
      <c r="A133" s="18" t="s">
        <v>24</v>
      </c>
      <c r="B133" s="468" t="s">
        <v>472</v>
      </c>
      <c r="C133" s="738">
        <f>SUM(C134:C136)</f>
        <v>8118704</v>
      </c>
      <c r="D133" s="738">
        <f>SUM(D134:D136)</f>
        <v>16952500</v>
      </c>
      <c r="E133" s="711"/>
      <c r="F133" s="710"/>
      <c r="G133" s="710"/>
      <c r="H133" s="470">
        <f>'1.1.sz.mell. '!C135</f>
        <v>726038434</v>
      </c>
      <c r="I133" s="298">
        <f>+I134+I135+I136</f>
        <v>116952500</v>
      </c>
      <c r="J133" s="130">
        <f>+J134+J135+J136</f>
        <v>0</v>
      </c>
      <c r="K133" s="130">
        <f>+K134+K135+K136</f>
        <v>0</v>
      </c>
    </row>
    <row r="134" spans="1:11" ht="12" customHeight="1" x14ac:dyDescent="0.25">
      <c r="A134" s="13" t="s">
        <v>211</v>
      </c>
      <c r="B134" s="499" t="s">
        <v>473</v>
      </c>
      <c r="C134" s="763">
        <v>8118704</v>
      </c>
      <c r="D134" s="734">
        <v>16952500</v>
      </c>
      <c r="E134" s="718"/>
      <c r="F134" s="718"/>
      <c r="G134" s="718"/>
      <c r="H134" s="465">
        <f>'1.1.sz.mell. '!C136</f>
        <v>26038434</v>
      </c>
      <c r="I134" s="282">
        <f>11674500+5278000</f>
        <v>16952500</v>
      </c>
      <c r="J134" s="282"/>
      <c r="K134" s="282"/>
    </row>
    <row r="135" spans="1:11" ht="12" customHeight="1" x14ac:dyDescent="0.25">
      <c r="A135" s="13" t="s">
        <v>214</v>
      </c>
      <c r="B135" s="499" t="s">
        <v>474</v>
      </c>
      <c r="C135" s="773"/>
      <c r="D135" s="779"/>
      <c r="E135" s="722"/>
      <c r="F135" s="722"/>
      <c r="G135" s="722"/>
      <c r="H135" s="465">
        <f>'1.1.sz.mell. '!C137</f>
        <v>700000000</v>
      </c>
      <c r="I135" s="119">
        <v>100000000</v>
      </c>
      <c r="J135" s="119"/>
      <c r="K135" s="119"/>
    </row>
    <row r="136" spans="1:11" ht="12" customHeight="1" thickBot="1" x14ac:dyDescent="0.3">
      <c r="A136" s="11" t="s">
        <v>215</v>
      </c>
      <c r="B136" s="499" t="s">
        <v>475</v>
      </c>
      <c r="C136" s="773"/>
      <c r="D136" s="780"/>
      <c r="E136" s="722"/>
      <c r="F136" s="722"/>
      <c r="G136" s="722"/>
      <c r="H136" s="541">
        <f>'1.1.sz.mell. '!C138</f>
        <v>0</v>
      </c>
      <c r="I136" s="119"/>
      <c r="J136" s="119"/>
      <c r="K136" s="119"/>
    </row>
    <row r="137" spans="1:11" ht="12" customHeight="1" thickBot="1" x14ac:dyDescent="0.3">
      <c r="A137" s="18" t="s">
        <v>25</v>
      </c>
      <c r="B137" s="468" t="s">
        <v>476</v>
      </c>
      <c r="C137" s="781">
        <f>SUM(C138:C143)</f>
        <v>0</v>
      </c>
      <c r="D137" s="781">
        <f t="shared" ref="D137" si="6">SUM(D138:D143)</f>
        <v>0</v>
      </c>
      <c r="E137" s="781">
        <f t="shared" ref="E137" si="7">SUM(E138:E143)</f>
        <v>0</v>
      </c>
      <c r="F137" s="781">
        <f t="shared" ref="F137" si="8">SUM(F138:F143)</f>
        <v>0</v>
      </c>
      <c r="G137" s="781">
        <f t="shared" ref="G137" si="9">SUM(G138:G143)</f>
        <v>0</v>
      </c>
      <c r="H137" s="781">
        <f t="shared" ref="H137" si="10">SUM(H138:H143)</f>
        <v>0</v>
      </c>
      <c r="I137" s="298">
        <f>+I138+I139+I140+I141+I142+I143</f>
        <v>0</v>
      </c>
      <c r="J137" s="130">
        <f>+J138+J139+J140+J141+J142+J143</f>
        <v>0</v>
      </c>
      <c r="K137" s="130">
        <f>SUM(K138:K143)</f>
        <v>0</v>
      </c>
    </row>
    <row r="138" spans="1:11" ht="12" customHeight="1" x14ac:dyDescent="0.25">
      <c r="A138" s="13" t="s">
        <v>93</v>
      </c>
      <c r="B138" s="503" t="s">
        <v>477</v>
      </c>
      <c r="C138" s="777"/>
      <c r="D138" s="734"/>
      <c r="E138" s="722"/>
      <c r="F138" s="722"/>
      <c r="G138" s="722"/>
      <c r="H138" s="465">
        <f>'1.1.sz.mell. '!C140</f>
        <v>0</v>
      </c>
      <c r="I138" s="119"/>
      <c r="J138" s="119"/>
      <c r="K138" s="119"/>
    </row>
    <row r="139" spans="1:11" ht="12" customHeight="1" x14ac:dyDescent="0.25">
      <c r="A139" s="13" t="s">
        <v>94</v>
      </c>
      <c r="B139" s="503" t="s">
        <v>478</v>
      </c>
      <c r="C139" s="777"/>
      <c r="D139" s="779"/>
      <c r="E139" s="722"/>
      <c r="F139" s="722"/>
      <c r="G139" s="722"/>
      <c r="H139" s="465">
        <f>'1.1.sz.mell. '!C141</f>
        <v>0</v>
      </c>
      <c r="I139" s="119"/>
      <c r="J139" s="119"/>
      <c r="K139" s="119"/>
    </row>
    <row r="140" spans="1:11" ht="12" customHeight="1" x14ac:dyDescent="0.25">
      <c r="A140" s="13" t="s">
        <v>95</v>
      </c>
      <c r="B140" s="503" t="s">
        <v>479</v>
      </c>
      <c r="C140" s="777"/>
      <c r="D140" s="779"/>
      <c r="E140" s="722"/>
      <c r="F140" s="722"/>
      <c r="G140" s="722"/>
      <c r="H140" s="465">
        <f>'1.1.sz.mell. '!C142</f>
        <v>0</v>
      </c>
      <c r="I140" s="119"/>
      <c r="J140" s="119"/>
      <c r="K140" s="119"/>
    </row>
    <row r="141" spans="1:11" ht="12" customHeight="1" x14ac:dyDescent="0.25">
      <c r="A141" s="13" t="s">
        <v>141</v>
      </c>
      <c r="B141" s="503" t="s">
        <v>480</v>
      </c>
      <c r="C141" s="777"/>
      <c r="D141" s="779"/>
      <c r="E141" s="722"/>
      <c r="F141" s="722"/>
      <c r="G141" s="722"/>
      <c r="H141" s="465">
        <f>'1.1.sz.mell. '!C143</f>
        <v>0</v>
      </c>
      <c r="I141" s="119"/>
      <c r="J141" s="119"/>
      <c r="K141" s="119"/>
    </row>
    <row r="142" spans="1:11" ht="12" customHeight="1" x14ac:dyDescent="0.25">
      <c r="A142" s="13" t="s">
        <v>142</v>
      </c>
      <c r="B142" s="503" t="s">
        <v>481</v>
      </c>
      <c r="C142" s="777"/>
      <c r="D142" s="779"/>
      <c r="E142" s="722"/>
      <c r="F142" s="722"/>
      <c r="G142" s="722"/>
      <c r="H142" s="465">
        <f>'1.1.sz.mell. '!C144</f>
        <v>0</v>
      </c>
      <c r="I142" s="119"/>
      <c r="J142" s="119"/>
      <c r="K142" s="119"/>
    </row>
    <row r="143" spans="1:11" ht="12" customHeight="1" thickBot="1" x14ac:dyDescent="0.3">
      <c r="A143" s="11" t="s">
        <v>143</v>
      </c>
      <c r="B143" s="503" t="s">
        <v>482</v>
      </c>
      <c r="C143" s="777"/>
      <c r="D143" s="780"/>
      <c r="E143" s="722"/>
      <c r="F143" s="722"/>
      <c r="G143" s="722"/>
      <c r="H143" s="541">
        <f>'1.1.sz.mell. '!C145</f>
        <v>0</v>
      </c>
      <c r="I143" s="119"/>
      <c r="J143" s="119"/>
      <c r="K143" s="119"/>
    </row>
    <row r="144" spans="1:11" ht="12" customHeight="1" thickBot="1" x14ac:dyDescent="0.3">
      <c r="A144" s="18" t="s">
        <v>26</v>
      </c>
      <c r="B144" s="468" t="s">
        <v>483</v>
      </c>
      <c r="C144" s="738">
        <f>SUM(C145:C148)</f>
        <v>38167591</v>
      </c>
      <c r="D144" s="738">
        <f t="shared" ref="D144:K144" si="11">SUM(D145:D148)</f>
        <v>41904332</v>
      </c>
      <c r="E144" s="738">
        <f t="shared" si="11"/>
        <v>0</v>
      </c>
      <c r="F144" s="738">
        <f t="shared" si="11"/>
        <v>0</v>
      </c>
      <c r="G144" s="738">
        <f t="shared" si="11"/>
        <v>0</v>
      </c>
      <c r="H144" s="738">
        <f t="shared" si="11"/>
        <v>0</v>
      </c>
      <c r="I144" s="738">
        <f t="shared" si="11"/>
        <v>41904332</v>
      </c>
      <c r="J144" s="738">
        <f t="shared" si="11"/>
        <v>0</v>
      </c>
      <c r="K144" s="738">
        <f t="shared" si="11"/>
        <v>0</v>
      </c>
    </row>
    <row r="145" spans="1:11" ht="12" customHeight="1" x14ac:dyDescent="0.25">
      <c r="A145" s="13" t="s">
        <v>96</v>
      </c>
      <c r="B145" s="503" t="s">
        <v>320</v>
      </c>
      <c r="C145" s="777"/>
      <c r="D145" s="734"/>
      <c r="E145" s="722"/>
      <c r="F145" s="722"/>
      <c r="G145" s="722"/>
      <c r="H145" s="466">
        <f>'1.1.sz.mell. '!C147</f>
        <v>0</v>
      </c>
      <c r="I145" s="119"/>
      <c r="J145" s="119"/>
      <c r="K145" s="119"/>
    </row>
    <row r="146" spans="1:11" ht="12" customHeight="1" x14ac:dyDescent="0.25">
      <c r="A146" s="13" t="s">
        <v>97</v>
      </c>
      <c r="B146" s="503" t="s">
        <v>321</v>
      </c>
      <c r="C146" s="771">
        <v>38167591</v>
      </c>
      <c r="D146" s="779">
        <v>41904332</v>
      </c>
      <c r="E146" s="722"/>
      <c r="F146" s="722"/>
      <c r="G146" s="722"/>
      <c r="H146" s="465">
        <f>'1.1.sz.mell. '!C148</f>
        <v>0</v>
      </c>
      <c r="I146" s="119">
        <f>41904332</f>
        <v>41904332</v>
      </c>
      <c r="J146" s="119"/>
      <c r="K146" s="119"/>
    </row>
    <row r="147" spans="1:11" ht="12" customHeight="1" x14ac:dyDescent="0.25">
      <c r="A147" s="13" t="s">
        <v>234</v>
      </c>
      <c r="B147" s="503" t="s">
        <v>484</v>
      </c>
      <c r="C147" s="777"/>
      <c r="D147" s="779"/>
      <c r="E147" s="722"/>
      <c r="F147" s="722"/>
      <c r="G147" s="722"/>
      <c r="H147" s="466">
        <f>'1.1.sz.mell. '!C149</f>
        <v>0</v>
      </c>
      <c r="I147" s="119"/>
      <c r="J147" s="119"/>
      <c r="K147" s="119"/>
    </row>
    <row r="148" spans="1:11" ht="12" customHeight="1" thickBot="1" x14ac:dyDescent="0.3">
      <c r="A148" s="11" t="s">
        <v>235</v>
      </c>
      <c r="B148" s="504" t="s">
        <v>339</v>
      </c>
      <c r="C148" s="782"/>
      <c r="D148" s="780"/>
      <c r="E148" s="722"/>
      <c r="F148" s="722"/>
      <c r="G148" s="722"/>
      <c r="H148" s="469">
        <f>'1.1.sz.mell. '!C150</f>
        <v>0</v>
      </c>
      <c r="I148" s="119"/>
      <c r="J148" s="119"/>
      <c r="K148" s="119"/>
    </row>
    <row r="149" spans="1:11" ht="12" customHeight="1" thickBot="1" x14ac:dyDescent="0.3">
      <c r="A149" s="18" t="s">
        <v>27</v>
      </c>
      <c r="B149" s="468" t="s">
        <v>485</v>
      </c>
      <c r="C149" s="743">
        <f>SUM(C150:C154)</f>
        <v>0</v>
      </c>
      <c r="D149" s="743">
        <f t="shared" ref="D149:H149" si="12">SUM(D150:D154)</f>
        <v>0</v>
      </c>
      <c r="E149" s="743">
        <f t="shared" si="12"/>
        <v>0</v>
      </c>
      <c r="F149" s="743">
        <f t="shared" si="12"/>
        <v>0</v>
      </c>
      <c r="G149" s="743">
        <f t="shared" si="12"/>
        <v>0</v>
      </c>
      <c r="H149" s="743">
        <f t="shared" si="12"/>
        <v>0</v>
      </c>
      <c r="I149" s="308">
        <f>+I150+I151+I152+I153+I154</f>
        <v>0</v>
      </c>
      <c r="J149" s="138">
        <f>+J150+J151+J152+J153+J154</f>
        <v>0</v>
      </c>
      <c r="K149" s="138">
        <f>SUM(K150:K154)</f>
        <v>0</v>
      </c>
    </row>
    <row r="150" spans="1:11" ht="12" customHeight="1" x14ac:dyDescent="0.25">
      <c r="A150" s="13" t="s">
        <v>98</v>
      </c>
      <c r="B150" s="503" t="s">
        <v>486</v>
      </c>
      <c r="C150" s="777"/>
      <c r="D150" s="734"/>
      <c r="E150" s="722"/>
      <c r="F150" s="722"/>
      <c r="G150" s="722"/>
      <c r="H150" s="466">
        <f>'1.1.sz.mell. '!C152</f>
        <v>0</v>
      </c>
      <c r="I150" s="119"/>
      <c r="J150" s="119"/>
      <c r="K150" s="119"/>
    </row>
    <row r="151" spans="1:11" ht="12" customHeight="1" x14ac:dyDescent="0.25">
      <c r="A151" s="13" t="s">
        <v>99</v>
      </c>
      <c r="B151" s="503" t="s">
        <v>487</v>
      </c>
      <c r="C151" s="771"/>
      <c r="D151" s="779"/>
      <c r="E151" s="722"/>
      <c r="F151" s="722"/>
      <c r="G151" s="722"/>
      <c r="H151" s="466">
        <f>'1.1.sz.mell. '!C153</f>
        <v>0</v>
      </c>
      <c r="I151" s="119"/>
      <c r="J151" s="119"/>
      <c r="K151" s="119"/>
    </row>
    <row r="152" spans="1:11" ht="12" customHeight="1" x14ac:dyDescent="0.25">
      <c r="A152" s="13" t="s">
        <v>246</v>
      </c>
      <c r="B152" s="503" t="s">
        <v>488</v>
      </c>
      <c r="C152" s="777"/>
      <c r="D152" s="779"/>
      <c r="E152" s="722"/>
      <c r="F152" s="722"/>
      <c r="G152" s="722"/>
      <c r="H152" s="466">
        <f>'1.1.sz.mell. '!C154</f>
        <v>0</v>
      </c>
      <c r="I152" s="119"/>
      <c r="J152" s="119"/>
      <c r="K152" s="119"/>
    </row>
    <row r="153" spans="1:11" ht="12" customHeight="1" x14ac:dyDescent="0.25">
      <c r="A153" s="13" t="s">
        <v>247</v>
      </c>
      <c r="B153" s="503" t="s">
        <v>489</v>
      </c>
      <c r="C153" s="777"/>
      <c r="D153" s="779"/>
      <c r="E153" s="722"/>
      <c r="F153" s="722"/>
      <c r="G153" s="722"/>
      <c r="H153" s="466">
        <f>'1.1.sz.mell. '!C155</f>
        <v>0</v>
      </c>
      <c r="I153" s="119"/>
      <c r="J153" s="119"/>
      <c r="K153" s="119"/>
    </row>
    <row r="154" spans="1:11" ht="12" customHeight="1" thickBot="1" x14ac:dyDescent="0.3">
      <c r="A154" s="13" t="s">
        <v>490</v>
      </c>
      <c r="B154" s="503" t="s">
        <v>491</v>
      </c>
      <c r="C154" s="777"/>
      <c r="D154" s="780"/>
      <c r="E154" s="740"/>
      <c r="F154" s="740"/>
      <c r="G154" s="722"/>
      <c r="H154" s="469">
        <f>'1.1.sz.mell. '!C156</f>
        <v>0</v>
      </c>
      <c r="I154" s="120"/>
      <c r="J154" s="120"/>
      <c r="K154" s="119"/>
    </row>
    <row r="155" spans="1:11" ht="12" customHeight="1" thickBot="1" x14ac:dyDescent="0.3">
      <c r="A155" s="18" t="s">
        <v>28</v>
      </c>
      <c r="B155" s="468" t="s">
        <v>492</v>
      </c>
      <c r="C155" s="743"/>
      <c r="D155" s="742"/>
      <c r="E155" s="783"/>
      <c r="F155" s="784"/>
      <c r="G155" s="785"/>
      <c r="H155" s="470">
        <f>'1.1.sz.mell. '!C157</f>
        <v>0</v>
      </c>
      <c r="I155" s="308"/>
      <c r="J155" s="138"/>
      <c r="K155" s="275"/>
    </row>
    <row r="156" spans="1:11" ht="12" customHeight="1" thickBot="1" x14ac:dyDescent="0.3">
      <c r="A156" s="18" t="s">
        <v>29</v>
      </c>
      <c r="B156" s="468" t="s">
        <v>493</v>
      </c>
      <c r="C156" s="743"/>
      <c r="D156" s="742"/>
      <c r="E156" s="783"/>
      <c r="F156" s="784"/>
      <c r="G156" s="785"/>
      <c r="H156" s="470">
        <f>'1.1.sz.mell. '!C158</f>
        <v>0</v>
      </c>
      <c r="I156" s="308"/>
      <c r="J156" s="138"/>
      <c r="K156" s="275"/>
    </row>
    <row r="157" spans="1:11" ht="15" customHeight="1" thickBot="1" x14ac:dyDescent="0.3">
      <c r="A157" s="18" t="s">
        <v>30</v>
      </c>
      <c r="B157" s="468" t="s">
        <v>494</v>
      </c>
      <c r="C157" s="738">
        <f>C133+C137+C144+C149+C155+C156</f>
        <v>46286295</v>
      </c>
      <c r="D157" s="738">
        <f>D133+D137+D144+D149+D155+D156</f>
        <v>58856832</v>
      </c>
      <c r="E157" s="786"/>
      <c r="F157" s="787"/>
      <c r="G157" s="787"/>
      <c r="H157" s="470">
        <f>'1.1.sz.mell. '!C159</f>
        <v>726038434</v>
      </c>
      <c r="I157" s="309">
        <f>+I133+I137+I144+I149+I155+I156</f>
        <v>158856832</v>
      </c>
      <c r="J157" s="217">
        <f>+J133+J137+J144+J149+J155+J156</f>
        <v>0</v>
      </c>
      <c r="K157" s="217">
        <f>+K133+K137+K144+K149+K155+K156</f>
        <v>0</v>
      </c>
    </row>
    <row r="158" spans="1:11" s="299" customFormat="1" ht="12.95" customHeight="1" thickBot="1" x14ac:dyDescent="0.25">
      <c r="A158" s="128" t="s">
        <v>31</v>
      </c>
      <c r="B158" s="471" t="s">
        <v>495</v>
      </c>
      <c r="C158" s="738">
        <f>C157+C132</f>
        <v>2580759379</v>
      </c>
      <c r="D158" s="738">
        <f>D157+D132</f>
        <v>2823540880</v>
      </c>
      <c r="E158" s="786"/>
      <c r="F158" s="787"/>
      <c r="G158" s="787"/>
      <c r="H158" s="470">
        <f>'1.1.sz.mell. '!C160</f>
        <v>4453796966</v>
      </c>
      <c r="I158" s="309">
        <f>+I132+I157</f>
        <v>1293098712</v>
      </c>
      <c r="J158" s="217">
        <f>+J132+J157</f>
        <v>227256857</v>
      </c>
      <c r="K158" s="217">
        <f>+K132+K157</f>
        <v>1626897847</v>
      </c>
    </row>
    <row r="162" ht="16.5" customHeight="1" x14ac:dyDescent="0.25"/>
  </sheetData>
  <mergeCells count="6">
    <mergeCell ref="A94:B94"/>
    <mergeCell ref="A1:H1"/>
    <mergeCell ref="A3:H3"/>
    <mergeCell ref="A5:H5"/>
    <mergeCell ref="A6:B6"/>
    <mergeCell ref="A93:H93"/>
  </mergeCells>
  <pageMargins left="0.7" right="0.7" top="0.75" bottom="0.75" header="0.3" footer="0.3"/>
  <pageSetup paperSize="9" scale="73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9" zoomScaleNormal="100" workbookViewId="0">
      <selection activeCell="F12" sqref="F12"/>
    </sheetView>
  </sheetViews>
  <sheetFormatPr defaultRowHeight="12.75" x14ac:dyDescent="0.2"/>
  <cols>
    <col min="1" max="1" width="6.83203125" style="33" customWidth="1"/>
    <col min="2" max="2" width="49.6640625" style="32" customWidth="1"/>
    <col min="3" max="3" width="12.83203125" style="831" customWidth="1"/>
    <col min="4" max="8" width="12.83203125" style="32" customWidth="1"/>
    <col min="9" max="9" width="13.83203125" style="32" customWidth="1"/>
    <col min="10" max="256" width="9.33203125" style="32"/>
    <col min="257" max="257" width="6.83203125" style="32" customWidth="1"/>
    <col min="258" max="258" width="49.6640625" style="32" customWidth="1"/>
    <col min="259" max="264" width="12.83203125" style="32" customWidth="1"/>
    <col min="265" max="265" width="13.83203125" style="32" customWidth="1"/>
    <col min="266" max="512" width="9.33203125" style="32"/>
    <col min="513" max="513" width="6.83203125" style="32" customWidth="1"/>
    <col min="514" max="514" width="49.6640625" style="32" customWidth="1"/>
    <col min="515" max="520" width="12.83203125" style="32" customWidth="1"/>
    <col min="521" max="521" width="13.83203125" style="32" customWidth="1"/>
    <col min="522" max="768" width="9.33203125" style="32"/>
    <col min="769" max="769" width="6.83203125" style="32" customWidth="1"/>
    <col min="770" max="770" width="49.6640625" style="32" customWidth="1"/>
    <col min="771" max="776" width="12.83203125" style="32" customWidth="1"/>
    <col min="777" max="777" width="13.83203125" style="32" customWidth="1"/>
    <col min="778" max="1024" width="9.33203125" style="32"/>
    <col min="1025" max="1025" width="6.83203125" style="32" customWidth="1"/>
    <col min="1026" max="1026" width="49.6640625" style="32" customWidth="1"/>
    <col min="1027" max="1032" width="12.83203125" style="32" customWidth="1"/>
    <col min="1033" max="1033" width="13.83203125" style="32" customWidth="1"/>
    <col min="1034" max="1280" width="9.33203125" style="32"/>
    <col min="1281" max="1281" width="6.83203125" style="32" customWidth="1"/>
    <col min="1282" max="1282" width="49.6640625" style="32" customWidth="1"/>
    <col min="1283" max="1288" width="12.83203125" style="32" customWidth="1"/>
    <col min="1289" max="1289" width="13.83203125" style="32" customWidth="1"/>
    <col min="1290" max="1536" width="9.33203125" style="32"/>
    <col min="1537" max="1537" width="6.83203125" style="32" customWidth="1"/>
    <col min="1538" max="1538" width="49.6640625" style="32" customWidth="1"/>
    <col min="1539" max="1544" width="12.83203125" style="32" customWidth="1"/>
    <col min="1545" max="1545" width="13.83203125" style="32" customWidth="1"/>
    <col min="1546" max="1792" width="9.33203125" style="32"/>
    <col min="1793" max="1793" width="6.83203125" style="32" customWidth="1"/>
    <col min="1794" max="1794" width="49.6640625" style="32" customWidth="1"/>
    <col min="1795" max="1800" width="12.83203125" style="32" customWidth="1"/>
    <col min="1801" max="1801" width="13.83203125" style="32" customWidth="1"/>
    <col min="1802" max="2048" width="9.33203125" style="32"/>
    <col min="2049" max="2049" width="6.83203125" style="32" customWidth="1"/>
    <col min="2050" max="2050" width="49.6640625" style="32" customWidth="1"/>
    <col min="2051" max="2056" width="12.83203125" style="32" customWidth="1"/>
    <col min="2057" max="2057" width="13.83203125" style="32" customWidth="1"/>
    <col min="2058" max="2304" width="9.33203125" style="32"/>
    <col min="2305" max="2305" width="6.83203125" style="32" customWidth="1"/>
    <col min="2306" max="2306" width="49.6640625" style="32" customWidth="1"/>
    <col min="2307" max="2312" width="12.83203125" style="32" customWidth="1"/>
    <col min="2313" max="2313" width="13.83203125" style="32" customWidth="1"/>
    <col min="2314" max="2560" width="9.33203125" style="32"/>
    <col min="2561" max="2561" width="6.83203125" style="32" customWidth="1"/>
    <col min="2562" max="2562" width="49.6640625" style="32" customWidth="1"/>
    <col min="2563" max="2568" width="12.83203125" style="32" customWidth="1"/>
    <col min="2569" max="2569" width="13.83203125" style="32" customWidth="1"/>
    <col min="2570" max="2816" width="9.33203125" style="32"/>
    <col min="2817" max="2817" width="6.83203125" style="32" customWidth="1"/>
    <col min="2818" max="2818" width="49.6640625" style="32" customWidth="1"/>
    <col min="2819" max="2824" width="12.83203125" style="32" customWidth="1"/>
    <col min="2825" max="2825" width="13.83203125" style="32" customWidth="1"/>
    <col min="2826" max="3072" width="9.33203125" style="32"/>
    <col min="3073" max="3073" width="6.83203125" style="32" customWidth="1"/>
    <col min="3074" max="3074" width="49.6640625" style="32" customWidth="1"/>
    <col min="3075" max="3080" width="12.83203125" style="32" customWidth="1"/>
    <col min="3081" max="3081" width="13.83203125" style="32" customWidth="1"/>
    <col min="3082" max="3328" width="9.33203125" style="32"/>
    <col min="3329" max="3329" width="6.83203125" style="32" customWidth="1"/>
    <col min="3330" max="3330" width="49.6640625" style="32" customWidth="1"/>
    <col min="3331" max="3336" width="12.83203125" style="32" customWidth="1"/>
    <col min="3337" max="3337" width="13.83203125" style="32" customWidth="1"/>
    <col min="3338" max="3584" width="9.33203125" style="32"/>
    <col min="3585" max="3585" width="6.83203125" style="32" customWidth="1"/>
    <col min="3586" max="3586" width="49.6640625" style="32" customWidth="1"/>
    <col min="3587" max="3592" width="12.83203125" style="32" customWidth="1"/>
    <col min="3593" max="3593" width="13.83203125" style="32" customWidth="1"/>
    <col min="3594" max="3840" width="9.33203125" style="32"/>
    <col min="3841" max="3841" width="6.83203125" style="32" customWidth="1"/>
    <col min="3842" max="3842" width="49.6640625" style="32" customWidth="1"/>
    <col min="3843" max="3848" width="12.83203125" style="32" customWidth="1"/>
    <col min="3849" max="3849" width="13.83203125" style="32" customWidth="1"/>
    <col min="3850" max="4096" width="9.33203125" style="32"/>
    <col min="4097" max="4097" width="6.83203125" style="32" customWidth="1"/>
    <col min="4098" max="4098" width="49.6640625" style="32" customWidth="1"/>
    <col min="4099" max="4104" width="12.83203125" style="32" customWidth="1"/>
    <col min="4105" max="4105" width="13.83203125" style="32" customWidth="1"/>
    <col min="4106" max="4352" width="9.33203125" style="32"/>
    <col min="4353" max="4353" width="6.83203125" style="32" customWidth="1"/>
    <col min="4354" max="4354" width="49.6640625" style="32" customWidth="1"/>
    <col min="4355" max="4360" width="12.83203125" style="32" customWidth="1"/>
    <col min="4361" max="4361" width="13.83203125" style="32" customWidth="1"/>
    <col min="4362" max="4608" width="9.33203125" style="32"/>
    <col min="4609" max="4609" width="6.83203125" style="32" customWidth="1"/>
    <col min="4610" max="4610" width="49.6640625" style="32" customWidth="1"/>
    <col min="4611" max="4616" width="12.83203125" style="32" customWidth="1"/>
    <col min="4617" max="4617" width="13.83203125" style="32" customWidth="1"/>
    <col min="4618" max="4864" width="9.33203125" style="32"/>
    <col min="4865" max="4865" width="6.83203125" style="32" customWidth="1"/>
    <col min="4866" max="4866" width="49.6640625" style="32" customWidth="1"/>
    <col min="4867" max="4872" width="12.83203125" style="32" customWidth="1"/>
    <col min="4873" max="4873" width="13.83203125" style="32" customWidth="1"/>
    <col min="4874" max="5120" width="9.33203125" style="32"/>
    <col min="5121" max="5121" width="6.83203125" style="32" customWidth="1"/>
    <col min="5122" max="5122" width="49.6640625" style="32" customWidth="1"/>
    <col min="5123" max="5128" width="12.83203125" style="32" customWidth="1"/>
    <col min="5129" max="5129" width="13.83203125" style="32" customWidth="1"/>
    <col min="5130" max="5376" width="9.33203125" style="32"/>
    <col min="5377" max="5377" width="6.83203125" style="32" customWidth="1"/>
    <col min="5378" max="5378" width="49.6640625" style="32" customWidth="1"/>
    <col min="5379" max="5384" width="12.83203125" style="32" customWidth="1"/>
    <col min="5385" max="5385" width="13.83203125" style="32" customWidth="1"/>
    <col min="5386" max="5632" width="9.33203125" style="32"/>
    <col min="5633" max="5633" width="6.83203125" style="32" customWidth="1"/>
    <col min="5634" max="5634" width="49.6640625" style="32" customWidth="1"/>
    <col min="5635" max="5640" width="12.83203125" style="32" customWidth="1"/>
    <col min="5641" max="5641" width="13.83203125" style="32" customWidth="1"/>
    <col min="5642" max="5888" width="9.33203125" style="32"/>
    <col min="5889" max="5889" width="6.83203125" style="32" customWidth="1"/>
    <col min="5890" max="5890" width="49.6640625" style="32" customWidth="1"/>
    <col min="5891" max="5896" width="12.83203125" style="32" customWidth="1"/>
    <col min="5897" max="5897" width="13.83203125" style="32" customWidth="1"/>
    <col min="5898" max="6144" width="9.33203125" style="32"/>
    <col min="6145" max="6145" width="6.83203125" style="32" customWidth="1"/>
    <col min="6146" max="6146" width="49.6640625" style="32" customWidth="1"/>
    <col min="6147" max="6152" width="12.83203125" style="32" customWidth="1"/>
    <col min="6153" max="6153" width="13.83203125" style="32" customWidth="1"/>
    <col min="6154" max="6400" width="9.33203125" style="32"/>
    <col min="6401" max="6401" width="6.83203125" style="32" customWidth="1"/>
    <col min="6402" max="6402" width="49.6640625" style="32" customWidth="1"/>
    <col min="6403" max="6408" width="12.83203125" style="32" customWidth="1"/>
    <col min="6409" max="6409" width="13.83203125" style="32" customWidth="1"/>
    <col min="6410" max="6656" width="9.33203125" style="32"/>
    <col min="6657" max="6657" width="6.83203125" style="32" customWidth="1"/>
    <col min="6658" max="6658" width="49.6640625" style="32" customWidth="1"/>
    <col min="6659" max="6664" width="12.83203125" style="32" customWidth="1"/>
    <col min="6665" max="6665" width="13.83203125" style="32" customWidth="1"/>
    <col min="6666" max="6912" width="9.33203125" style="32"/>
    <col min="6913" max="6913" width="6.83203125" style="32" customWidth="1"/>
    <col min="6914" max="6914" width="49.6640625" style="32" customWidth="1"/>
    <col min="6915" max="6920" width="12.83203125" style="32" customWidth="1"/>
    <col min="6921" max="6921" width="13.83203125" style="32" customWidth="1"/>
    <col min="6922" max="7168" width="9.33203125" style="32"/>
    <col min="7169" max="7169" width="6.83203125" style="32" customWidth="1"/>
    <col min="7170" max="7170" width="49.6640625" style="32" customWidth="1"/>
    <col min="7171" max="7176" width="12.83203125" style="32" customWidth="1"/>
    <col min="7177" max="7177" width="13.83203125" style="32" customWidth="1"/>
    <col min="7178" max="7424" width="9.33203125" style="32"/>
    <col min="7425" max="7425" width="6.83203125" style="32" customWidth="1"/>
    <col min="7426" max="7426" width="49.6640625" style="32" customWidth="1"/>
    <col min="7427" max="7432" width="12.83203125" style="32" customWidth="1"/>
    <col min="7433" max="7433" width="13.83203125" style="32" customWidth="1"/>
    <col min="7434" max="7680" width="9.33203125" style="32"/>
    <col min="7681" max="7681" width="6.83203125" style="32" customWidth="1"/>
    <col min="7682" max="7682" width="49.6640625" style="32" customWidth="1"/>
    <col min="7683" max="7688" width="12.83203125" style="32" customWidth="1"/>
    <col min="7689" max="7689" width="13.83203125" style="32" customWidth="1"/>
    <col min="7690" max="7936" width="9.33203125" style="32"/>
    <col min="7937" max="7937" width="6.83203125" style="32" customWidth="1"/>
    <col min="7938" max="7938" width="49.6640625" style="32" customWidth="1"/>
    <col min="7939" max="7944" width="12.83203125" style="32" customWidth="1"/>
    <col min="7945" max="7945" width="13.83203125" style="32" customWidth="1"/>
    <col min="7946" max="8192" width="9.33203125" style="32"/>
    <col min="8193" max="8193" width="6.83203125" style="32" customWidth="1"/>
    <col min="8194" max="8194" width="49.6640625" style="32" customWidth="1"/>
    <col min="8195" max="8200" width="12.83203125" style="32" customWidth="1"/>
    <col min="8201" max="8201" width="13.83203125" style="32" customWidth="1"/>
    <col min="8202" max="8448" width="9.33203125" style="32"/>
    <col min="8449" max="8449" width="6.83203125" style="32" customWidth="1"/>
    <col min="8450" max="8450" width="49.6640625" style="32" customWidth="1"/>
    <col min="8451" max="8456" width="12.83203125" style="32" customWidth="1"/>
    <col min="8457" max="8457" width="13.83203125" style="32" customWidth="1"/>
    <col min="8458" max="8704" width="9.33203125" style="32"/>
    <col min="8705" max="8705" width="6.83203125" style="32" customWidth="1"/>
    <col min="8706" max="8706" width="49.6640625" style="32" customWidth="1"/>
    <col min="8707" max="8712" width="12.83203125" style="32" customWidth="1"/>
    <col min="8713" max="8713" width="13.83203125" style="32" customWidth="1"/>
    <col min="8714" max="8960" width="9.33203125" style="32"/>
    <col min="8961" max="8961" width="6.83203125" style="32" customWidth="1"/>
    <col min="8962" max="8962" width="49.6640625" style="32" customWidth="1"/>
    <col min="8963" max="8968" width="12.83203125" style="32" customWidth="1"/>
    <col min="8969" max="8969" width="13.83203125" style="32" customWidth="1"/>
    <col min="8970" max="9216" width="9.33203125" style="32"/>
    <col min="9217" max="9217" width="6.83203125" style="32" customWidth="1"/>
    <col min="9218" max="9218" width="49.6640625" style="32" customWidth="1"/>
    <col min="9219" max="9224" width="12.83203125" style="32" customWidth="1"/>
    <col min="9225" max="9225" width="13.83203125" style="32" customWidth="1"/>
    <col min="9226" max="9472" width="9.33203125" style="32"/>
    <col min="9473" max="9473" width="6.83203125" style="32" customWidth="1"/>
    <col min="9474" max="9474" width="49.6640625" style="32" customWidth="1"/>
    <col min="9475" max="9480" width="12.83203125" style="32" customWidth="1"/>
    <col min="9481" max="9481" width="13.83203125" style="32" customWidth="1"/>
    <col min="9482" max="9728" width="9.33203125" style="32"/>
    <col min="9729" max="9729" width="6.83203125" style="32" customWidth="1"/>
    <col min="9730" max="9730" width="49.6640625" style="32" customWidth="1"/>
    <col min="9731" max="9736" width="12.83203125" style="32" customWidth="1"/>
    <col min="9737" max="9737" width="13.83203125" style="32" customWidth="1"/>
    <col min="9738" max="9984" width="9.33203125" style="32"/>
    <col min="9985" max="9985" width="6.83203125" style="32" customWidth="1"/>
    <col min="9986" max="9986" width="49.6640625" style="32" customWidth="1"/>
    <col min="9987" max="9992" width="12.83203125" style="32" customWidth="1"/>
    <col min="9993" max="9993" width="13.83203125" style="32" customWidth="1"/>
    <col min="9994" max="10240" width="9.33203125" style="32"/>
    <col min="10241" max="10241" width="6.83203125" style="32" customWidth="1"/>
    <col min="10242" max="10242" width="49.6640625" style="32" customWidth="1"/>
    <col min="10243" max="10248" width="12.83203125" style="32" customWidth="1"/>
    <col min="10249" max="10249" width="13.83203125" style="32" customWidth="1"/>
    <col min="10250" max="10496" width="9.33203125" style="32"/>
    <col min="10497" max="10497" width="6.83203125" style="32" customWidth="1"/>
    <col min="10498" max="10498" width="49.6640625" style="32" customWidth="1"/>
    <col min="10499" max="10504" width="12.83203125" style="32" customWidth="1"/>
    <col min="10505" max="10505" width="13.83203125" style="32" customWidth="1"/>
    <col min="10506" max="10752" width="9.33203125" style="32"/>
    <col min="10753" max="10753" width="6.83203125" style="32" customWidth="1"/>
    <col min="10754" max="10754" width="49.6640625" style="32" customWidth="1"/>
    <col min="10755" max="10760" width="12.83203125" style="32" customWidth="1"/>
    <col min="10761" max="10761" width="13.83203125" style="32" customWidth="1"/>
    <col min="10762" max="11008" width="9.33203125" style="32"/>
    <col min="11009" max="11009" width="6.83203125" style="32" customWidth="1"/>
    <col min="11010" max="11010" width="49.6640625" style="32" customWidth="1"/>
    <col min="11011" max="11016" width="12.83203125" style="32" customWidth="1"/>
    <col min="11017" max="11017" width="13.83203125" style="32" customWidth="1"/>
    <col min="11018" max="11264" width="9.33203125" style="32"/>
    <col min="11265" max="11265" width="6.83203125" style="32" customWidth="1"/>
    <col min="11266" max="11266" width="49.6640625" style="32" customWidth="1"/>
    <col min="11267" max="11272" width="12.83203125" style="32" customWidth="1"/>
    <col min="11273" max="11273" width="13.83203125" style="32" customWidth="1"/>
    <col min="11274" max="11520" width="9.33203125" style="32"/>
    <col min="11521" max="11521" width="6.83203125" style="32" customWidth="1"/>
    <col min="11522" max="11522" width="49.6640625" style="32" customWidth="1"/>
    <col min="11523" max="11528" width="12.83203125" style="32" customWidth="1"/>
    <col min="11529" max="11529" width="13.83203125" style="32" customWidth="1"/>
    <col min="11530" max="11776" width="9.33203125" style="32"/>
    <col min="11777" max="11777" width="6.83203125" style="32" customWidth="1"/>
    <col min="11778" max="11778" width="49.6640625" style="32" customWidth="1"/>
    <col min="11779" max="11784" width="12.83203125" style="32" customWidth="1"/>
    <col min="11785" max="11785" width="13.83203125" style="32" customWidth="1"/>
    <col min="11786" max="12032" width="9.33203125" style="32"/>
    <col min="12033" max="12033" width="6.83203125" style="32" customWidth="1"/>
    <col min="12034" max="12034" width="49.6640625" style="32" customWidth="1"/>
    <col min="12035" max="12040" width="12.83203125" style="32" customWidth="1"/>
    <col min="12041" max="12041" width="13.83203125" style="32" customWidth="1"/>
    <col min="12042" max="12288" width="9.33203125" style="32"/>
    <col min="12289" max="12289" width="6.83203125" style="32" customWidth="1"/>
    <col min="12290" max="12290" width="49.6640625" style="32" customWidth="1"/>
    <col min="12291" max="12296" width="12.83203125" style="32" customWidth="1"/>
    <col min="12297" max="12297" width="13.83203125" style="32" customWidth="1"/>
    <col min="12298" max="12544" width="9.33203125" style="32"/>
    <col min="12545" max="12545" width="6.83203125" style="32" customWidth="1"/>
    <col min="12546" max="12546" width="49.6640625" style="32" customWidth="1"/>
    <col min="12547" max="12552" width="12.83203125" style="32" customWidth="1"/>
    <col min="12553" max="12553" width="13.83203125" style="32" customWidth="1"/>
    <col min="12554" max="12800" width="9.33203125" style="32"/>
    <col min="12801" max="12801" width="6.83203125" style="32" customWidth="1"/>
    <col min="12802" max="12802" width="49.6640625" style="32" customWidth="1"/>
    <col min="12803" max="12808" width="12.83203125" style="32" customWidth="1"/>
    <col min="12809" max="12809" width="13.83203125" style="32" customWidth="1"/>
    <col min="12810" max="13056" width="9.33203125" style="32"/>
    <col min="13057" max="13057" width="6.83203125" style="32" customWidth="1"/>
    <col min="13058" max="13058" width="49.6640625" style="32" customWidth="1"/>
    <col min="13059" max="13064" width="12.83203125" style="32" customWidth="1"/>
    <col min="13065" max="13065" width="13.83203125" style="32" customWidth="1"/>
    <col min="13066" max="13312" width="9.33203125" style="32"/>
    <col min="13313" max="13313" width="6.83203125" style="32" customWidth="1"/>
    <col min="13314" max="13314" width="49.6640625" style="32" customWidth="1"/>
    <col min="13315" max="13320" width="12.83203125" style="32" customWidth="1"/>
    <col min="13321" max="13321" width="13.83203125" style="32" customWidth="1"/>
    <col min="13322" max="13568" width="9.33203125" style="32"/>
    <col min="13569" max="13569" width="6.83203125" style="32" customWidth="1"/>
    <col min="13570" max="13570" width="49.6640625" style="32" customWidth="1"/>
    <col min="13571" max="13576" width="12.83203125" style="32" customWidth="1"/>
    <col min="13577" max="13577" width="13.83203125" style="32" customWidth="1"/>
    <col min="13578" max="13824" width="9.33203125" style="32"/>
    <col min="13825" max="13825" width="6.83203125" style="32" customWidth="1"/>
    <col min="13826" max="13826" width="49.6640625" style="32" customWidth="1"/>
    <col min="13827" max="13832" width="12.83203125" style="32" customWidth="1"/>
    <col min="13833" max="13833" width="13.83203125" style="32" customWidth="1"/>
    <col min="13834" max="14080" width="9.33203125" style="32"/>
    <col min="14081" max="14081" width="6.83203125" style="32" customWidth="1"/>
    <col min="14082" max="14082" width="49.6640625" style="32" customWidth="1"/>
    <col min="14083" max="14088" width="12.83203125" style="32" customWidth="1"/>
    <col min="14089" max="14089" width="13.83203125" style="32" customWidth="1"/>
    <col min="14090" max="14336" width="9.33203125" style="32"/>
    <col min="14337" max="14337" width="6.83203125" style="32" customWidth="1"/>
    <col min="14338" max="14338" width="49.6640625" style="32" customWidth="1"/>
    <col min="14339" max="14344" width="12.83203125" style="32" customWidth="1"/>
    <col min="14345" max="14345" width="13.83203125" style="32" customWidth="1"/>
    <col min="14346" max="14592" width="9.33203125" style="32"/>
    <col min="14593" max="14593" width="6.83203125" style="32" customWidth="1"/>
    <col min="14594" max="14594" width="49.6640625" style="32" customWidth="1"/>
    <col min="14595" max="14600" width="12.83203125" style="32" customWidth="1"/>
    <col min="14601" max="14601" width="13.83203125" style="32" customWidth="1"/>
    <col min="14602" max="14848" width="9.33203125" style="32"/>
    <col min="14849" max="14849" width="6.83203125" style="32" customWidth="1"/>
    <col min="14850" max="14850" width="49.6640625" style="32" customWidth="1"/>
    <col min="14851" max="14856" width="12.83203125" style="32" customWidth="1"/>
    <col min="14857" max="14857" width="13.83203125" style="32" customWidth="1"/>
    <col min="14858" max="15104" width="9.33203125" style="32"/>
    <col min="15105" max="15105" width="6.83203125" style="32" customWidth="1"/>
    <col min="15106" max="15106" width="49.6640625" style="32" customWidth="1"/>
    <col min="15107" max="15112" width="12.83203125" style="32" customWidth="1"/>
    <col min="15113" max="15113" width="13.83203125" style="32" customWidth="1"/>
    <col min="15114" max="15360" width="9.33203125" style="32"/>
    <col min="15361" max="15361" width="6.83203125" style="32" customWidth="1"/>
    <col min="15362" max="15362" width="49.6640625" style="32" customWidth="1"/>
    <col min="15363" max="15368" width="12.83203125" style="32" customWidth="1"/>
    <col min="15369" max="15369" width="13.83203125" style="32" customWidth="1"/>
    <col min="15370" max="15616" width="9.33203125" style="32"/>
    <col min="15617" max="15617" width="6.83203125" style="32" customWidth="1"/>
    <col min="15618" max="15618" width="49.6640625" style="32" customWidth="1"/>
    <col min="15619" max="15624" width="12.83203125" style="32" customWidth="1"/>
    <col min="15625" max="15625" width="13.83203125" style="32" customWidth="1"/>
    <col min="15626" max="15872" width="9.33203125" style="32"/>
    <col min="15873" max="15873" width="6.83203125" style="32" customWidth="1"/>
    <col min="15874" max="15874" width="49.6640625" style="32" customWidth="1"/>
    <col min="15875" max="15880" width="12.83203125" style="32" customWidth="1"/>
    <col min="15881" max="15881" width="13.83203125" style="32" customWidth="1"/>
    <col min="15882" max="16128" width="9.33203125" style="32"/>
    <col min="16129" max="16129" width="6.83203125" style="32" customWidth="1"/>
    <col min="16130" max="16130" width="49.6640625" style="32" customWidth="1"/>
    <col min="16131" max="16136" width="12.83203125" style="32" customWidth="1"/>
    <col min="16137" max="16137" width="13.83203125" style="32" customWidth="1"/>
    <col min="16138" max="16384" width="9.33203125" style="32"/>
  </cols>
  <sheetData>
    <row r="1" spans="1:9" s="1252" customFormat="1" ht="15.75" x14ac:dyDescent="0.2">
      <c r="A1" s="1532" t="str">
        <f>CONCATENATE("2. számú tájékoztató tábla ",ALAPADATOK!A7," ",ALAPADATOK!B7," ",ALAPADATOK!C7," ",ALAPADATOK!D7," ",ALAPADATOK!E7," ",ALAPADATOK!F7," ",ALAPADATOK!G7," ",ALAPADATOK!H7)</f>
        <v>2. számú tájékoztató tábla a 6 / 2020. ( II.27 ) önkormányzati határozathoz</v>
      </c>
      <c r="B1" s="1532"/>
      <c r="C1" s="1532"/>
      <c r="D1" s="1532"/>
      <c r="E1" s="1532"/>
      <c r="F1" s="1532"/>
      <c r="G1" s="1532"/>
      <c r="H1" s="1532"/>
      <c r="I1" s="1532"/>
    </row>
    <row r="2" spans="1:9" s="1252" customFormat="1" x14ac:dyDescent="0.2">
      <c r="A2" s="1253"/>
      <c r="C2" s="1278"/>
    </row>
    <row r="3" spans="1:9" ht="27.75" customHeight="1" x14ac:dyDescent="0.2">
      <c r="A3" s="1525" t="s">
        <v>10</v>
      </c>
      <c r="B3" s="1525"/>
      <c r="C3" s="1525"/>
      <c r="D3" s="1525"/>
      <c r="E3" s="1525"/>
      <c r="F3" s="1525"/>
      <c r="G3" s="1525"/>
      <c r="H3" s="1525"/>
      <c r="I3" s="1525"/>
    </row>
    <row r="4" spans="1:9" ht="20.25" customHeight="1" thickBot="1" x14ac:dyDescent="0.3">
      <c r="B4" s="249"/>
      <c r="I4" s="250" t="s">
        <v>568</v>
      </c>
    </row>
    <row r="5" spans="1:9" s="251" customFormat="1" ht="22.5" customHeight="1" x14ac:dyDescent="0.2">
      <c r="A5" s="1574" t="s">
        <v>72</v>
      </c>
      <c r="B5" s="1570" t="s">
        <v>86</v>
      </c>
      <c r="C5" s="1574" t="s">
        <v>87</v>
      </c>
      <c r="D5" s="1574" t="s">
        <v>827</v>
      </c>
      <c r="E5" s="1567" t="s">
        <v>71</v>
      </c>
      <c r="F5" s="1568"/>
      <c r="G5" s="1568"/>
      <c r="H5" s="1569"/>
      <c r="I5" s="1570" t="s">
        <v>53</v>
      </c>
    </row>
    <row r="6" spans="1:9" s="252" customFormat="1" ht="17.25" customHeight="1" thickBot="1" x14ac:dyDescent="0.25">
      <c r="A6" s="1575"/>
      <c r="B6" s="1571"/>
      <c r="C6" s="1571"/>
      <c r="D6" s="1575"/>
      <c r="E6" s="1295">
        <v>2020</v>
      </c>
      <c r="F6" s="1295">
        <v>2021</v>
      </c>
      <c r="G6" s="1295">
        <v>2022</v>
      </c>
      <c r="H6" s="1296" t="s">
        <v>828</v>
      </c>
      <c r="I6" s="1571"/>
    </row>
    <row r="7" spans="1:9" s="253" customFormat="1" ht="18" customHeight="1" thickBot="1" x14ac:dyDescent="0.25">
      <c r="A7" s="1297">
        <v>1</v>
      </c>
      <c r="B7" s="1298">
        <v>2</v>
      </c>
      <c r="C7" s="1299">
        <v>3</v>
      </c>
      <c r="D7" s="1300">
        <v>4</v>
      </c>
      <c r="E7" s="1297">
        <v>5</v>
      </c>
      <c r="F7" s="1301">
        <v>6</v>
      </c>
      <c r="G7" s="1301">
        <v>7</v>
      </c>
      <c r="H7" s="1302">
        <v>8</v>
      </c>
      <c r="I7" s="1303" t="s">
        <v>88</v>
      </c>
    </row>
    <row r="8" spans="1:9" ht="24.75" customHeight="1" x14ac:dyDescent="0.2">
      <c r="A8" s="1304" t="s">
        <v>21</v>
      </c>
      <c r="B8" s="1305" t="s">
        <v>955</v>
      </c>
      <c r="C8" s="1306">
        <v>2020</v>
      </c>
      <c r="D8" s="1307">
        <v>0</v>
      </c>
      <c r="E8" s="1307">
        <v>0</v>
      </c>
      <c r="F8" s="1307">
        <v>0</v>
      </c>
      <c r="G8" s="1307">
        <v>0</v>
      </c>
      <c r="H8" s="1307">
        <v>0</v>
      </c>
      <c r="I8" s="1335">
        <v>0</v>
      </c>
    </row>
    <row r="9" spans="1:9" ht="24.75" customHeight="1" thickBot="1" x14ac:dyDescent="0.25">
      <c r="A9" s="1308" t="s">
        <v>22</v>
      </c>
      <c r="B9" s="1309"/>
      <c r="C9" s="1310"/>
      <c r="D9" s="1311"/>
      <c r="E9" s="1311"/>
      <c r="F9" s="1311"/>
      <c r="G9" s="1311"/>
      <c r="H9" s="1311"/>
      <c r="I9" s="1331"/>
    </row>
    <row r="10" spans="1:9" ht="24" customHeight="1" thickBot="1" x14ac:dyDescent="0.25">
      <c r="A10" s="1312" t="s">
        <v>23</v>
      </c>
      <c r="B10" s="1313" t="s">
        <v>11</v>
      </c>
      <c r="C10" s="1314"/>
      <c r="D10" s="1315"/>
      <c r="E10" s="1315"/>
      <c r="F10" s="1315"/>
      <c r="G10" s="1315"/>
      <c r="H10" s="1339"/>
      <c r="I10" s="1338"/>
    </row>
    <row r="11" spans="1:9" ht="32.25" customHeight="1" x14ac:dyDescent="0.2">
      <c r="A11" s="1316" t="s">
        <v>24</v>
      </c>
      <c r="B11" s="1317" t="s">
        <v>569</v>
      </c>
      <c r="C11" s="1318">
        <v>2016</v>
      </c>
      <c r="D11" s="1319">
        <v>8888000</v>
      </c>
      <c r="E11" s="1320">
        <v>1806590</v>
      </c>
      <c r="F11" s="1320">
        <v>0</v>
      </c>
      <c r="G11" s="1321">
        <v>0</v>
      </c>
      <c r="H11" s="1321">
        <v>0</v>
      </c>
      <c r="I11" s="1322">
        <f t="shared" ref="I11:I26" si="0">SUM(D11:H11)</f>
        <v>10694590</v>
      </c>
    </row>
    <row r="12" spans="1:9" ht="33" customHeight="1" x14ac:dyDescent="0.2">
      <c r="A12" s="1316" t="s">
        <v>25</v>
      </c>
      <c r="B12" s="1317" t="s">
        <v>570</v>
      </c>
      <c r="C12" s="1318">
        <v>2016</v>
      </c>
      <c r="D12" s="1319">
        <v>2944000</v>
      </c>
      <c r="E12" s="1320">
        <v>1472000</v>
      </c>
      <c r="F12" s="1320">
        <v>1472000</v>
      </c>
      <c r="G12" s="1320">
        <v>1472000</v>
      </c>
      <c r="H12" s="1321">
        <v>2943000</v>
      </c>
      <c r="I12" s="1322">
        <f t="shared" si="0"/>
        <v>10303000</v>
      </c>
    </row>
    <row r="13" spans="1:9" ht="35.25" customHeight="1" x14ac:dyDescent="0.2">
      <c r="A13" s="1316" t="s">
        <v>26</v>
      </c>
      <c r="B13" s="1317" t="s">
        <v>571</v>
      </c>
      <c r="C13" s="1318">
        <v>2016</v>
      </c>
      <c r="D13" s="1319">
        <v>3104500</v>
      </c>
      <c r="E13" s="1319">
        <v>887000</v>
      </c>
      <c r="F13" s="1319">
        <v>443461</v>
      </c>
      <c r="G13" s="1319">
        <v>0</v>
      </c>
      <c r="H13" s="1319">
        <v>0</v>
      </c>
      <c r="I13" s="1322">
        <f t="shared" si="0"/>
        <v>4434961</v>
      </c>
    </row>
    <row r="14" spans="1:9" ht="30" customHeight="1" x14ac:dyDescent="0.2">
      <c r="A14" s="1316" t="s">
        <v>27</v>
      </c>
      <c r="B14" s="1317" t="s">
        <v>572</v>
      </c>
      <c r="C14" s="1318">
        <v>2016</v>
      </c>
      <c r="D14" s="1319">
        <v>3895500</v>
      </c>
      <c r="E14" s="1319">
        <v>1113000</v>
      </c>
      <c r="F14" s="1319">
        <v>556539</v>
      </c>
      <c r="G14" s="1319">
        <v>0</v>
      </c>
      <c r="H14" s="1319">
        <v>0</v>
      </c>
      <c r="I14" s="1322">
        <f t="shared" si="0"/>
        <v>5565039</v>
      </c>
    </row>
    <row r="15" spans="1:9" ht="30" customHeight="1" x14ac:dyDescent="0.2">
      <c r="A15" s="1316" t="s">
        <v>28</v>
      </c>
      <c r="B15" s="1317" t="s">
        <v>956</v>
      </c>
      <c r="C15" s="1318">
        <v>2017</v>
      </c>
      <c r="D15" s="1319">
        <v>4940000</v>
      </c>
      <c r="E15" s="1319">
        <v>4940000</v>
      </c>
      <c r="F15" s="1319">
        <v>4940000</v>
      </c>
      <c r="G15" s="1319">
        <v>4940000</v>
      </c>
      <c r="H15" s="1319">
        <v>21341155</v>
      </c>
      <c r="I15" s="1322">
        <f t="shared" si="0"/>
        <v>41101155</v>
      </c>
    </row>
    <row r="16" spans="1:9" ht="30" customHeight="1" x14ac:dyDescent="0.2">
      <c r="A16" s="1316" t="s">
        <v>29</v>
      </c>
      <c r="B16" s="1317" t="s">
        <v>577</v>
      </c>
      <c r="C16" s="1318">
        <v>2017</v>
      </c>
      <c r="D16" s="1319">
        <v>1464000</v>
      </c>
      <c r="E16" s="1319">
        <v>1464000</v>
      </c>
      <c r="F16" s="1319">
        <v>1464000</v>
      </c>
      <c r="G16" s="1319">
        <v>1108000</v>
      </c>
      <c r="H16" s="1319">
        <v>0</v>
      </c>
      <c r="I16" s="1322">
        <f t="shared" si="0"/>
        <v>5500000</v>
      </c>
    </row>
    <row r="17" spans="1:10" ht="30" customHeight="1" x14ac:dyDescent="0.2">
      <c r="A17" s="1316" t="s">
        <v>30</v>
      </c>
      <c r="B17" s="1317" t="s">
        <v>590</v>
      </c>
      <c r="C17" s="1318">
        <v>2018</v>
      </c>
      <c r="D17" s="1323">
        <v>492000</v>
      </c>
      <c r="E17" s="1320">
        <v>984000</v>
      </c>
      <c r="F17" s="1320">
        <v>984000</v>
      </c>
      <c r="G17" s="1320">
        <v>741452</v>
      </c>
      <c r="H17" s="1319">
        <v>0</v>
      </c>
      <c r="I17" s="1322">
        <f t="shared" si="0"/>
        <v>3201452</v>
      </c>
    </row>
    <row r="18" spans="1:10" ht="30" customHeight="1" x14ac:dyDescent="0.2">
      <c r="A18" s="1316" t="s">
        <v>31</v>
      </c>
      <c r="B18" s="1317" t="s">
        <v>706</v>
      </c>
      <c r="C18" s="1318">
        <v>2018</v>
      </c>
      <c r="D18" s="1323">
        <v>621000</v>
      </c>
      <c r="E18" s="1320">
        <v>1242000</v>
      </c>
      <c r="F18" s="1320">
        <v>1118946</v>
      </c>
      <c r="G18" s="1320">
        <v>0</v>
      </c>
      <c r="H18" s="1319">
        <v>0</v>
      </c>
      <c r="I18" s="1322">
        <f t="shared" si="0"/>
        <v>2981946</v>
      </c>
    </row>
    <row r="19" spans="1:10" ht="26.25" customHeight="1" x14ac:dyDescent="0.2">
      <c r="A19" s="1316" t="s">
        <v>32</v>
      </c>
      <c r="B19" s="1317" t="s">
        <v>589</v>
      </c>
      <c r="C19" s="1318">
        <v>2018</v>
      </c>
      <c r="D19" s="1323">
        <v>317500</v>
      </c>
      <c r="E19" s="1320">
        <v>1270000</v>
      </c>
      <c r="F19" s="1320">
        <v>1270000</v>
      </c>
      <c r="G19" s="1320">
        <v>1270000</v>
      </c>
      <c r="H19" s="1319">
        <v>741242</v>
      </c>
      <c r="I19" s="1322">
        <f t="shared" si="0"/>
        <v>4868742</v>
      </c>
    </row>
    <row r="20" spans="1:10" ht="30" customHeight="1" x14ac:dyDescent="0.2">
      <c r="A20" s="1316" t="s">
        <v>33</v>
      </c>
      <c r="B20" s="1317" t="s">
        <v>591</v>
      </c>
      <c r="C20" s="1318">
        <v>2018</v>
      </c>
      <c r="D20" s="1323">
        <v>834000</v>
      </c>
      <c r="E20" s="1320">
        <v>1668000</v>
      </c>
      <c r="F20" s="1320">
        <v>1668000</v>
      </c>
      <c r="G20" s="1320">
        <v>1668000</v>
      </c>
      <c r="H20" s="1319">
        <v>4057526</v>
      </c>
      <c r="I20" s="1322">
        <f t="shared" si="0"/>
        <v>9895526</v>
      </c>
    </row>
    <row r="21" spans="1:10" ht="30" customHeight="1" x14ac:dyDescent="0.2">
      <c r="A21" s="1316" t="s">
        <v>34</v>
      </c>
      <c r="B21" s="1317" t="s">
        <v>592</v>
      </c>
      <c r="C21" s="1318">
        <v>2018</v>
      </c>
      <c r="D21" s="1319">
        <v>0</v>
      </c>
      <c r="E21" s="1319">
        <v>1834504</v>
      </c>
      <c r="F21" s="1319">
        <v>1834504</v>
      </c>
      <c r="G21" s="1320">
        <v>1834504</v>
      </c>
      <c r="H21" s="1319">
        <v>3539250</v>
      </c>
      <c r="I21" s="1322">
        <f t="shared" si="0"/>
        <v>9042762</v>
      </c>
    </row>
    <row r="22" spans="1:10" ht="30" customHeight="1" x14ac:dyDescent="0.2">
      <c r="A22" s="1316" t="s">
        <v>35</v>
      </c>
      <c r="B22" s="1317" t="s">
        <v>707</v>
      </c>
      <c r="C22" s="1318">
        <v>2018</v>
      </c>
      <c r="D22" s="1319">
        <v>0</v>
      </c>
      <c r="E22" s="1319">
        <v>3171740</v>
      </c>
      <c r="F22" s="1319">
        <v>1848697</v>
      </c>
      <c r="G22" s="1320">
        <v>0</v>
      </c>
      <c r="H22" s="1319">
        <v>0</v>
      </c>
      <c r="I22" s="1322">
        <f t="shared" si="0"/>
        <v>5020437</v>
      </c>
    </row>
    <row r="23" spans="1:10" ht="20.100000000000001" customHeight="1" x14ac:dyDescent="0.2">
      <c r="A23" s="1316" t="s">
        <v>36</v>
      </c>
      <c r="B23" s="1324" t="s">
        <v>708</v>
      </c>
      <c r="C23" s="1325">
        <v>2018</v>
      </c>
      <c r="D23" s="1326">
        <v>0</v>
      </c>
      <c r="E23" s="1326">
        <v>2777600</v>
      </c>
      <c r="F23" s="1326">
        <v>2777600</v>
      </c>
      <c r="G23" s="1326">
        <v>2777600</v>
      </c>
      <c r="H23" s="1326">
        <v>16667200</v>
      </c>
      <c r="I23" s="1322">
        <f t="shared" si="0"/>
        <v>25000000</v>
      </c>
    </row>
    <row r="24" spans="1:10" ht="20.100000000000001" customHeight="1" x14ac:dyDescent="0.2">
      <c r="A24" s="1316" t="s">
        <v>37</v>
      </c>
      <c r="B24" s="1327" t="s">
        <v>709</v>
      </c>
      <c r="C24" s="1328">
        <v>2019</v>
      </c>
      <c r="D24" s="1329">
        <v>0</v>
      </c>
      <c r="E24" s="1329">
        <v>508000</v>
      </c>
      <c r="F24" s="1329">
        <v>1016000</v>
      </c>
      <c r="G24" s="1329">
        <v>1016000</v>
      </c>
      <c r="H24" s="1329">
        <v>1526909</v>
      </c>
      <c r="I24" s="1322">
        <f t="shared" si="0"/>
        <v>4066909</v>
      </c>
    </row>
    <row r="25" spans="1:10" ht="24" customHeight="1" x14ac:dyDescent="0.2">
      <c r="A25" s="1316" t="s">
        <v>38</v>
      </c>
      <c r="B25" s="1341" t="s">
        <v>710</v>
      </c>
      <c r="C25" s="1318">
        <v>2019</v>
      </c>
      <c r="D25" s="1319">
        <v>0</v>
      </c>
      <c r="E25" s="1319">
        <v>900000</v>
      </c>
      <c r="F25" s="1319">
        <v>3600000</v>
      </c>
      <c r="G25" s="1319">
        <v>3600000</v>
      </c>
      <c r="H25" s="1319">
        <v>9900000</v>
      </c>
      <c r="I25" s="1342">
        <f t="shared" si="0"/>
        <v>18000000</v>
      </c>
    </row>
    <row r="26" spans="1:10" ht="20.100000000000001" customHeight="1" x14ac:dyDescent="0.2">
      <c r="A26" s="1316" t="s">
        <v>39</v>
      </c>
      <c r="B26" s="1341" t="s">
        <v>930</v>
      </c>
      <c r="C26" s="1318">
        <v>2020</v>
      </c>
      <c r="D26" s="1319">
        <v>0</v>
      </c>
      <c r="E26" s="1319">
        <v>0</v>
      </c>
      <c r="F26" s="1319">
        <v>479400</v>
      </c>
      <c r="G26" s="1319">
        <v>958800</v>
      </c>
      <c r="H26" s="1319">
        <v>2396790</v>
      </c>
      <c r="I26" s="1342">
        <f t="shared" si="0"/>
        <v>3834990</v>
      </c>
      <c r="J26" s="254"/>
    </row>
    <row r="27" spans="1:10" ht="20.100000000000001" customHeight="1" thickBot="1" x14ac:dyDescent="0.25">
      <c r="A27" s="1303" t="s">
        <v>40</v>
      </c>
      <c r="B27" s="1340" t="s">
        <v>931</v>
      </c>
      <c r="C27" s="1328">
        <v>2020</v>
      </c>
      <c r="D27" s="1329">
        <v>0</v>
      </c>
      <c r="E27" s="1329">
        <v>0</v>
      </c>
      <c r="F27" s="1329">
        <v>0</v>
      </c>
      <c r="G27" s="1329">
        <v>2880000</v>
      </c>
      <c r="H27" s="1329">
        <v>13630000</v>
      </c>
      <c r="I27" s="1342">
        <f>SUM(D27:H27)</f>
        <v>16510000</v>
      </c>
      <c r="J27" s="254"/>
    </row>
    <row r="28" spans="1:10" ht="20.100000000000001" customHeight="1" x14ac:dyDescent="0.2">
      <c r="A28" s="1304"/>
      <c r="B28" s="1332"/>
      <c r="C28" s="1333"/>
      <c r="D28" s="1334"/>
      <c r="E28" s="1334"/>
      <c r="F28" s="1334"/>
      <c r="G28" s="1334"/>
      <c r="H28" s="1334"/>
      <c r="I28" s="1335"/>
      <c r="J28" s="254"/>
    </row>
    <row r="29" spans="1:10" ht="20.100000000000001" customHeight="1" thickBot="1" x14ac:dyDescent="0.25">
      <c r="A29" s="1330"/>
      <c r="B29" s="1336"/>
      <c r="C29" s="1328"/>
      <c r="D29" s="1329"/>
      <c r="E29" s="1329"/>
      <c r="F29" s="1329"/>
      <c r="G29" s="1329"/>
      <c r="H29" s="1329"/>
      <c r="I29" s="1331"/>
    </row>
    <row r="30" spans="1:10" ht="13.5" thickBot="1" x14ac:dyDescent="0.25">
      <c r="A30" s="1572" t="s">
        <v>54</v>
      </c>
      <c r="B30" s="1573"/>
      <c r="C30" s="1337"/>
      <c r="D30" s="1338">
        <v>27500500</v>
      </c>
      <c r="E30" s="1338">
        <v>26038434</v>
      </c>
      <c r="F30" s="1338">
        <v>25473147</v>
      </c>
      <c r="G30" s="1338">
        <v>24706356</v>
      </c>
      <c r="H30" s="1338">
        <v>78843072</v>
      </c>
      <c r="I30" s="1338">
        <v>182561509</v>
      </c>
    </row>
    <row r="31" spans="1:10" ht="15" x14ac:dyDescent="0.25">
      <c r="B31" s="74" t="s">
        <v>530</v>
      </c>
      <c r="C31" s="832"/>
      <c r="D31" s="74"/>
      <c r="E31" s="74"/>
      <c r="F31" s="74"/>
      <c r="G31" s="74"/>
      <c r="H31" s="74"/>
    </row>
    <row r="33" spans="2:8" ht="15.75" x14ac:dyDescent="0.2">
      <c r="B33" s="508"/>
    </row>
    <row r="34" spans="2:8" ht="15.75" x14ac:dyDescent="0.2">
      <c r="B34" s="828"/>
      <c r="C34" s="833"/>
      <c r="D34" s="255"/>
      <c r="E34" s="255"/>
      <c r="F34" s="255"/>
      <c r="G34" s="255"/>
      <c r="H34" s="255"/>
    </row>
    <row r="35" spans="2:8" x14ac:dyDescent="0.2">
      <c r="B35" s="255"/>
      <c r="C35" s="834"/>
    </row>
    <row r="36" spans="2:8" x14ac:dyDescent="0.2">
      <c r="B36" s="255"/>
      <c r="C36" s="834"/>
    </row>
    <row r="37" spans="2:8" x14ac:dyDescent="0.2">
      <c r="B37" s="255"/>
      <c r="C37" s="835"/>
    </row>
    <row r="38" spans="2:8" x14ac:dyDescent="0.2">
      <c r="B38" s="255"/>
      <c r="C38" s="834"/>
    </row>
    <row r="39" spans="2:8" x14ac:dyDescent="0.2">
      <c r="B39" s="255"/>
      <c r="C39" s="834"/>
    </row>
    <row r="40" spans="2:8" x14ac:dyDescent="0.2">
      <c r="B40" s="255"/>
      <c r="C40" s="834"/>
    </row>
    <row r="41" spans="2:8" x14ac:dyDescent="0.2">
      <c r="B41" s="255"/>
      <c r="C41" s="834"/>
    </row>
    <row r="42" spans="2:8" x14ac:dyDescent="0.2">
      <c r="B42" s="255"/>
      <c r="C42" s="834"/>
    </row>
    <row r="43" spans="2:8" x14ac:dyDescent="0.2">
      <c r="B43" s="255"/>
      <c r="C43" s="834"/>
    </row>
    <row r="44" spans="2:8" ht="17.25" customHeight="1" x14ac:dyDescent="0.2">
      <c r="B44" s="256"/>
      <c r="C44" s="835"/>
    </row>
    <row r="45" spans="2:8" x14ac:dyDescent="0.2">
      <c r="B45" s="255"/>
    </row>
    <row r="46" spans="2:8" x14ac:dyDescent="0.2">
      <c r="B46" s="257"/>
      <c r="C46" s="835"/>
    </row>
    <row r="47" spans="2:8" x14ac:dyDescent="0.2">
      <c r="C47" s="834"/>
      <c r="D47" s="33"/>
    </row>
    <row r="48" spans="2:8" x14ac:dyDescent="0.2">
      <c r="C48" s="834"/>
      <c r="D48" s="33"/>
    </row>
    <row r="49" spans="2:4" x14ac:dyDescent="0.2">
      <c r="C49" s="834"/>
      <c r="D49" s="33"/>
    </row>
    <row r="51" spans="2:4" x14ac:dyDescent="0.2">
      <c r="B51" s="257"/>
      <c r="C51" s="835"/>
    </row>
    <row r="52" spans="2:4" x14ac:dyDescent="0.2">
      <c r="D52" s="33"/>
    </row>
    <row r="53" spans="2:4" x14ac:dyDescent="0.2">
      <c r="D53" s="33"/>
    </row>
    <row r="54" spans="2:4" x14ac:dyDescent="0.2">
      <c r="D54" s="33"/>
    </row>
  </sheetData>
  <mergeCells count="9">
    <mergeCell ref="A1:I1"/>
    <mergeCell ref="A3:I3"/>
    <mergeCell ref="E5:H5"/>
    <mergeCell ref="I5:I6"/>
    <mergeCell ref="A30:B30"/>
    <mergeCell ref="A5:A6"/>
    <mergeCell ref="B5:B6"/>
    <mergeCell ref="C5:C6"/>
    <mergeCell ref="D5:D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 xml:space="preserve">&amp;C&amp;"Times New Roman CE,Félkövér"&amp;12
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zoomScaleNormal="100" workbookViewId="0">
      <selection activeCell="F12" sqref="F12"/>
    </sheetView>
  </sheetViews>
  <sheetFormatPr defaultRowHeight="12.75" x14ac:dyDescent="0.2"/>
  <cols>
    <col min="1" max="1" width="5.83203125" style="599" customWidth="1"/>
    <col min="2" max="2" width="54.83203125" style="2" customWidth="1"/>
    <col min="3" max="4" width="17.6640625" style="2" customWidth="1"/>
    <col min="5" max="16384" width="9.33203125" style="2"/>
  </cols>
  <sheetData>
    <row r="1" spans="1:4" s="1250" customFormat="1" x14ac:dyDescent="0.2">
      <c r="A1" s="1578" t="str">
        <f>CONCATENATE("3. számú tájékoztató tábla ",ALAPADATOK!A7," ",ALAPADATOK!B7," ",ALAPADATOK!C7," ",ALAPADATOK!D7," ",ALAPADATOK!E7," ",ALAPADATOK!F7," ",ALAPADATOK!G7," ",ALAPADATOK!H7)</f>
        <v>3. számú tájékoztató tábla a 6 / 2020. ( II.27 ) önkormányzati határozathoz</v>
      </c>
      <c r="B1" s="1578"/>
      <c r="C1" s="1578"/>
      <c r="D1" s="1578"/>
    </row>
    <row r="2" spans="1:4" s="1250" customFormat="1" x14ac:dyDescent="0.2">
      <c r="A2" s="1275"/>
    </row>
    <row r="3" spans="1:4" ht="31.5" customHeight="1" x14ac:dyDescent="0.25">
      <c r="B3" s="1576" t="s">
        <v>623</v>
      </c>
      <c r="C3" s="1576"/>
      <c r="D3" s="1576"/>
    </row>
    <row r="4" spans="1:4" s="40" customFormat="1" ht="16.5" thickBot="1" x14ac:dyDescent="0.3">
      <c r="A4" s="600"/>
      <c r="B4" s="601" t="s">
        <v>718</v>
      </c>
      <c r="D4" s="602" t="s">
        <v>560</v>
      </c>
    </row>
    <row r="5" spans="1:4" s="598" customFormat="1" ht="48" customHeight="1" thickBot="1" x14ac:dyDescent="0.25">
      <c r="A5" s="603" t="s">
        <v>19</v>
      </c>
      <c r="B5" s="596" t="s">
        <v>20</v>
      </c>
      <c r="C5" s="596" t="s">
        <v>624</v>
      </c>
      <c r="D5" s="597" t="s">
        <v>625</v>
      </c>
    </row>
    <row r="6" spans="1:4" s="598" customFormat="1" ht="14.1" customHeight="1" thickBot="1" x14ac:dyDescent="0.25">
      <c r="A6" s="604">
        <v>1</v>
      </c>
      <c r="B6" s="86">
        <v>2</v>
      </c>
      <c r="C6" s="86">
        <v>3</v>
      </c>
      <c r="D6" s="87">
        <v>4</v>
      </c>
    </row>
    <row r="7" spans="1:4" ht="18" customHeight="1" x14ac:dyDescent="0.2">
      <c r="A7" s="605" t="s">
        <v>21</v>
      </c>
      <c r="B7" s="606" t="s">
        <v>626</v>
      </c>
      <c r="C7" s="607"/>
      <c r="D7" s="608"/>
    </row>
    <row r="8" spans="1:4" ht="18" customHeight="1" x14ac:dyDescent="0.2">
      <c r="A8" s="609" t="s">
        <v>22</v>
      </c>
      <c r="B8" s="610" t="s">
        <v>627</v>
      </c>
      <c r="C8" s="611"/>
      <c r="D8" s="43"/>
    </row>
    <row r="9" spans="1:4" ht="18" customHeight="1" x14ac:dyDescent="0.2">
      <c r="A9" s="609" t="s">
        <v>23</v>
      </c>
      <c r="B9" s="610" t="s">
        <v>628</v>
      </c>
      <c r="C9" s="611"/>
      <c r="D9" s="43"/>
    </row>
    <row r="10" spans="1:4" ht="18" customHeight="1" x14ac:dyDescent="0.2">
      <c r="A10" s="609" t="s">
        <v>24</v>
      </c>
      <c r="B10" s="610" t="s">
        <v>629</v>
      </c>
      <c r="C10" s="611"/>
      <c r="D10" s="43"/>
    </row>
    <row r="11" spans="1:4" ht="18" customHeight="1" x14ac:dyDescent="0.2">
      <c r="A11" s="609" t="s">
        <v>25</v>
      </c>
      <c r="B11" s="610" t="s">
        <v>630</v>
      </c>
      <c r="C11" s="612">
        <f>SUM(C12:C17)</f>
        <v>0</v>
      </c>
      <c r="D11" s="613">
        <f>SUM(D12:D17)</f>
        <v>0</v>
      </c>
    </row>
    <row r="12" spans="1:4" ht="18" customHeight="1" x14ac:dyDescent="0.2">
      <c r="A12" s="609" t="s">
        <v>26</v>
      </c>
      <c r="B12" s="610" t="s">
        <v>631</v>
      </c>
      <c r="C12" s="611"/>
      <c r="D12" s="43"/>
    </row>
    <row r="13" spans="1:4" ht="18" customHeight="1" x14ac:dyDescent="0.2">
      <c r="A13" s="609" t="s">
        <v>27</v>
      </c>
      <c r="B13" s="614" t="s">
        <v>632</v>
      </c>
      <c r="C13" s="611"/>
      <c r="D13" s="43"/>
    </row>
    <row r="14" spans="1:4" ht="18" customHeight="1" x14ac:dyDescent="0.2">
      <c r="A14" s="609" t="s">
        <v>29</v>
      </c>
      <c r="B14" s="614" t="s">
        <v>633</v>
      </c>
      <c r="C14" s="611">
        <v>0</v>
      </c>
      <c r="D14" s="615"/>
    </row>
    <row r="15" spans="1:4" ht="18" customHeight="1" x14ac:dyDescent="0.2">
      <c r="A15" s="609" t="s">
        <v>30</v>
      </c>
      <c r="B15" s="614" t="s">
        <v>634</v>
      </c>
      <c r="C15" s="611"/>
      <c r="D15" s="43"/>
    </row>
    <row r="16" spans="1:4" ht="18" customHeight="1" x14ac:dyDescent="0.2">
      <c r="A16" s="609" t="s">
        <v>31</v>
      </c>
      <c r="B16" s="614" t="s">
        <v>635</v>
      </c>
      <c r="C16" s="611"/>
      <c r="D16" s="43"/>
    </row>
    <row r="17" spans="1:4" ht="22.5" customHeight="1" x14ac:dyDescent="0.2">
      <c r="A17" s="609" t="s">
        <v>32</v>
      </c>
      <c r="B17" s="614" t="s">
        <v>636</v>
      </c>
      <c r="C17" s="611"/>
      <c r="D17" s="43"/>
    </row>
    <row r="18" spans="1:4" ht="18" customHeight="1" x14ac:dyDescent="0.2">
      <c r="A18" s="609" t="s">
        <v>33</v>
      </c>
      <c r="B18" s="610" t="s">
        <v>637</v>
      </c>
      <c r="C18" s="611"/>
      <c r="D18" s="43"/>
    </row>
    <row r="19" spans="1:4" ht="18" customHeight="1" x14ac:dyDescent="0.2">
      <c r="A19" s="609" t="s">
        <v>34</v>
      </c>
      <c r="B19" s="610" t="s">
        <v>638</v>
      </c>
      <c r="C19" s="611"/>
      <c r="D19" s="43"/>
    </row>
    <row r="20" spans="1:4" ht="18" customHeight="1" x14ac:dyDescent="0.2">
      <c r="A20" s="609" t="s">
        <v>35</v>
      </c>
      <c r="B20" s="610" t="s">
        <v>639</v>
      </c>
      <c r="C20" s="611"/>
      <c r="D20" s="43"/>
    </row>
    <row r="21" spans="1:4" ht="18" customHeight="1" x14ac:dyDescent="0.2">
      <c r="A21" s="609" t="s">
        <v>36</v>
      </c>
      <c r="B21" s="610" t="s">
        <v>640</v>
      </c>
      <c r="C21" s="611"/>
      <c r="D21" s="43"/>
    </row>
    <row r="22" spans="1:4" ht="18" customHeight="1" x14ac:dyDescent="0.2">
      <c r="A22" s="609" t="s">
        <v>37</v>
      </c>
      <c r="B22" s="610" t="s">
        <v>641</v>
      </c>
      <c r="C22" s="611"/>
      <c r="D22" s="43"/>
    </row>
    <row r="23" spans="1:4" ht="18" customHeight="1" x14ac:dyDescent="0.2">
      <c r="A23" s="609" t="s">
        <v>38</v>
      </c>
      <c r="B23" s="616"/>
      <c r="C23" s="42"/>
      <c r="D23" s="43"/>
    </row>
    <row r="24" spans="1:4" ht="18" customHeight="1" x14ac:dyDescent="0.2">
      <c r="A24" s="609" t="s">
        <v>39</v>
      </c>
      <c r="B24" s="617"/>
      <c r="C24" s="42"/>
      <c r="D24" s="43"/>
    </row>
    <row r="25" spans="1:4" ht="18" customHeight="1" x14ac:dyDescent="0.2">
      <c r="A25" s="609" t="s">
        <v>40</v>
      </c>
      <c r="B25" s="617"/>
      <c r="C25" s="42"/>
      <c r="D25" s="43"/>
    </row>
    <row r="26" spans="1:4" ht="18" customHeight="1" x14ac:dyDescent="0.2">
      <c r="A26" s="609" t="s">
        <v>41</v>
      </c>
      <c r="B26" s="617"/>
      <c r="C26" s="42"/>
      <c r="D26" s="43"/>
    </row>
    <row r="27" spans="1:4" ht="18" customHeight="1" x14ac:dyDescent="0.2">
      <c r="A27" s="609" t="s">
        <v>42</v>
      </c>
      <c r="B27" s="617"/>
      <c r="C27" s="42"/>
      <c r="D27" s="43"/>
    </row>
    <row r="28" spans="1:4" ht="18" customHeight="1" x14ac:dyDescent="0.2">
      <c r="A28" s="609" t="s">
        <v>43</v>
      </c>
      <c r="B28" s="617"/>
      <c r="C28" s="42"/>
      <c r="D28" s="43"/>
    </row>
    <row r="29" spans="1:4" ht="18" customHeight="1" x14ac:dyDescent="0.2">
      <c r="A29" s="609" t="s">
        <v>44</v>
      </c>
      <c r="B29" s="617"/>
      <c r="C29" s="42"/>
      <c r="D29" s="43"/>
    </row>
    <row r="30" spans="1:4" ht="18" customHeight="1" x14ac:dyDescent="0.2">
      <c r="A30" s="609" t="s">
        <v>45</v>
      </c>
      <c r="B30" s="617"/>
      <c r="C30" s="42"/>
      <c r="D30" s="43"/>
    </row>
    <row r="31" spans="1:4" ht="18" customHeight="1" thickBot="1" x14ac:dyDescent="0.25">
      <c r="A31" s="618" t="s">
        <v>46</v>
      </c>
      <c r="B31" s="619"/>
      <c r="C31" s="620"/>
      <c r="D31" s="44"/>
    </row>
    <row r="32" spans="1:4" ht="18" customHeight="1" thickBot="1" x14ac:dyDescent="0.25">
      <c r="A32" s="621" t="s">
        <v>47</v>
      </c>
      <c r="B32" s="622" t="s">
        <v>54</v>
      </c>
      <c r="C32" s="623">
        <f>+C7+C8+C9+C10+C11+C18+C19+C20+C21+C22+C23+C24+C25+C26+C27+C28+C29+C30+C31</f>
        <v>0</v>
      </c>
      <c r="D32" s="624">
        <f>+D7+D8+D9+D10+D11+D18+D19+D20+D21+D22+D23+D24+D25+D26+D27+D28+D29+D30+D31</f>
        <v>0</v>
      </c>
    </row>
    <row r="33" spans="1:4" ht="8.25" customHeight="1" x14ac:dyDescent="0.2">
      <c r="A33" s="625"/>
      <c r="B33" s="1577"/>
      <c r="C33" s="1577"/>
      <c r="D33" s="1577"/>
    </row>
  </sheetData>
  <mergeCells count="3">
    <mergeCell ref="B3:D3"/>
    <mergeCell ref="B33:D33"/>
    <mergeCell ref="A1:D1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zoomScaleNormal="100" zoomScalePageLayoutView="85" workbookViewId="0">
      <selection activeCell="I14" sqref="I14"/>
    </sheetView>
  </sheetViews>
  <sheetFormatPr defaultRowHeight="15.75" x14ac:dyDescent="0.25"/>
  <cols>
    <col min="1" max="1" width="4.83203125" style="51" customWidth="1"/>
    <col min="2" max="2" width="31.1640625" style="61" customWidth="1"/>
    <col min="3" max="3" width="12.6640625" style="61" bestFit="1" customWidth="1"/>
    <col min="4" max="4" width="11.1640625" style="61" bestFit="1" customWidth="1"/>
    <col min="5" max="5" width="12.6640625" style="61" bestFit="1" customWidth="1"/>
    <col min="6" max="8" width="11.83203125" style="61" bestFit="1" customWidth="1"/>
    <col min="9" max="9" width="12.6640625" style="61" bestFit="1" customWidth="1"/>
    <col min="10" max="10" width="11.83203125" style="61" bestFit="1" customWidth="1"/>
    <col min="11" max="11" width="12.6640625" style="61" bestFit="1" customWidth="1"/>
    <col min="12" max="12" width="11.83203125" style="61" bestFit="1" customWidth="1"/>
    <col min="13" max="13" width="11.6640625" style="61" customWidth="1"/>
    <col min="14" max="14" width="11" style="61" customWidth="1"/>
    <col min="15" max="15" width="12.6640625" style="536" customWidth="1"/>
    <col min="16" max="16" width="14.6640625" style="447" hidden="1" customWidth="1"/>
    <col min="17" max="17" width="16.6640625" style="447" hidden="1" customWidth="1"/>
    <col min="18" max="16384" width="9.33203125" style="61"/>
  </cols>
  <sheetData>
    <row r="1" spans="1:17" s="1256" customFormat="1" x14ac:dyDescent="0.25">
      <c r="A1" s="1584" t="str">
        <f>CONCATENATE("16. számú tájékoztató tábla ",ALAPADATOK!A7," ",ALAPADATOK!B7," ",ALAPADATOK!C7," ",ALAPADATOK!D7," ",ALAPADATOK!E7," ",ALAPADATOK!F7," ",ALAPADATOK!G7," ",ALAPADATOK!H7)</f>
        <v>16. számú tájékoztató tábla a 6 / 2020. ( II.27 ) önkormányzati határozathoz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265"/>
      <c r="Q1" s="1265"/>
    </row>
    <row r="2" spans="1:17" s="1256" customFormat="1" x14ac:dyDescent="0.25">
      <c r="A2" s="1285"/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5"/>
      <c r="O2" s="1285"/>
      <c r="P2" s="1265"/>
      <c r="Q2" s="1265"/>
    </row>
    <row r="3" spans="1:17" ht="31.5" customHeight="1" x14ac:dyDescent="0.25">
      <c r="A3" s="1579" t="s">
        <v>957</v>
      </c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</row>
    <row r="4" spans="1:17" ht="16.5" thickBot="1" x14ac:dyDescent="0.3">
      <c r="O4" s="533" t="s">
        <v>558</v>
      </c>
    </row>
    <row r="5" spans="1:17" ht="35.25" customHeight="1" thickBot="1" x14ac:dyDescent="0.3">
      <c r="A5" s="396" t="s">
        <v>19</v>
      </c>
      <c r="B5" s="397" t="s">
        <v>64</v>
      </c>
      <c r="C5" s="397" t="s">
        <v>73</v>
      </c>
      <c r="D5" s="397" t="s">
        <v>74</v>
      </c>
      <c r="E5" s="397" t="s">
        <v>75</v>
      </c>
      <c r="F5" s="397" t="s">
        <v>76</v>
      </c>
      <c r="G5" s="397" t="s">
        <v>77</v>
      </c>
      <c r="H5" s="397" t="s">
        <v>78</v>
      </c>
      <c r="I5" s="397" t="s">
        <v>79</v>
      </c>
      <c r="J5" s="397" t="s">
        <v>80</v>
      </c>
      <c r="K5" s="397" t="s">
        <v>81</v>
      </c>
      <c r="L5" s="397" t="s">
        <v>82</v>
      </c>
      <c r="M5" s="397" t="s">
        <v>83</v>
      </c>
      <c r="N5" s="397" t="s">
        <v>84</v>
      </c>
      <c r="O5" s="398" t="s">
        <v>54</v>
      </c>
    </row>
    <row r="6" spans="1:17" s="53" customFormat="1" ht="15" customHeight="1" thickBot="1" x14ac:dyDescent="0.25">
      <c r="A6" s="52" t="s">
        <v>21</v>
      </c>
      <c r="B6" s="1581" t="s">
        <v>58</v>
      </c>
      <c r="C6" s="1582"/>
      <c r="D6" s="1582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3"/>
      <c r="P6" s="448"/>
      <c r="Q6" s="448"/>
    </row>
    <row r="7" spans="1:17" s="53" customFormat="1" ht="22.5" x14ac:dyDescent="0.2">
      <c r="A7" s="54" t="s">
        <v>22</v>
      </c>
      <c r="B7" s="247" t="s">
        <v>323</v>
      </c>
      <c r="C7" s="285">
        <v>118000000</v>
      </c>
      <c r="D7" s="285">
        <v>110000000</v>
      </c>
      <c r="E7" s="285">
        <f>118000000+6040000</f>
        <v>124040000</v>
      </c>
      <c r="F7" s="285">
        <f>110000000+3020000</f>
        <v>113020000</v>
      </c>
      <c r="G7" s="285">
        <f>118000000+3020000</f>
        <v>121020000</v>
      </c>
      <c r="H7" s="285">
        <f>11000000+3020000</f>
        <v>14020000</v>
      </c>
      <c r="I7" s="285">
        <f>145365964+3020000</f>
        <v>148385964</v>
      </c>
      <c r="J7" s="285">
        <f>118000000+3020000</f>
        <v>121020000</v>
      </c>
      <c r="K7" s="285">
        <f>130000000+3020000</f>
        <v>133020000</v>
      </c>
      <c r="L7" s="285">
        <f>118000000+3020000</f>
        <v>121020000</v>
      </c>
      <c r="M7" s="285">
        <f>118000000+3020000</f>
        <v>121020000</v>
      </c>
      <c r="N7" s="285">
        <f>116667000+60806310+3016359</f>
        <v>180489669</v>
      </c>
      <c r="O7" s="1488">
        <f t="shared" ref="O7:O15" si="0">SUM(C7:N7)</f>
        <v>1425055633</v>
      </c>
      <c r="P7" s="449">
        <f>'1.1.sz.mell. '!C11</f>
        <v>1425055633</v>
      </c>
      <c r="Q7" s="450">
        <f t="shared" ref="Q7:Q28" si="1">O7-P7</f>
        <v>0</v>
      </c>
    </row>
    <row r="8" spans="1:17" s="57" customFormat="1" ht="22.5" x14ac:dyDescent="0.2">
      <c r="A8" s="55" t="s">
        <v>23</v>
      </c>
      <c r="B8" s="123" t="s">
        <v>367</v>
      </c>
      <c r="C8" s="264"/>
      <c r="D8" s="264">
        <v>60000000</v>
      </c>
      <c r="E8" s="264"/>
      <c r="F8" s="264">
        <v>60000000</v>
      </c>
      <c r="G8" s="264"/>
      <c r="H8" s="264"/>
      <c r="I8" s="264"/>
      <c r="J8" s="264">
        <v>123000000</v>
      </c>
      <c r="K8" s="264">
        <v>55000000</v>
      </c>
      <c r="L8" s="264"/>
      <c r="M8" s="264">
        <v>42613687</v>
      </c>
      <c r="N8" s="264"/>
      <c r="O8" s="451">
        <f t="shared" si="0"/>
        <v>340613687</v>
      </c>
      <c r="P8" s="452">
        <f>'1.1.sz.mell. '!C18</f>
        <v>340613687</v>
      </c>
      <c r="Q8" s="453">
        <f t="shared" si="1"/>
        <v>0</v>
      </c>
    </row>
    <row r="9" spans="1:17" s="57" customFormat="1" ht="22.5" x14ac:dyDescent="0.2">
      <c r="A9" s="55" t="s">
        <v>24</v>
      </c>
      <c r="B9" s="122" t="s">
        <v>368</v>
      </c>
      <c r="C9" s="265"/>
      <c r="D9" s="265">
        <v>10000000</v>
      </c>
      <c r="E9" s="265"/>
      <c r="F9" s="265"/>
      <c r="G9" s="265">
        <v>15000000</v>
      </c>
      <c r="H9" s="265"/>
      <c r="I9" s="265"/>
      <c r="J9" s="265">
        <v>10000000</v>
      </c>
      <c r="K9" s="265">
        <f>22409566-9719732</f>
        <v>12689834</v>
      </c>
      <c r="L9" s="265"/>
      <c r="M9" s="265"/>
      <c r="N9" s="265"/>
      <c r="O9" s="451">
        <f t="shared" si="0"/>
        <v>47689834</v>
      </c>
      <c r="P9" s="452">
        <f>'1.1.sz.mell. '!C25</f>
        <v>47689834</v>
      </c>
      <c r="Q9" s="453">
        <f t="shared" si="1"/>
        <v>0</v>
      </c>
    </row>
    <row r="10" spans="1:17" s="57" customFormat="1" ht="14.1" customHeight="1" x14ac:dyDescent="0.2">
      <c r="A10" s="55" t="s">
        <v>25</v>
      </c>
      <c r="B10" s="121" t="s">
        <v>140</v>
      </c>
      <c r="C10" s="264">
        <v>3000000</v>
      </c>
      <c r="D10" s="264">
        <v>4000000</v>
      </c>
      <c r="E10" s="264">
        <v>220000000</v>
      </c>
      <c r="F10" s="264">
        <v>3000000</v>
      </c>
      <c r="G10" s="264">
        <v>2500000</v>
      </c>
      <c r="H10" s="264">
        <v>3000000</v>
      </c>
      <c r="I10" s="264">
        <v>3000000</v>
      </c>
      <c r="J10" s="264">
        <v>4000000</v>
      </c>
      <c r="K10" s="264">
        <v>216500000</v>
      </c>
      <c r="L10" s="264">
        <v>4000000</v>
      </c>
      <c r="M10" s="264">
        <v>5000000</v>
      </c>
      <c r="N10" s="264">
        <v>70000000</v>
      </c>
      <c r="O10" s="451">
        <f t="shared" si="0"/>
        <v>538000000</v>
      </c>
      <c r="P10" s="452">
        <f>'1.1.sz.mell. '!C32</f>
        <v>538000000</v>
      </c>
      <c r="Q10" s="453">
        <f t="shared" si="1"/>
        <v>0</v>
      </c>
    </row>
    <row r="11" spans="1:17" s="57" customFormat="1" ht="14.1" customHeight="1" x14ac:dyDescent="0.2">
      <c r="A11" s="55" t="s">
        <v>26</v>
      </c>
      <c r="B11" s="121" t="s">
        <v>369</v>
      </c>
      <c r="C11" s="264">
        <v>30000000</v>
      </c>
      <c r="D11" s="264">
        <v>28000000</v>
      </c>
      <c r="E11" s="264">
        <v>27000000</v>
      </c>
      <c r="F11" s="264">
        <v>29000000</v>
      </c>
      <c r="G11" s="264">
        <v>30000000</v>
      </c>
      <c r="H11" s="264">
        <v>28000000</v>
      </c>
      <c r="I11" s="264">
        <f>30000000+277930</f>
        <v>30277930</v>
      </c>
      <c r="J11" s="264">
        <v>27000000</v>
      </c>
      <c r="K11" s="264">
        <v>30000000</v>
      </c>
      <c r="L11" s="264">
        <v>25000000</v>
      </c>
      <c r="M11" s="264">
        <v>31000000</v>
      </c>
      <c r="N11" s="264">
        <v>30000000</v>
      </c>
      <c r="O11" s="451">
        <f t="shared" si="0"/>
        <v>345277930</v>
      </c>
      <c r="P11" s="452">
        <f>'1.1.sz.mell. '!C40</f>
        <v>345277930</v>
      </c>
      <c r="Q11" s="453">
        <f t="shared" si="1"/>
        <v>0</v>
      </c>
    </row>
    <row r="12" spans="1:17" s="57" customFormat="1" ht="14.1" customHeight="1" x14ac:dyDescent="0.2">
      <c r="A12" s="55" t="s">
        <v>27</v>
      </c>
      <c r="B12" s="121" t="s">
        <v>12</v>
      </c>
      <c r="C12" s="264"/>
      <c r="D12" s="264">
        <v>5000000</v>
      </c>
      <c r="E12" s="264"/>
      <c r="F12" s="264">
        <v>5000000</v>
      </c>
      <c r="G12" s="264"/>
      <c r="H12" s="264">
        <v>6000000</v>
      </c>
      <c r="I12" s="264"/>
      <c r="J12" s="264">
        <v>8000000</v>
      </c>
      <c r="K12" s="264">
        <v>5000000</v>
      </c>
      <c r="L12" s="264"/>
      <c r="M12" s="264">
        <v>7000000</v>
      </c>
      <c r="N12" s="264">
        <v>8604508</v>
      </c>
      <c r="O12" s="451">
        <f t="shared" si="0"/>
        <v>44604508</v>
      </c>
      <c r="P12" s="452">
        <f>'1.1.sz.mell. '!C52</f>
        <v>44604508</v>
      </c>
      <c r="Q12" s="453">
        <f t="shared" si="1"/>
        <v>0</v>
      </c>
    </row>
    <row r="13" spans="1:17" s="57" customFormat="1" ht="14.1" customHeight="1" x14ac:dyDescent="0.2">
      <c r="A13" s="55" t="s">
        <v>28</v>
      </c>
      <c r="B13" s="121" t="s">
        <v>325</v>
      </c>
      <c r="C13" s="264">
        <v>100000</v>
      </c>
      <c r="D13" s="264">
        <v>80000</v>
      </c>
      <c r="E13" s="264">
        <v>300000</v>
      </c>
      <c r="F13" s="264">
        <v>150000</v>
      </c>
      <c r="G13" s="264">
        <v>100000</v>
      </c>
      <c r="H13" s="264">
        <v>100000</v>
      </c>
      <c r="I13" s="264">
        <v>150000</v>
      </c>
      <c r="J13" s="264">
        <v>200000</v>
      </c>
      <c r="K13" s="264">
        <v>400000</v>
      </c>
      <c r="L13" s="264">
        <v>150000</v>
      </c>
      <c r="M13" s="264">
        <v>200000</v>
      </c>
      <c r="N13" s="264">
        <v>245000</v>
      </c>
      <c r="O13" s="451">
        <f t="shared" si="0"/>
        <v>2175000</v>
      </c>
      <c r="P13" s="452">
        <f>'1.1.sz.mell. '!C58</f>
        <v>2175000</v>
      </c>
      <c r="Q13" s="453">
        <f t="shared" si="1"/>
        <v>0</v>
      </c>
    </row>
    <row r="14" spans="1:17" s="57" customFormat="1" ht="22.5" x14ac:dyDescent="0.2">
      <c r="A14" s="55" t="s">
        <v>29</v>
      </c>
      <c r="B14" s="123" t="s">
        <v>355</v>
      </c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451">
        <f t="shared" si="0"/>
        <v>0</v>
      </c>
      <c r="P14" s="452">
        <f>'1.1.sz.mell. '!C63</f>
        <v>0</v>
      </c>
      <c r="Q14" s="453">
        <f t="shared" si="1"/>
        <v>0</v>
      </c>
    </row>
    <row r="15" spans="1:17" s="57" customFormat="1" ht="14.1" customHeight="1" thickBot="1" x14ac:dyDescent="0.25">
      <c r="A15" s="55" t="s">
        <v>30</v>
      </c>
      <c r="B15" s="121" t="s">
        <v>13</v>
      </c>
      <c r="C15" s="56">
        <f>967968475+86951899</f>
        <v>1054920374</v>
      </c>
      <c r="D15" s="56">
        <v>90000000</v>
      </c>
      <c r="E15" s="56">
        <v>90000000</v>
      </c>
      <c r="F15" s="56"/>
      <c r="G15" s="56"/>
      <c r="H15" s="56">
        <v>68000000</v>
      </c>
      <c r="I15" s="56">
        <v>90000000</v>
      </c>
      <c r="J15" s="56">
        <v>90000000</v>
      </c>
      <c r="K15" s="56">
        <v>90000000</v>
      </c>
      <c r="L15" s="56"/>
      <c r="M15" s="56">
        <v>70000000</v>
      </c>
      <c r="N15" s="56">
        <f>70000000-2540000</f>
        <v>67460000</v>
      </c>
      <c r="O15" s="451">
        <f t="shared" si="0"/>
        <v>1710380374</v>
      </c>
      <c r="P15" s="454">
        <f>'1.1.sz.mell. '!C92</f>
        <v>1710380374</v>
      </c>
      <c r="Q15" s="455">
        <f t="shared" si="1"/>
        <v>0</v>
      </c>
    </row>
    <row r="16" spans="1:17" s="53" customFormat="1" ht="15.95" customHeight="1" thickBot="1" x14ac:dyDescent="0.25">
      <c r="A16" s="52" t="s">
        <v>31</v>
      </c>
      <c r="B16" s="30" t="s">
        <v>111</v>
      </c>
      <c r="C16" s="58">
        <f t="shared" ref="C16:N16" si="2">SUM(C7:C15)</f>
        <v>1206020374</v>
      </c>
      <c r="D16" s="58">
        <f t="shared" si="2"/>
        <v>307080000</v>
      </c>
      <c r="E16" s="58">
        <f t="shared" si="2"/>
        <v>461340000</v>
      </c>
      <c r="F16" s="58">
        <f t="shared" si="2"/>
        <v>210170000</v>
      </c>
      <c r="G16" s="58">
        <f t="shared" si="2"/>
        <v>168620000</v>
      </c>
      <c r="H16" s="58">
        <f t="shared" si="2"/>
        <v>119120000</v>
      </c>
      <c r="I16" s="58">
        <f t="shared" si="2"/>
        <v>271813894</v>
      </c>
      <c r="J16" s="58">
        <f t="shared" si="2"/>
        <v>383220000</v>
      </c>
      <c r="K16" s="58">
        <f t="shared" si="2"/>
        <v>542609834</v>
      </c>
      <c r="L16" s="58">
        <f t="shared" si="2"/>
        <v>150170000</v>
      </c>
      <c r="M16" s="58">
        <f t="shared" si="2"/>
        <v>276833687</v>
      </c>
      <c r="N16" s="58">
        <f t="shared" si="2"/>
        <v>356799177</v>
      </c>
      <c r="O16" s="534">
        <f>SUM(C16:N16)</f>
        <v>4453796966</v>
      </c>
      <c r="P16" s="456">
        <f>SUM(P7:P15)</f>
        <v>4453796966</v>
      </c>
      <c r="Q16" s="457">
        <f t="shared" si="1"/>
        <v>0</v>
      </c>
    </row>
    <row r="17" spans="1:17" s="53" customFormat="1" ht="15" customHeight="1" thickBot="1" x14ac:dyDescent="0.25">
      <c r="A17" s="52" t="s">
        <v>32</v>
      </c>
      <c r="B17" s="1581" t="s">
        <v>59</v>
      </c>
      <c r="C17" s="1582"/>
      <c r="D17" s="1582"/>
      <c r="E17" s="1582"/>
      <c r="F17" s="1582"/>
      <c r="G17" s="1582"/>
      <c r="H17" s="1582"/>
      <c r="I17" s="1582"/>
      <c r="J17" s="1582"/>
      <c r="K17" s="1582"/>
      <c r="L17" s="1582"/>
      <c r="M17" s="1582"/>
      <c r="N17" s="1582"/>
      <c r="O17" s="1583"/>
      <c r="P17" s="448"/>
      <c r="Q17" s="458">
        <f t="shared" si="1"/>
        <v>0</v>
      </c>
    </row>
    <row r="18" spans="1:17" s="57" customFormat="1" ht="14.1" customHeight="1" thickBot="1" x14ac:dyDescent="0.25">
      <c r="A18" s="459" t="s">
        <v>33</v>
      </c>
      <c r="B18" s="460" t="s">
        <v>65</v>
      </c>
      <c r="C18" s="461">
        <v>77688880</v>
      </c>
      <c r="D18" s="461">
        <v>100000000</v>
      </c>
      <c r="E18" s="461">
        <f>100000000+5140000</f>
        <v>105140000</v>
      </c>
      <c r="F18" s="461">
        <f t="shared" ref="F18:M18" si="3">100000000+2570000</f>
        <v>102570000</v>
      </c>
      <c r="G18" s="461">
        <f t="shared" si="3"/>
        <v>102570000</v>
      </c>
      <c r="H18" s="461">
        <f t="shared" si="3"/>
        <v>102570000</v>
      </c>
      <c r="I18" s="461">
        <f t="shared" si="3"/>
        <v>102570000</v>
      </c>
      <c r="J18" s="461">
        <f t="shared" si="3"/>
        <v>102570000</v>
      </c>
      <c r="K18" s="461">
        <f t="shared" si="3"/>
        <v>102570000</v>
      </c>
      <c r="L18" s="461">
        <f t="shared" si="3"/>
        <v>102570000</v>
      </c>
      <c r="M18" s="461">
        <f t="shared" si="3"/>
        <v>102570000</v>
      </c>
      <c r="N18" s="461">
        <f>100000000+2569241</f>
        <v>102569241</v>
      </c>
      <c r="O18" s="1488">
        <f t="shared" ref="O18:O28" si="4">SUM(C18:N18)</f>
        <v>1205958121</v>
      </c>
      <c r="P18" s="539">
        <f>'1.1.sz.mell. '!C100</f>
        <v>1205958121</v>
      </c>
      <c r="Q18" s="450">
        <f t="shared" si="1"/>
        <v>0</v>
      </c>
    </row>
    <row r="19" spans="1:17" s="57" customFormat="1" ht="27" customHeight="1" thickBot="1" x14ac:dyDescent="0.25">
      <c r="A19" s="55" t="s">
        <v>34</v>
      </c>
      <c r="B19" s="123" t="s">
        <v>149</v>
      </c>
      <c r="C19" s="264">
        <v>15009550</v>
      </c>
      <c r="D19" s="264">
        <v>19000000</v>
      </c>
      <c r="E19" s="264">
        <f>19000000+899000</f>
        <v>19899000</v>
      </c>
      <c r="F19" s="264">
        <f t="shared" ref="F19:M19" si="5">19000000+450000</f>
        <v>19450000</v>
      </c>
      <c r="G19" s="264">
        <f t="shared" si="5"/>
        <v>19450000</v>
      </c>
      <c r="H19" s="264">
        <f t="shared" si="5"/>
        <v>19450000</v>
      </c>
      <c r="I19" s="264">
        <f t="shared" si="5"/>
        <v>19450000</v>
      </c>
      <c r="J19" s="264">
        <f t="shared" si="5"/>
        <v>19450000</v>
      </c>
      <c r="K19" s="264">
        <f t="shared" si="5"/>
        <v>19450000</v>
      </c>
      <c r="L19" s="264">
        <f t="shared" si="5"/>
        <v>19450000</v>
      </c>
      <c r="M19" s="264">
        <f t="shared" si="5"/>
        <v>19450000</v>
      </c>
      <c r="N19" s="264">
        <f>19000000+448118</f>
        <v>19448118</v>
      </c>
      <c r="O19" s="1488">
        <f t="shared" si="4"/>
        <v>228956668</v>
      </c>
      <c r="P19" s="539">
        <f>'1.1.sz.mell. '!C101</f>
        <v>228956668</v>
      </c>
      <c r="Q19" s="453">
        <f t="shared" si="1"/>
        <v>0</v>
      </c>
    </row>
    <row r="20" spans="1:17" s="57" customFormat="1" ht="14.1" customHeight="1" thickBot="1" x14ac:dyDescent="0.25">
      <c r="A20" s="55" t="s">
        <v>35</v>
      </c>
      <c r="B20" s="121" t="s">
        <v>125</v>
      </c>
      <c r="C20" s="264">
        <v>70000000</v>
      </c>
      <c r="D20" s="264">
        <v>72000000</v>
      </c>
      <c r="E20" s="264">
        <v>72000000</v>
      </c>
      <c r="F20" s="264">
        <v>72000000</v>
      </c>
      <c r="G20" s="264">
        <f>82000000-5000000</f>
        <v>77000000</v>
      </c>
      <c r="H20" s="264">
        <f>82000000-2036757</f>
        <v>79963243</v>
      </c>
      <c r="I20" s="264">
        <v>82000000</v>
      </c>
      <c r="J20" s="264">
        <v>82000000</v>
      </c>
      <c r="K20" s="264">
        <v>82000000</v>
      </c>
      <c r="L20" s="264">
        <v>82000000</v>
      </c>
      <c r="M20" s="264">
        <v>82000000</v>
      </c>
      <c r="N20" s="264">
        <f>85000000-649147</f>
        <v>84350853</v>
      </c>
      <c r="O20" s="451">
        <f t="shared" si="4"/>
        <v>937314096</v>
      </c>
      <c r="P20" s="539">
        <f>'1.1.sz.mell. '!C102</f>
        <v>937314096</v>
      </c>
      <c r="Q20" s="453">
        <f t="shared" si="1"/>
        <v>0</v>
      </c>
    </row>
    <row r="21" spans="1:17" s="57" customFormat="1" ht="14.1" customHeight="1" x14ac:dyDescent="0.2">
      <c r="A21" s="55" t="s">
        <v>36</v>
      </c>
      <c r="B21" s="121" t="s">
        <v>150</v>
      </c>
      <c r="C21" s="264">
        <v>2500000</v>
      </c>
      <c r="D21" s="264">
        <v>2500000</v>
      </c>
      <c r="E21" s="264">
        <v>3000000</v>
      </c>
      <c r="F21" s="264">
        <v>3000000</v>
      </c>
      <c r="G21" s="264">
        <v>4300000</v>
      </c>
      <c r="H21" s="264">
        <v>4000000</v>
      </c>
      <c r="I21" s="264">
        <v>4000000</v>
      </c>
      <c r="J21" s="264">
        <v>4000000</v>
      </c>
      <c r="K21" s="264">
        <v>4000000</v>
      </c>
      <c r="L21" s="264">
        <v>4000000</v>
      </c>
      <c r="M21" s="264">
        <v>6000000</v>
      </c>
      <c r="N21" s="264">
        <v>20000000</v>
      </c>
      <c r="O21" s="451">
        <f t="shared" si="4"/>
        <v>61300000</v>
      </c>
      <c r="P21" s="539">
        <f>'1.1.sz.mell. '!C103</f>
        <v>61300000</v>
      </c>
      <c r="Q21" s="453">
        <f t="shared" si="1"/>
        <v>0</v>
      </c>
    </row>
    <row r="22" spans="1:17" s="57" customFormat="1" ht="14.1" customHeight="1" x14ac:dyDescent="0.2">
      <c r="A22" s="55" t="s">
        <v>37</v>
      </c>
      <c r="B22" s="121" t="s">
        <v>14</v>
      </c>
      <c r="C22" s="264">
        <v>1300000</v>
      </c>
      <c r="D22" s="264">
        <v>14000000</v>
      </c>
      <c r="E22" s="264">
        <v>40000000</v>
      </c>
      <c r="F22" s="264">
        <v>12000000</v>
      </c>
      <c r="G22" s="264">
        <v>10000000</v>
      </c>
      <c r="H22" s="264">
        <v>12000000</v>
      </c>
      <c r="I22" s="264">
        <v>40000000</v>
      </c>
      <c r="J22" s="264">
        <v>15000000</v>
      </c>
      <c r="K22" s="264">
        <v>15000000</v>
      </c>
      <c r="L22" s="264">
        <v>16000000</v>
      </c>
      <c r="M22" s="264">
        <v>17000000</v>
      </c>
      <c r="N22" s="264">
        <v>18037958</v>
      </c>
      <c r="O22" s="451">
        <f t="shared" si="4"/>
        <v>210337958</v>
      </c>
      <c r="P22" s="452">
        <f>'1.1.sz.mell. '!C104</f>
        <v>210337958</v>
      </c>
      <c r="Q22" s="453">
        <f t="shared" si="1"/>
        <v>0</v>
      </c>
    </row>
    <row r="23" spans="1:17" s="57" customFormat="1" ht="14.1" customHeight="1" x14ac:dyDescent="0.2">
      <c r="A23" s="55" t="s">
        <v>38</v>
      </c>
      <c r="B23" s="121" t="s">
        <v>173</v>
      </c>
      <c r="C23" s="264">
        <v>500000</v>
      </c>
      <c r="D23" s="264">
        <v>5000000</v>
      </c>
      <c r="E23" s="264">
        <v>80000000</v>
      </c>
      <c r="F23" s="264">
        <v>80000000</v>
      </c>
      <c r="G23" s="264">
        <v>80000000</v>
      </c>
      <c r="H23" s="264">
        <v>80000000</v>
      </c>
      <c r="I23" s="264">
        <v>81000000</v>
      </c>
      <c r="J23" s="264">
        <v>150000000</v>
      </c>
      <c r="K23" s="264">
        <v>100000000</v>
      </c>
      <c r="L23" s="264">
        <v>10000000</v>
      </c>
      <c r="M23" s="264">
        <v>10000000</v>
      </c>
      <c r="N23" s="264">
        <f>5894079-1890853</f>
        <v>4003226</v>
      </c>
      <c r="O23" s="451">
        <f t="shared" si="4"/>
        <v>680503226</v>
      </c>
      <c r="P23" s="452">
        <f>'1.1.sz.mell. '!C121</f>
        <v>680503226</v>
      </c>
      <c r="Q23" s="453">
        <f t="shared" si="1"/>
        <v>0</v>
      </c>
    </row>
    <row r="24" spans="1:17" s="57" customFormat="1" x14ac:dyDescent="0.2">
      <c r="A24" s="55" t="s">
        <v>39</v>
      </c>
      <c r="B24" s="123" t="s">
        <v>153</v>
      </c>
      <c r="C24" s="264"/>
      <c r="D24" s="264">
        <v>5000000</v>
      </c>
      <c r="E24" s="264">
        <v>20000000</v>
      </c>
      <c r="F24" s="264">
        <v>20000000</v>
      </c>
      <c r="G24" s="264">
        <v>22245726</v>
      </c>
      <c r="H24" s="264">
        <v>25000000</v>
      </c>
      <c r="I24" s="264">
        <v>25000000</v>
      </c>
      <c r="J24" s="264">
        <v>50000000</v>
      </c>
      <c r="K24" s="264">
        <v>35000000</v>
      </c>
      <c r="L24" s="264">
        <v>20000000</v>
      </c>
      <c r="M24" s="264">
        <v>20000000</v>
      </c>
      <c r="N24" s="264">
        <v>20000000</v>
      </c>
      <c r="O24" s="451">
        <f t="shared" si="4"/>
        <v>262245726</v>
      </c>
      <c r="P24" s="452">
        <f>'1.1.sz.mell. '!C123</f>
        <v>262245726</v>
      </c>
      <c r="Q24" s="453">
        <f t="shared" si="1"/>
        <v>0</v>
      </c>
    </row>
    <row r="25" spans="1:17" s="57" customFormat="1" ht="14.1" customHeight="1" x14ac:dyDescent="0.2">
      <c r="A25" s="55" t="s">
        <v>40</v>
      </c>
      <c r="B25" s="121" t="s">
        <v>175</v>
      </c>
      <c r="C25" s="264"/>
      <c r="D25" s="264">
        <v>650000</v>
      </c>
      <c r="E25" s="264"/>
      <c r="F25" s="264"/>
      <c r="G25" s="264"/>
      <c r="H25" s="264">
        <v>3000000</v>
      </c>
      <c r="I25" s="264"/>
      <c r="J25" s="264">
        <v>500000</v>
      </c>
      <c r="K25" s="264"/>
      <c r="L25" s="264"/>
      <c r="M25" s="264">
        <v>3751899</v>
      </c>
      <c r="N25" s="264"/>
      <c r="O25" s="451">
        <f t="shared" si="4"/>
        <v>7901899</v>
      </c>
      <c r="P25" s="452">
        <f>'1.1.sz.mell. '!C125</f>
        <v>7901899</v>
      </c>
      <c r="Q25" s="453">
        <f t="shared" si="1"/>
        <v>0</v>
      </c>
    </row>
    <row r="26" spans="1:17" s="57" customFormat="1" ht="14.1" customHeight="1" x14ac:dyDescent="0.2">
      <c r="A26" s="55" t="s">
        <v>41</v>
      </c>
      <c r="B26" s="121" t="s">
        <v>52</v>
      </c>
      <c r="C26" s="264">
        <v>6000000</v>
      </c>
      <c r="D26" s="264">
        <v>6000000</v>
      </c>
      <c r="E26" s="264">
        <v>6000000</v>
      </c>
      <c r="F26" s="264">
        <v>6000000</v>
      </c>
      <c r="G26" s="264">
        <v>7000000</v>
      </c>
      <c r="H26" s="264">
        <v>9500000</v>
      </c>
      <c r="I26" s="264">
        <v>9000000</v>
      </c>
      <c r="J26" s="264">
        <v>8000000</v>
      </c>
      <c r="K26" s="264">
        <v>17740838</v>
      </c>
      <c r="L26" s="264">
        <v>19000000</v>
      </c>
      <c r="M26" s="264">
        <v>19000000</v>
      </c>
      <c r="N26" s="264">
        <v>20000000</v>
      </c>
      <c r="O26" s="451">
        <f t="shared" si="4"/>
        <v>133240838</v>
      </c>
      <c r="P26" s="452">
        <f>'1.1.sz.mell. '!C117</f>
        <v>133240838</v>
      </c>
      <c r="Q26" s="453">
        <f t="shared" si="1"/>
        <v>0</v>
      </c>
    </row>
    <row r="27" spans="1:17" s="57" customFormat="1" ht="14.1" customHeight="1" thickBot="1" x14ac:dyDescent="0.25">
      <c r="A27" s="55" t="s">
        <v>42</v>
      </c>
      <c r="B27" s="121" t="s">
        <v>15</v>
      </c>
      <c r="C27" s="56">
        <v>150000000</v>
      </c>
      <c r="D27" s="56"/>
      <c r="E27" s="56">
        <v>100000000</v>
      </c>
      <c r="F27" s="264"/>
      <c r="G27" s="56"/>
      <c r="H27" s="264">
        <v>60000000</v>
      </c>
      <c r="I27" s="264">
        <v>66038434</v>
      </c>
      <c r="J27" s="264">
        <v>60000000</v>
      </c>
      <c r="K27" s="264">
        <v>70000000</v>
      </c>
      <c r="L27" s="264">
        <v>150000000</v>
      </c>
      <c r="M27" s="264"/>
      <c r="N27" s="264">
        <v>70000000</v>
      </c>
      <c r="O27" s="451">
        <f t="shared" si="4"/>
        <v>726038434</v>
      </c>
      <c r="P27" s="454">
        <f>'1.1.sz.mell. '!C159</f>
        <v>726038434</v>
      </c>
      <c r="Q27" s="455">
        <f t="shared" si="1"/>
        <v>0</v>
      </c>
    </row>
    <row r="28" spans="1:17" s="53" customFormat="1" ht="15.95" customHeight="1" thickBot="1" x14ac:dyDescent="0.25">
      <c r="A28" s="59" t="s">
        <v>43</v>
      </c>
      <c r="B28" s="30" t="s">
        <v>112</v>
      </c>
      <c r="C28" s="58">
        <f t="shared" ref="C28:N28" si="6">SUM(C18:C27)</f>
        <v>322998430</v>
      </c>
      <c r="D28" s="58">
        <f t="shared" si="6"/>
        <v>224150000</v>
      </c>
      <c r="E28" s="58">
        <f t="shared" si="6"/>
        <v>446039000</v>
      </c>
      <c r="F28" s="58">
        <f t="shared" si="6"/>
        <v>315020000</v>
      </c>
      <c r="G28" s="58">
        <f t="shared" si="6"/>
        <v>322565726</v>
      </c>
      <c r="H28" s="58">
        <f t="shared" si="6"/>
        <v>395483243</v>
      </c>
      <c r="I28" s="58">
        <f t="shared" si="6"/>
        <v>429058434</v>
      </c>
      <c r="J28" s="58">
        <f t="shared" si="6"/>
        <v>491520000</v>
      </c>
      <c r="K28" s="58">
        <f t="shared" si="6"/>
        <v>445760838</v>
      </c>
      <c r="L28" s="58">
        <f t="shared" si="6"/>
        <v>423020000</v>
      </c>
      <c r="M28" s="58">
        <f t="shared" si="6"/>
        <v>279771899</v>
      </c>
      <c r="N28" s="58">
        <f t="shared" si="6"/>
        <v>358409396</v>
      </c>
      <c r="O28" s="534">
        <f t="shared" si="4"/>
        <v>4453796966</v>
      </c>
      <c r="P28" s="456">
        <f>SUM(P18:P27)</f>
        <v>4453796966</v>
      </c>
      <c r="Q28" s="457">
        <f t="shared" si="1"/>
        <v>0</v>
      </c>
    </row>
    <row r="29" spans="1:17" ht="16.5" thickBot="1" x14ac:dyDescent="0.3">
      <c r="A29" s="59" t="s">
        <v>44</v>
      </c>
      <c r="B29" s="124" t="s">
        <v>113</v>
      </c>
      <c r="C29" s="60">
        <f t="shared" ref="C29:O29" si="7">C16-C28</f>
        <v>883021944</v>
      </c>
      <c r="D29" s="60">
        <f t="shared" si="7"/>
        <v>82930000</v>
      </c>
      <c r="E29" s="60">
        <f t="shared" si="7"/>
        <v>15301000</v>
      </c>
      <c r="F29" s="60">
        <f t="shared" si="7"/>
        <v>-104850000</v>
      </c>
      <c r="G29" s="60">
        <f t="shared" si="7"/>
        <v>-153945726</v>
      </c>
      <c r="H29" s="60">
        <f t="shared" si="7"/>
        <v>-276363243</v>
      </c>
      <c r="I29" s="60">
        <f t="shared" si="7"/>
        <v>-157244540</v>
      </c>
      <c r="J29" s="60">
        <f t="shared" si="7"/>
        <v>-108300000</v>
      </c>
      <c r="K29" s="60">
        <f t="shared" si="7"/>
        <v>96848996</v>
      </c>
      <c r="L29" s="60">
        <f t="shared" si="7"/>
        <v>-272850000</v>
      </c>
      <c r="M29" s="60">
        <f t="shared" si="7"/>
        <v>-2938212</v>
      </c>
      <c r="N29" s="60">
        <f t="shared" si="7"/>
        <v>-1610219</v>
      </c>
      <c r="O29" s="535">
        <f t="shared" si="7"/>
        <v>0</v>
      </c>
    </row>
    <row r="30" spans="1:17" x14ac:dyDescent="0.25">
      <c r="A30" s="62"/>
    </row>
    <row r="31" spans="1:17" x14ac:dyDescent="0.25">
      <c r="B31" s="63"/>
      <c r="C31" s="64"/>
      <c r="D31" s="64"/>
      <c r="O31" s="537"/>
    </row>
    <row r="32" spans="1:17" x14ac:dyDescent="0.25">
      <c r="O32" s="537"/>
    </row>
    <row r="33" spans="15:15" x14ac:dyDescent="0.25">
      <c r="O33" s="537"/>
    </row>
    <row r="34" spans="15:15" x14ac:dyDescent="0.25">
      <c r="O34" s="537"/>
    </row>
    <row r="35" spans="15:15" x14ac:dyDescent="0.25">
      <c r="O35" s="537"/>
    </row>
    <row r="36" spans="15:15" x14ac:dyDescent="0.25">
      <c r="O36" s="537"/>
    </row>
    <row r="37" spans="15:15" x14ac:dyDescent="0.25">
      <c r="O37" s="537"/>
    </row>
    <row r="38" spans="15:15" x14ac:dyDescent="0.25">
      <c r="O38" s="537"/>
    </row>
    <row r="39" spans="15:15" x14ac:dyDescent="0.25">
      <c r="O39" s="537"/>
    </row>
    <row r="40" spans="15:15" x14ac:dyDescent="0.25">
      <c r="O40" s="537"/>
    </row>
    <row r="41" spans="15:15" x14ac:dyDescent="0.25">
      <c r="O41" s="537"/>
    </row>
    <row r="42" spans="15:15" x14ac:dyDescent="0.25">
      <c r="O42" s="537"/>
    </row>
    <row r="43" spans="15:15" x14ac:dyDescent="0.25">
      <c r="O43" s="537"/>
    </row>
    <row r="44" spans="15:15" x14ac:dyDescent="0.25">
      <c r="O44" s="537"/>
    </row>
    <row r="45" spans="15:15" x14ac:dyDescent="0.25">
      <c r="O45" s="537"/>
    </row>
    <row r="46" spans="15:15" x14ac:dyDescent="0.25">
      <c r="O46" s="537"/>
    </row>
    <row r="47" spans="15:15" x14ac:dyDescent="0.25">
      <c r="O47" s="537"/>
    </row>
    <row r="48" spans="15:15" x14ac:dyDescent="0.25">
      <c r="O48" s="537"/>
    </row>
    <row r="49" spans="15:15" x14ac:dyDescent="0.25">
      <c r="O49" s="537"/>
    </row>
    <row r="50" spans="15:15" x14ac:dyDescent="0.25">
      <c r="O50" s="537"/>
    </row>
    <row r="51" spans="15:15" x14ac:dyDescent="0.25">
      <c r="O51" s="537"/>
    </row>
    <row r="52" spans="15:15" x14ac:dyDescent="0.25">
      <c r="O52" s="537"/>
    </row>
    <row r="53" spans="15:15" x14ac:dyDescent="0.25">
      <c r="O53" s="537"/>
    </row>
    <row r="54" spans="15:15" x14ac:dyDescent="0.25">
      <c r="O54" s="537"/>
    </row>
    <row r="55" spans="15:15" x14ac:dyDescent="0.25">
      <c r="O55" s="537"/>
    </row>
    <row r="56" spans="15:15" x14ac:dyDescent="0.25">
      <c r="O56" s="537"/>
    </row>
    <row r="57" spans="15:15" x14ac:dyDescent="0.25">
      <c r="O57" s="537"/>
    </row>
    <row r="58" spans="15:15" x14ac:dyDescent="0.25">
      <c r="O58" s="537"/>
    </row>
    <row r="59" spans="15:15" x14ac:dyDescent="0.25">
      <c r="O59" s="537"/>
    </row>
    <row r="60" spans="15:15" x14ac:dyDescent="0.25">
      <c r="O60" s="537"/>
    </row>
    <row r="61" spans="15:15" x14ac:dyDescent="0.25">
      <c r="O61" s="537"/>
    </row>
    <row r="62" spans="15:15" x14ac:dyDescent="0.25">
      <c r="O62" s="537"/>
    </row>
    <row r="63" spans="15:15" x14ac:dyDescent="0.25">
      <c r="O63" s="537"/>
    </row>
    <row r="64" spans="15:15" x14ac:dyDescent="0.25">
      <c r="O64" s="537"/>
    </row>
    <row r="65" spans="15:15" x14ac:dyDescent="0.25">
      <c r="O65" s="537"/>
    </row>
    <row r="66" spans="15:15" x14ac:dyDescent="0.25">
      <c r="O66" s="537"/>
    </row>
    <row r="67" spans="15:15" x14ac:dyDescent="0.25">
      <c r="O67" s="537"/>
    </row>
    <row r="68" spans="15:15" x14ac:dyDescent="0.25">
      <c r="O68" s="537"/>
    </row>
    <row r="69" spans="15:15" x14ac:dyDescent="0.25">
      <c r="O69" s="537"/>
    </row>
    <row r="70" spans="15:15" x14ac:dyDescent="0.25">
      <c r="O70" s="537"/>
    </row>
    <row r="71" spans="15:15" x14ac:dyDescent="0.25">
      <c r="O71" s="537"/>
    </row>
    <row r="72" spans="15:15" x14ac:dyDescent="0.25">
      <c r="O72" s="537"/>
    </row>
    <row r="73" spans="15:15" x14ac:dyDescent="0.25">
      <c r="O73" s="537"/>
    </row>
    <row r="74" spans="15:15" x14ac:dyDescent="0.25">
      <c r="O74" s="537"/>
    </row>
    <row r="75" spans="15:15" x14ac:dyDescent="0.25">
      <c r="O75" s="537"/>
    </row>
    <row r="76" spans="15:15" x14ac:dyDescent="0.25">
      <c r="O76" s="537"/>
    </row>
    <row r="77" spans="15:15" x14ac:dyDescent="0.25">
      <c r="O77" s="537"/>
    </row>
    <row r="78" spans="15:15" x14ac:dyDescent="0.25">
      <c r="O78" s="537"/>
    </row>
    <row r="79" spans="15:15" x14ac:dyDescent="0.25">
      <c r="O79" s="537"/>
    </row>
    <row r="80" spans="15:15" x14ac:dyDescent="0.25">
      <c r="O80" s="537"/>
    </row>
    <row r="81" spans="15:15" x14ac:dyDescent="0.25">
      <c r="O81" s="537"/>
    </row>
    <row r="82" spans="15:15" x14ac:dyDescent="0.25">
      <c r="O82" s="537"/>
    </row>
    <row r="83" spans="15:15" x14ac:dyDescent="0.25">
      <c r="O83" s="537"/>
    </row>
    <row r="84" spans="15:15" x14ac:dyDescent="0.25">
      <c r="O84" s="537"/>
    </row>
  </sheetData>
  <mergeCells count="4">
    <mergeCell ref="A3:O3"/>
    <mergeCell ref="B6:O6"/>
    <mergeCell ref="B17:O17"/>
    <mergeCell ref="A1:O1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94" zoomScale="115" zoomScaleNormal="115" zoomScaleSheetLayoutView="100" workbookViewId="0">
      <selection activeCell="C101" sqref="C100:C101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194" customWidth="1"/>
    <col min="4" max="16384" width="9.33203125" style="204"/>
  </cols>
  <sheetData>
    <row r="1" spans="1:3" s="1006" customFormat="1" x14ac:dyDescent="0.25">
      <c r="A1" s="1496" t="str">
        <f>CONCATENATE("1.4. melléklet"," ",ALAPADATOK!A7," ",ALAPADATOK!B7," ",ALAPADATOK!C7," ",ALAPADATOK!D7," ",ALAPADATOK!E7," ",ALAPADATOK!F7," ",ALAPADATOK!G7," ",ALAPADATOK!H7)</f>
        <v>1.4. melléklet a 6 / 2020. ( II.27 ) önkormányzati határozathoz</v>
      </c>
      <c r="B1" s="1496"/>
      <c r="C1" s="1496"/>
    </row>
    <row r="2" spans="1:3" s="1375" customFormat="1" x14ac:dyDescent="0.25">
      <c r="A2" s="1066"/>
      <c r="B2" s="1066"/>
      <c r="C2" s="1066"/>
    </row>
    <row r="3" spans="1:3" s="1006" customFormat="1" x14ac:dyDescent="0.25">
      <c r="A3" s="1494" t="str">
        <f>CONCATENATE(ALAPADATOK!A3)</f>
        <v>Tiszavasvári Város Önkormányzat</v>
      </c>
      <c r="B3" s="1494"/>
      <c r="C3" s="1494"/>
    </row>
    <row r="4" spans="1:3" s="1006" customFormat="1" x14ac:dyDescent="0.25">
      <c r="A4" s="1495" t="str">
        <f>CONCATENATE(ALAPADATOK!D7," ÉVI KÖLTSÉGVETÉS")</f>
        <v>2020. ÉVI KÖLTSÉGVETÉS</v>
      </c>
      <c r="B4" s="1495"/>
      <c r="C4" s="1495"/>
    </row>
    <row r="5" spans="1:3" s="1006" customFormat="1" x14ac:dyDescent="0.25">
      <c r="A5" s="1495" t="s">
        <v>904</v>
      </c>
      <c r="B5" s="1495"/>
      <c r="C5" s="1495"/>
    </row>
    <row r="6" spans="1:3" s="1006" customFormat="1" x14ac:dyDescent="0.25">
      <c r="A6" s="1005"/>
      <c r="B6" s="1005"/>
      <c r="C6" s="194"/>
    </row>
    <row r="7" spans="1:3" ht="15.95" customHeight="1" x14ac:dyDescent="0.25">
      <c r="A7" s="1498" t="s">
        <v>18</v>
      </c>
      <c r="B7" s="1498"/>
      <c r="C7" s="1498"/>
    </row>
    <row r="8" spans="1:3" ht="15.95" customHeight="1" thickBot="1" x14ac:dyDescent="0.3">
      <c r="A8" s="1497" t="s">
        <v>129</v>
      </c>
      <c r="B8" s="1497"/>
      <c r="C8" s="139" t="s">
        <v>557</v>
      </c>
    </row>
    <row r="9" spans="1:3" ht="38.1" customHeight="1" thickBot="1" x14ac:dyDescent="0.3">
      <c r="A9" s="21" t="s">
        <v>72</v>
      </c>
      <c r="B9" s="22" t="s">
        <v>20</v>
      </c>
      <c r="C9" s="31" t="s">
        <v>794</v>
      </c>
    </row>
    <row r="10" spans="1:3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3" s="206" customFormat="1" ht="12" customHeight="1" thickBot="1" x14ac:dyDescent="0.25">
      <c r="A11" s="18" t="s">
        <v>21</v>
      </c>
      <c r="B11" s="19" t="s">
        <v>195</v>
      </c>
      <c r="C11" s="130">
        <f>+C12+C13+C14+C15+C16+C17</f>
        <v>0</v>
      </c>
    </row>
    <row r="12" spans="1:3" s="206" customFormat="1" ht="12" customHeight="1" x14ac:dyDescent="0.2">
      <c r="A12" s="13" t="s">
        <v>100</v>
      </c>
      <c r="B12" s="207" t="s">
        <v>196</v>
      </c>
      <c r="C12" s="132"/>
    </row>
    <row r="13" spans="1:3" s="206" customFormat="1" ht="12" customHeight="1" x14ac:dyDescent="0.2">
      <c r="A13" s="12" t="s">
        <v>101</v>
      </c>
      <c r="B13" s="208" t="s">
        <v>197</v>
      </c>
      <c r="C13" s="131"/>
    </row>
    <row r="14" spans="1:3" s="206" customFormat="1" ht="12" customHeight="1" x14ac:dyDescent="0.2">
      <c r="A14" s="12" t="s">
        <v>102</v>
      </c>
      <c r="B14" s="208" t="s">
        <v>547</v>
      </c>
      <c r="C14" s="131"/>
    </row>
    <row r="15" spans="1:3" s="206" customFormat="1" ht="12" customHeight="1" x14ac:dyDescent="0.2">
      <c r="A15" s="12" t="s">
        <v>103</v>
      </c>
      <c r="B15" s="208" t="s">
        <v>199</v>
      </c>
      <c r="C15" s="131"/>
    </row>
    <row r="16" spans="1:3" s="206" customFormat="1" ht="12" customHeight="1" x14ac:dyDescent="0.2">
      <c r="A16" s="12" t="s">
        <v>126</v>
      </c>
      <c r="B16" s="126" t="s">
        <v>450</v>
      </c>
      <c r="C16" s="131"/>
    </row>
    <row r="17" spans="1:3" s="206" customFormat="1" ht="12" customHeight="1" thickBot="1" x14ac:dyDescent="0.25">
      <c r="A17" s="14" t="s">
        <v>104</v>
      </c>
      <c r="B17" s="127" t="s">
        <v>451</v>
      </c>
      <c r="C17" s="131"/>
    </row>
    <row r="18" spans="1:3" s="206" customFormat="1" ht="12" customHeight="1" thickBot="1" x14ac:dyDescent="0.25">
      <c r="A18" s="18" t="s">
        <v>22</v>
      </c>
      <c r="B18" s="125" t="s">
        <v>200</v>
      </c>
      <c r="C18" s="130">
        <f>+C19+C20+C21+C22+C23</f>
        <v>0</v>
      </c>
    </row>
    <row r="19" spans="1:3" s="206" customFormat="1" ht="12" customHeight="1" x14ac:dyDescent="0.2">
      <c r="A19" s="13" t="s">
        <v>106</v>
      </c>
      <c r="B19" s="207" t="s">
        <v>201</v>
      </c>
      <c r="C19" s="132"/>
    </row>
    <row r="20" spans="1:3" s="206" customFormat="1" ht="12" customHeight="1" x14ac:dyDescent="0.2">
      <c r="A20" s="12" t="s">
        <v>107</v>
      </c>
      <c r="B20" s="208" t="s">
        <v>202</v>
      </c>
      <c r="C20" s="131"/>
    </row>
    <row r="21" spans="1:3" s="206" customFormat="1" ht="12" customHeight="1" x14ac:dyDescent="0.2">
      <c r="A21" s="12" t="s">
        <v>108</v>
      </c>
      <c r="B21" s="208" t="s">
        <v>370</v>
      </c>
      <c r="C21" s="131"/>
    </row>
    <row r="22" spans="1:3" s="206" customFormat="1" ht="12" customHeight="1" x14ac:dyDescent="0.2">
      <c r="A22" s="12" t="s">
        <v>109</v>
      </c>
      <c r="B22" s="208" t="s">
        <v>371</v>
      </c>
      <c r="C22" s="131"/>
    </row>
    <row r="23" spans="1:3" s="206" customFormat="1" ht="12" customHeight="1" x14ac:dyDescent="0.2">
      <c r="A23" s="12" t="s">
        <v>110</v>
      </c>
      <c r="B23" s="208" t="s">
        <v>203</v>
      </c>
      <c r="C23" s="131"/>
    </row>
    <row r="24" spans="1:3" s="206" customFormat="1" ht="12" customHeight="1" thickBot="1" x14ac:dyDescent="0.25">
      <c r="A24" s="14" t="s">
        <v>119</v>
      </c>
      <c r="B24" s="127" t="s">
        <v>204</v>
      </c>
      <c r="C24" s="133"/>
    </row>
    <row r="25" spans="1:3" s="206" customFormat="1" ht="12" customHeight="1" thickBot="1" x14ac:dyDescent="0.25">
      <c r="A25" s="18" t="s">
        <v>23</v>
      </c>
      <c r="B25" s="19" t="s">
        <v>205</v>
      </c>
      <c r="C25" s="130">
        <f>+C26+C27+C28+C29+C30</f>
        <v>0</v>
      </c>
    </row>
    <row r="26" spans="1:3" s="206" customFormat="1" ht="12" customHeight="1" x14ac:dyDescent="0.2">
      <c r="A26" s="13" t="s">
        <v>89</v>
      </c>
      <c r="B26" s="207" t="s">
        <v>206</v>
      </c>
      <c r="C26" s="132"/>
    </row>
    <row r="27" spans="1:3" s="206" customFormat="1" ht="12" customHeight="1" x14ac:dyDescent="0.2">
      <c r="A27" s="12" t="s">
        <v>90</v>
      </c>
      <c r="B27" s="208" t="s">
        <v>207</v>
      </c>
      <c r="C27" s="131"/>
    </row>
    <row r="28" spans="1:3" s="206" customFormat="1" ht="12" customHeight="1" x14ac:dyDescent="0.2">
      <c r="A28" s="12" t="s">
        <v>91</v>
      </c>
      <c r="B28" s="208" t="s">
        <v>372</v>
      </c>
      <c r="C28" s="131"/>
    </row>
    <row r="29" spans="1:3" s="206" customFormat="1" ht="12" customHeight="1" x14ac:dyDescent="0.2">
      <c r="A29" s="12" t="s">
        <v>92</v>
      </c>
      <c r="B29" s="208" t="s">
        <v>373</v>
      </c>
      <c r="C29" s="131"/>
    </row>
    <row r="30" spans="1:3" s="206" customFormat="1" ht="12" customHeight="1" x14ac:dyDescent="0.2">
      <c r="A30" s="12" t="s">
        <v>137</v>
      </c>
      <c r="B30" s="208" t="s">
        <v>208</v>
      </c>
      <c r="C30" s="131"/>
    </row>
    <row r="31" spans="1:3" s="206" customFormat="1" ht="12" customHeight="1" thickBot="1" x14ac:dyDescent="0.25">
      <c r="A31" s="14" t="s">
        <v>138</v>
      </c>
      <c r="B31" s="209" t="s">
        <v>209</v>
      </c>
      <c r="C31" s="133"/>
    </row>
    <row r="32" spans="1:3" s="206" customFormat="1" ht="12" customHeight="1" thickBot="1" x14ac:dyDescent="0.25">
      <c r="A32" s="18" t="s">
        <v>139</v>
      </c>
      <c r="B32" s="19" t="s">
        <v>661</v>
      </c>
      <c r="C32" s="135">
        <f>+C33+C37+C38+C39</f>
        <v>0</v>
      </c>
    </row>
    <row r="33" spans="1:3" s="206" customFormat="1" ht="12" customHeight="1" x14ac:dyDescent="0.2">
      <c r="A33" s="13" t="s">
        <v>211</v>
      </c>
      <c r="B33" s="207" t="s">
        <v>656</v>
      </c>
      <c r="C33" s="202">
        <f>C34+C35</f>
        <v>0</v>
      </c>
    </row>
    <row r="34" spans="1:3" s="206" customFormat="1" ht="12" customHeight="1" x14ac:dyDescent="0.2">
      <c r="A34" s="12" t="s">
        <v>212</v>
      </c>
      <c r="B34" s="208" t="s">
        <v>217</v>
      </c>
      <c r="C34" s="131"/>
    </row>
    <row r="35" spans="1:3" s="206" customFormat="1" ht="12" customHeight="1" x14ac:dyDescent="0.2">
      <c r="A35" s="12" t="s">
        <v>213</v>
      </c>
      <c r="B35" s="266" t="s">
        <v>655</v>
      </c>
      <c r="C35" s="131"/>
    </row>
    <row r="36" spans="1:3" s="206" customFormat="1" ht="12" customHeight="1" x14ac:dyDescent="0.2">
      <c r="A36" s="12" t="s">
        <v>214</v>
      </c>
      <c r="B36" s="208" t="s">
        <v>538</v>
      </c>
      <c r="C36" s="131"/>
    </row>
    <row r="37" spans="1:3" s="206" customFormat="1" ht="12" customHeight="1" x14ac:dyDescent="0.2">
      <c r="A37" s="12" t="s">
        <v>539</v>
      </c>
      <c r="B37" s="208" t="s">
        <v>218</v>
      </c>
      <c r="C37" s="131"/>
    </row>
    <row r="38" spans="1:3" s="206" customFormat="1" ht="12" customHeight="1" x14ac:dyDescent="0.2">
      <c r="A38" s="12" t="s">
        <v>216</v>
      </c>
      <c r="B38" s="208" t="s">
        <v>219</v>
      </c>
      <c r="C38" s="131"/>
    </row>
    <row r="39" spans="1:3" s="206" customFormat="1" ht="12" customHeight="1" thickBot="1" x14ac:dyDescent="0.25">
      <c r="A39" s="14" t="s">
        <v>540</v>
      </c>
      <c r="B39" s="209" t="s">
        <v>220</v>
      </c>
      <c r="C39" s="133"/>
    </row>
    <row r="40" spans="1:3" s="206" customFormat="1" ht="12" customHeight="1" thickBot="1" x14ac:dyDescent="0.25">
      <c r="A40" s="18" t="s">
        <v>25</v>
      </c>
      <c r="B40" s="19" t="s">
        <v>452</v>
      </c>
      <c r="C40" s="130">
        <f>SUM(C41:C51)</f>
        <v>6925000</v>
      </c>
    </row>
    <row r="41" spans="1:3" s="206" customFormat="1" ht="12" customHeight="1" x14ac:dyDescent="0.2">
      <c r="A41" s="13" t="s">
        <v>93</v>
      </c>
      <c r="B41" s="207" t="s">
        <v>223</v>
      </c>
      <c r="C41" s="132"/>
    </row>
    <row r="42" spans="1:3" s="206" customFormat="1" ht="12" customHeight="1" x14ac:dyDescent="0.2">
      <c r="A42" s="12" t="s">
        <v>94</v>
      </c>
      <c r="B42" s="208" t="s">
        <v>224</v>
      </c>
      <c r="C42" s="134">
        <f>5000000</f>
        <v>5000000</v>
      </c>
    </row>
    <row r="43" spans="1:3" s="206" customFormat="1" ht="12" customHeight="1" x14ac:dyDescent="0.2">
      <c r="A43" s="12" t="s">
        <v>95</v>
      </c>
      <c r="B43" s="208" t="s">
        <v>225</v>
      </c>
      <c r="C43" s="134">
        <f>200000</f>
        <v>200000</v>
      </c>
    </row>
    <row r="44" spans="1:3" s="206" customFormat="1" ht="12" customHeight="1" x14ac:dyDescent="0.2">
      <c r="A44" s="12" t="s">
        <v>141</v>
      </c>
      <c r="B44" s="208" t="s">
        <v>226</v>
      </c>
      <c r="C44" s="134"/>
    </row>
    <row r="45" spans="1:3" s="206" customFormat="1" ht="12" customHeight="1" x14ac:dyDescent="0.2">
      <c r="A45" s="12" t="s">
        <v>142</v>
      </c>
      <c r="B45" s="208" t="s">
        <v>227</v>
      </c>
      <c r="C45" s="134"/>
    </row>
    <row r="46" spans="1:3" s="206" customFormat="1" ht="12" customHeight="1" x14ac:dyDescent="0.2">
      <c r="A46" s="12" t="s">
        <v>143</v>
      </c>
      <c r="B46" s="208" t="s">
        <v>228</v>
      </c>
      <c r="C46" s="134">
        <f>1485000</f>
        <v>1485000</v>
      </c>
    </row>
    <row r="47" spans="1:3" s="206" customFormat="1" ht="12" customHeight="1" x14ac:dyDescent="0.2">
      <c r="A47" s="12" t="s">
        <v>144</v>
      </c>
      <c r="B47" s="208" t="s">
        <v>229</v>
      </c>
      <c r="C47" s="134"/>
    </row>
    <row r="48" spans="1:3" s="206" customFormat="1" ht="12" customHeight="1" x14ac:dyDescent="0.2">
      <c r="A48" s="12" t="s">
        <v>145</v>
      </c>
      <c r="B48" s="208" t="s">
        <v>544</v>
      </c>
      <c r="C48" s="134"/>
    </row>
    <row r="49" spans="1:3" s="206" customFormat="1" ht="12" customHeight="1" x14ac:dyDescent="0.2">
      <c r="A49" s="12" t="s">
        <v>221</v>
      </c>
      <c r="B49" s="208" t="s">
        <v>231</v>
      </c>
      <c r="C49" s="134"/>
    </row>
    <row r="50" spans="1:3" s="206" customFormat="1" ht="12" customHeight="1" x14ac:dyDescent="0.2">
      <c r="A50" s="14" t="s">
        <v>222</v>
      </c>
      <c r="B50" s="209" t="s">
        <v>453</v>
      </c>
      <c r="C50" s="196"/>
    </row>
    <row r="51" spans="1:3" s="206" customFormat="1" ht="12" customHeight="1" thickBot="1" x14ac:dyDescent="0.25">
      <c r="A51" s="14" t="s">
        <v>454</v>
      </c>
      <c r="B51" s="127" t="s">
        <v>232</v>
      </c>
      <c r="C51" s="196">
        <f>240000</f>
        <v>240000</v>
      </c>
    </row>
    <row r="52" spans="1:3" s="206" customFormat="1" ht="12" customHeight="1" thickBot="1" x14ac:dyDescent="0.25">
      <c r="A52" s="18" t="s">
        <v>26</v>
      </c>
      <c r="B52" s="19" t="s">
        <v>233</v>
      </c>
      <c r="C52" s="130">
        <f>SUM(C53:C57)</f>
        <v>300000</v>
      </c>
    </row>
    <row r="53" spans="1:3" s="206" customFormat="1" ht="12" customHeight="1" x14ac:dyDescent="0.2">
      <c r="A53" s="13" t="s">
        <v>96</v>
      </c>
      <c r="B53" s="207" t="s">
        <v>237</v>
      </c>
      <c r="C53" s="245"/>
    </row>
    <row r="54" spans="1:3" s="206" customFormat="1" ht="12" customHeight="1" x14ac:dyDescent="0.2">
      <c r="A54" s="12" t="s">
        <v>97</v>
      </c>
      <c r="B54" s="208" t="s">
        <v>238</v>
      </c>
      <c r="C54" s="134"/>
    </row>
    <row r="55" spans="1:3" s="206" customFormat="1" ht="12" customHeight="1" x14ac:dyDescent="0.2">
      <c r="A55" s="12" t="s">
        <v>234</v>
      </c>
      <c r="B55" s="208" t="s">
        <v>239</v>
      </c>
      <c r="C55" s="134">
        <f>300000</f>
        <v>300000</v>
      </c>
    </row>
    <row r="56" spans="1:3" s="206" customFormat="1" ht="12" customHeight="1" x14ac:dyDescent="0.2">
      <c r="A56" s="12" t="s">
        <v>235</v>
      </c>
      <c r="B56" s="208" t="s">
        <v>240</v>
      </c>
      <c r="C56" s="134"/>
    </row>
    <row r="57" spans="1:3" s="206" customFormat="1" ht="12" customHeight="1" thickBot="1" x14ac:dyDescent="0.25">
      <c r="A57" s="14" t="s">
        <v>236</v>
      </c>
      <c r="B57" s="127" t="s">
        <v>241</v>
      </c>
      <c r="C57" s="196"/>
    </row>
    <row r="58" spans="1:3" s="206" customFormat="1" ht="12" customHeight="1" thickBot="1" x14ac:dyDescent="0.25">
      <c r="A58" s="18" t="s">
        <v>146</v>
      </c>
      <c r="B58" s="19" t="s">
        <v>242</v>
      </c>
      <c r="C58" s="130">
        <f>SUM(C59:C61)</f>
        <v>0</v>
      </c>
    </row>
    <row r="59" spans="1:3" s="206" customFormat="1" ht="12" customHeight="1" x14ac:dyDescent="0.2">
      <c r="A59" s="13" t="s">
        <v>98</v>
      </c>
      <c r="B59" s="207" t="s">
        <v>243</v>
      </c>
      <c r="C59" s="132"/>
    </row>
    <row r="60" spans="1:3" s="206" customFormat="1" ht="12" customHeight="1" x14ac:dyDescent="0.2">
      <c r="A60" s="12" t="s">
        <v>99</v>
      </c>
      <c r="B60" s="208" t="s">
        <v>374</v>
      </c>
      <c r="C60" s="131"/>
    </row>
    <row r="61" spans="1:3" s="206" customFormat="1" ht="12" customHeight="1" x14ac:dyDescent="0.2">
      <c r="A61" s="12" t="s">
        <v>246</v>
      </c>
      <c r="B61" s="208" t="s">
        <v>244</v>
      </c>
      <c r="C61" s="131"/>
    </row>
    <row r="62" spans="1:3" s="206" customFormat="1" ht="12" customHeight="1" thickBot="1" x14ac:dyDescent="0.25">
      <c r="A62" s="14" t="s">
        <v>247</v>
      </c>
      <c r="B62" s="127" t="s">
        <v>245</v>
      </c>
      <c r="C62" s="133"/>
    </row>
    <row r="63" spans="1:3" s="206" customFormat="1" ht="12" customHeight="1" thickBot="1" x14ac:dyDescent="0.25">
      <c r="A63" s="18" t="s">
        <v>28</v>
      </c>
      <c r="B63" s="125" t="s">
        <v>248</v>
      </c>
      <c r="C63" s="130">
        <f>SUM(C64:C66)</f>
        <v>0</v>
      </c>
    </row>
    <row r="64" spans="1:3" s="206" customFormat="1" ht="12" customHeight="1" x14ac:dyDescent="0.2">
      <c r="A64" s="13" t="s">
        <v>147</v>
      </c>
      <c r="B64" s="207" t="s">
        <v>250</v>
      </c>
      <c r="C64" s="134"/>
    </row>
    <row r="65" spans="1:3" s="206" customFormat="1" ht="12" customHeight="1" x14ac:dyDescent="0.2">
      <c r="A65" s="12" t="s">
        <v>148</v>
      </c>
      <c r="B65" s="208" t="s">
        <v>375</v>
      </c>
      <c r="C65" s="134"/>
    </row>
    <row r="66" spans="1:3" s="206" customFormat="1" ht="12" customHeight="1" x14ac:dyDescent="0.2">
      <c r="A66" s="12" t="s">
        <v>174</v>
      </c>
      <c r="B66" s="208" t="s">
        <v>251</v>
      </c>
      <c r="C66" s="134"/>
    </row>
    <row r="67" spans="1:3" s="206" customFormat="1" ht="12" customHeight="1" thickBot="1" x14ac:dyDescent="0.25">
      <c r="A67" s="14" t="s">
        <v>249</v>
      </c>
      <c r="B67" s="127" t="s">
        <v>252</v>
      </c>
      <c r="C67" s="134"/>
    </row>
    <row r="68" spans="1:3" s="206" customFormat="1" ht="12" customHeight="1" thickBot="1" x14ac:dyDescent="0.25">
      <c r="A68" s="267" t="s">
        <v>455</v>
      </c>
      <c r="B68" s="19" t="s">
        <v>253</v>
      </c>
      <c r="C68" s="135">
        <f>+C11+C18+C25+C32+C40+C52+C58+C63</f>
        <v>7225000</v>
      </c>
    </row>
    <row r="69" spans="1:3" s="206" customFormat="1" ht="12" customHeight="1" thickBot="1" x14ac:dyDescent="0.25">
      <c r="A69" s="268" t="s">
        <v>254</v>
      </c>
      <c r="B69" s="125" t="s">
        <v>255</v>
      </c>
      <c r="C69" s="130">
        <f>SUM(C70:C72)</f>
        <v>0</v>
      </c>
    </row>
    <row r="70" spans="1:3" s="206" customFormat="1" ht="12" customHeight="1" x14ac:dyDescent="0.2">
      <c r="A70" s="13" t="s">
        <v>286</v>
      </c>
      <c r="B70" s="207" t="s">
        <v>256</v>
      </c>
      <c r="C70" s="134"/>
    </row>
    <row r="71" spans="1:3" s="206" customFormat="1" ht="12" customHeight="1" x14ac:dyDescent="0.2">
      <c r="A71" s="12" t="s">
        <v>295</v>
      </c>
      <c r="B71" s="208" t="s">
        <v>257</v>
      </c>
      <c r="C71" s="134"/>
    </row>
    <row r="72" spans="1:3" s="206" customFormat="1" ht="12" customHeight="1" thickBot="1" x14ac:dyDescent="0.25">
      <c r="A72" s="14" t="s">
        <v>296</v>
      </c>
      <c r="B72" s="269" t="s">
        <v>456</v>
      </c>
      <c r="C72" s="134"/>
    </row>
    <row r="73" spans="1:3" s="206" customFormat="1" ht="12" customHeight="1" thickBot="1" x14ac:dyDescent="0.25">
      <c r="A73" s="268" t="s">
        <v>259</v>
      </c>
      <c r="B73" s="125" t="s">
        <v>260</v>
      </c>
      <c r="C73" s="130">
        <f>SUM(C74:C77)</f>
        <v>0</v>
      </c>
    </row>
    <row r="74" spans="1:3" s="206" customFormat="1" ht="12" customHeight="1" x14ac:dyDescent="0.2">
      <c r="A74" s="13" t="s">
        <v>127</v>
      </c>
      <c r="B74" s="207" t="s">
        <v>261</v>
      </c>
      <c r="C74" s="134"/>
    </row>
    <row r="75" spans="1:3" s="206" customFormat="1" ht="12" customHeight="1" x14ac:dyDescent="0.2">
      <c r="A75" s="12" t="s">
        <v>128</v>
      </c>
      <c r="B75" s="208" t="s">
        <v>262</v>
      </c>
      <c r="C75" s="134"/>
    </row>
    <row r="76" spans="1:3" s="206" customFormat="1" ht="12" customHeight="1" x14ac:dyDescent="0.2">
      <c r="A76" s="12" t="s">
        <v>287</v>
      </c>
      <c r="B76" s="208" t="s">
        <v>263</v>
      </c>
      <c r="C76" s="134"/>
    </row>
    <row r="77" spans="1:3" s="206" customFormat="1" ht="12" customHeight="1" thickBot="1" x14ac:dyDescent="0.25">
      <c r="A77" s="14" t="s">
        <v>288</v>
      </c>
      <c r="B77" s="127" t="s">
        <v>264</v>
      </c>
      <c r="C77" s="134"/>
    </row>
    <row r="78" spans="1:3" s="206" customFormat="1" ht="12" customHeight="1" thickBot="1" x14ac:dyDescent="0.25">
      <c r="A78" s="268" t="s">
        <v>265</v>
      </c>
      <c r="B78" s="125" t="s">
        <v>266</v>
      </c>
      <c r="C78" s="130">
        <f>SUM(C79:C80)</f>
        <v>0</v>
      </c>
    </row>
    <row r="79" spans="1:3" s="206" customFormat="1" ht="12" customHeight="1" x14ac:dyDescent="0.2">
      <c r="A79" s="13" t="s">
        <v>289</v>
      </c>
      <c r="B79" s="207" t="s">
        <v>267</v>
      </c>
      <c r="C79" s="134"/>
    </row>
    <row r="80" spans="1:3" s="206" customFormat="1" ht="12" customHeight="1" thickBot="1" x14ac:dyDescent="0.25">
      <c r="A80" s="14" t="s">
        <v>290</v>
      </c>
      <c r="B80" s="127" t="s">
        <v>268</v>
      </c>
      <c r="C80" s="134"/>
    </row>
    <row r="81" spans="1:3" s="206" customFormat="1" ht="12" customHeight="1" thickBot="1" x14ac:dyDescent="0.25">
      <c r="A81" s="268" t="s">
        <v>269</v>
      </c>
      <c r="B81" s="125" t="s">
        <v>270</v>
      </c>
      <c r="C81" s="130">
        <f>SUM(C82:C84)</f>
        <v>0</v>
      </c>
    </row>
    <row r="82" spans="1:3" s="206" customFormat="1" ht="12" customHeight="1" x14ac:dyDescent="0.2">
      <c r="A82" s="13" t="s">
        <v>291</v>
      </c>
      <c r="B82" s="207" t="s">
        <v>271</v>
      </c>
      <c r="C82" s="134"/>
    </row>
    <row r="83" spans="1:3" s="206" customFormat="1" ht="12" customHeight="1" x14ac:dyDescent="0.2">
      <c r="A83" s="12" t="s">
        <v>292</v>
      </c>
      <c r="B83" s="208" t="s">
        <v>272</v>
      </c>
      <c r="C83" s="134"/>
    </row>
    <row r="84" spans="1:3" s="206" customFormat="1" ht="12" customHeight="1" thickBot="1" x14ac:dyDescent="0.25">
      <c r="A84" s="14" t="s">
        <v>293</v>
      </c>
      <c r="B84" s="127" t="s">
        <v>273</v>
      </c>
      <c r="C84" s="134"/>
    </row>
    <row r="85" spans="1:3" s="206" customFormat="1" ht="12" customHeight="1" thickBot="1" x14ac:dyDescent="0.25">
      <c r="A85" s="268" t="s">
        <v>274</v>
      </c>
      <c r="B85" s="125" t="s">
        <v>294</v>
      </c>
      <c r="C85" s="130">
        <f>SUM(C86:C89)</f>
        <v>0</v>
      </c>
    </row>
    <row r="86" spans="1:3" s="206" customFormat="1" ht="12" customHeight="1" x14ac:dyDescent="0.2">
      <c r="A86" s="211" t="s">
        <v>275</v>
      </c>
      <c r="B86" s="207" t="s">
        <v>276</v>
      </c>
      <c r="C86" s="134"/>
    </row>
    <row r="87" spans="1:3" s="206" customFormat="1" ht="12" customHeight="1" x14ac:dyDescent="0.2">
      <c r="A87" s="212" t="s">
        <v>277</v>
      </c>
      <c r="B87" s="208" t="s">
        <v>278</v>
      </c>
      <c r="C87" s="134"/>
    </row>
    <row r="88" spans="1:3" s="206" customFormat="1" ht="12" customHeight="1" x14ac:dyDescent="0.2">
      <c r="A88" s="212" t="s">
        <v>279</v>
      </c>
      <c r="B88" s="208" t="s">
        <v>280</v>
      </c>
      <c r="C88" s="134"/>
    </row>
    <row r="89" spans="1:3" s="206" customFormat="1" ht="12" customHeight="1" thickBot="1" x14ac:dyDescent="0.25">
      <c r="A89" s="213" t="s">
        <v>281</v>
      </c>
      <c r="B89" s="127" t="s">
        <v>282</v>
      </c>
      <c r="C89" s="134"/>
    </row>
    <row r="90" spans="1:3" s="206" customFormat="1" ht="12" customHeight="1" thickBot="1" x14ac:dyDescent="0.25">
      <c r="A90" s="268" t="s">
        <v>283</v>
      </c>
      <c r="B90" s="125" t="s">
        <v>457</v>
      </c>
      <c r="C90" s="246"/>
    </row>
    <row r="91" spans="1:3" s="206" customFormat="1" ht="13.5" customHeight="1" thickBot="1" x14ac:dyDescent="0.25">
      <c r="A91" s="268" t="s">
        <v>285</v>
      </c>
      <c r="B91" s="125" t="s">
        <v>284</v>
      </c>
      <c r="C91" s="246"/>
    </row>
    <row r="92" spans="1:3" s="206" customFormat="1" ht="15.75" customHeight="1" thickBot="1" x14ac:dyDescent="0.25">
      <c r="A92" s="268" t="s">
        <v>297</v>
      </c>
      <c r="B92" s="214" t="s">
        <v>458</v>
      </c>
      <c r="C92" s="135">
        <f>+C69+C73+C78+C81+C85+C91+C90</f>
        <v>0</v>
      </c>
    </row>
    <row r="93" spans="1:3" s="206" customFormat="1" ht="16.5" customHeight="1" thickBot="1" x14ac:dyDescent="0.25">
      <c r="A93" s="270" t="s">
        <v>459</v>
      </c>
      <c r="B93" s="215" t="s">
        <v>460</v>
      </c>
      <c r="C93" s="135">
        <f>+C68+C92</f>
        <v>7225000</v>
      </c>
    </row>
    <row r="94" spans="1:3" s="206" customFormat="1" ht="54" customHeight="1" x14ac:dyDescent="0.2">
      <c r="A94" s="3"/>
      <c r="B94" s="4"/>
      <c r="C94" s="136"/>
    </row>
    <row r="95" spans="1:3" ht="16.5" customHeight="1" x14ac:dyDescent="0.25">
      <c r="A95" s="1498" t="s">
        <v>49</v>
      </c>
      <c r="B95" s="1498"/>
      <c r="C95" s="1498"/>
    </row>
    <row r="96" spans="1:3" s="216" customFormat="1" ht="16.5" customHeight="1" thickBot="1" x14ac:dyDescent="0.3">
      <c r="A96" s="1499" t="s">
        <v>130</v>
      </c>
      <c r="B96" s="1499"/>
      <c r="C96" s="68" t="s">
        <v>557</v>
      </c>
    </row>
    <row r="97" spans="1:3" ht="38.1" customHeight="1" thickBot="1" x14ac:dyDescent="0.3">
      <c r="A97" s="21" t="s">
        <v>72</v>
      </c>
      <c r="B97" s="22" t="s">
        <v>50</v>
      </c>
      <c r="C97" s="31" t="str">
        <f>+C9</f>
        <v>2020. évi előirányzat</v>
      </c>
    </row>
    <row r="98" spans="1:3" s="205" customFormat="1" ht="12" customHeight="1" thickBot="1" x14ac:dyDescent="0.25">
      <c r="A98" s="27" t="s">
        <v>447</v>
      </c>
      <c r="B98" s="28" t="s">
        <v>448</v>
      </c>
      <c r="C98" s="29" t="s">
        <v>449</v>
      </c>
    </row>
    <row r="99" spans="1:3" ht="12" customHeight="1" thickBot="1" x14ac:dyDescent="0.3">
      <c r="A99" s="20" t="s">
        <v>21</v>
      </c>
      <c r="B99" s="24" t="s">
        <v>498</v>
      </c>
      <c r="C99" s="129">
        <f>C100+C101+C102+C103+C104+C117</f>
        <v>232227390</v>
      </c>
    </row>
    <row r="100" spans="1:3" ht="12" customHeight="1" x14ac:dyDescent="0.25">
      <c r="A100" s="15" t="s">
        <v>100</v>
      </c>
      <c r="B100" s="8" t="s">
        <v>51</v>
      </c>
      <c r="C100" s="290">
        <f>160333055</f>
        <v>160333055</v>
      </c>
    </row>
    <row r="101" spans="1:3" ht="12" customHeight="1" x14ac:dyDescent="0.25">
      <c r="A101" s="12" t="s">
        <v>101</v>
      </c>
      <c r="B101" s="6" t="s">
        <v>149</v>
      </c>
      <c r="C101" s="134">
        <f>31982807</f>
        <v>31982807</v>
      </c>
    </row>
    <row r="102" spans="1:3" ht="12" customHeight="1" x14ac:dyDescent="0.25">
      <c r="A102" s="12" t="s">
        <v>102</v>
      </c>
      <c r="B102" s="6" t="s">
        <v>125</v>
      </c>
      <c r="C102" s="196">
        <v>39911528</v>
      </c>
    </row>
    <row r="103" spans="1:3" ht="12" customHeight="1" x14ac:dyDescent="0.25">
      <c r="A103" s="12" t="s">
        <v>103</v>
      </c>
      <c r="B103" s="9" t="s">
        <v>150</v>
      </c>
      <c r="C103" s="196"/>
    </row>
    <row r="104" spans="1:3" ht="12" customHeight="1" x14ac:dyDescent="0.25">
      <c r="A104" s="12" t="s">
        <v>114</v>
      </c>
      <c r="B104" s="17" t="s">
        <v>151</v>
      </c>
      <c r="C104" s="134">
        <f>SUM(C105:C116)</f>
        <v>0</v>
      </c>
    </row>
    <row r="105" spans="1:3" ht="12" customHeight="1" x14ac:dyDescent="0.25">
      <c r="A105" s="12" t="s">
        <v>104</v>
      </c>
      <c r="B105" s="6" t="s">
        <v>461</v>
      </c>
      <c r="C105" s="286"/>
    </row>
    <row r="106" spans="1:3" ht="12" customHeight="1" x14ac:dyDescent="0.25">
      <c r="A106" s="12" t="s">
        <v>105</v>
      </c>
      <c r="B106" s="72" t="s">
        <v>462</v>
      </c>
      <c r="C106" s="286"/>
    </row>
    <row r="107" spans="1:3" ht="12" customHeight="1" x14ac:dyDescent="0.25">
      <c r="A107" s="12" t="s">
        <v>115</v>
      </c>
      <c r="B107" s="72" t="s">
        <v>463</v>
      </c>
      <c r="C107" s="286"/>
    </row>
    <row r="108" spans="1:3" ht="12" customHeight="1" x14ac:dyDescent="0.25">
      <c r="A108" s="12" t="s">
        <v>116</v>
      </c>
      <c r="B108" s="70" t="s">
        <v>300</v>
      </c>
      <c r="C108" s="286"/>
    </row>
    <row r="109" spans="1:3" ht="12" customHeight="1" x14ac:dyDescent="0.25">
      <c r="A109" s="12" t="s">
        <v>117</v>
      </c>
      <c r="B109" s="71" t="s">
        <v>301</v>
      </c>
      <c r="C109" s="286"/>
    </row>
    <row r="110" spans="1:3" ht="12" customHeight="1" x14ac:dyDescent="0.25">
      <c r="A110" s="12" t="s">
        <v>118</v>
      </c>
      <c r="B110" s="71" t="s">
        <v>302</v>
      </c>
      <c r="C110" s="286"/>
    </row>
    <row r="111" spans="1:3" ht="12" customHeight="1" x14ac:dyDescent="0.25">
      <c r="A111" s="12" t="s">
        <v>120</v>
      </c>
      <c r="B111" s="70" t="s">
        <v>303</v>
      </c>
      <c r="C111" s="286"/>
    </row>
    <row r="112" spans="1:3" ht="12" customHeight="1" x14ac:dyDescent="0.25">
      <c r="A112" s="12" t="s">
        <v>152</v>
      </c>
      <c r="B112" s="70" t="s">
        <v>304</v>
      </c>
      <c r="C112" s="286"/>
    </row>
    <row r="113" spans="1:3" ht="12" customHeight="1" x14ac:dyDescent="0.25">
      <c r="A113" s="12" t="s">
        <v>298</v>
      </c>
      <c r="B113" s="71" t="s">
        <v>305</v>
      </c>
      <c r="C113" s="286"/>
    </row>
    <row r="114" spans="1:3" ht="12" customHeight="1" x14ac:dyDescent="0.25">
      <c r="A114" s="11" t="s">
        <v>299</v>
      </c>
      <c r="B114" s="72" t="s">
        <v>306</v>
      </c>
      <c r="C114" s="286"/>
    </row>
    <row r="115" spans="1:3" ht="12" customHeight="1" x14ac:dyDescent="0.25">
      <c r="A115" s="12" t="s">
        <v>464</v>
      </c>
      <c r="B115" s="72" t="s">
        <v>307</v>
      </c>
      <c r="C115" s="286"/>
    </row>
    <row r="116" spans="1:3" ht="12" customHeight="1" x14ac:dyDescent="0.25">
      <c r="A116" s="14" t="s">
        <v>465</v>
      </c>
      <c r="B116" s="72" t="s">
        <v>308</v>
      </c>
      <c r="C116" s="282"/>
    </row>
    <row r="117" spans="1:3" ht="12" customHeight="1" x14ac:dyDescent="0.25">
      <c r="A117" s="12" t="s">
        <v>466</v>
      </c>
      <c r="B117" s="9" t="s">
        <v>52</v>
      </c>
      <c r="C117" s="134">
        <f>C118+C119</f>
        <v>0</v>
      </c>
    </row>
    <row r="118" spans="1:3" ht="12" customHeight="1" x14ac:dyDescent="0.25">
      <c r="A118" s="12" t="s">
        <v>467</v>
      </c>
      <c r="B118" s="6" t="s">
        <v>468</v>
      </c>
      <c r="C118" s="131"/>
    </row>
    <row r="119" spans="1:3" ht="12" customHeight="1" thickBot="1" x14ac:dyDescent="0.3">
      <c r="A119" s="16" t="s">
        <v>469</v>
      </c>
      <c r="B119" s="271" t="s">
        <v>470</v>
      </c>
      <c r="C119" s="137"/>
    </row>
    <row r="120" spans="1:3" ht="12" customHeight="1" thickBot="1" x14ac:dyDescent="0.3">
      <c r="A120" s="272" t="s">
        <v>22</v>
      </c>
      <c r="B120" s="273" t="s">
        <v>309</v>
      </c>
      <c r="C120" s="274">
        <f>+C121+C123+C125</f>
        <v>4817400</v>
      </c>
    </row>
    <row r="121" spans="1:3" ht="12" customHeight="1" x14ac:dyDescent="0.25">
      <c r="A121" s="13" t="s">
        <v>106</v>
      </c>
      <c r="B121" s="6" t="s">
        <v>173</v>
      </c>
      <c r="C121" s="245">
        <v>4817400</v>
      </c>
    </row>
    <row r="122" spans="1:3" ht="12" customHeight="1" x14ac:dyDescent="0.25">
      <c r="A122" s="13" t="s">
        <v>107</v>
      </c>
      <c r="B122" s="10" t="s">
        <v>313</v>
      </c>
      <c r="C122" s="245"/>
    </row>
    <row r="123" spans="1:3" ht="12" customHeight="1" x14ac:dyDescent="0.25">
      <c r="A123" s="13" t="s">
        <v>108</v>
      </c>
      <c r="B123" s="10" t="s">
        <v>153</v>
      </c>
      <c r="C123" s="134"/>
    </row>
    <row r="124" spans="1:3" ht="12" customHeight="1" x14ac:dyDescent="0.25">
      <c r="A124" s="13" t="s">
        <v>109</v>
      </c>
      <c r="B124" s="10" t="s">
        <v>314</v>
      </c>
      <c r="C124" s="282"/>
    </row>
    <row r="125" spans="1:3" ht="12" customHeight="1" x14ac:dyDescent="0.25">
      <c r="A125" s="13" t="s">
        <v>110</v>
      </c>
      <c r="B125" s="127" t="s">
        <v>175</v>
      </c>
      <c r="C125" s="282">
        <f>SUM(C126:C133)</f>
        <v>0</v>
      </c>
    </row>
    <row r="126" spans="1:3" ht="12" customHeight="1" x14ac:dyDescent="0.25">
      <c r="A126" s="13" t="s">
        <v>119</v>
      </c>
      <c r="B126" s="126" t="s">
        <v>376</v>
      </c>
      <c r="C126" s="282"/>
    </row>
    <row r="127" spans="1:3" ht="12" customHeight="1" x14ac:dyDescent="0.25">
      <c r="A127" s="13" t="s">
        <v>121</v>
      </c>
      <c r="B127" s="203" t="s">
        <v>319</v>
      </c>
      <c r="C127" s="282"/>
    </row>
    <row r="128" spans="1:3" x14ac:dyDescent="0.25">
      <c r="A128" s="13" t="s">
        <v>154</v>
      </c>
      <c r="B128" s="71" t="s">
        <v>302</v>
      </c>
      <c r="C128" s="282"/>
    </row>
    <row r="129" spans="1:3" ht="12" customHeight="1" x14ac:dyDescent="0.25">
      <c r="A129" s="13" t="s">
        <v>155</v>
      </c>
      <c r="B129" s="71" t="s">
        <v>318</v>
      </c>
      <c r="C129" s="282"/>
    </row>
    <row r="130" spans="1:3" ht="12" customHeight="1" x14ac:dyDescent="0.25">
      <c r="A130" s="13" t="s">
        <v>156</v>
      </c>
      <c r="B130" s="71" t="s">
        <v>317</v>
      </c>
      <c r="C130" s="282"/>
    </row>
    <row r="131" spans="1:3" ht="12" customHeight="1" x14ac:dyDescent="0.25">
      <c r="A131" s="13" t="s">
        <v>310</v>
      </c>
      <c r="B131" s="71" t="s">
        <v>305</v>
      </c>
      <c r="C131" s="282"/>
    </row>
    <row r="132" spans="1:3" ht="12" customHeight="1" x14ac:dyDescent="0.25">
      <c r="A132" s="13" t="s">
        <v>311</v>
      </c>
      <c r="B132" s="71" t="s">
        <v>316</v>
      </c>
      <c r="C132" s="282"/>
    </row>
    <row r="133" spans="1:3" ht="16.5" thickBot="1" x14ac:dyDescent="0.3">
      <c r="A133" s="11" t="s">
        <v>312</v>
      </c>
      <c r="B133" s="71" t="s">
        <v>315</v>
      </c>
      <c r="C133" s="286"/>
    </row>
    <row r="134" spans="1:3" ht="12" customHeight="1" thickBot="1" x14ac:dyDescent="0.3">
      <c r="A134" s="18" t="s">
        <v>23</v>
      </c>
      <c r="B134" s="66" t="s">
        <v>471</v>
      </c>
      <c r="C134" s="130">
        <f>+C99+C120</f>
        <v>237044790</v>
      </c>
    </row>
    <row r="135" spans="1:3" ht="12" customHeight="1" thickBot="1" x14ac:dyDescent="0.3">
      <c r="A135" s="18" t="s">
        <v>24</v>
      </c>
      <c r="B135" s="66" t="s">
        <v>472</v>
      </c>
      <c r="C135" s="130">
        <f>+C136+C137+C138</f>
        <v>0</v>
      </c>
    </row>
    <row r="136" spans="1:3" ht="12" customHeight="1" x14ac:dyDescent="0.25">
      <c r="A136" s="13" t="s">
        <v>211</v>
      </c>
      <c r="B136" s="10" t="s">
        <v>473</v>
      </c>
      <c r="C136" s="119"/>
    </row>
    <row r="137" spans="1:3" ht="12" customHeight="1" x14ac:dyDescent="0.25">
      <c r="A137" s="13" t="s">
        <v>214</v>
      </c>
      <c r="B137" s="10" t="s">
        <v>474</v>
      </c>
      <c r="C137" s="119"/>
    </row>
    <row r="138" spans="1:3" ht="12" customHeight="1" thickBot="1" x14ac:dyDescent="0.3">
      <c r="A138" s="11" t="s">
        <v>215</v>
      </c>
      <c r="B138" s="10" t="s">
        <v>475</v>
      </c>
      <c r="C138" s="119"/>
    </row>
    <row r="139" spans="1:3" ht="12" customHeight="1" thickBot="1" x14ac:dyDescent="0.3">
      <c r="A139" s="18" t="s">
        <v>25</v>
      </c>
      <c r="B139" s="66" t="s">
        <v>476</v>
      </c>
      <c r="C139" s="130">
        <f>SUM(C140:C145)</f>
        <v>0</v>
      </c>
    </row>
    <row r="140" spans="1:3" ht="12" customHeight="1" x14ac:dyDescent="0.25">
      <c r="A140" s="13" t="s">
        <v>93</v>
      </c>
      <c r="B140" s="7" t="s">
        <v>477</v>
      </c>
      <c r="C140" s="119"/>
    </row>
    <row r="141" spans="1:3" ht="12" customHeight="1" x14ac:dyDescent="0.25">
      <c r="A141" s="13" t="s">
        <v>94</v>
      </c>
      <c r="B141" s="7" t="s">
        <v>478</v>
      </c>
      <c r="C141" s="119"/>
    </row>
    <row r="142" spans="1:3" ht="12" customHeight="1" x14ac:dyDescent="0.25">
      <c r="A142" s="13" t="s">
        <v>95</v>
      </c>
      <c r="B142" s="7" t="s">
        <v>479</v>
      </c>
      <c r="C142" s="119"/>
    </row>
    <row r="143" spans="1:3" ht="12" customHeight="1" x14ac:dyDescent="0.25">
      <c r="A143" s="13" t="s">
        <v>141</v>
      </c>
      <c r="B143" s="7" t="s">
        <v>480</v>
      </c>
      <c r="C143" s="119"/>
    </row>
    <row r="144" spans="1:3" ht="12" customHeight="1" x14ac:dyDescent="0.25">
      <c r="A144" s="13" t="s">
        <v>142</v>
      </c>
      <c r="B144" s="7" t="s">
        <v>481</v>
      </c>
      <c r="C144" s="119"/>
    </row>
    <row r="145" spans="1:6" ht="12" customHeight="1" thickBot="1" x14ac:dyDescent="0.3">
      <c r="A145" s="11" t="s">
        <v>143</v>
      </c>
      <c r="B145" s="7" t="s">
        <v>482</v>
      </c>
      <c r="C145" s="119"/>
    </row>
    <row r="146" spans="1:6" ht="12" customHeight="1" thickBot="1" x14ac:dyDescent="0.3">
      <c r="A146" s="18" t="s">
        <v>26</v>
      </c>
      <c r="B146" s="66" t="s">
        <v>483</v>
      </c>
      <c r="C146" s="135">
        <f>+C147+C148+C149+C150</f>
        <v>0</v>
      </c>
    </row>
    <row r="147" spans="1:6" ht="12" customHeight="1" x14ac:dyDescent="0.25">
      <c r="A147" s="13" t="s">
        <v>96</v>
      </c>
      <c r="B147" s="7" t="s">
        <v>320</v>
      </c>
      <c r="C147" s="119"/>
    </row>
    <row r="148" spans="1:6" ht="12" customHeight="1" x14ac:dyDescent="0.25">
      <c r="A148" s="13" t="s">
        <v>97</v>
      </c>
      <c r="B148" s="7" t="s">
        <v>321</v>
      </c>
      <c r="C148" s="119"/>
    </row>
    <row r="149" spans="1:6" ht="12" customHeight="1" x14ac:dyDescent="0.25">
      <c r="A149" s="13" t="s">
        <v>234</v>
      </c>
      <c r="B149" s="7" t="s">
        <v>484</v>
      </c>
      <c r="C149" s="119"/>
    </row>
    <row r="150" spans="1:6" ht="12" customHeight="1" thickBot="1" x14ac:dyDescent="0.3">
      <c r="A150" s="11" t="s">
        <v>235</v>
      </c>
      <c r="B150" s="5" t="s">
        <v>339</v>
      </c>
      <c r="C150" s="119"/>
    </row>
    <row r="151" spans="1:6" ht="12" customHeight="1" thickBot="1" x14ac:dyDescent="0.3">
      <c r="A151" s="18" t="s">
        <v>27</v>
      </c>
      <c r="B151" s="66" t="s">
        <v>485</v>
      </c>
      <c r="C151" s="138">
        <f>SUM(C152:C156)</f>
        <v>0</v>
      </c>
    </row>
    <row r="152" spans="1:6" ht="12" customHeight="1" x14ac:dyDescent="0.25">
      <c r="A152" s="13" t="s">
        <v>98</v>
      </c>
      <c r="B152" s="7" t="s">
        <v>486</v>
      </c>
      <c r="C152" s="119"/>
    </row>
    <row r="153" spans="1:6" ht="12" customHeight="1" x14ac:dyDescent="0.25">
      <c r="A153" s="13" t="s">
        <v>99</v>
      </c>
      <c r="B153" s="7" t="s">
        <v>487</v>
      </c>
      <c r="C153" s="119"/>
    </row>
    <row r="154" spans="1:6" ht="12" customHeight="1" x14ac:dyDescent="0.25">
      <c r="A154" s="13" t="s">
        <v>246</v>
      </c>
      <c r="B154" s="7" t="s">
        <v>488</v>
      </c>
      <c r="C154" s="119"/>
    </row>
    <row r="155" spans="1:6" ht="12" customHeight="1" x14ac:dyDescent="0.25">
      <c r="A155" s="13" t="s">
        <v>247</v>
      </c>
      <c r="B155" s="7" t="s">
        <v>489</v>
      </c>
      <c r="C155" s="119"/>
    </row>
    <row r="156" spans="1:6" ht="12" customHeight="1" thickBot="1" x14ac:dyDescent="0.3">
      <c r="A156" s="13" t="s">
        <v>490</v>
      </c>
      <c r="B156" s="7" t="s">
        <v>491</v>
      </c>
      <c r="C156" s="119"/>
    </row>
    <row r="157" spans="1:6" ht="12" customHeight="1" thickBot="1" x14ac:dyDescent="0.3">
      <c r="A157" s="18" t="s">
        <v>28</v>
      </c>
      <c r="B157" s="66" t="s">
        <v>492</v>
      </c>
      <c r="C157" s="275"/>
    </row>
    <row r="158" spans="1:6" ht="12" customHeight="1" thickBot="1" x14ac:dyDescent="0.3">
      <c r="A158" s="18" t="s">
        <v>29</v>
      </c>
      <c r="B158" s="66" t="s">
        <v>493</v>
      </c>
      <c r="C158" s="275"/>
    </row>
    <row r="159" spans="1:6" ht="15" customHeight="1" thickBot="1" x14ac:dyDescent="0.3">
      <c r="A159" s="18" t="s">
        <v>30</v>
      </c>
      <c r="B159" s="66" t="s">
        <v>494</v>
      </c>
      <c r="C159" s="217">
        <f>+C135+C139+C146+C151+C157+C158</f>
        <v>0</v>
      </c>
      <c r="D159" s="218"/>
      <c r="E159" s="218"/>
      <c r="F159" s="218"/>
    </row>
    <row r="160" spans="1:6" s="206" customFormat="1" ht="12.95" customHeight="1" thickBot="1" x14ac:dyDescent="0.25">
      <c r="A160" s="128" t="s">
        <v>31</v>
      </c>
      <c r="B160" s="192" t="s">
        <v>495</v>
      </c>
      <c r="C160" s="217">
        <f>+C134+C159</f>
        <v>237044790</v>
      </c>
    </row>
    <row r="161" spans="1:3" ht="7.5" customHeight="1" x14ac:dyDescent="0.25"/>
    <row r="162" spans="1:3" x14ac:dyDescent="0.25">
      <c r="A162" s="1495" t="s">
        <v>322</v>
      </c>
      <c r="B162" s="1495"/>
      <c r="C162" s="1495"/>
    </row>
    <row r="163" spans="1:3" ht="15" customHeight="1" thickBot="1" x14ac:dyDescent="0.3">
      <c r="A163" s="1497" t="s">
        <v>131</v>
      </c>
      <c r="B163" s="1497"/>
      <c r="C163" s="139" t="s">
        <v>557</v>
      </c>
    </row>
    <row r="164" spans="1:3" ht="13.5" customHeight="1" thickBot="1" x14ac:dyDescent="0.3">
      <c r="A164" s="18">
        <v>1</v>
      </c>
      <c r="B164" s="23" t="s">
        <v>496</v>
      </c>
      <c r="C164" s="130">
        <f>+C68-C134</f>
        <v>-229819790</v>
      </c>
    </row>
    <row r="165" spans="1:3" ht="21.75" thickBot="1" x14ac:dyDescent="0.3">
      <c r="A165" s="18" t="s">
        <v>22</v>
      </c>
      <c r="B165" s="23" t="s">
        <v>1005</v>
      </c>
      <c r="C165" s="130">
        <f>+C92-C159</f>
        <v>0</v>
      </c>
    </row>
  </sheetData>
  <mergeCells count="10">
    <mergeCell ref="A1:C1"/>
    <mergeCell ref="A3:C3"/>
    <mergeCell ref="A4:C4"/>
    <mergeCell ref="A5:C5"/>
    <mergeCell ref="A163:B163"/>
    <mergeCell ref="A7:C7"/>
    <mergeCell ref="A8:B8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2" max="2" man="1"/>
    <brk id="9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zoomScaleSheetLayoutView="85" workbookViewId="0">
      <selection activeCell="C12" sqref="C12"/>
    </sheetView>
  </sheetViews>
  <sheetFormatPr defaultColWidth="10.6640625" defaultRowHeight="15.75" x14ac:dyDescent="0.25"/>
  <cols>
    <col min="1" max="1" width="10.6640625" style="1376"/>
    <col min="2" max="2" width="60.1640625" style="258" customWidth="1"/>
    <col min="3" max="3" width="48.83203125" style="1291" customWidth="1"/>
    <col min="4" max="4" width="16.5" style="258" bestFit="1" customWidth="1"/>
    <col min="5" max="5" width="18.6640625" style="258" bestFit="1" customWidth="1"/>
    <col min="6" max="257" width="10.6640625" style="258"/>
    <col min="258" max="258" width="60.1640625" style="258" customWidth="1"/>
    <col min="259" max="259" width="48.83203125" style="258" customWidth="1"/>
    <col min="260" max="260" width="16.5" style="258" bestFit="1" customWidth="1"/>
    <col min="261" max="261" width="15" style="258" customWidth="1"/>
    <col min="262" max="513" width="10.6640625" style="258"/>
    <col min="514" max="514" width="60.1640625" style="258" customWidth="1"/>
    <col min="515" max="515" width="48.83203125" style="258" customWidth="1"/>
    <col min="516" max="516" width="16.5" style="258" bestFit="1" customWidth="1"/>
    <col min="517" max="517" width="15" style="258" customWidth="1"/>
    <col min="518" max="769" width="10.6640625" style="258"/>
    <col min="770" max="770" width="60.1640625" style="258" customWidth="1"/>
    <col min="771" max="771" width="48.83203125" style="258" customWidth="1"/>
    <col min="772" max="772" width="16.5" style="258" bestFit="1" customWidth="1"/>
    <col min="773" max="773" width="15" style="258" customWidth="1"/>
    <col min="774" max="1025" width="10.6640625" style="258"/>
    <col min="1026" max="1026" width="60.1640625" style="258" customWidth="1"/>
    <col min="1027" max="1027" width="48.83203125" style="258" customWidth="1"/>
    <col min="1028" max="1028" width="16.5" style="258" bestFit="1" customWidth="1"/>
    <col min="1029" max="1029" width="15" style="258" customWidth="1"/>
    <col min="1030" max="1281" width="10.6640625" style="258"/>
    <col min="1282" max="1282" width="60.1640625" style="258" customWidth="1"/>
    <col min="1283" max="1283" width="48.83203125" style="258" customWidth="1"/>
    <col min="1284" max="1284" width="16.5" style="258" bestFit="1" customWidth="1"/>
    <col min="1285" max="1285" width="15" style="258" customWidth="1"/>
    <col min="1286" max="1537" width="10.6640625" style="258"/>
    <col min="1538" max="1538" width="60.1640625" style="258" customWidth="1"/>
    <col min="1539" max="1539" width="48.83203125" style="258" customWidth="1"/>
    <col min="1540" max="1540" width="16.5" style="258" bestFit="1" customWidth="1"/>
    <col min="1541" max="1541" width="15" style="258" customWidth="1"/>
    <col min="1542" max="1793" width="10.6640625" style="258"/>
    <col min="1794" max="1794" width="60.1640625" style="258" customWidth="1"/>
    <col min="1795" max="1795" width="48.83203125" style="258" customWidth="1"/>
    <col min="1796" max="1796" width="16.5" style="258" bestFit="1" customWidth="1"/>
    <col min="1797" max="1797" width="15" style="258" customWidth="1"/>
    <col min="1798" max="2049" width="10.6640625" style="258"/>
    <col min="2050" max="2050" width="60.1640625" style="258" customWidth="1"/>
    <col min="2051" max="2051" width="48.83203125" style="258" customWidth="1"/>
    <col min="2052" max="2052" width="16.5" style="258" bestFit="1" customWidth="1"/>
    <col min="2053" max="2053" width="15" style="258" customWidth="1"/>
    <col min="2054" max="2305" width="10.6640625" style="258"/>
    <col min="2306" max="2306" width="60.1640625" style="258" customWidth="1"/>
    <col min="2307" max="2307" width="48.83203125" style="258" customWidth="1"/>
    <col min="2308" max="2308" width="16.5" style="258" bestFit="1" customWidth="1"/>
    <col min="2309" max="2309" width="15" style="258" customWidth="1"/>
    <col min="2310" max="2561" width="10.6640625" style="258"/>
    <col min="2562" max="2562" width="60.1640625" style="258" customWidth="1"/>
    <col min="2563" max="2563" width="48.83203125" style="258" customWidth="1"/>
    <col min="2564" max="2564" width="16.5" style="258" bestFit="1" customWidth="1"/>
    <col min="2565" max="2565" width="15" style="258" customWidth="1"/>
    <col min="2566" max="2817" width="10.6640625" style="258"/>
    <col min="2818" max="2818" width="60.1640625" style="258" customWidth="1"/>
    <col min="2819" max="2819" width="48.83203125" style="258" customWidth="1"/>
    <col min="2820" max="2820" width="16.5" style="258" bestFit="1" customWidth="1"/>
    <col min="2821" max="2821" width="15" style="258" customWidth="1"/>
    <col min="2822" max="3073" width="10.6640625" style="258"/>
    <col min="3074" max="3074" width="60.1640625" style="258" customWidth="1"/>
    <col min="3075" max="3075" width="48.83203125" style="258" customWidth="1"/>
    <col min="3076" max="3076" width="16.5" style="258" bestFit="1" customWidth="1"/>
    <col min="3077" max="3077" width="15" style="258" customWidth="1"/>
    <col min="3078" max="3329" width="10.6640625" style="258"/>
    <col min="3330" max="3330" width="60.1640625" style="258" customWidth="1"/>
    <col min="3331" max="3331" width="48.83203125" style="258" customWidth="1"/>
    <col min="3332" max="3332" width="16.5" style="258" bestFit="1" customWidth="1"/>
    <col min="3333" max="3333" width="15" style="258" customWidth="1"/>
    <col min="3334" max="3585" width="10.6640625" style="258"/>
    <col min="3586" max="3586" width="60.1640625" style="258" customWidth="1"/>
    <col min="3587" max="3587" width="48.83203125" style="258" customWidth="1"/>
    <col min="3588" max="3588" width="16.5" style="258" bestFit="1" customWidth="1"/>
    <col min="3589" max="3589" width="15" style="258" customWidth="1"/>
    <col min="3590" max="3841" width="10.6640625" style="258"/>
    <col min="3842" max="3842" width="60.1640625" style="258" customWidth="1"/>
    <col min="3843" max="3843" width="48.83203125" style="258" customWidth="1"/>
    <col min="3844" max="3844" width="16.5" style="258" bestFit="1" customWidth="1"/>
    <col min="3845" max="3845" width="15" style="258" customWidth="1"/>
    <col min="3846" max="4097" width="10.6640625" style="258"/>
    <col min="4098" max="4098" width="60.1640625" style="258" customWidth="1"/>
    <col min="4099" max="4099" width="48.83203125" style="258" customWidth="1"/>
    <col min="4100" max="4100" width="16.5" style="258" bestFit="1" customWidth="1"/>
    <col min="4101" max="4101" width="15" style="258" customWidth="1"/>
    <col min="4102" max="4353" width="10.6640625" style="258"/>
    <col min="4354" max="4354" width="60.1640625" style="258" customWidth="1"/>
    <col min="4355" max="4355" width="48.83203125" style="258" customWidth="1"/>
    <col min="4356" max="4356" width="16.5" style="258" bestFit="1" customWidth="1"/>
    <col min="4357" max="4357" width="15" style="258" customWidth="1"/>
    <col min="4358" max="4609" width="10.6640625" style="258"/>
    <col min="4610" max="4610" width="60.1640625" style="258" customWidth="1"/>
    <col min="4611" max="4611" width="48.83203125" style="258" customWidth="1"/>
    <col min="4612" max="4612" width="16.5" style="258" bestFit="1" customWidth="1"/>
    <col min="4613" max="4613" width="15" style="258" customWidth="1"/>
    <col min="4614" max="4865" width="10.6640625" style="258"/>
    <col min="4866" max="4866" width="60.1640625" style="258" customWidth="1"/>
    <col min="4867" max="4867" width="48.83203125" style="258" customWidth="1"/>
    <col min="4868" max="4868" width="16.5" style="258" bestFit="1" customWidth="1"/>
    <col min="4869" max="4869" width="15" style="258" customWidth="1"/>
    <col min="4870" max="5121" width="10.6640625" style="258"/>
    <col min="5122" max="5122" width="60.1640625" style="258" customWidth="1"/>
    <col min="5123" max="5123" width="48.83203125" style="258" customWidth="1"/>
    <col min="5124" max="5124" width="16.5" style="258" bestFit="1" customWidth="1"/>
    <col min="5125" max="5125" width="15" style="258" customWidth="1"/>
    <col min="5126" max="5377" width="10.6640625" style="258"/>
    <col min="5378" max="5378" width="60.1640625" style="258" customWidth="1"/>
    <col min="5379" max="5379" width="48.83203125" style="258" customWidth="1"/>
    <col min="5380" max="5380" width="16.5" style="258" bestFit="1" customWidth="1"/>
    <col min="5381" max="5381" width="15" style="258" customWidth="1"/>
    <col min="5382" max="5633" width="10.6640625" style="258"/>
    <col min="5634" max="5634" width="60.1640625" style="258" customWidth="1"/>
    <col min="5635" max="5635" width="48.83203125" style="258" customWidth="1"/>
    <col min="5636" max="5636" width="16.5" style="258" bestFit="1" customWidth="1"/>
    <col min="5637" max="5637" width="15" style="258" customWidth="1"/>
    <col min="5638" max="5889" width="10.6640625" style="258"/>
    <col min="5890" max="5890" width="60.1640625" style="258" customWidth="1"/>
    <col min="5891" max="5891" width="48.83203125" style="258" customWidth="1"/>
    <col min="5892" max="5892" width="16.5" style="258" bestFit="1" customWidth="1"/>
    <col min="5893" max="5893" width="15" style="258" customWidth="1"/>
    <col min="5894" max="6145" width="10.6640625" style="258"/>
    <col min="6146" max="6146" width="60.1640625" style="258" customWidth="1"/>
    <col min="6147" max="6147" width="48.83203125" style="258" customWidth="1"/>
    <col min="6148" max="6148" width="16.5" style="258" bestFit="1" customWidth="1"/>
    <col min="6149" max="6149" width="15" style="258" customWidth="1"/>
    <col min="6150" max="6401" width="10.6640625" style="258"/>
    <col min="6402" max="6402" width="60.1640625" style="258" customWidth="1"/>
    <col min="6403" max="6403" width="48.83203125" style="258" customWidth="1"/>
    <col min="6404" max="6404" width="16.5" style="258" bestFit="1" customWidth="1"/>
    <col min="6405" max="6405" width="15" style="258" customWidth="1"/>
    <col min="6406" max="6657" width="10.6640625" style="258"/>
    <col min="6658" max="6658" width="60.1640625" style="258" customWidth="1"/>
    <col min="6659" max="6659" width="48.83203125" style="258" customWidth="1"/>
    <col min="6660" max="6660" width="16.5" style="258" bestFit="1" customWidth="1"/>
    <col min="6661" max="6661" width="15" style="258" customWidth="1"/>
    <col min="6662" max="6913" width="10.6640625" style="258"/>
    <col min="6914" max="6914" width="60.1640625" style="258" customWidth="1"/>
    <col min="6915" max="6915" width="48.83203125" style="258" customWidth="1"/>
    <col min="6916" max="6916" width="16.5" style="258" bestFit="1" customWidth="1"/>
    <col min="6917" max="6917" width="15" style="258" customWidth="1"/>
    <col min="6918" max="7169" width="10.6640625" style="258"/>
    <col min="7170" max="7170" width="60.1640625" style="258" customWidth="1"/>
    <col min="7171" max="7171" width="48.83203125" style="258" customWidth="1"/>
    <col min="7172" max="7172" width="16.5" style="258" bestFit="1" customWidth="1"/>
    <col min="7173" max="7173" width="15" style="258" customWidth="1"/>
    <col min="7174" max="7425" width="10.6640625" style="258"/>
    <col min="7426" max="7426" width="60.1640625" style="258" customWidth="1"/>
    <col min="7427" max="7427" width="48.83203125" style="258" customWidth="1"/>
    <col min="7428" max="7428" width="16.5" style="258" bestFit="1" customWidth="1"/>
    <col min="7429" max="7429" width="15" style="258" customWidth="1"/>
    <col min="7430" max="7681" width="10.6640625" style="258"/>
    <col min="7682" max="7682" width="60.1640625" style="258" customWidth="1"/>
    <col min="7683" max="7683" width="48.83203125" style="258" customWidth="1"/>
    <col min="7684" max="7684" width="16.5" style="258" bestFit="1" customWidth="1"/>
    <col min="7685" max="7685" width="15" style="258" customWidth="1"/>
    <col min="7686" max="7937" width="10.6640625" style="258"/>
    <col min="7938" max="7938" width="60.1640625" style="258" customWidth="1"/>
    <col min="7939" max="7939" width="48.83203125" style="258" customWidth="1"/>
    <col min="7940" max="7940" width="16.5" style="258" bestFit="1" customWidth="1"/>
    <col min="7941" max="7941" width="15" style="258" customWidth="1"/>
    <col min="7942" max="8193" width="10.6640625" style="258"/>
    <col min="8194" max="8194" width="60.1640625" style="258" customWidth="1"/>
    <col min="8195" max="8195" width="48.83203125" style="258" customWidth="1"/>
    <col min="8196" max="8196" width="16.5" style="258" bestFit="1" customWidth="1"/>
    <col min="8197" max="8197" width="15" style="258" customWidth="1"/>
    <col min="8198" max="8449" width="10.6640625" style="258"/>
    <col min="8450" max="8450" width="60.1640625" style="258" customWidth="1"/>
    <col min="8451" max="8451" width="48.83203125" style="258" customWidth="1"/>
    <col min="8452" max="8452" width="16.5" style="258" bestFit="1" customWidth="1"/>
    <col min="8453" max="8453" width="15" style="258" customWidth="1"/>
    <col min="8454" max="8705" width="10.6640625" style="258"/>
    <col min="8706" max="8706" width="60.1640625" style="258" customWidth="1"/>
    <col min="8707" max="8707" width="48.83203125" style="258" customWidth="1"/>
    <col min="8708" max="8708" width="16.5" style="258" bestFit="1" customWidth="1"/>
    <col min="8709" max="8709" width="15" style="258" customWidth="1"/>
    <col min="8710" max="8961" width="10.6640625" style="258"/>
    <col min="8962" max="8962" width="60.1640625" style="258" customWidth="1"/>
    <col min="8963" max="8963" width="48.83203125" style="258" customWidth="1"/>
    <col min="8964" max="8964" width="16.5" style="258" bestFit="1" customWidth="1"/>
    <col min="8965" max="8965" width="15" style="258" customWidth="1"/>
    <col min="8966" max="9217" width="10.6640625" style="258"/>
    <col min="9218" max="9218" width="60.1640625" style="258" customWidth="1"/>
    <col min="9219" max="9219" width="48.83203125" style="258" customWidth="1"/>
    <col min="9220" max="9220" width="16.5" style="258" bestFit="1" customWidth="1"/>
    <col min="9221" max="9221" width="15" style="258" customWidth="1"/>
    <col min="9222" max="9473" width="10.6640625" style="258"/>
    <col min="9474" max="9474" width="60.1640625" style="258" customWidth="1"/>
    <col min="9475" max="9475" width="48.83203125" style="258" customWidth="1"/>
    <col min="9476" max="9476" width="16.5" style="258" bestFit="1" customWidth="1"/>
    <col min="9477" max="9477" width="15" style="258" customWidth="1"/>
    <col min="9478" max="9729" width="10.6640625" style="258"/>
    <col min="9730" max="9730" width="60.1640625" style="258" customWidth="1"/>
    <col min="9731" max="9731" width="48.83203125" style="258" customWidth="1"/>
    <col min="9732" max="9732" width="16.5" style="258" bestFit="1" customWidth="1"/>
    <col min="9733" max="9733" width="15" style="258" customWidth="1"/>
    <col min="9734" max="9985" width="10.6640625" style="258"/>
    <col min="9986" max="9986" width="60.1640625" style="258" customWidth="1"/>
    <col min="9987" max="9987" width="48.83203125" style="258" customWidth="1"/>
    <col min="9988" max="9988" width="16.5" style="258" bestFit="1" customWidth="1"/>
    <col min="9989" max="9989" width="15" style="258" customWidth="1"/>
    <col min="9990" max="10241" width="10.6640625" style="258"/>
    <col min="10242" max="10242" width="60.1640625" style="258" customWidth="1"/>
    <col min="10243" max="10243" width="48.83203125" style="258" customWidth="1"/>
    <col min="10244" max="10244" width="16.5" style="258" bestFit="1" customWidth="1"/>
    <col min="10245" max="10245" width="15" style="258" customWidth="1"/>
    <col min="10246" max="10497" width="10.6640625" style="258"/>
    <col min="10498" max="10498" width="60.1640625" style="258" customWidth="1"/>
    <col min="10499" max="10499" width="48.83203125" style="258" customWidth="1"/>
    <col min="10500" max="10500" width="16.5" style="258" bestFit="1" customWidth="1"/>
    <col min="10501" max="10501" width="15" style="258" customWidth="1"/>
    <col min="10502" max="10753" width="10.6640625" style="258"/>
    <col min="10754" max="10754" width="60.1640625" style="258" customWidth="1"/>
    <col min="10755" max="10755" width="48.83203125" style="258" customWidth="1"/>
    <col min="10756" max="10756" width="16.5" style="258" bestFit="1" customWidth="1"/>
    <col min="10757" max="10757" width="15" style="258" customWidth="1"/>
    <col min="10758" max="11009" width="10.6640625" style="258"/>
    <col min="11010" max="11010" width="60.1640625" style="258" customWidth="1"/>
    <col min="11011" max="11011" width="48.83203125" style="258" customWidth="1"/>
    <col min="11012" max="11012" width="16.5" style="258" bestFit="1" customWidth="1"/>
    <col min="11013" max="11013" width="15" style="258" customWidth="1"/>
    <col min="11014" max="11265" width="10.6640625" style="258"/>
    <col min="11266" max="11266" width="60.1640625" style="258" customWidth="1"/>
    <col min="11267" max="11267" width="48.83203125" style="258" customWidth="1"/>
    <col min="11268" max="11268" width="16.5" style="258" bestFit="1" customWidth="1"/>
    <col min="11269" max="11269" width="15" style="258" customWidth="1"/>
    <col min="11270" max="11521" width="10.6640625" style="258"/>
    <col min="11522" max="11522" width="60.1640625" style="258" customWidth="1"/>
    <col min="11523" max="11523" width="48.83203125" style="258" customWidth="1"/>
    <col min="11524" max="11524" width="16.5" style="258" bestFit="1" customWidth="1"/>
    <col min="11525" max="11525" width="15" style="258" customWidth="1"/>
    <col min="11526" max="11777" width="10.6640625" style="258"/>
    <col min="11778" max="11778" width="60.1640625" style="258" customWidth="1"/>
    <col min="11779" max="11779" width="48.83203125" style="258" customWidth="1"/>
    <col min="11780" max="11780" width="16.5" style="258" bestFit="1" customWidth="1"/>
    <col min="11781" max="11781" width="15" style="258" customWidth="1"/>
    <col min="11782" max="12033" width="10.6640625" style="258"/>
    <col min="12034" max="12034" width="60.1640625" style="258" customWidth="1"/>
    <col min="12035" max="12035" width="48.83203125" style="258" customWidth="1"/>
    <col min="12036" max="12036" width="16.5" style="258" bestFit="1" customWidth="1"/>
    <col min="12037" max="12037" width="15" style="258" customWidth="1"/>
    <col min="12038" max="12289" width="10.6640625" style="258"/>
    <col min="12290" max="12290" width="60.1640625" style="258" customWidth="1"/>
    <col min="12291" max="12291" width="48.83203125" style="258" customWidth="1"/>
    <col min="12292" max="12292" width="16.5" style="258" bestFit="1" customWidth="1"/>
    <col min="12293" max="12293" width="15" style="258" customWidth="1"/>
    <col min="12294" max="12545" width="10.6640625" style="258"/>
    <col min="12546" max="12546" width="60.1640625" style="258" customWidth="1"/>
    <col min="12547" max="12547" width="48.83203125" style="258" customWidth="1"/>
    <col min="12548" max="12548" width="16.5" style="258" bestFit="1" customWidth="1"/>
    <col min="12549" max="12549" width="15" style="258" customWidth="1"/>
    <col min="12550" max="12801" width="10.6640625" style="258"/>
    <col min="12802" max="12802" width="60.1640625" style="258" customWidth="1"/>
    <col min="12803" max="12803" width="48.83203125" style="258" customWidth="1"/>
    <col min="12804" max="12804" width="16.5" style="258" bestFit="1" customWidth="1"/>
    <col min="12805" max="12805" width="15" style="258" customWidth="1"/>
    <col min="12806" max="13057" width="10.6640625" style="258"/>
    <col min="13058" max="13058" width="60.1640625" style="258" customWidth="1"/>
    <col min="13059" max="13059" width="48.83203125" style="258" customWidth="1"/>
    <col min="13060" max="13060" width="16.5" style="258" bestFit="1" customWidth="1"/>
    <col min="13061" max="13061" width="15" style="258" customWidth="1"/>
    <col min="13062" max="13313" width="10.6640625" style="258"/>
    <col min="13314" max="13314" width="60.1640625" style="258" customWidth="1"/>
    <col min="13315" max="13315" width="48.83203125" style="258" customWidth="1"/>
    <col min="13316" max="13316" width="16.5" style="258" bestFit="1" customWidth="1"/>
    <col min="13317" max="13317" width="15" style="258" customWidth="1"/>
    <col min="13318" max="13569" width="10.6640625" style="258"/>
    <col min="13570" max="13570" width="60.1640625" style="258" customWidth="1"/>
    <col min="13571" max="13571" width="48.83203125" style="258" customWidth="1"/>
    <col min="13572" max="13572" width="16.5" style="258" bestFit="1" customWidth="1"/>
    <col min="13573" max="13573" width="15" style="258" customWidth="1"/>
    <col min="13574" max="13825" width="10.6640625" style="258"/>
    <col min="13826" max="13826" width="60.1640625" style="258" customWidth="1"/>
    <col min="13827" max="13827" width="48.83203125" style="258" customWidth="1"/>
    <col min="13828" max="13828" width="16.5" style="258" bestFit="1" customWidth="1"/>
    <col min="13829" max="13829" width="15" style="258" customWidth="1"/>
    <col min="13830" max="14081" width="10.6640625" style="258"/>
    <col min="14082" max="14082" width="60.1640625" style="258" customWidth="1"/>
    <col min="14083" max="14083" width="48.83203125" style="258" customWidth="1"/>
    <col min="14084" max="14084" width="16.5" style="258" bestFit="1" customWidth="1"/>
    <col min="14085" max="14085" width="15" style="258" customWidth="1"/>
    <col min="14086" max="14337" width="10.6640625" style="258"/>
    <col min="14338" max="14338" width="60.1640625" style="258" customWidth="1"/>
    <col min="14339" max="14339" width="48.83203125" style="258" customWidth="1"/>
    <col min="14340" max="14340" width="16.5" style="258" bestFit="1" customWidth="1"/>
    <col min="14341" max="14341" width="15" style="258" customWidth="1"/>
    <col min="14342" max="14593" width="10.6640625" style="258"/>
    <col min="14594" max="14594" width="60.1640625" style="258" customWidth="1"/>
    <col min="14595" max="14595" width="48.83203125" style="258" customWidth="1"/>
    <col min="14596" max="14596" width="16.5" style="258" bestFit="1" customWidth="1"/>
    <col min="14597" max="14597" width="15" style="258" customWidth="1"/>
    <col min="14598" max="14849" width="10.6640625" style="258"/>
    <col min="14850" max="14850" width="60.1640625" style="258" customWidth="1"/>
    <col min="14851" max="14851" width="48.83203125" style="258" customWidth="1"/>
    <col min="14852" max="14852" width="16.5" style="258" bestFit="1" customWidth="1"/>
    <col min="14853" max="14853" width="15" style="258" customWidth="1"/>
    <col min="14854" max="15105" width="10.6640625" style="258"/>
    <col min="15106" max="15106" width="60.1640625" style="258" customWidth="1"/>
    <col min="15107" max="15107" width="48.83203125" style="258" customWidth="1"/>
    <col min="15108" max="15108" width="16.5" style="258" bestFit="1" customWidth="1"/>
    <col min="15109" max="15109" width="15" style="258" customWidth="1"/>
    <col min="15110" max="15361" width="10.6640625" style="258"/>
    <col min="15362" max="15362" width="60.1640625" style="258" customWidth="1"/>
    <col min="15363" max="15363" width="48.83203125" style="258" customWidth="1"/>
    <col min="15364" max="15364" width="16.5" style="258" bestFit="1" customWidth="1"/>
    <col min="15365" max="15365" width="15" style="258" customWidth="1"/>
    <col min="15366" max="15617" width="10.6640625" style="258"/>
    <col min="15618" max="15618" width="60.1640625" style="258" customWidth="1"/>
    <col min="15619" max="15619" width="48.83203125" style="258" customWidth="1"/>
    <col min="15620" max="15620" width="16.5" style="258" bestFit="1" customWidth="1"/>
    <col min="15621" max="15621" width="15" style="258" customWidth="1"/>
    <col min="15622" max="15873" width="10.6640625" style="258"/>
    <col min="15874" max="15874" width="60.1640625" style="258" customWidth="1"/>
    <col min="15875" max="15875" width="48.83203125" style="258" customWidth="1"/>
    <col min="15876" max="15876" width="16.5" style="258" bestFit="1" customWidth="1"/>
    <col min="15877" max="15877" width="15" style="258" customWidth="1"/>
    <col min="15878" max="16129" width="10.6640625" style="258"/>
    <col min="16130" max="16130" width="60.1640625" style="258" customWidth="1"/>
    <col min="16131" max="16131" width="48.83203125" style="258" customWidth="1"/>
    <col min="16132" max="16132" width="16.5" style="258" bestFit="1" customWidth="1"/>
    <col min="16133" max="16133" width="15" style="258" customWidth="1"/>
    <col min="16134" max="16384" width="10.6640625" style="258"/>
  </cols>
  <sheetData>
    <row r="1" spans="1:3" ht="12.75" x14ac:dyDescent="0.2">
      <c r="A1" s="1592" t="str">
        <f>CONCATENATE("17. számú tájékoztató tábla ",ALAPADATOK!A7," ",ALAPADATOK!B7," ",ALAPADATOK!C7," ",ALAPADATOK!D7," ",ALAPADATOK!E7," ",ALAPADATOK!F7," ",ALAPADATOK!G7," ",ALAPADATOK!H7)</f>
        <v>17. számú tájékoztató tábla a 6 / 2020. ( II.27 ) önkormányzati határozathoz</v>
      </c>
      <c r="B1" s="1592"/>
      <c r="C1" s="1592"/>
    </row>
    <row r="2" spans="1:3" ht="17.25" customHeight="1" x14ac:dyDescent="0.25">
      <c r="B2" s="259"/>
      <c r="C2" s="1289"/>
    </row>
    <row r="3" spans="1:3" ht="42" customHeight="1" x14ac:dyDescent="0.2">
      <c r="A3" s="1591" t="s">
        <v>829</v>
      </c>
      <c r="B3" s="1591"/>
      <c r="C3" s="1591"/>
    </row>
    <row r="4" spans="1:3" ht="33" customHeight="1" thickBot="1" x14ac:dyDescent="0.3">
      <c r="B4" s="260"/>
      <c r="C4" s="1290" t="s">
        <v>16</v>
      </c>
    </row>
    <row r="5" spans="1:3" ht="12.75" x14ac:dyDescent="0.2">
      <c r="A5" s="1589" t="s">
        <v>969</v>
      </c>
      <c r="B5" s="1585" t="s">
        <v>944</v>
      </c>
      <c r="C5" s="1587" t="s">
        <v>943</v>
      </c>
    </row>
    <row r="6" spans="1:3" ht="12.75" x14ac:dyDescent="0.2">
      <c r="A6" s="1590"/>
      <c r="B6" s="1586"/>
      <c r="C6" s="1588"/>
    </row>
    <row r="7" spans="1:3" ht="12.75" x14ac:dyDescent="0.2">
      <c r="A7" s="1590"/>
      <c r="B7" s="1586"/>
      <c r="C7" s="1588"/>
    </row>
    <row r="8" spans="1:3" ht="23.25" customHeight="1" x14ac:dyDescent="0.25">
      <c r="A8" s="1400" t="s">
        <v>21</v>
      </c>
      <c r="B8" s="1372" t="s">
        <v>406</v>
      </c>
      <c r="C8" s="1421">
        <v>148895800</v>
      </c>
    </row>
    <row r="9" spans="1:3" ht="29.25" x14ac:dyDescent="0.25">
      <c r="A9" s="1400" t="s">
        <v>22</v>
      </c>
      <c r="B9" s="1369" t="s">
        <v>1003</v>
      </c>
      <c r="C9" s="1412">
        <v>76751937</v>
      </c>
    </row>
    <row r="10" spans="1:3" ht="30" x14ac:dyDescent="0.25">
      <c r="A10" s="1400" t="s">
        <v>106</v>
      </c>
      <c r="B10" s="1288" t="s">
        <v>407</v>
      </c>
      <c r="C10" s="1412">
        <v>13441371</v>
      </c>
    </row>
    <row r="11" spans="1:3" x14ac:dyDescent="0.25">
      <c r="A11" s="1400" t="s">
        <v>107</v>
      </c>
      <c r="B11" s="1288" t="s">
        <v>408</v>
      </c>
      <c r="C11" s="1412">
        <v>35440000</v>
      </c>
    </row>
    <row r="12" spans="1:3" ht="30" x14ac:dyDescent="0.25">
      <c r="A12" s="1400" t="s">
        <v>108</v>
      </c>
      <c r="B12" s="1288" t="s">
        <v>409</v>
      </c>
      <c r="C12" s="1412">
        <v>7111416</v>
      </c>
    </row>
    <row r="13" spans="1:3" x14ac:dyDescent="0.25">
      <c r="A13" s="1400" t="s">
        <v>109</v>
      </c>
      <c r="B13" s="1288" t="s">
        <v>410</v>
      </c>
      <c r="C13" s="1412">
        <v>20759150</v>
      </c>
    </row>
    <row r="14" spans="1:3" x14ac:dyDescent="0.25">
      <c r="A14" s="1400" t="s">
        <v>110</v>
      </c>
      <c r="B14" s="1288" t="s">
        <v>411</v>
      </c>
      <c r="C14" s="1412">
        <v>0</v>
      </c>
    </row>
    <row r="15" spans="1:3" ht="17.25" customHeight="1" x14ac:dyDescent="0.25">
      <c r="A15" s="1400" t="s">
        <v>119</v>
      </c>
      <c r="B15" s="1288" t="s">
        <v>417</v>
      </c>
      <c r="C15" s="1412">
        <v>0</v>
      </c>
    </row>
    <row r="16" spans="1:3" ht="39" customHeight="1" x14ac:dyDescent="0.25">
      <c r="A16" s="1400" t="s">
        <v>971</v>
      </c>
      <c r="B16" s="1287" t="s">
        <v>974</v>
      </c>
      <c r="C16" s="1411">
        <f>SUM(C8:C9)</f>
        <v>225647737</v>
      </c>
    </row>
    <row r="17" spans="1:4" ht="24" customHeight="1" x14ac:dyDescent="0.25">
      <c r="A17" s="1400" t="s">
        <v>972</v>
      </c>
      <c r="B17" s="1288" t="s">
        <v>831</v>
      </c>
      <c r="C17" s="1413">
        <v>1877357</v>
      </c>
    </row>
    <row r="18" spans="1:4" ht="24.75" customHeight="1" thickBot="1" x14ac:dyDescent="0.3">
      <c r="A18" s="1401" t="s">
        <v>973</v>
      </c>
      <c r="B18" s="1402" t="s">
        <v>579</v>
      </c>
      <c r="C18" s="1414">
        <v>1793900</v>
      </c>
    </row>
    <row r="19" spans="1:4" ht="39" customHeight="1" thickBot="1" x14ac:dyDescent="0.3">
      <c r="A19" s="1403" t="s">
        <v>970</v>
      </c>
      <c r="B19" s="1408" t="s">
        <v>975</v>
      </c>
      <c r="C19" s="1415">
        <f>SUM(C16:C18)</f>
        <v>229318994</v>
      </c>
    </row>
    <row r="20" spans="1:4" ht="36" customHeight="1" x14ac:dyDescent="0.25">
      <c r="A20" s="1406" t="s">
        <v>977</v>
      </c>
      <c r="B20" s="1407" t="s">
        <v>412</v>
      </c>
      <c r="C20" s="1420">
        <v>185479350</v>
      </c>
    </row>
    <row r="21" spans="1:4" ht="24.75" customHeight="1" x14ac:dyDescent="0.25">
      <c r="A21" s="1400" t="s">
        <v>978</v>
      </c>
      <c r="B21" s="1396" t="s">
        <v>413</v>
      </c>
      <c r="C21" s="1412">
        <v>34742580</v>
      </c>
    </row>
    <row r="22" spans="1:4" ht="30" x14ac:dyDescent="0.25">
      <c r="A22" s="1400" t="s">
        <v>979</v>
      </c>
      <c r="B22" s="1288" t="s">
        <v>580</v>
      </c>
      <c r="C22" s="1412">
        <v>0</v>
      </c>
    </row>
    <row r="23" spans="1:4" ht="30" x14ac:dyDescent="0.25">
      <c r="A23" s="1400" t="s">
        <v>980</v>
      </c>
      <c r="B23" s="1288" t="s">
        <v>581</v>
      </c>
      <c r="C23" s="1412">
        <v>9381300</v>
      </c>
    </row>
    <row r="24" spans="1:4" ht="30.75" thickBot="1" x14ac:dyDescent="0.3">
      <c r="A24" s="1401" t="s">
        <v>981</v>
      </c>
      <c r="B24" s="1402" t="s">
        <v>830</v>
      </c>
      <c r="C24" s="1416"/>
    </row>
    <row r="25" spans="1:4" ht="43.5" customHeight="1" thickBot="1" x14ac:dyDescent="0.3">
      <c r="A25" s="1403" t="s">
        <v>976</v>
      </c>
      <c r="B25" s="1408" t="s">
        <v>1002</v>
      </c>
      <c r="C25" s="1415">
        <f>SUM(C20:C23)</f>
        <v>229603230</v>
      </c>
    </row>
    <row r="26" spans="1:4" ht="31.5" customHeight="1" x14ac:dyDescent="0.25">
      <c r="A26" s="1406" t="s">
        <v>983</v>
      </c>
      <c r="B26" s="1407" t="s">
        <v>531</v>
      </c>
      <c r="C26" s="1420">
        <v>141065863</v>
      </c>
    </row>
    <row r="27" spans="1:4" ht="28.5" customHeight="1" x14ac:dyDescent="0.25">
      <c r="A27" s="1400" t="s">
        <v>984</v>
      </c>
      <c r="B27" s="1397" t="s">
        <v>414</v>
      </c>
      <c r="C27" s="1412">
        <v>90478170</v>
      </c>
    </row>
    <row r="28" spans="1:4" ht="45" x14ac:dyDescent="0.25">
      <c r="A28" s="1400" t="s">
        <v>985</v>
      </c>
      <c r="B28" s="1398" t="s">
        <v>542</v>
      </c>
      <c r="C28" s="1412">
        <v>183403360</v>
      </c>
      <c r="D28" s="261"/>
    </row>
    <row r="29" spans="1:4" x14ac:dyDescent="0.25">
      <c r="A29" s="1400" t="s">
        <v>986</v>
      </c>
      <c r="B29" s="1396" t="s">
        <v>832</v>
      </c>
      <c r="C29" s="1412">
        <v>57002000</v>
      </c>
    </row>
    <row r="30" spans="1:4" x14ac:dyDescent="0.25">
      <c r="A30" s="1400" t="s">
        <v>987</v>
      </c>
      <c r="B30" s="1397" t="s">
        <v>833</v>
      </c>
      <c r="C30" s="1412">
        <v>77250742</v>
      </c>
    </row>
    <row r="31" spans="1:4" ht="30" x14ac:dyDescent="0.25">
      <c r="A31" s="1400" t="s">
        <v>988</v>
      </c>
      <c r="B31" s="1398" t="s">
        <v>5</v>
      </c>
      <c r="C31" s="1412">
        <v>51874820</v>
      </c>
    </row>
    <row r="32" spans="1:4" ht="45" x14ac:dyDescent="0.25">
      <c r="A32" s="1400" t="s">
        <v>989</v>
      </c>
      <c r="B32" s="1398" t="s">
        <v>582</v>
      </c>
      <c r="C32" s="1412">
        <v>30933000</v>
      </c>
    </row>
    <row r="33" spans="1:5" ht="45" x14ac:dyDescent="0.25">
      <c r="A33" s="1400" t="s">
        <v>990</v>
      </c>
      <c r="B33" s="1398" t="s">
        <v>583</v>
      </c>
      <c r="C33" s="1412">
        <v>24841900</v>
      </c>
    </row>
    <row r="34" spans="1:5" x14ac:dyDescent="0.25">
      <c r="A34" s="1400" t="s">
        <v>991</v>
      </c>
      <c r="B34" s="1398" t="s">
        <v>584</v>
      </c>
      <c r="C34" s="1412">
        <v>11476000</v>
      </c>
    </row>
    <row r="35" spans="1:5" ht="30" x14ac:dyDescent="0.25">
      <c r="A35" s="1400" t="s">
        <v>992</v>
      </c>
      <c r="B35" s="1288" t="s">
        <v>830</v>
      </c>
      <c r="C35" s="1417"/>
    </row>
    <row r="36" spans="1:5" x14ac:dyDescent="0.25">
      <c r="A36" s="1400" t="s">
        <v>993</v>
      </c>
      <c r="B36" s="1399" t="s">
        <v>719</v>
      </c>
      <c r="C36" s="1489">
        <f>73457967+33216359</f>
        <v>106674326</v>
      </c>
    </row>
    <row r="37" spans="1:5" ht="16.5" thickBot="1" x14ac:dyDescent="0.3">
      <c r="A37" s="1401" t="s">
        <v>994</v>
      </c>
      <c r="B37" s="1409" t="s">
        <v>721</v>
      </c>
      <c r="C37" s="1418">
        <v>10214843</v>
      </c>
    </row>
    <row r="38" spans="1:5" ht="63.75" customHeight="1" thickBot="1" x14ac:dyDescent="0.3">
      <c r="A38" s="1403" t="s">
        <v>982</v>
      </c>
      <c r="B38" s="1408" t="s">
        <v>995</v>
      </c>
      <c r="C38" s="1415">
        <f>SUM(C26:C37)</f>
        <v>785215024</v>
      </c>
      <c r="D38" s="280"/>
    </row>
    <row r="39" spans="1:5" ht="30" x14ac:dyDescent="0.25">
      <c r="A39" s="1406" t="s">
        <v>996</v>
      </c>
      <c r="B39" s="1410" t="s">
        <v>415</v>
      </c>
      <c r="C39" s="1419"/>
    </row>
    <row r="40" spans="1:5" ht="30" x14ac:dyDescent="0.25">
      <c r="A40" s="1400" t="s">
        <v>997</v>
      </c>
      <c r="B40" s="1398" t="s">
        <v>416</v>
      </c>
      <c r="C40" s="1417"/>
    </row>
    <row r="41" spans="1:5" ht="30" x14ac:dyDescent="0.25">
      <c r="A41" s="1400" t="s">
        <v>998</v>
      </c>
      <c r="B41" s="1398" t="s">
        <v>6</v>
      </c>
      <c r="C41" s="1417"/>
    </row>
    <row r="42" spans="1:5" x14ac:dyDescent="0.25">
      <c r="A42" s="1400" t="s">
        <v>999</v>
      </c>
      <c r="B42" s="1288" t="s">
        <v>834</v>
      </c>
      <c r="C42" s="1417"/>
    </row>
    <row r="43" spans="1:5" ht="22.5" customHeight="1" x14ac:dyDescent="0.25">
      <c r="A43" s="1400" t="s">
        <v>1000</v>
      </c>
      <c r="B43" s="1398" t="s">
        <v>720</v>
      </c>
      <c r="C43" s="1413">
        <v>4366771</v>
      </c>
    </row>
    <row r="44" spans="1:5" ht="30" x14ac:dyDescent="0.25">
      <c r="A44" s="1400" t="s">
        <v>1001</v>
      </c>
      <c r="B44" s="1288" t="s">
        <v>830</v>
      </c>
      <c r="C44" s="1417"/>
    </row>
    <row r="45" spans="1:5" ht="30.75" customHeight="1" thickBot="1" x14ac:dyDescent="0.3">
      <c r="A45" s="1401" t="s">
        <v>1004</v>
      </c>
      <c r="B45" s="1402" t="s">
        <v>835</v>
      </c>
      <c r="C45" s="1414">
        <v>16435638</v>
      </c>
    </row>
    <row r="46" spans="1:5" ht="16.5" thickBot="1" x14ac:dyDescent="0.3">
      <c r="A46" s="1403"/>
      <c r="B46" s="1404" t="s">
        <v>54</v>
      </c>
      <c r="C46" s="1405">
        <f>C19+C25+C38+C45+C43</f>
        <v>1264939657</v>
      </c>
      <c r="E46" s="836"/>
    </row>
    <row r="48" spans="1:5" x14ac:dyDescent="0.25">
      <c r="B48" s="261"/>
    </row>
    <row r="49" spans="2:2" x14ac:dyDescent="0.25">
      <c r="B49" s="261"/>
    </row>
  </sheetData>
  <mergeCells count="5">
    <mergeCell ref="B5:B7"/>
    <mergeCell ref="C5:C7"/>
    <mergeCell ref="A5:A7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28"/>
  <sheetViews>
    <sheetView topLeftCell="A13" zoomScale="130" zoomScaleNormal="130" workbookViewId="0">
      <selection activeCell="D9" sqref="D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837" customWidth="1"/>
  </cols>
  <sheetData>
    <row r="1" spans="1:6" s="1249" customFormat="1" x14ac:dyDescent="0.2">
      <c r="A1" s="1541" t="str">
        <f>CONCATENATE("6. számú tájékoztató tábla ",ALAPADATOK!A7," ",ALAPADATOK!B7," ",ALAPADATOK!C7," ",ALAPADATOK!D7," ",ALAPADATOK!E7," ",ALAPADATOK!F7," ",ALAPADATOK!G7," ",ALAPADATOK!H7)</f>
        <v>6. számú tájékoztató tábla a 6 / 2020. ( II.27 ) önkormányzati határozathoz</v>
      </c>
      <c r="B1" s="1541"/>
      <c r="C1" s="1541"/>
      <c r="D1" s="1541"/>
    </row>
    <row r="2" spans="1:6" s="1249" customFormat="1" x14ac:dyDescent="0.2">
      <c r="D2" s="1279"/>
    </row>
    <row r="3" spans="1:6" ht="45" customHeight="1" x14ac:dyDescent="0.25">
      <c r="A3" s="1593" t="s">
        <v>836</v>
      </c>
      <c r="B3" s="1593"/>
      <c r="C3" s="1593"/>
      <c r="D3" s="1593"/>
    </row>
    <row r="4" spans="1:6" ht="17.25" customHeight="1" x14ac:dyDescent="0.25">
      <c r="A4" s="538"/>
      <c r="B4" s="538"/>
      <c r="C4" s="538"/>
      <c r="D4" s="838"/>
    </row>
    <row r="5" spans="1:6" ht="13.5" thickBot="1" x14ac:dyDescent="0.25">
      <c r="A5" s="89"/>
      <c r="B5" s="89"/>
      <c r="C5" s="1594" t="s">
        <v>559</v>
      </c>
      <c r="D5" s="1594"/>
    </row>
    <row r="6" spans="1:6" ht="42.75" customHeight="1" thickBot="1" x14ac:dyDescent="0.25">
      <c r="A6" s="842" t="s">
        <v>72</v>
      </c>
      <c r="B6" s="843" t="s">
        <v>122</v>
      </c>
      <c r="C6" s="843" t="s">
        <v>123</v>
      </c>
      <c r="D6" s="844" t="s">
        <v>17</v>
      </c>
    </row>
    <row r="7" spans="1:6" ht="15.95" customHeight="1" x14ac:dyDescent="0.2">
      <c r="A7" s="840" t="s">
        <v>21</v>
      </c>
      <c r="B7" s="841" t="s">
        <v>418</v>
      </c>
      <c r="C7" s="263" t="s">
        <v>419</v>
      </c>
      <c r="D7" s="1286">
        <v>6000000</v>
      </c>
      <c r="E7" s="36"/>
      <c r="F7" s="36"/>
    </row>
    <row r="8" spans="1:6" ht="15.95" customHeight="1" x14ac:dyDescent="0.2">
      <c r="A8" s="90" t="s">
        <v>22</v>
      </c>
      <c r="B8" s="540" t="s">
        <v>420</v>
      </c>
      <c r="C8" s="26" t="s">
        <v>419</v>
      </c>
      <c r="D8" s="45">
        <v>2500000</v>
      </c>
      <c r="E8" s="36"/>
      <c r="F8" s="36"/>
    </row>
    <row r="9" spans="1:6" ht="15.95" customHeight="1" x14ac:dyDescent="0.2">
      <c r="A9" s="90" t="s">
        <v>23</v>
      </c>
      <c r="B9" s="540" t="s">
        <v>421</v>
      </c>
      <c r="C9" s="26" t="s">
        <v>419</v>
      </c>
      <c r="D9" s="45">
        <v>1000000</v>
      </c>
      <c r="E9" s="36"/>
      <c r="F9" s="36"/>
    </row>
    <row r="10" spans="1:6" ht="15.95" customHeight="1" x14ac:dyDescent="0.2">
      <c r="A10" s="90" t="s">
        <v>24</v>
      </c>
      <c r="B10" s="540" t="s">
        <v>422</v>
      </c>
      <c r="C10" s="25" t="s">
        <v>419</v>
      </c>
      <c r="D10" s="45">
        <f>5000000</f>
        <v>5000000</v>
      </c>
      <c r="E10" s="36"/>
      <c r="F10" s="36"/>
    </row>
    <row r="11" spans="1:6" ht="15.95" customHeight="1" x14ac:dyDescent="0.2">
      <c r="A11" s="840" t="s">
        <v>25</v>
      </c>
      <c r="B11" s="540" t="s">
        <v>423</v>
      </c>
      <c r="C11" s="263" t="s">
        <v>419</v>
      </c>
      <c r="D11" s="45">
        <f>500000</f>
        <v>500000</v>
      </c>
      <c r="E11" s="36"/>
      <c r="F11" s="36"/>
    </row>
    <row r="12" spans="1:6" ht="15.95" customHeight="1" x14ac:dyDescent="0.2">
      <c r="A12" s="1257" t="s">
        <v>26</v>
      </c>
      <c r="B12" s="540" t="s">
        <v>424</v>
      </c>
      <c r="C12" s="25" t="s">
        <v>419</v>
      </c>
      <c r="D12" s="45">
        <v>1000000</v>
      </c>
      <c r="E12" s="36"/>
      <c r="F12" s="36"/>
    </row>
    <row r="13" spans="1:6" ht="15.95" customHeight="1" x14ac:dyDescent="0.2">
      <c r="A13" s="1257" t="s">
        <v>27</v>
      </c>
      <c r="B13" s="540" t="s">
        <v>940</v>
      </c>
      <c r="C13" s="262" t="s">
        <v>419</v>
      </c>
      <c r="D13" s="45">
        <v>1000000</v>
      </c>
      <c r="E13" s="36"/>
      <c r="F13" s="36"/>
    </row>
    <row r="14" spans="1:6" ht="15.95" customHeight="1" x14ac:dyDescent="0.2">
      <c r="A14" s="1257" t="s">
        <v>28</v>
      </c>
      <c r="B14" s="540" t="s">
        <v>722</v>
      </c>
      <c r="C14" s="25" t="s">
        <v>419</v>
      </c>
      <c r="D14" s="45">
        <v>6299183</v>
      </c>
      <c r="E14" s="36"/>
      <c r="F14" s="36"/>
    </row>
    <row r="15" spans="1:6" ht="15.95" customHeight="1" x14ac:dyDescent="0.2">
      <c r="A15" s="840" t="s">
        <v>29</v>
      </c>
      <c r="B15" s="540" t="s">
        <v>723</v>
      </c>
      <c r="C15" s="25" t="s">
        <v>419</v>
      </c>
      <c r="D15" s="45">
        <v>2777597</v>
      </c>
      <c r="E15" s="36"/>
      <c r="F15" s="36"/>
    </row>
    <row r="16" spans="1:6" s="1249" customFormat="1" ht="15.95" customHeight="1" x14ac:dyDescent="0.2">
      <c r="A16" s="1257" t="s">
        <v>30</v>
      </c>
      <c r="B16" s="1266" t="s">
        <v>941</v>
      </c>
      <c r="C16" s="1251" t="s">
        <v>419</v>
      </c>
      <c r="D16" s="45">
        <v>5327836</v>
      </c>
      <c r="E16" s="1254"/>
      <c r="F16" s="1254"/>
    </row>
    <row r="17" spans="1:6" s="1249" customFormat="1" ht="15.95" customHeight="1" x14ac:dyDescent="0.2">
      <c r="A17" s="1257" t="s">
        <v>31</v>
      </c>
      <c r="B17" s="1266" t="s">
        <v>942</v>
      </c>
      <c r="C17" s="1251" t="s">
        <v>419</v>
      </c>
      <c r="D17" s="45">
        <v>2953846</v>
      </c>
      <c r="E17" s="1254"/>
      <c r="F17" s="1254"/>
    </row>
    <row r="18" spans="1:6" ht="15.95" customHeight="1" x14ac:dyDescent="0.2">
      <c r="A18" s="1257" t="s">
        <v>32</v>
      </c>
      <c r="B18" s="540" t="s">
        <v>722</v>
      </c>
      <c r="C18" s="25" t="s">
        <v>425</v>
      </c>
      <c r="D18" s="45">
        <v>990092</v>
      </c>
      <c r="E18" s="36"/>
      <c r="F18" s="36"/>
    </row>
    <row r="19" spans="1:6" ht="15.95" customHeight="1" x14ac:dyDescent="0.2">
      <c r="A19" s="840" t="s">
        <v>33</v>
      </c>
      <c r="B19" s="540" t="s">
        <v>723</v>
      </c>
      <c r="C19" s="25" t="s">
        <v>425</v>
      </c>
      <c r="D19" s="45">
        <v>3076817</v>
      </c>
      <c r="E19" s="36"/>
      <c r="F19" s="36"/>
    </row>
    <row r="20" spans="1:6" ht="15.95" customHeight="1" x14ac:dyDescent="0.2">
      <c r="A20" s="1257" t="s">
        <v>34</v>
      </c>
      <c r="B20" s="540" t="s">
        <v>941</v>
      </c>
      <c r="C20" s="25" t="s">
        <v>425</v>
      </c>
      <c r="D20" s="45">
        <v>999592</v>
      </c>
      <c r="E20" s="36"/>
      <c r="F20" s="36"/>
    </row>
    <row r="21" spans="1:6" s="1249" customFormat="1" ht="15.95" customHeight="1" x14ac:dyDescent="0.2">
      <c r="A21" s="1257" t="s">
        <v>35</v>
      </c>
      <c r="B21" s="1266" t="s">
        <v>942</v>
      </c>
      <c r="C21" s="1251" t="s">
        <v>425</v>
      </c>
      <c r="D21" s="45">
        <v>2835398</v>
      </c>
      <c r="E21" s="1254"/>
      <c r="F21" s="1254"/>
    </row>
    <row r="22" spans="1:6" ht="15.95" customHeight="1" x14ac:dyDescent="0.2">
      <c r="A22" s="1257" t="s">
        <v>36</v>
      </c>
      <c r="B22" s="540" t="s">
        <v>561</v>
      </c>
      <c r="C22" s="25" t="s">
        <v>419</v>
      </c>
      <c r="D22" s="45">
        <v>200000</v>
      </c>
    </row>
    <row r="23" spans="1:6" ht="15.95" customHeight="1" x14ac:dyDescent="0.2">
      <c r="A23" s="840" t="s">
        <v>37</v>
      </c>
      <c r="B23" s="540" t="s">
        <v>575</v>
      </c>
      <c r="C23" s="25" t="s">
        <v>419</v>
      </c>
      <c r="D23" s="45">
        <v>4730000</v>
      </c>
    </row>
    <row r="24" spans="1:6" ht="15.95" customHeight="1" x14ac:dyDescent="0.2">
      <c r="A24" s="1257" t="s">
        <v>38</v>
      </c>
      <c r="B24" s="540" t="s">
        <v>593</v>
      </c>
      <c r="C24" s="25" t="s">
        <v>419</v>
      </c>
      <c r="D24" s="45">
        <f>86508996+18000000</f>
        <v>104508996</v>
      </c>
    </row>
    <row r="25" spans="1:6" ht="15.95" customHeight="1" x14ac:dyDescent="0.2">
      <c r="A25" s="1257" t="s">
        <v>39</v>
      </c>
      <c r="B25" s="1266" t="s">
        <v>597</v>
      </c>
      <c r="C25" s="1251" t="s">
        <v>419</v>
      </c>
      <c r="D25" s="45">
        <v>1000000</v>
      </c>
    </row>
    <row r="26" spans="1:6" ht="15.95" customHeight="1" x14ac:dyDescent="0.2">
      <c r="A26" s="1257" t="s">
        <v>40</v>
      </c>
      <c r="B26" s="540" t="s">
        <v>594</v>
      </c>
      <c r="C26" s="25" t="s">
        <v>419</v>
      </c>
      <c r="D26" s="45">
        <v>526000</v>
      </c>
    </row>
    <row r="27" spans="1:6" ht="15.95" customHeight="1" thickBot="1" x14ac:dyDescent="0.25">
      <c r="A27" s="840" t="s">
        <v>41</v>
      </c>
      <c r="B27" s="540" t="s">
        <v>724</v>
      </c>
      <c r="C27" s="25" t="s">
        <v>419</v>
      </c>
      <c r="D27" s="45">
        <v>65012000</v>
      </c>
    </row>
    <row r="28" spans="1:6" ht="15.95" customHeight="1" thickBot="1" x14ac:dyDescent="0.25">
      <c r="A28" s="1595" t="s">
        <v>54</v>
      </c>
      <c r="B28" s="1596"/>
      <c r="C28" s="91"/>
      <c r="D28" s="839">
        <f>SUM(D7:D27)</f>
        <v>218237357</v>
      </c>
    </row>
  </sheetData>
  <mergeCells count="4">
    <mergeCell ref="A3:D3"/>
    <mergeCell ref="C5:D5"/>
    <mergeCell ref="A28:B28"/>
    <mergeCell ref="A1:D1"/>
  </mergeCells>
  <conditionalFormatting sqref="D28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4"/>
  <sheetViews>
    <sheetView view="pageLayout" topLeftCell="C1" zoomScale="85" zoomScaleNormal="100" zoomScaleSheetLayoutView="85" zoomScalePageLayoutView="85" workbookViewId="0">
      <selection sqref="A1:O1"/>
    </sheetView>
  </sheetViews>
  <sheetFormatPr defaultColWidth="10.6640625" defaultRowHeight="12.75" x14ac:dyDescent="0.2"/>
  <cols>
    <col min="1" max="1" width="10.6640625" style="340"/>
    <col min="2" max="2" width="42.33203125" style="340" customWidth="1"/>
    <col min="3" max="3" width="13" style="341" bestFit="1" customWidth="1"/>
    <col min="4" max="5" width="11.1640625" style="341" bestFit="1" customWidth="1"/>
    <col min="6" max="7" width="11.83203125" style="341" bestFit="1" customWidth="1"/>
    <col min="8" max="8" width="13.6640625" style="885" bestFit="1" customWidth="1"/>
    <col min="9" max="9" width="1.1640625" style="342" customWidth="1"/>
    <col min="10" max="10" width="12.6640625" style="340" bestFit="1" customWidth="1"/>
    <col min="11" max="11" width="11.83203125" style="340" bestFit="1" customWidth="1"/>
    <col min="12" max="12" width="13.33203125" style="340" bestFit="1" customWidth="1"/>
    <col min="13" max="14" width="11.83203125" style="340" bestFit="1" customWidth="1"/>
    <col min="15" max="15" width="15.1640625" style="343" bestFit="1" customWidth="1"/>
    <col min="16" max="16" width="15.1640625" style="340" hidden="1" customWidth="1"/>
    <col min="17" max="16384" width="10.6640625" style="340"/>
  </cols>
  <sheetData>
    <row r="1" spans="1:194" x14ac:dyDescent="0.2">
      <c r="A1" s="1597" t="str">
        <f>CONCATENATE("18. számú tájékoztató tábla ",ALAPADATOK!A7," ",ALAPADATOK!B7," ",ALAPADATOK!C7," ",ALAPADATOK!D7," ",ALAPADATOK!E7," ",ALAPADATOK!F7," ",ALAPADATOK!G7," ",ALAPADATOK!H7)</f>
        <v>18. számú tájékoztató tábla a 6 / 2020. ( II.27 ) önkormányzati határozathoz</v>
      </c>
      <c r="B1" s="1597"/>
      <c r="C1" s="1597"/>
      <c r="D1" s="1597"/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</row>
    <row r="2" spans="1:194" x14ac:dyDescent="0.2">
      <c r="B2" s="344"/>
      <c r="F2" s="345"/>
      <c r="J2" s="344"/>
      <c r="K2" s="1609"/>
      <c r="L2" s="1609"/>
      <c r="M2" s="1609"/>
      <c r="N2" s="1609"/>
      <c r="O2" s="346"/>
    </row>
    <row r="3" spans="1:194" ht="17.25" customHeight="1" x14ac:dyDescent="0.35">
      <c r="A3" s="1619" t="s">
        <v>837</v>
      </c>
      <c r="B3" s="1619"/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526"/>
    </row>
    <row r="4" spans="1:194" ht="19.5" x14ac:dyDescent="0.35">
      <c r="A4" s="1620" t="s">
        <v>426</v>
      </c>
      <c r="B4" s="1620"/>
      <c r="C4" s="1620"/>
      <c r="D4" s="1620"/>
      <c r="E4" s="1620"/>
      <c r="F4" s="1620"/>
      <c r="G4" s="1620"/>
      <c r="H4" s="1620"/>
      <c r="I4" s="1620"/>
      <c r="J4" s="1620"/>
      <c r="K4" s="1620"/>
      <c r="L4" s="1620"/>
      <c r="M4" s="1620"/>
      <c r="N4" s="1620"/>
      <c r="O4" s="1620"/>
      <c r="P4" s="526"/>
    </row>
    <row r="5" spans="1:194" ht="0.75" customHeight="1" thickBot="1" x14ac:dyDescent="0.35">
      <c r="B5" s="350"/>
      <c r="C5" s="347"/>
      <c r="D5" s="347"/>
      <c r="E5" s="347"/>
      <c r="F5" s="347"/>
      <c r="G5" s="347"/>
      <c r="H5" s="886"/>
      <c r="I5" s="348"/>
      <c r="J5" s="349"/>
      <c r="K5" s="349"/>
      <c r="L5" s="349"/>
      <c r="M5" s="349"/>
      <c r="N5" s="349"/>
      <c r="O5" s="346" t="s">
        <v>381</v>
      </c>
      <c r="P5" s="526"/>
    </row>
    <row r="6" spans="1:194" ht="15.75" x14ac:dyDescent="0.25">
      <c r="A6" s="1613" t="s">
        <v>725</v>
      </c>
      <c r="B6" s="1616" t="s">
        <v>166</v>
      </c>
      <c r="C6" s="1610" t="s">
        <v>427</v>
      </c>
      <c r="D6" s="1611"/>
      <c r="E6" s="1611"/>
      <c r="F6" s="1611"/>
      <c r="G6" s="1611"/>
      <c r="H6" s="1612"/>
      <c r="I6" s="351"/>
      <c r="J6" s="1610" t="s">
        <v>428</v>
      </c>
      <c r="K6" s="1611"/>
      <c r="L6" s="1611"/>
      <c r="M6" s="1611"/>
      <c r="N6" s="1611"/>
      <c r="O6" s="1612"/>
      <c r="P6" s="526"/>
    </row>
    <row r="7" spans="1:194" x14ac:dyDescent="0.2">
      <c r="A7" s="1614"/>
      <c r="B7" s="1617"/>
      <c r="C7" s="352" t="s">
        <v>429</v>
      </c>
      <c r="D7" s="353" t="s">
        <v>394</v>
      </c>
      <c r="E7" s="353" t="s">
        <v>439</v>
      </c>
      <c r="F7" s="353" t="s">
        <v>430</v>
      </c>
      <c r="G7" s="353" t="s">
        <v>541</v>
      </c>
      <c r="H7" s="887" t="s">
        <v>659</v>
      </c>
      <c r="I7" s="355"/>
      <c r="J7" s="352" t="s">
        <v>429</v>
      </c>
      <c r="K7" s="353" t="s">
        <v>394</v>
      </c>
      <c r="L7" s="353" t="s">
        <v>442</v>
      </c>
      <c r="M7" s="353" t="s">
        <v>124</v>
      </c>
      <c r="N7" s="353" t="s">
        <v>440</v>
      </c>
      <c r="O7" s="354" t="s">
        <v>660</v>
      </c>
      <c r="P7" s="526"/>
    </row>
    <row r="8" spans="1:194" ht="13.5" thickBot="1" x14ac:dyDescent="0.25">
      <c r="A8" s="1615"/>
      <c r="B8" s="1618"/>
      <c r="C8" s="399" t="s">
        <v>431</v>
      </c>
      <c r="D8" s="400" t="s">
        <v>431</v>
      </c>
      <c r="E8" s="400" t="s">
        <v>431</v>
      </c>
      <c r="F8" s="400" t="s">
        <v>432</v>
      </c>
      <c r="G8" s="400"/>
      <c r="H8" s="888" t="s">
        <v>433</v>
      </c>
      <c r="I8" s="871"/>
      <c r="J8" s="399" t="s">
        <v>434</v>
      </c>
      <c r="K8" s="400" t="s">
        <v>400</v>
      </c>
      <c r="L8" s="400" t="s">
        <v>396</v>
      </c>
      <c r="M8" s="400"/>
      <c r="N8" s="400"/>
      <c r="O8" s="401" t="s">
        <v>435</v>
      </c>
      <c r="P8" s="526"/>
    </row>
    <row r="9" spans="1:194" ht="14.25" thickBot="1" x14ac:dyDescent="0.3">
      <c r="A9" s="1598" t="s">
        <v>726</v>
      </c>
      <c r="B9" s="1599"/>
      <c r="C9" s="1600"/>
      <c r="D9" s="1600"/>
      <c r="E9" s="1600"/>
      <c r="F9" s="1600"/>
      <c r="G9" s="1600"/>
      <c r="H9" s="1600"/>
      <c r="I9" s="1600"/>
      <c r="J9" s="1600"/>
      <c r="K9" s="1600"/>
      <c r="L9" s="1600"/>
      <c r="M9" s="1600"/>
      <c r="N9" s="1600"/>
      <c r="O9" s="1601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57"/>
      <c r="AY9" s="357"/>
      <c r="AZ9" s="357"/>
      <c r="BA9" s="357"/>
      <c r="BB9" s="357"/>
      <c r="BC9" s="357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7"/>
      <c r="BP9" s="357"/>
      <c r="BQ9" s="357"/>
      <c r="BR9" s="357"/>
      <c r="BS9" s="357"/>
      <c r="BT9" s="357"/>
      <c r="BU9" s="357"/>
      <c r="BV9" s="357"/>
      <c r="BW9" s="357"/>
      <c r="BX9" s="357"/>
      <c r="BY9" s="357"/>
      <c r="BZ9" s="357"/>
      <c r="CA9" s="357"/>
      <c r="CB9" s="357"/>
      <c r="CC9" s="357"/>
      <c r="CD9" s="357"/>
      <c r="CE9" s="357"/>
      <c r="CF9" s="357"/>
      <c r="CG9" s="357"/>
      <c r="CH9" s="357"/>
      <c r="CI9" s="357"/>
      <c r="CJ9" s="357"/>
      <c r="CK9" s="357"/>
      <c r="CL9" s="357"/>
      <c r="CM9" s="357"/>
      <c r="CN9" s="357"/>
      <c r="CO9" s="357"/>
      <c r="CP9" s="357"/>
      <c r="CQ9" s="357"/>
      <c r="CR9" s="357"/>
      <c r="CS9" s="357"/>
      <c r="CT9" s="357"/>
      <c r="CU9" s="357"/>
      <c r="CV9" s="357"/>
      <c r="CW9" s="357"/>
      <c r="CX9" s="357"/>
      <c r="CY9" s="357"/>
      <c r="CZ9" s="357"/>
      <c r="DA9" s="357"/>
      <c r="DB9" s="357"/>
      <c r="DC9" s="357"/>
      <c r="DD9" s="357"/>
      <c r="DE9" s="357"/>
      <c r="DF9" s="357"/>
      <c r="DG9" s="357"/>
      <c r="DH9" s="357"/>
      <c r="DI9" s="357"/>
      <c r="DJ9" s="357"/>
      <c r="DK9" s="357"/>
      <c r="DL9" s="357"/>
      <c r="DM9" s="357"/>
      <c r="DN9" s="357"/>
      <c r="DO9" s="357"/>
      <c r="DP9" s="357"/>
      <c r="DQ9" s="357"/>
      <c r="DR9" s="357"/>
      <c r="DS9" s="357"/>
      <c r="DT9" s="357"/>
      <c r="DU9" s="357"/>
      <c r="DV9" s="357"/>
      <c r="DW9" s="357"/>
      <c r="DX9" s="357"/>
      <c r="DY9" s="357"/>
      <c r="DZ9" s="357"/>
      <c r="EA9" s="357"/>
      <c r="EB9" s="357"/>
      <c r="EC9" s="357"/>
      <c r="ED9" s="357"/>
      <c r="EE9" s="357"/>
      <c r="EF9" s="357"/>
      <c r="EG9" s="357"/>
      <c r="EH9" s="357"/>
      <c r="EI9" s="357"/>
      <c r="EJ9" s="357"/>
      <c r="EK9" s="357"/>
      <c r="EL9" s="357"/>
      <c r="EM9" s="357"/>
      <c r="EN9" s="357"/>
      <c r="EO9" s="357"/>
      <c r="EP9" s="357"/>
      <c r="EQ9" s="357"/>
      <c r="ER9" s="357"/>
      <c r="ES9" s="357"/>
      <c r="ET9" s="357"/>
      <c r="EU9" s="357"/>
      <c r="EV9" s="357"/>
      <c r="EW9" s="357"/>
      <c r="EX9" s="357"/>
      <c r="EY9" s="357"/>
      <c r="EZ9" s="357"/>
      <c r="FA9" s="357"/>
      <c r="FB9" s="357"/>
      <c r="FC9" s="357"/>
      <c r="FD9" s="357"/>
      <c r="FE9" s="357"/>
      <c r="FF9" s="357"/>
      <c r="FG9" s="357"/>
      <c r="FH9" s="357"/>
      <c r="FI9" s="357"/>
      <c r="FJ9" s="357"/>
      <c r="FK9" s="357"/>
      <c r="FL9" s="357"/>
      <c r="FM9" s="357"/>
      <c r="FN9" s="357"/>
      <c r="FO9" s="357"/>
      <c r="FP9" s="357"/>
      <c r="FQ9" s="357"/>
      <c r="FR9" s="357"/>
      <c r="FS9" s="357"/>
      <c r="FT9" s="357"/>
      <c r="FU9" s="357"/>
      <c r="FV9" s="357"/>
      <c r="FW9" s="357"/>
      <c r="FX9" s="357"/>
      <c r="FY9" s="357"/>
      <c r="FZ9" s="357"/>
      <c r="GA9" s="357"/>
      <c r="GB9" s="357"/>
      <c r="GC9" s="357"/>
      <c r="GD9" s="357"/>
      <c r="GE9" s="357"/>
      <c r="GF9" s="357"/>
      <c r="GG9" s="357"/>
      <c r="GH9" s="357"/>
      <c r="GI9" s="357"/>
      <c r="GJ9" s="357"/>
      <c r="GK9" s="357"/>
      <c r="GL9" s="357"/>
    </row>
    <row r="10" spans="1:194" ht="38.25" x14ac:dyDescent="0.2">
      <c r="A10" s="861" t="s">
        <v>727</v>
      </c>
      <c r="B10" s="862" t="s">
        <v>733</v>
      </c>
      <c r="C10" s="853">
        <f>127000</f>
        <v>127000</v>
      </c>
      <c r="D10" s="850"/>
      <c r="E10" s="850"/>
      <c r="F10" s="850"/>
      <c r="G10" s="850"/>
      <c r="H10" s="356">
        <f>SUM(C10:G10)</f>
        <v>127000</v>
      </c>
      <c r="I10" s="361"/>
      <c r="J10" s="847">
        <v>31040542</v>
      </c>
      <c r="K10" s="846">
        <v>2072640</v>
      </c>
      <c r="L10" s="846"/>
      <c r="M10" s="846"/>
      <c r="N10" s="846"/>
      <c r="O10" s="848">
        <f>SUM(J10:N10)</f>
        <v>33113182</v>
      </c>
      <c r="P10" s="526"/>
    </row>
    <row r="11" spans="1:194" x14ac:dyDescent="0.2">
      <c r="A11" s="863" t="s">
        <v>728</v>
      </c>
      <c r="B11" s="864" t="s">
        <v>734</v>
      </c>
      <c r="C11" s="358"/>
      <c r="D11" s="359"/>
      <c r="E11" s="359"/>
      <c r="F11" s="359"/>
      <c r="G11" s="359"/>
      <c r="H11" s="848">
        <f>SUM(C11:G11)</f>
        <v>0</v>
      </c>
      <c r="I11" s="361"/>
      <c r="J11" s="362">
        <v>1000000</v>
      </c>
      <c r="K11" s="359"/>
      <c r="L11" s="359"/>
      <c r="M11" s="359"/>
      <c r="N11" s="359"/>
      <c r="O11" s="848">
        <f t="shared" ref="O11:O15" si="0">SUM(J11:N11)</f>
        <v>1000000</v>
      </c>
      <c r="P11" s="526"/>
    </row>
    <row r="12" spans="1:194" ht="25.5" x14ac:dyDescent="0.2">
      <c r="A12" s="863" t="s">
        <v>729</v>
      </c>
      <c r="B12" s="864" t="s">
        <v>735</v>
      </c>
      <c r="C12" s="358">
        <v>36271956</v>
      </c>
      <c r="D12" s="359">
        <f>44304508</f>
        <v>44304508</v>
      </c>
      <c r="E12" s="359"/>
      <c r="F12" s="359"/>
      <c r="G12" s="359"/>
      <c r="H12" s="363">
        <f t="shared" ref="H12:H15" si="1">SUM(C12:G12)</f>
        <v>80576464</v>
      </c>
      <c r="I12" s="364"/>
      <c r="J12" s="362">
        <f>30612954</f>
        <v>30612954</v>
      </c>
      <c r="K12" s="359">
        <v>199637534</v>
      </c>
      <c r="L12" s="359"/>
      <c r="M12" s="359"/>
      <c r="N12" s="359"/>
      <c r="O12" s="848">
        <f t="shared" si="0"/>
        <v>230250488</v>
      </c>
      <c r="P12" s="526"/>
    </row>
    <row r="13" spans="1:194" ht="25.5" x14ac:dyDescent="0.2">
      <c r="A13" s="863" t="s">
        <v>730</v>
      </c>
      <c r="B13" s="864" t="s">
        <v>443</v>
      </c>
      <c r="C13" s="358">
        <f>1560000+675000</f>
        <v>2235000</v>
      </c>
      <c r="D13" s="365"/>
      <c r="E13" s="359"/>
      <c r="F13" s="359"/>
      <c r="G13" s="359"/>
      <c r="H13" s="363">
        <f t="shared" si="1"/>
        <v>2235000</v>
      </c>
      <c r="I13" s="366" t="e">
        <f>SUM(#REF!)</f>
        <v>#REF!</v>
      </c>
      <c r="J13" s="362">
        <f>7396164</f>
        <v>7396164</v>
      </c>
      <c r="K13" s="359">
        <v>300000</v>
      </c>
      <c r="L13" s="359"/>
      <c r="M13" s="359"/>
      <c r="N13" s="359"/>
      <c r="O13" s="848">
        <f t="shared" si="0"/>
        <v>7696164</v>
      </c>
      <c r="P13" s="526"/>
    </row>
    <row r="14" spans="1:194" ht="25.5" x14ac:dyDescent="0.2">
      <c r="A14" s="863" t="s">
        <v>731</v>
      </c>
      <c r="B14" s="864" t="s">
        <v>736</v>
      </c>
      <c r="C14" s="1490">
        <f>1503038688+33216359</f>
        <v>1536255047</v>
      </c>
      <c r="D14" s="367"/>
      <c r="E14" s="359"/>
      <c r="F14" s="367"/>
      <c r="G14" s="367"/>
      <c r="H14" s="363">
        <f t="shared" si="1"/>
        <v>1536255047</v>
      </c>
      <c r="I14" s="361"/>
      <c r="J14" s="362"/>
      <c r="K14" s="359"/>
      <c r="L14" s="367"/>
      <c r="M14" s="367"/>
      <c r="N14" s="367"/>
      <c r="O14" s="848">
        <f t="shared" si="0"/>
        <v>0</v>
      </c>
      <c r="P14" s="526"/>
    </row>
    <row r="15" spans="1:194" ht="13.5" thickBot="1" x14ac:dyDescent="0.25">
      <c r="A15" s="865" t="s">
        <v>732</v>
      </c>
      <c r="B15" s="866" t="s">
        <v>441</v>
      </c>
      <c r="C15" s="854"/>
      <c r="D15" s="851"/>
      <c r="E15" s="852"/>
      <c r="F15" s="852"/>
      <c r="G15" s="852">
        <f>933393998+8179828</f>
        <v>941573826</v>
      </c>
      <c r="H15" s="889">
        <f t="shared" si="1"/>
        <v>941573826</v>
      </c>
      <c r="I15" s="361"/>
      <c r="J15" s="374"/>
      <c r="K15" s="371"/>
      <c r="L15" s="520">
        <f>1487539922+33216359</f>
        <v>1520756281</v>
      </c>
      <c r="M15" s="371"/>
      <c r="N15" s="371"/>
      <c r="O15" s="848">
        <f t="shared" si="0"/>
        <v>1520756281</v>
      </c>
      <c r="P15" s="526"/>
    </row>
    <row r="16" spans="1:194" ht="14.25" thickBot="1" x14ac:dyDescent="0.3">
      <c r="A16" s="1602" t="s">
        <v>737</v>
      </c>
      <c r="B16" s="1603"/>
      <c r="C16" s="1600"/>
      <c r="D16" s="1600"/>
      <c r="E16" s="1600"/>
      <c r="F16" s="1600"/>
      <c r="G16" s="1600"/>
      <c r="H16" s="1600"/>
      <c r="I16" s="1600"/>
      <c r="J16" s="1600"/>
      <c r="K16" s="1600"/>
      <c r="L16" s="1600"/>
      <c r="M16" s="1600"/>
      <c r="N16" s="1600"/>
      <c r="O16" s="1601"/>
      <c r="P16" s="526"/>
    </row>
    <row r="17" spans="1:16" s="526" customFormat="1" ht="26.25" thickBot="1" x14ac:dyDescent="0.25">
      <c r="A17" s="883" t="s">
        <v>738</v>
      </c>
      <c r="B17" s="884" t="s">
        <v>739</v>
      </c>
      <c r="C17" s="874"/>
      <c r="D17" s="872"/>
      <c r="E17" s="872"/>
      <c r="F17" s="872"/>
      <c r="G17" s="872"/>
      <c r="H17" s="873">
        <f>SUM(C17:G17)</f>
        <v>0</v>
      </c>
      <c r="I17" s="881"/>
      <c r="J17" s="875">
        <f>2000</f>
        <v>2000</v>
      </c>
      <c r="K17" s="872"/>
      <c r="L17" s="872"/>
      <c r="M17" s="872"/>
      <c r="N17" s="872"/>
      <c r="O17" s="848">
        <f>SUM(J17:N17)</f>
        <v>2000</v>
      </c>
    </row>
    <row r="18" spans="1:16" s="526" customFormat="1" ht="14.25" thickBot="1" x14ac:dyDescent="0.3">
      <c r="A18" s="1604" t="s">
        <v>776</v>
      </c>
      <c r="B18" s="1605" t="s">
        <v>776</v>
      </c>
      <c r="C18" s="1599" t="s">
        <v>776</v>
      </c>
      <c r="D18" s="1599" t="s">
        <v>776</v>
      </c>
      <c r="E18" s="1599" t="s">
        <v>776</v>
      </c>
      <c r="F18" s="1599" t="s">
        <v>776</v>
      </c>
      <c r="G18" s="1599" t="s">
        <v>776</v>
      </c>
      <c r="H18" s="1599" t="s">
        <v>776</v>
      </c>
      <c r="I18" s="1600" t="s">
        <v>776</v>
      </c>
      <c r="J18" s="1599" t="s">
        <v>776</v>
      </c>
      <c r="K18" s="1599" t="s">
        <v>776</v>
      </c>
      <c r="L18" s="1599" t="s">
        <v>776</v>
      </c>
      <c r="M18" s="1599" t="s">
        <v>776</v>
      </c>
      <c r="N18" s="1599" t="s">
        <v>776</v>
      </c>
      <c r="O18" s="1621" t="s">
        <v>776</v>
      </c>
    </row>
    <row r="19" spans="1:16" s="526" customFormat="1" x14ac:dyDescent="0.2">
      <c r="A19" s="855" t="s">
        <v>777</v>
      </c>
      <c r="B19" s="856" t="s">
        <v>778</v>
      </c>
      <c r="C19" s="853"/>
      <c r="D19" s="850"/>
      <c r="E19" s="850"/>
      <c r="F19" s="850"/>
      <c r="G19" s="850"/>
      <c r="H19" s="356">
        <f t="shared" ref="H19:H24" si="2">SUM(C19:G19)</f>
        <v>0</v>
      </c>
      <c r="I19" s="386"/>
      <c r="J19" s="849">
        <v>46431577</v>
      </c>
      <c r="K19" s="850">
        <v>10000000</v>
      </c>
      <c r="L19" s="850"/>
      <c r="M19" s="850"/>
      <c r="N19" s="850"/>
      <c r="O19" s="356">
        <f t="shared" ref="O19:O24" si="3">SUM(J19:N19)</f>
        <v>56431577</v>
      </c>
    </row>
    <row r="20" spans="1:16" s="526" customFormat="1" ht="25.5" x14ac:dyDescent="0.2">
      <c r="A20" s="857" t="s">
        <v>779</v>
      </c>
      <c r="B20" s="858" t="s">
        <v>780</v>
      </c>
      <c r="C20" s="358">
        <v>3150000</v>
      </c>
      <c r="D20" s="359"/>
      <c r="E20" s="359"/>
      <c r="F20" s="359"/>
      <c r="G20" s="359"/>
      <c r="H20" s="363">
        <f t="shared" si="2"/>
        <v>3150000</v>
      </c>
      <c r="I20" s="386"/>
      <c r="J20" s="362">
        <f>2528061</f>
        <v>2528061</v>
      </c>
      <c r="K20" s="359"/>
      <c r="L20" s="359"/>
      <c r="M20" s="359"/>
      <c r="N20" s="359"/>
      <c r="O20" s="363">
        <f t="shared" si="3"/>
        <v>2528061</v>
      </c>
    </row>
    <row r="21" spans="1:16" s="526" customFormat="1" x14ac:dyDescent="0.2">
      <c r="A21" s="857" t="s">
        <v>781</v>
      </c>
      <c r="B21" s="858" t="s">
        <v>782</v>
      </c>
      <c r="C21" s="358"/>
      <c r="D21" s="359"/>
      <c r="E21" s="359"/>
      <c r="F21" s="359"/>
      <c r="G21" s="359"/>
      <c r="H21" s="363">
        <f t="shared" si="2"/>
        <v>0</v>
      </c>
      <c r="I21" s="386"/>
      <c r="J21" s="362">
        <f>6840212-649147</f>
        <v>6191065</v>
      </c>
      <c r="K21" s="359">
        <f>30209788-2000000+109147</f>
        <v>28318935</v>
      </c>
      <c r="L21" s="359"/>
      <c r="M21" s="359"/>
      <c r="N21" s="359"/>
      <c r="O21" s="363">
        <f t="shared" si="3"/>
        <v>34510000</v>
      </c>
    </row>
    <row r="22" spans="1:16" s="526" customFormat="1" ht="25.5" x14ac:dyDescent="0.2">
      <c r="A22" s="857" t="s">
        <v>783</v>
      </c>
      <c r="B22" s="858" t="s">
        <v>784</v>
      </c>
      <c r="C22" s="358"/>
      <c r="D22" s="359"/>
      <c r="E22" s="359"/>
      <c r="F22" s="359"/>
      <c r="G22" s="359"/>
      <c r="H22" s="363">
        <f t="shared" si="2"/>
        <v>0</v>
      </c>
      <c r="I22" s="386"/>
      <c r="J22" s="362">
        <f>402897+6604733</f>
        <v>7007630</v>
      </c>
      <c r="K22" s="359">
        <v>92092353</v>
      </c>
      <c r="L22" s="359"/>
      <c r="M22" s="359"/>
      <c r="N22" s="359"/>
      <c r="O22" s="363">
        <f t="shared" si="3"/>
        <v>99099983</v>
      </c>
    </row>
    <row r="23" spans="1:16" s="526" customFormat="1" ht="25.5" x14ac:dyDescent="0.2">
      <c r="A23" s="857" t="s">
        <v>785</v>
      </c>
      <c r="B23" s="858" t="s">
        <v>786</v>
      </c>
      <c r="C23" s="358"/>
      <c r="D23" s="359"/>
      <c r="E23" s="359"/>
      <c r="F23" s="359"/>
      <c r="G23" s="359"/>
      <c r="H23" s="363">
        <f t="shared" si="2"/>
        <v>0</v>
      </c>
      <c r="I23" s="386"/>
      <c r="J23" s="362">
        <v>3163512</v>
      </c>
      <c r="K23" s="359">
        <v>5016896</v>
      </c>
      <c r="L23" s="359"/>
      <c r="M23" s="359"/>
      <c r="N23" s="359"/>
      <c r="O23" s="363">
        <f t="shared" si="3"/>
        <v>8180408</v>
      </c>
    </row>
    <row r="24" spans="1:16" s="526" customFormat="1" ht="26.25" thickBot="1" x14ac:dyDescent="0.25">
      <c r="A24" s="859" t="s">
        <v>787</v>
      </c>
      <c r="B24" s="860" t="s">
        <v>788</v>
      </c>
      <c r="C24" s="854"/>
      <c r="D24" s="852"/>
      <c r="E24" s="852"/>
      <c r="F24" s="852"/>
      <c r="G24" s="852"/>
      <c r="H24" s="889">
        <f t="shared" si="2"/>
        <v>0</v>
      </c>
      <c r="I24" s="386"/>
      <c r="J24" s="882">
        <v>723900</v>
      </c>
      <c r="K24" s="852">
        <v>1016000</v>
      </c>
      <c r="L24" s="852"/>
      <c r="M24" s="852"/>
      <c r="N24" s="852"/>
      <c r="O24" s="889">
        <f t="shared" si="3"/>
        <v>1739900</v>
      </c>
    </row>
    <row r="25" spans="1:16" ht="14.25" thickBot="1" x14ac:dyDescent="0.3">
      <c r="A25" s="1604" t="s">
        <v>740</v>
      </c>
      <c r="B25" s="1605"/>
      <c r="C25" s="1605"/>
      <c r="D25" s="1605"/>
      <c r="E25" s="1605"/>
      <c r="F25" s="1605"/>
      <c r="G25" s="1605"/>
      <c r="H25" s="1605"/>
      <c r="I25" s="1600"/>
      <c r="J25" s="1605"/>
      <c r="K25" s="1605"/>
      <c r="L25" s="1605"/>
      <c r="M25" s="1605"/>
      <c r="N25" s="1605"/>
      <c r="O25" s="1608"/>
      <c r="P25" s="526"/>
    </row>
    <row r="26" spans="1:16" ht="25.5" x14ac:dyDescent="0.2">
      <c r="A26" s="1359" t="s">
        <v>741</v>
      </c>
      <c r="B26" s="1360" t="s">
        <v>742</v>
      </c>
      <c r="C26" s="850">
        <v>507601</v>
      </c>
      <c r="D26" s="867"/>
      <c r="E26" s="867"/>
      <c r="F26" s="867"/>
      <c r="G26" s="867"/>
      <c r="H26" s="356">
        <f t="shared" ref="H26:H29" si="4">SUM(C26:G26)</f>
        <v>507601</v>
      </c>
      <c r="I26" s="868"/>
      <c r="J26" s="849">
        <v>15896113</v>
      </c>
      <c r="K26" s="867"/>
      <c r="L26" s="867"/>
      <c r="M26" s="867"/>
      <c r="N26" s="867"/>
      <c r="O26" s="356">
        <f t="shared" ref="O26:O29" si="5">SUM(J26:N26)</f>
        <v>15896113</v>
      </c>
      <c r="P26" s="526"/>
    </row>
    <row r="27" spans="1:16" ht="25.5" x14ac:dyDescent="0.2">
      <c r="A27" s="1361" t="s">
        <v>743</v>
      </c>
      <c r="B27" s="1357" t="s">
        <v>446</v>
      </c>
      <c r="C27" s="359"/>
      <c r="D27" s="359"/>
      <c r="E27" s="359"/>
      <c r="F27" s="359"/>
      <c r="G27" s="359"/>
      <c r="H27" s="363">
        <f t="shared" si="4"/>
        <v>0</v>
      </c>
      <c r="I27" s="368"/>
      <c r="J27" s="369">
        <v>835000</v>
      </c>
      <c r="K27" s="367"/>
      <c r="L27" s="367"/>
      <c r="M27" s="367"/>
      <c r="N27" s="367"/>
      <c r="O27" s="363">
        <f t="shared" si="5"/>
        <v>835000</v>
      </c>
      <c r="P27" s="526"/>
    </row>
    <row r="28" spans="1:16" ht="25.5" x14ac:dyDescent="0.2">
      <c r="A28" s="1361" t="s">
        <v>744</v>
      </c>
      <c r="B28" s="1357" t="s">
        <v>745</v>
      </c>
      <c r="C28" s="359">
        <f>900000</f>
        <v>900000</v>
      </c>
      <c r="D28" s="367"/>
      <c r="E28" s="1358"/>
      <c r="F28" s="367"/>
      <c r="G28" s="367"/>
      <c r="H28" s="363">
        <f t="shared" si="4"/>
        <v>900000</v>
      </c>
      <c r="I28" s="368"/>
      <c r="J28" s="1356"/>
      <c r="K28" s="359">
        <v>359410</v>
      </c>
      <c r="L28" s="367"/>
      <c r="M28" s="367"/>
      <c r="N28" s="367"/>
      <c r="O28" s="363">
        <f t="shared" si="5"/>
        <v>359410</v>
      </c>
      <c r="P28" s="526"/>
    </row>
    <row r="29" spans="1:16" ht="26.25" thickBot="1" x14ac:dyDescent="0.25">
      <c r="A29" s="1362" t="s">
        <v>960</v>
      </c>
      <c r="B29" s="1363" t="s">
        <v>959</v>
      </c>
      <c r="C29" s="852">
        <v>16392698</v>
      </c>
      <c r="D29" s="869">
        <v>2634996</v>
      </c>
      <c r="E29" s="851"/>
      <c r="F29" s="869"/>
      <c r="G29" s="869"/>
      <c r="H29" s="363">
        <f t="shared" si="4"/>
        <v>19027694</v>
      </c>
      <c r="I29" s="870"/>
      <c r="J29" s="1371">
        <v>16392698</v>
      </c>
      <c r="K29" s="852">
        <v>2634996</v>
      </c>
      <c r="L29" s="869"/>
      <c r="M29" s="869"/>
      <c r="N29" s="869"/>
      <c r="O29" s="363">
        <f t="shared" si="5"/>
        <v>19027694</v>
      </c>
      <c r="P29" s="526"/>
    </row>
    <row r="30" spans="1:16" ht="14.25" thickBot="1" x14ac:dyDescent="0.3">
      <c r="A30" s="1624" t="s">
        <v>751</v>
      </c>
      <c r="B30" s="1625"/>
      <c r="C30" s="1626"/>
      <c r="D30" s="1626"/>
      <c r="E30" s="1626"/>
      <c r="F30" s="1626"/>
      <c r="G30" s="1626"/>
      <c r="H30" s="1626"/>
      <c r="I30" s="1626"/>
      <c r="J30" s="1626"/>
      <c r="K30" s="1626"/>
      <c r="L30" s="1626"/>
      <c r="M30" s="1626"/>
      <c r="N30" s="1626"/>
      <c r="O30" s="1627"/>
      <c r="P30" s="526"/>
    </row>
    <row r="31" spans="1:16" ht="25.5" x14ac:dyDescent="0.2">
      <c r="A31" s="1359" t="s">
        <v>961</v>
      </c>
      <c r="B31" s="1364" t="s">
        <v>962</v>
      </c>
      <c r="C31" s="849">
        <v>36497760</v>
      </c>
      <c r="D31" s="850">
        <v>24124550</v>
      </c>
      <c r="E31" s="853"/>
      <c r="F31" s="850"/>
      <c r="G31" s="850"/>
      <c r="H31" s="356">
        <f t="shared" ref="H31" si="6">SUM(C31:G31)</f>
        <v>60622310</v>
      </c>
      <c r="I31" s="368"/>
      <c r="J31" s="849">
        <v>64017704</v>
      </c>
      <c r="K31" s="850">
        <v>505446492</v>
      </c>
      <c r="L31" s="850"/>
      <c r="M31" s="850"/>
      <c r="N31" s="850"/>
      <c r="O31" s="356">
        <f t="shared" ref="O31" si="7">SUM(J31:N31)</f>
        <v>569464196</v>
      </c>
      <c r="P31" s="526"/>
    </row>
    <row r="32" spans="1:16" x14ac:dyDescent="0.2">
      <c r="A32" s="1361" t="s">
        <v>746</v>
      </c>
      <c r="B32" s="1365" t="s">
        <v>436</v>
      </c>
      <c r="C32" s="847"/>
      <c r="D32" s="846"/>
      <c r="E32" s="845"/>
      <c r="F32" s="846"/>
      <c r="G32" s="846"/>
      <c r="H32" s="848">
        <f t="shared" ref="H32:H34" si="8">SUM(C32:G32)</f>
        <v>0</v>
      </c>
      <c r="I32" s="368"/>
      <c r="J32" s="847">
        <v>27408638</v>
      </c>
      <c r="K32" s="846">
        <v>381000</v>
      </c>
      <c r="L32" s="846"/>
      <c r="M32" s="846"/>
      <c r="N32" s="846"/>
      <c r="O32" s="848">
        <f t="shared" ref="O32:O34" si="9">SUM(J32:N32)</f>
        <v>27789638</v>
      </c>
      <c r="P32" s="526"/>
    </row>
    <row r="33" spans="1:16" x14ac:dyDescent="0.2">
      <c r="A33" s="1361" t="s">
        <v>747</v>
      </c>
      <c r="B33" s="1365" t="s">
        <v>748</v>
      </c>
      <c r="C33" s="1367"/>
      <c r="D33" s="359"/>
      <c r="E33" s="359"/>
      <c r="F33" s="359"/>
      <c r="G33" s="359"/>
      <c r="H33" s="363">
        <f t="shared" si="8"/>
        <v>0</v>
      </c>
      <c r="I33" s="368"/>
      <c r="J33" s="362">
        <f>190500+15489215</f>
        <v>15679715</v>
      </c>
      <c r="K33" s="359"/>
      <c r="L33" s="359"/>
      <c r="M33" s="359"/>
      <c r="N33" s="359"/>
      <c r="O33" s="848">
        <f t="shared" si="9"/>
        <v>15679715</v>
      </c>
      <c r="P33" s="526"/>
    </row>
    <row r="34" spans="1:16" ht="26.25" thickBot="1" x14ac:dyDescent="0.25">
      <c r="A34" s="1362" t="s">
        <v>749</v>
      </c>
      <c r="B34" s="1366" t="s">
        <v>750</v>
      </c>
      <c r="C34" s="882">
        <f>6393254+1350000+200000</f>
        <v>7943254</v>
      </c>
      <c r="D34" s="852"/>
      <c r="E34" s="852">
        <v>8000000</v>
      </c>
      <c r="F34" s="852"/>
      <c r="G34" s="852"/>
      <c r="H34" s="889">
        <f t="shared" si="8"/>
        <v>15943254</v>
      </c>
      <c r="I34" s="895"/>
      <c r="J34" s="882">
        <f>49736618+22713471</f>
        <v>72450089</v>
      </c>
      <c r="K34" s="852">
        <v>40233999</v>
      </c>
      <c r="L34" s="852"/>
      <c r="M34" s="852"/>
      <c r="N34" s="852"/>
      <c r="O34" s="1368">
        <f t="shared" si="9"/>
        <v>112684088</v>
      </c>
      <c r="P34" s="526"/>
    </row>
    <row r="35" spans="1:16" ht="15.75" thickBot="1" x14ac:dyDescent="0.3">
      <c r="A35" s="1628" t="s">
        <v>752</v>
      </c>
      <c r="B35" s="1629"/>
      <c r="C35" s="1630"/>
      <c r="D35" s="1630"/>
      <c r="E35" s="1630"/>
      <c r="F35" s="1630"/>
      <c r="G35" s="1630"/>
      <c r="H35" s="1630"/>
      <c r="I35" s="1630"/>
      <c r="J35" s="1630"/>
      <c r="K35" s="1630"/>
      <c r="L35" s="1630"/>
      <c r="M35" s="1630"/>
      <c r="N35" s="1630"/>
      <c r="O35" s="1631"/>
      <c r="P35" s="526"/>
    </row>
    <row r="36" spans="1:16" x14ac:dyDescent="0.2">
      <c r="A36" s="879" t="s">
        <v>753</v>
      </c>
      <c r="B36" s="864" t="s">
        <v>1</v>
      </c>
      <c r="C36" s="358"/>
      <c r="D36" s="358"/>
      <c r="E36" s="358"/>
      <c r="F36" s="358"/>
      <c r="G36" s="358"/>
      <c r="H36" s="363">
        <f t="shared" ref="H36:H40" si="10">SUM(C36:G36)</f>
        <v>0</v>
      </c>
      <c r="I36" s="373"/>
      <c r="J36" s="893">
        <v>45600000</v>
      </c>
      <c r="K36" s="359"/>
      <c r="L36" s="359"/>
      <c r="M36" s="359"/>
      <c r="N36" s="359"/>
      <c r="O36" s="848">
        <f t="shared" ref="O36:O40" si="11">SUM(J36:N36)</f>
        <v>45600000</v>
      </c>
      <c r="P36" s="526"/>
    </row>
    <row r="37" spans="1:16" x14ac:dyDescent="0.2">
      <c r="A37" s="879" t="s">
        <v>754</v>
      </c>
      <c r="B37" s="864" t="s">
        <v>3</v>
      </c>
      <c r="C37" s="358"/>
      <c r="D37" s="359"/>
      <c r="E37" s="359"/>
      <c r="F37" s="359"/>
      <c r="G37" s="359"/>
      <c r="H37" s="363">
        <f t="shared" si="10"/>
        <v>0</v>
      </c>
      <c r="I37" s="368"/>
      <c r="J37" s="362">
        <v>3600000</v>
      </c>
      <c r="K37" s="359"/>
      <c r="L37" s="359"/>
      <c r="M37" s="359"/>
      <c r="N37" s="359"/>
      <c r="O37" s="848">
        <f t="shared" si="11"/>
        <v>3600000</v>
      </c>
      <c r="P37" s="526"/>
    </row>
    <row r="38" spans="1:16" s="1377" customFormat="1" x14ac:dyDescent="0.2">
      <c r="A38" s="1394" t="s">
        <v>968</v>
      </c>
      <c r="B38" s="1392" t="s">
        <v>967</v>
      </c>
      <c r="C38" s="1378"/>
      <c r="D38" s="1379"/>
      <c r="E38" s="1379"/>
      <c r="F38" s="1379"/>
      <c r="G38" s="1379"/>
      <c r="H38" s="1382">
        <f t="shared" ref="H38" si="12">SUM(C38:G38)</f>
        <v>0</v>
      </c>
      <c r="I38" s="1380"/>
      <c r="J38" s="1381">
        <v>18000000</v>
      </c>
      <c r="K38" s="1379"/>
      <c r="L38" s="1379"/>
      <c r="M38" s="1379"/>
      <c r="N38" s="1379"/>
      <c r="O38" s="1391">
        <f t="shared" ref="O38" si="13">SUM(J38:N38)</f>
        <v>18000000</v>
      </c>
      <c r="P38" s="1388"/>
    </row>
    <row r="39" spans="1:16" ht="25.5" x14ac:dyDescent="0.2">
      <c r="A39" s="879" t="s">
        <v>755</v>
      </c>
      <c r="B39" s="864" t="s">
        <v>757</v>
      </c>
      <c r="C39" s="358">
        <f>2768669</f>
        <v>2768669</v>
      </c>
      <c r="D39" s="359"/>
      <c r="E39" s="359"/>
      <c r="F39" s="359"/>
      <c r="G39" s="359"/>
      <c r="H39" s="363">
        <f t="shared" si="10"/>
        <v>2768669</v>
      </c>
      <c r="I39" s="361"/>
      <c r="J39" s="362">
        <v>45157875</v>
      </c>
      <c r="K39" s="359">
        <v>4127000</v>
      </c>
      <c r="L39" s="359"/>
      <c r="M39" s="359"/>
      <c r="N39" s="359"/>
      <c r="O39" s="848">
        <f t="shared" si="11"/>
        <v>49284875</v>
      </c>
      <c r="P39" s="526"/>
    </row>
    <row r="40" spans="1:16" ht="26.25" thickBot="1" x14ac:dyDescent="0.25">
      <c r="A40" s="880" t="s">
        <v>756</v>
      </c>
      <c r="B40" s="866" t="s">
        <v>758</v>
      </c>
      <c r="C40" s="370">
        <f>94488+25512</f>
        <v>120000</v>
      </c>
      <c r="D40" s="371"/>
      <c r="E40" s="371"/>
      <c r="F40" s="371"/>
      <c r="G40" s="371"/>
      <c r="H40" s="372">
        <f t="shared" si="10"/>
        <v>120000</v>
      </c>
      <c r="I40" s="368"/>
      <c r="J40" s="374">
        <v>325512</v>
      </c>
      <c r="K40" s="371">
        <v>94488</v>
      </c>
      <c r="L40" s="371"/>
      <c r="M40" s="371"/>
      <c r="N40" s="371"/>
      <c r="O40" s="848">
        <f t="shared" si="11"/>
        <v>420000</v>
      </c>
      <c r="P40" s="526"/>
    </row>
    <row r="41" spans="1:16" ht="14.25" thickBot="1" x14ac:dyDescent="0.3">
      <c r="A41" s="1604" t="s">
        <v>759</v>
      </c>
      <c r="B41" s="1605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1"/>
      <c r="P41" s="526"/>
    </row>
    <row r="42" spans="1:16" x14ac:dyDescent="0.2">
      <c r="A42" s="878" t="s">
        <v>760</v>
      </c>
      <c r="B42" s="862" t="s">
        <v>654</v>
      </c>
      <c r="C42" s="874">
        <f>635000</f>
        <v>635000</v>
      </c>
      <c r="D42" s="872"/>
      <c r="E42" s="872"/>
      <c r="F42" s="872"/>
      <c r="G42" s="872"/>
      <c r="H42" s="848">
        <f t="shared" ref="H42:H44" si="14">SUM(C42:G42)</f>
        <v>635000</v>
      </c>
      <c r="I42" s="368"/>
      <c r="J42" s="875">
        <v>6601335</v>
      </c>
      <c r="K42" s="872"/>
      <c r="L42" s="872"/>
      <c r="M42" s="872"/>
      <c r="N42" s="872"/>
      <c r="O42" s="848">
        <f t="shared" ref="O42:O44" si="15">SUM(J42:N42)</f>
        <v>6601335</v>
      </c>
      <c r="P42" s="526"/>
    </row>
    <row r="43" spans="1:16" s="525" customFormat="1" x14ac:dyDescent="0.2">
      <c r="A43" s="879" t="s">
        <v>761</v>
      </c>
      <c r="B43" s="864" t="s">
        <v>437</v>
      </c>
      <c r="C43" s="1383">
        <f>400000</f>
        <v>400000</v>
      </c>
      <c r="D43" s="892"/>
      <c r="E43" s="892"/>
      <c r="F43" s="892"/>
      <c r="G43" s="892"/>
      <c r="H43" s="363">
        <f t="shared" si="14"/>
        <v>400000</v>
      </c>
      <c r="I43" s="664"/>
      <c r="J43" s="374">
        <f>407200+34558462</f>
        <v>34965662</v>
      </c>
      <c r="K43" s="371">
        <v>7901899</v>
      </c>
      <c r="L43" s="371"/>
      <c r="M43" s="371"/>
      <c r="N43" s="371"/>
      <c r="O43" s="848">
        <f t="shared" si="15"/>
        <v>42867561</v>
      </c>
    </row>
    <row r="44" spans="1:16" s="525" customFormat="1" ht="39" thickBot="1" x14ac:dyDescent="0.25">
      <c r="A44" s="880" t="s">
        <v>762</v>
      </c>
      <c r="B44" s="866" t="s">
        <v>763</v>
      </c>
      <c r="C44" s="370">
        <v>62436432</v>
      </c>
      <c r="D44" s="371">
        <v>10218088</v>
      </c>
      <c r="E44" s="892"/>
      <c r="F44" s="892"/>
      <c r="G44" s="892"/>
      <c r="H44" s="372">
        <f t="shared" si="14"/>
        <v>72654520</v>
      </c>
      <c r="I44" s="664"/>
      <c r="J44" s="374">
        <f>9234401+65012000</f>
        <v>74246401</v>
      </c>
      <c r="K44" s="371">
        <v>17650043</v>
      </c>
      <c r="L44" s="371"/>
      <c r="M44" s="371"/>
      <c r="N44" s="371"/>
      <c r="O44" s="848">
        <f t="shared" si="15"/>
        <v>91896444</v>
      </c>
    </row>
    <row r="45" spans="1:16" ht="14.25" thickBot="1" x14ac:dyDescent="0.3">
      <c r="A45" s="1604" t="s">
        <v>764</v>
      </c>
      <c r="B45" s="1605"/>
      <c r="C45" s="1600"/>
      <c r="D45" s="1600"/>
      <c r="E45" s="1600"/>
      <c r="F45" s="1600"/>
      <c r="G45" s="1600"/>
      <c r="H45" s="1600"/>
      <c r="I45" s="1600"/>
      <c r="J45" s="1600"/>
      <c r="K45" s="1600"/>
      <c r="L45" s="1600"/>
      <c r="M45" s="1600"/>
      <c r="N45" s="1600"/>
      <c r="O45" s="1601"/>
      <c r="P45" s="526"/>
    </row>
    <row r="46" spans="1:16" x14ac:dyDescent="0.2">
      <c r="A46" s="878" t="s">
        <v>765</v>
      </c>
      <c r="B46" s="862" t="s">
        <v>562</v>
      </c>
      <c r="C46" s="874"/>
      <c r="D46" s="872"/>
      <c r="E46" s="872"/>
      <c r="F46" s="872"/>
      <c r="G46" s="872"/>
      <c r="H46" s="848">
        <f t="shared" ref="H46:H50" si="16">SUM(C46:G46)</f>
        <v>0</v>
      </c>
      <c r="I46" s="368"/>
      <c r="J46" s="875">
        <v>300000</v>
      </c>
      <c r="K46" s="872"/>
      <c r="L46" s="872"/>
      <c r="M46" s="872"/>
      <c r="N46" s="872"/>
      <c r="O46" s="848">
        <f t="shared" ref="O46:O50" si="17">SUM(J46:N46)</f>
        <v>300000</v>
      </c>
      <c r="P46" s="526"/>
    </row>
    <row r="47" spans="1:16" x14ac:dyDescent="0.2">
      <c r="A47" s="879" t="s">
        <v>766</v>
      </c>
      <c r="B47" s="864" t="s">
        <v>543</v>
      </c>
      <c r="C47" s="370"/>
      <c r="D47" s="371"/>
      <c r="E47" s="371"/>
      <c r="F47" s="371"/>
      <c r="G47" s="371"/>
      <c r="H47" s="363">
        <f t="shared" si="16"/>
        <v>0</v>
      </c>
      <c r="I47" s="368"/>
      <c r="J47" s="374">
        <v>54468561</v>
      </c>
      <c r="K47" s="371"/>
      <c r="L47" s="371"/>
      <c r="M47" s="371"/>
      <c r="N47" s="371"/>
      <c r="O47" s="848">
        <f t="shared" si="17"/>
        <v>54468561</v>
      </c>
      <c r="P47" s="526"/>
    </row>
    <row r="48" spans="1:16" x14ac:dyDescent="0.2">
      <c r="A48" s="1394" t="s">
        <v>963</v>
      </c>
      <c r="B48" s="864" t="s">
        <v>964</v>
      </c>
      <c r="C48" s="370"/>
      <c r="D48" s="371"/>
      <c r="E48" s="371"/>
      <c r="F48" s="371"/>
      <c r="G48" s="371"/>
      <c r="H48" s="363">
        <f t="shared" si="16"/>
        <v>0</v>
      </c>
      <c r="I48" s="368"/>
      <c r="J48" s="665">
        <v>270951</v>
      </c>
      <c r="K48" s="371">
        <v>403860</v>
      </c>
      <c r="L48" s="371"/>
      <c r="M48" s="371"/>
      <c r="N48" s="371"/>
      <c r="O48" s="848">
        <f t="shared" si="17"/>
        <v>674811</v>
      </c>
      <c r="P48" s="526"/>
    </row>
    <row r="49" spans="1:16" ht="25.5" x14ac:dyDescent="0.2">
      <c r="A49" s="879" t="s">
        <v>767</v>
      </c>
      <c r="B49" s="864" t="s">
        <v>768</v>
      </c>
      <c r="C49" s="370">
        <v>300000</v>
      </c>
      <c r="D49" s="371"/>
      <c r="E49" s="371"/>
      <c r="F49" s="371"/>
      <c r="G49" s="371"/>
      <c r="H49" s="363">
        <f t="shared" si="16"/>
        <v>300000</v>
      </c>
      <c r="I49" s="368"/>
      <c r="J49" s="374">
        <v>2417600</v>
      </c>
      <c r="K49" s="371">
        <v>2540000</v>
      </c>
      <c r="L49" s="371"/>
      <c r="M49" s="371"/>
      <c r="N49" s="371"/>
      <c r="O49" s="848">
        <f t="shared" si="17"/>
        <v>4957600</v>
      </c>
      <c r="P49" s="526"/>
    </row>
    <row r="50" spans="1:16" ht="26.25" thickBot="1" x14ac:dyDescent="0.25">
      <c r="A50" s="880" t="s">
        <v>769</v>
      </c>
      <c r="B50" s="866" t="s">
        <v>770</v>
      </c>
      <c r="C50" s="370">
        <v>500000</v>
      </c>
      <c r="D50" s="371"/>
      <c r="E50" s="371"/>
      <c r="F50" s="371"/>
      <c r="G50" s="371"/>
      <c r="H50" s="372">
        <f t="shared" si="16"/>
        <v>500000</v>
      </c>
      <c r="I50" s="368"/>
      <c r="J50" s="374">
        <f>61300000+526000</f>
        <v>61826000</v>
      </c>
      <c r="K50" s="371"/>
      <c r="L50" s="371"/>
      <c r="M50" s="371"/>
      <c r="N50" s="371"/>
      <c r="O50" s="848">
        <f t="shared" si="17"/>
        <v>61826000</v>
      </c>
      <c r="P50" s="526"/>
    </row>
    <row r="51" spans="1:16" s="1377" customFormat="1" ht="26.25" thickBot="1" x14ac:dyDescent="0.25">
      <c r="A51" s="1395" t="s">
        <v>965</v>
      </c>
      <c r="B51" s="1393" t="s">
        <v>966</v>
      </c>
      <c r="C51" s="1383"/>
      <c r="D51" s="1384"/>
      <c r="E51" s="1384"/>
      <c r="F51" s="1384"/>
      <c r="G51" s="1384"/>
      <c r="H51" s="1385">
        <f t="shared" ref="H51" si="18">SUM(C51:G51)</f>
        <v>0</v>
      </c>
      <c r="I51" s="1370"/>
      <c r="J51" s="1386">
        <v>243100</v>
      </c>
      <c r="K51" s="1384">
        <v>691900</v>
      </c>
      <c r="L51" s="1384"/>
      <c r="M51" s="1384"/>
      <c r="N51" s="1384"/>
      <c r="O51" s="1391">
        <f t="shared" ref="O51" si="19">SUM(J51:N51)</f>
        <v>935000</v>
      </c>
      <c r="P51" s="1388"/>
    </row>
    <row r="52" spans="1:16" ht="14.25" thickBot="1" x14ac:dyDescent="0.3">
      <c r="A52" s="1604" t="s">
        <v>771</v>
      </c>
      <c r="B52" s="1605"/>
      <c r="C52" s="1600"/>
      <c r="D52" s="1600"/>
      <c r="E52" s="1600"/>
      <c r="F52" s="1600"/>
      <c r="G52" s="1600"/>
      <c r="H52" s="1600"/>
      <c r="I52" s="1600"/>
      <c r="J52" s="1600"/>
      <c r="K52" s="1600"/>
      <c r="L52" s="1600"/>
      <c r="M52" s="1600"/>
      <c r="N52" s="1600"/>
      <c r="O52" s="1601"/>
      <c r="P52" s="526"/>
    </row>
    <row r="53" spans="1:16" ht="25.5" x14ac:dyDescent="0.2">
      <c r="A53" s="878" t="s">
        <v>772</v>
      </c>
      <c r="B53" s="862" t="s">
        <v>773</v>
      </c>
      <c r="C53" s="876"/>
      <c r="D53" s="872"/>
      <c r="E53" s="872">
        <v>530000000</v>
      </c>
      <c r="F53" s="872"/>
      <c r="G53" s="872"/>
      <c r="H53" s="848">
        <f t="shared" ref="H53:H54" si="20">SUM(C53:G53)</f>
        <v>530000000</v>
      </c>
      <c r="I53" s="368"/>
      <c r="J53" s="875"/>
      <c r="K53" s="872"/>
      <c r="L53" s="877"/>
      <c r="M53" s="872"/>
      <c r="N53" s="872"/>
      <c r="O53" s="848">
        <f t="shared" ref="O53:O54" si="21">SUM(J53:N53)</f>
        <v>0</v>
      </c>
      <c r="P53" s="526"/>
    </row>
    <row r="54" spans="1:16" ht="26.25" thickBot="1" x14ac:dyDescent="0.25">
      <c r="A54" s="880" t="s">
        <v>774</v>
      </c>
      <c r="B54" s="866" t="s">
        <v>775</v>
      </c>
      <c r="C54" s="375"/>
      <c r="D54" s="371"/>
      <c r="E54" s="371"/>
      <c r="F54" s="371">
        <f>700000000+44951899-2540000</f>
        <v>742411899</v>
      </c>
      <c r="G54" s="371"/>
      <c r="H54" s="363">
        <f t="shared" si="20"/>
        <v>742411899</v>
      </c>
      <c r="I54" s="368"/>
      <c r="J54" s="374">
        <v>12952927</v>
      </c>
      <c r="K54" s="520"/>
      <c r="L54" s="371"/>
      <c r="M54" s="371">
        <v>726038434</v>
      </c>
      <c r="N54" s="371">
        <v>133240838</v>
      </c>
      <c r="O54" s="363">
        <f t="shared" si="21"/>
        <v>872232199</v>
      </c>
      <c r="P54" s="526"/>
    </row>
    <row r="55" spans="1:16" ht="13.5" thickBot="1" x14ac:dyDescent="0.25">
      <c r="A55" s="1606" t="s">
        <v>54</v>
      </c>
      <c r="B55" s="1607"/>
      <c r="C55" s="377">
        <f t="shared" ref="C55:H55" si="22">SUM(C10:C54)</f>
        <v>1707440417</v>
      </c>
      <c r="D55" s="377">
        <f t="shared" si="22"/>
        <v>81282142</v>
      </c>
      <c r="E55" s="377">
        <f t="shared" si="22"/>
        <v>538000000</v>
      </c>
      <c r="F55" s="377">
        <f t="shared" si="22"/>
        <v>742411899</v>
      </c>
      <c r="G55" s="377">
        <f t="shared" si="22"/>
        <v>941573826</v>
      </c>
      <c r="H55" s="890">
        <f t="shared" si="22"/>
        <v>4010708284</v>
      </c>
      <c r="I55" s="376" t="e">
        <f>SUM(I9:I13,I15:I27,I34:I36,I39:I47,I48:I54)</f>
        <v>#REF!</v>
      </c>
      <c r="J55" s="377">
        <f t="shared" ref="J55:O55" si="23">SUM(J10:J54)</f>
        <v>709753286</v>
      </c>
      <c r="K55" s="377">
        <f t="shared" si="23"/>
        <v>920919445</v>
      </c>
      <c r="L55" s="377">
        <f t="shared" si="23"/>
        <v>1520756281</v>
      </c>
      <c r="M55" s="377">
        <f t="shared" si="23"/>
        <v>726038434</v>
      </c>
      <c r="N55" s="377">
        <f t="shared" si="23"/>
        <v>133240838</v>
      </c>
      <c r="O55" s="377">
        <f t="shared" si="23"/>
        <v>4010708284</v>
      </c>
      <c r="P55" s="527">
        <f>O55-H55</f>
        <v>0</v>
      </c>
    </row>
    <row r="56" spans="1:16" ht="13.5" thickBot="1" x14ac:dyDescent="0.25">
      <c r="A56" s="1622" t="s">
        <v>438</v>
      </c>
      <c r="B56" s="1623"/>
      <c r="C56" s="378"/>
      <c r="D56" s="379"/>
      <c r="E56" s="379"/>
      <c r="F56" s="379"/>
      <c r="G56" s="379"/>
      <c r="H56" s="363"/>
      <c r="I56" s="364"/>
      <c r="J56" s="380"/>
      <c r="K56" s="359"/>
      <c r="L56" s="359">
        <f>SUM(L53:L54,L46:L50,L42:L44,L36:L40,L32:L34,L26:L28,L17,L10:L15)</f>
        <v>1520756281</v>
      </c>
      <c r="M56" s="379"/>
      <c r="N56" s="379"/>
      <c r="O56" s="360">
        <f>SUM(J56:N56)</f>
        <v>1520756281</v>
      </c>
      <c r="P56" s="527"/>
    </row>
    <row r="57" spans="1:16" ht="13.5" thickBot="1" x14ac:dyDescent="0.25">
      <c r="A57" s="1606" t="s">
        <v>66</v>
      </c>
      <c r="B57" s="1607"/>
      <c r="C57" s="381">
        <f t="shared" ref="C57:N57" si="24">C55-C56</f>
        <v>1707440417</v>
      </c>
      <c r="D57" s="382">
        <f t="shared" si="24"/>
        <v>81282142</v>
      </c>
      <c r="E57" s="382">
        <f t="shared" si="24"/>
        <v>538000000</v>
      </c>
      <c r="F57" s="382">
        <f t="shared" si="24"/>
        <v>742411899</v>
      </c>
      <c r="G57" s="382">
        <f t="shared" si="24"/>
        <v>941573826</v>
      </c>
      <c r="H57" s="891">
        <f t="shared" si="24"/>
        <v>4010708284</v>
      </c>
      <c r="I57" s="383" t="e">
        <f t="shared" si="24"/>
        <v>#REF!</v>
      </c>
      <c r="J57" s="381">
        <f t="shared" si="24"/>
        <v>709753286</v>
      </c>
      <c r="K57" s="382">
        <f t="shared" si="24"/>
        <v>920919445</v>
      </c>
      <c r="L57" s="382">
        <f t="shared" si="24"/>
        <v>0</v>
      </c>
      <c r="M57" s="382">
        <f t="shared" si="24"/>
        <v>726038434</v>
      </c>
      <c r="N57" s="382">
        <f t="shared" si="24"/>
        <v>133240838</v>
      </c>
      <c r="O57" s="384">
        <f>O55-O56</f>
        <v>2489952003</v>
      </c>
      <c r="P57" s="527"/>
    </row>
    <row r="58" spans="1:16" hidden="1" x14ac:dyDescent="0.2">
      <c r="B58" s="385"/>
      <c r="C58" s="386">
        <f>C57-C59</f>
        <v>0</v>
      </c>
      <c r="D58" s="1387">
        <f t="shared" ref="D58:N58" si="25">D57-D59</f>
        <v>0</v>
      </c>
      <c r="E58" s="1387">
        <f t="shared" si="25"/>
        <v>0</v>
      </c>
      <c r="F58" s="1387">
        <f t="shared" si="25"/>
        <v>0</v>
      </c>
      <c r="G58" s="1387">
        <f t="shared" si="25"/>
        <v>0</v>
      </c>
      <c r="H58" s="1387">
        <f t="shared" si="25"/>
        <v>0</v>
      </c>
      <c r="I58" s="1387" t="e">
        <f t="shared" si="25"/>
        <v>#REF!</v>
      </c>
      <c r="J58" s="1387">
        <f t="shared" si="25"/>
        <v>0</v>
      </c>
      <c r="K58" s="1387">
        <f t="shared" si="25"/>
        <v>0</v>
      </c>
      <c r="L58" s="1387">
        <f>L56-L59</f>
        <v>0</v>
      </c>
      <c r="M58" s="1387">
        <f t="shared" si="25"/>
        <v>0</v>
      </c>
      <c r="N58" s="1387">
        <f t="shared" si="25"/>
        <v>0</v>
      </c>
      <c r="O58" s="1387">
        <f>O55-O59</f>
        <v>0</v>
      </c>
    </row>
    <row r="59" spans="1:16" hidden="1" x14ac:dyDescent="0.2">
      <c r="B59" s="385"/>
      <c r="C59" s="386">
        <f>'9.1. sz. mell.'!C9+'9.1. sz. mell.'!C16+'9.1. sz. mell.'!C38+'9.1. sz. mell.'!C56</f>
        <v>1707440417</v>
      </c>
      <c r="D59" s="1387">
        <f>'9.1. sz. mell.'!C23+'9.1. sz. mell.'!C50+'9.1. sz. mell.'!C61</f>
        <v>81282142</v>
      </c>
      <c r="E59" s="386">
        <f>'9.1. sz. mell.'!C30</f>
        <v>538000000</v>
      </c>
      <c r="F59" s="386">
        <f>'9.1. sz. mell.'!C67</f>
        <v>742411899</v>
      </c>
      <c r="G59" s="386">
        <f>'9.1. sz. mell.'!C76</f>
        <v>941573826</v>
      </c>
      <c r="H59" s="894">
        <f>SUM(C59:G59)</f>
        <v>4010708284</v>
      </c>
      <c r="I59" s="387"/>
      <c r="J59" s="386">
        <f>'9.1. sz. mell.'!C94-'9.1. sz. mell.'!C112+'9.1. sz. mell.'!C141</f>
        <v>709753286</v>
      </c>
      <c r="K59" s="386">
        <f>'9.1. sz. mell.'!C115</f>
        <v>920919445</v>
      </c>
      <c r="L59" s="389">
        <f>int.összesítő!C16</f>
        <v>1520756281</v>
      </c>
      <c r="M59" s="388">
        <f>'9.1. sz. mell.'!C130</f>
        <v>726038434</v>
      </c>
      <c r="N59" s="388">
        <f>'9.1. sz. mell.'!C112</f>
        <v>133240838</v>
      </c>
      <c r="O59" s="387">
        <f>SUM(J59:N59)</f>
        <v>4010708284</v>
      </c>
    </row>
    <row r="60" spans="1:16" x14ac:dyDescent="0.2">
      <c r="B60" s="385"/>
      <c r="C60" s="386"/>
      <c r="D60" s="386"/>
      <c r="E60" s="386"/>
      <c r="F60" s="386"/>
      <c r="G60" s="386"/>
      <c r="H60" s="894"/>
      <c r="I60" s="387"/>
      <c r="J60" s="391"/>
      <c r="K60" s="386"/>
      <c r="L60" s="390"/>
      <c r="M60" s="386"/>
      <c r="N60" s="386"/>
      <c r="O60" s="387"/>
    </row>
    <row r="61" spans="1:16" x14ac:dyDescent="0.2">
      <c r="B61" s="385"/>
      <c r="C61" s="386"/>
      <c r="D61" s="386"/>
      <c r="E61" s="386"/>
      <c r="F61" s="386"/>
      <c r="G61" s="386"/>
      <c r="H61" s="894"/>
      <c r="I61" s="387"/>
      <c r="J61" s="386"/>
      <c r="K61" s="386"/>
      <c r="L61" s="390"/>
      <c r="M61" s="386"/>
      <c r="N61" s="386"/>
      <c r="O61" s="387"/>
    </row>
    <row r="62" spans="1:16" x14ac:dyDescent="0.2">
      <c r="B62" s="385"/>
      <c r="C62" s="386"/>
      <c r="D62" s="386"/>
      <c r="E62" s="386"/>
      <c r="F62" s="386"/>
      <c r="G62" s="386"/>
      <c r="H62" s="894"/>
      <c r="I62" s="387"/>
      <c r="J62" s="386"/>
      <c r="K62" s="386"/>
      <c r="L62" s="390"/>
      <c r="M62" s="386"/>
      <c r="N62" s="386"/>
      <c r="O62" s="387"/>
    </row>
    <row r="63" spans="1:16" x14ac:dyDescent="0.2">
      <c r="B63" s="385"/>
      <c r="C63" s="386"/>
      <c r="D63" s="386"/>
      <c r="E63" s="386"/>
      <c r="F63" s="386"/>
      <c r="G63" s="386"/>
      <c r="H63" s="894"/>
      <c r="I63" s="387"/>
      <c r="J63" s="386"/>
      <c r="K63" s="386"/>
      <c r="L63" s="390"/>
      <c r="M63" s="386"/>
      <c r="N63" s="386"/>
      <c r="O63" s="387"/>
    </row>
    <row r="64" spans="1:16" x14ac:dyDescent="0.2">
      <c r="B64" s="385"/>
      <c r="C64" s="386"/>
      <c r="D64" s="386"/>
      <c r="E64" s="386"/>
      <c r="F64" s="386"/>
      <c r="G64" s="386"/>
      <c r="H64" s="894"/>
      <c r="I64" s="387"/>
      <c r="J64" s="386"/>
      <c r="K64" s="386"/>
      <c r="L64" s="390"/>
      <c r="M64" s="386"/>
      <c r="N64" s="386"/>
      <c r="O64" s="387"/>
    </row>
  </sheetData>
  <mergeCells count="20">
    <mergeCell ref="A56:B56"/>
    <mergeCell ref="A57:B57"/>
    <mergeCell ref="A30:O30"/>
    <mergeCell ref="A35:O35"/>
    <mergeCell ref="A41:O41"/>
    <mergeCell ref="A45:O45"/>
    <mergeCell ref="A1:O1"/>
    <mergeCell ref="A9:O9"/>
    <mergeCell ref="A16:O16"/>
    <mergeCell ref="A52:O52"/>
    <mergeCell ref="A55:B55"/>
    <mergeCell ref="A25:O25"/>
    <mergeCell ref="K2:N2"/>
    <mergeCell ref="C6:H6"/>
    <mergeCell ref="J6:O6"/>
    <mergeCell ref="A6:A8"/>
    <mergeCell ref="B6:B8"/>
    <mergeCell ref="A3:O3"/>
    <mergeCell ref="A4:O4"/>
    <mergeCell ref="A18:O18"/>
  </mergeCells>
  <printOptions horizontalCentered="1"/>
  <pageMargins left="0.7" right="0.7" top="0.75" bottom="0.75" header="0.3" footer="0.3"/>
  <pageSetup paperSize="9" scale="45" orientation="landscape" r:id="rId1"/>
  <headerFooter alignWithMargins="0"/>
  <rowBreaks count="1" manualBreakCount="1">
    <brk id="34" max="14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6" zoomScaleNormal="100" workbookViewId="0">
      <selection activeCell="E9" sqref="E9:E11"/>
    </sheetView>
  </sheetViews>
  <sheetFormatPr defaultRowHeight="15.75" x14ac:dyDescent="0.25"/>
  <cols>
    <col min="1" max="1" width="9" style="193" customWidth="1"/>
    <col min="2" max="2" width="66.33203125" style="193" bestFit="1" customWidth="1"/>
    <col min="3" max="3" width="15.5" style="194" hidden="1" customWidth="1"/>
    <col min="4" max="6" width="15.5" style="193" customWidth="1"/>
    <col min="7" max="16384" width="9.33203125" style="204"/>
  </cols>
  <sheetData>
    <row r="1" spans="1:6" s="1375" customFormat="1" x14ac:dyDescent="0.25">
      <c r="A1" s="1496" t="str">
        <f>CONCATENATE("8. számú tájékoztató tábla ",ALAPADATOK!A7," ",ALAPADATOK!B7," ",ALAPADATOK!C7," ",ALAPADATOK!D7," ",ALAPADATOK!E7," ",ALAPADATOK!F7," ",ALAPADATOK!G7," ",ALAPADATOK!H7)</f>
        <v>8. számú tájékoztató tábla a 6 / 2020. ( II.27 ) önkormányzati határozathoz</v>
      </c>
      <c r="B1" s="1496"/>
      <c r="C1" s="1496"/>
      <c r="D1" s="1496"/>
      <c r="E1" s="1496"/>
      <c r="F1" s="1496"/>
    </row>
    <row r="2" spans="1:6" s="1375" customFormat="1" x14ac:dyDescent="0.25">
      <c r="A2" s="1373"/>
      <c r="B2" s="1373"/>
      <c r="C2" s="1374"/>
      <c r="D2" s="1373"/>
      <c r="E2" s="1373"/>
      <c r="F2" s="1373"/>
    </row>
    <row r="3" spans="1:6" ht="35.25" customHeight="1" x14ac:dyDescent="0.25">
      <c r="A3" s="1632" t="s">
        <v>838</v>
      </c>
      <c r="B3" s="1632"/>
      <c r="C3" s="1632"/>
      <c r="D3" s="1632"/>
      <c r="E3" s="1632"/>
      <c r="F3" s="1632"/>
    </row>
    <row r="5" spans="1:6" ht="15.95" customHeight="1" x14ac:dyDescent="0.25">
      <c r="A5" s="1498" t="s">
        <v>18</v>
      </c>
      <c r="B5" s="1498"/>
      <c r="C5" s="1498"/>
      <c r="D5" s="1498"/>
      <c r="E5" s="1498"/>
      <c r="F5" s="204"/>
    </row>
    <row r="6" spans="1:6" ht="15.95" customHeight="1" thickBot="1" x14ac:dyDescent="0.3">
      <c r="A6" s="1497" t="s">
        <v>129</v>
      </c>
      <c r="B6" s="1497"/>
      <c r="D6" s="556"/>
      <c r="E6" s="139"/>
      <c r="F6" s="139" t="s">
        <v>566</v>
      </c>
    </row>
    <row r="7" spans="1:6" ht="38.1" customHeight="1" thickBot="1" x14ac:dyDescent="0.3">
      <c r="A7" s="21" t="s">
        <v>72</v>
      </c>
      <c r="B7" s="507" t="s">
        <v>20</v>
      </c>
      <c r="C7" s="626" t="s">
        <v>642</v>
      </c>
      <c r="D7" s="626" t="s">
        <v>643</v>
      </c>
      <c r="E7" s="626" t="s">
        <v>662</v>
      </c>
      <c r="F7" s="626" t="s">
        <v>839</v>
      </c>
    </row>
    <row r="8" spans="1:6" s="205" customFormat="1" ht="12" customHeight="1" thickBot="1" x14ac:dyDescent="0.25">
      <c r="A8" s="27" t="s">
        <v>447</v>
      </c>
      <c r="B8" s="323" t="s">
        <v>448</v>
      </c>
      <c r="C8" s="627" t="s">
        <v>449</v>
      </c>
      <c r="D8" s="200" t="s">
        <v>449</v>
      </c>
      <c r="E8" s="639" t="s">
        <v>499</v>
      </c>
      <c r="F8" s="639" t="s">
        <v>500</v>
      </c>
    </row>
    <row r="9" spans="1:6" s="206" customFormat="1" ht="12" customHeight="1" thickBot="1" x14ac:dyDescent="0.25">
      <c r="A9" s="18" t="s">
        <v>21</v>
      </c>
      <c r="B9" s="489" t="s">
        <v>644</v>
      </c>
      <c r="C9" s="628">
        <v>1350000000</v>
      </c>
      <c r="D9" s="628">
        <v>1450000000</v>
      </c>
      <c r="E9" s="628">
        <v>1460000000</v>
      </c>
      <c r="F9" s="628">
        <v>1470000000</v>
      </c>
    </row>
    <row r="10" spans="1:6" s="206" customFormat="1" ht="12" customHeight="1" thickBot="1" x14ac:dyDescent="0.25">
      <c r="A10" s="18" t="s">
        <v>22</v>
      </c>
      <c r="B10" s="492" t="s">
        <v>324</v>
      </c>
      <c r="C10" s="628">
        <v>181000000</v>
      </c>
      <c r="D10" s="628">
        <v>200000000</v>
      </c>
      <c r="E10" s="628">
        <v>200000000</v>
      </c>
      <c r="F10" s="628">
        <v>200000000</v>
      </c>
    </row>
    <row r="11" spans="1:6" s="206" customFormat="1" ht="12" customHeight="1" thickBot="1" x14ac:dyDescent="0.25">
      <c r="A11" s="18" t="s">
        <v>23</v>
      </c>
      <c r="B11" s="489" t="s">
        <v>331</v>
      </c>
      <c r="C11" s="628">
        <v>300000000</v>
      </c>
      <c r="D11" s="628">
        <v>50000000</v>
      </c>
      <c r="E11" s="628">
        <v>60000000</v>
      </c>
      <c r="F11" s="628">
        <v>70000000</v>
      </c>
    </row>
    <row r="12" spans="1:6" s="206" customFormat="1" ht="12" customHeight="1" thickBot="1" x14ac:dyDescent="0.25">
      <c r="A12" s="18" t="s">
        <v>139</v>
      </c>
      <c r="B12" s="489" t="s">
        <v>790</v>
      </c>
      <c r="C12" s="629">
        <f>SUM(C17:C19)+C13</f>
        <v>353500000</v>
      </c>
      <c r="D12" s="629">
        <f>D13+D16+D17+D18+D19</f>
        <v>541000000</v>
      </c>
      <c r="E12" s="629">
        <f t="shared" ref="E12:F12" si="0">E13+E16+E17+E18+E19</f>
        <v>562000000</v>
      </c>
      <c r="F12" s="629">
        <f t="shared" si="0"/>
        <v>582000000</v>
      </c>
    </row>
    <row r="13" spans="1:6" s="206" customFormat="1" ht="12" customHeight="1" x14ac:dyDescent="0.2">
      <c r="A13" s="13" t="s">
        <v>211</v>
      </c>
      <c r="B13" s="313" t="s">
        <v>789</v>
      </c>
      <c r="C13" s="630">
        <f>SUM(C14:C16)</f>
        <v>310000000</v>
      </c>
      <c r="D13" s="630">
        <f>D14+D15</f>
        <v>490000000</v>
      </c>
      <c r="E13" s="630">
        <f t="shared" ref="E13:F13" si="1">E14+E15</f>
        <v>510000000</v>
      </c>
      <c r="F13" s="630">
        <f t="shared" si="1"/>
        <v>530000000</v>
      </c>
    </row>
    <row r="14" spans="1:6" s="206" customFormat="1" ht="12" customHeight="1" x14ac:dyDescent="0.2">
      <c r="A14" s="12" t="s">
        <v>214</v>
      </c>
      <c r="B14" s="314" t="s">
        <v>217</v>
      </c>
      <c r="C14" s="631">
        <v>78000000</v>
      </c>
      <c r="D14" s="631">
        <v>90000000</v>
      </c>
      <c r="E14" s="631">
        <v>90000000</v>
      </c>
      <c r="F14" s="631">
        <v>90000000</v>
      </c>
    </row>
    <row r="15" spans="1:6" s="206" customFormat="1" ht="12" customHeight="1" x14ac:dyDescent="0.2">
      <c r="A15" s="12" t="s">
        <v>215</v>
      </c>
      <c r="B15" s="789" t="s">
        <v>655</v>
      </c>
      <c r="C15" s="631">
        <v>232000000</v>
      </c>
      <c r="D15" s="631">
        <v>400000000</v>
      </c>
      <c r="E15" s="631">
        <v>420000000</v>
      </c>
      <c r="F15" s="631">
        <v>440000000</v>
      </c>
    </row>
    <row r="16" spans="1:6" s="206" customFormat="1" ht="12" customHeight="1" x14ac:dyDescent="0.2">
      <c r="A16" s="12" t="s">
        <v>216</v>
      </c>
      <c r="B16" s="314" t="s">
        <v>538</v>
      </c>
      <c r="C16" s="632"/>
      <c r="D16" s="632"/>
      <c r="E16" s="632"/>
      <c r="F16" s="632"/>
    </row>
    <row r="17" spans="1:11" s="206" customFormat="1" ht="12" customHeight="1" x14ac:dyDescent="0.2">
      <c r="A17" s="12" t="s">
        <v>540</v>
      </c>
      <c r="B17" s="314" t="s">
        <v>218</v>
      </c>
      <c r="C17" s="631">
        <v>28000000</v>
      </c>
      <c r="D17" s="631">
        <v>35000000</v>
      </c>
      <c r="E17" s="631">
        <v>35000000</v>
      </c>
      <c r="F17" s="631">
        <v>35000000</v>
      </c>
    </row>
    <row r="18" spans="1:11" s="206" customFormat="1" ht="12" customHeight="1" x14ac:dyDescent="0.2">
      <c r="A18" s="12" t="s">
        <v>552</v>
      </c>
      <c r="B18" s="314" t="s">
        <v>219</v>
      </c>
      <c r="C18" s="631">
        <v>4500000</v>
      </c>
      <c r="D18" s="631"/>
      <c r="E18" s="631"/>
      <c r="F18" s="631"/>
    </row>
    <row r="19" spans="1:11" s="206" customFormat="1" ht="12" customHeight="1" thickBot="1" x14ac:dyDescent="0.25">
      <c r="A19" s="14" t="s">
        <v>553</v>
      </c>
      <c r="B19" s="315" t="s">
        <v>220</v>
      </c>
      <c r="C19" s="633">
        <v>11000000</v>
      </c>
      <c r="D19" s="633">
        <v>16000000</v>
      </c>
      <c r="E19" s="633">
        <v>17000000</v>
      </c>
      <c r="F19" s="633">
        <v>17000000</v>
      </c>
    </row>
    <row r="20" spans="1:11" s="206" customFormat="1" ht="12" customHeight="1" thickBot="1" x14ac:dyDescent="0.25">
      <c r="A20" s="18" t="s">
        <v>25</v>
      </c>
      <c r="B20" s="489" t="s">
        <v>645</v>
      </c>
      <c r="C20" s="628">
        <v>440000000</v>
      </c>
      <c r="D20" s="628">
        <v>340000000</v>
      </c>
      <c r="E20" s="628">
        <v>340000000</v>
      </c>
      <c r="F20" s="628">
        <v>350000000</v>
      </c>
    </row>
    <row r="21" spans="1:11" s="206" customFormat="1" ht="12" customHeight="1" thickBot="1" x14ac:dyDescent="0.25">
      <c r="A21" s="18" t="s">
        <v>26</v>
      </c>
      <c r="B21" s="489" t="s">
        <v>12</v>
      </c>
      <c r="C21" s="628">
        <v>6000000</v>
      </c>
      <c r="D21" s="628">
        <v>10000000</v>
      </c>
      <c r="E21" s="628">
        <v>10000000</v>
      </c>
      <c r="F21" s="628">
        <v>10000000</v>
      </c>
    </row>
    <row r="22" spans="1:11" s="206" customFormat="1" ht="12" customHeight="1" thickBot="1" x14ac:dyDescent="0.25">
      <c r="A22" s="18" t="s">
        <v>146</v>
      </c>
      <c r="B22" s="489" t="s">
        <v>646</v>
      </c>
      <c r="C22" s="628">
        <v>2000000</v>
      </c>
      <c r="D22" s="628">
        <v>800000</v>
      </c>
      <c r="E22" s="628">
        <v>700000</v>
      </c>
      <c r="F22" s="628">
        <v>500000</v>
      </c>
    </row>
    <row r="23" spans="1:11" s="206" customFormat="1" ht="12" customHeight="1" thickBot="1" x14ac:dyDescent="0.25">
      <c r="A23" s="18" t="s">
        <v>28</v>
      </c>
      <c r="B23" s="492" t="s">
        <v>647</v>
      </c>
      <c r="C23" s="628"/>
      <c r="D23" s="628"/>
      <c r="E23" s="628"/>
      <c r="F23" s="628"/>
    </row>
    <row r="24" spans="1:11" s="206" customFormat="1" ht="12" customHeight="1" thickBot="1" x14ac:dyDescent="0.25">
      <c r="A24" s="18" t="s">
        <v>29</v>
      </c>
      <c r="B24" s="489" t="s">
        <v>253</v>
      </c>
      <c r="C24" s="629">
        <f>+C9+C10+C11+C12+C20+C21+C22+C23</f>
        <v>2632500000</v>
      </c>
      <c r="D24" s="629">
        <f>SUM(D9:D12)+SUM(D20:D23)</f>
        <v>2591800000</v>
      </c>
      <c r="E24" s="629">
        <f t="shared" ref="E24:F24" si="2">SUM(E9:E12)+SUM(E20:E23)</f>
        <v>2632700000</v>
      </c>
      <c r="F24" s="629">
        <f t="shared" si="2"/>
        <v>2682500000</v>
      </c>
      <c r="H24" s="896"/>
      <c r="I24" s="896"/>
      <c r="J24" s="896"/>
      <c r="K24" s="896"/>
    </row>
    <row r="25" spans="1:11" s="206" customFormat="1" ht="12" customHeight="1" thickBot="1" x14ac:dyDescent="0.25">
      <c r="A25" s="18" t="s">
        <v>30</v>
      </c>
      <c r="B25" s="489" t="s">
        <v>648</v>
      </c>
      <c r="C25" s="634">
        <v>400000000</v>
      </c>
      <c r="D25" s="634">
        <v>1500000000</v>
      </c>
      <c r="E25" s="1389">
        <v>1500000000</v>
      </c>
      <c r="F25" s="1389">
        <v>1500000000</v>
      </c>
      <c r="H25" s="896"/>
      <c r="I25" s="896"/>
      <c r="J25" s="896"/>
      <c r="K25" s="896"/>
    </row>
    <row r="26" spans="1:11" s="206" customFormat="1" ht="12" customHeight="1" thickBot="1" x14ac:dyDescent="0.25">
      <c r="A26" s="18" t="s">
        <v>31</v>
      </c>
      <c r="B26" s="489" t="s">
        <v>649</v>
      </c>
      <c r="C26" s="629">
        <f>+C24+C25</f>
        <v>3032500000</v>
      </c>
      <c r="D26" s="629">
        <f>D24+D25</f>
        <v>4091800000</v>
      </c>
      <c r="E26" s="629">
        <f t="shared" ref="E26:F26" si="3">E24+E25</f>
        <v>4132700000</v>
      </c>
      <c r="F26" s="629">
        <f t="shared" si="3"/>
        <v>4182500000</v>
      </c>
      <c r="H26" s="896"/>
      <c r="I26" s="896"/>
      <c r="J26" s="896"/>
      <c r="K26" s="896"/>
    </row>
    <row r="27" spans="1:11" s="206" customFormat="1" ht="12" customHeight="1" x14ac:dyDescent="0.2">
      <c r="A27" s="304"/>
      <c r="B27" s="305"/>
      <c r="C27" s="635"/>
      <c r="D27" s="636"/>
      <c r="E27" s="637"/>
      <c r="F27" s="637"/>
      <c r="H27" s="896"/>
      <c r="I27" s="896"/>
      <c r="J27" s="897"/>
      <c r="K27" s="896"/>
    </row>
    <row r="28" spans="1:11" s="206" customFormat="1" ht="12" customHeight="1" x14ac:dyDescent="0.2">
      <c r="A28" s="1498" t="s">
        <v>49</v>
      </c>
      <c r="B28" s="1498"/>
      <c r="C28" s="1498"/>
      <c r="D28" s="1498"/>
      <c r="E28" s="1498"/>
      <c r="H28" s="896"/>
      <c r="I28" s="896"/>
      <c r="J28" s="896"/>
      <c r="K28" s="896"/>
    </row>
    <row r="29" spans="1:11" s="206" customFormat="1" ht="12" customHeight="1" thickBot="1" x14ac:dyDescent="0.25">
      <c r="A29" s="1499" t="s">
        <v>130</v>
      </c>
      <c r="B29" s="1499"/>
      <c r="C29" s="194"/>
      <c r="D29" s="556"/>
      <c r="E29" s="139"/>
      <c r="F29" s="139" t="str">
        <f>F6</f>
        <v>Forintban!</v>
      </c>
      <c r="H29" s="896"/>
      <c r="I29" s="896"/>
      <c r="J29" s="896"/>
      <c r="K29" s="896"/>
    </row>
    <row r="30" spans="1:11" s="206" customFormat="1" ht="24" customHeight="1" thickBot="1" x14ac:dyDescent="0.25">
      <c r="A30" s="21" t="s">
        <v>19</v>
      </c>
      <c r="B30" s="22" t="s">
        <v>50</v>
      </c>
      <c r="C30" s="22" t="str">
        <f>+C7</f>
        <v>2019. évi</v>
      </c>
      <c r="D30" s="22" t="str">
        <f>+D7</f>
        <v>2021. évi</v>
      </c>
      <c r="E30" s="638" t="str">
        <f>+E7</f>
        <v>2022. évi</v>
      </c>
      <c r="F30" s="638" t="str">
        <f>+F7</f>
        <v>2023. évi</v>
      </c>
      <c r="H30" s="896"/>
      <c r="I30" s="896"/>
      <c r="J30" s="896"/>
      <c r="K30" s="896"/>
    </row>
    <row r="31" spans="1:11" s="206" customFormat="1" ht="12" customHeight="1" thickBot="1" x14ac:dyDescent="0.25">
      <c r="A31" s="199" t="s">
        <v>447</v>
      </c>
      <c r="B31" s="200" t="s">
        <v>448</v>
      </c>
      <c r="C31" s="200" t="s">
        <v>449</v>
      </c>
      <c r="D31" s="200" t="s">
        <v>449</v>
      </c>
      <c r="E31" s="639" t="s">
        <v>499</v>
      </c>
      <c r="F31" s="639" t="s">
        <v>500</v>
      </c>
    </row>
    <row r="32" spans="1:11" s="206" customFormat="1" ht="15" customHeight="1" thickBot="1" x14ac:dyDescent="0.25">
      <c r="A32" s="18" t="s">
        <v>21</v>
      </c>
      <c r="B32" s="23" t="s">
        <v>650</v>
      </c>
      <c r="C32" s="640">
        <v>2420500000</v>
      </c>
      <c r="D32" s="640">
        <v>2800000000</v>
      </c>
      <c r="E32" s="640">
        <v>2850000000</v>
      </c>
      <c r="F32" s="640">
        <v>2900000000</v>
      </c>
    </row>
    <row r="33" spans="1:7" ht="12" customHeight="1" thickBot="1" x14ac:dyDescent="0.3">
      <c r="A33" s="272" t="s">
        <v>22</v>
      </c>
      <c r="B33" s="641" t="s">
        <v>651</v>
      </c>
      <c r="C33" s="642">
        <f>+C34+C35+C36</f>
        <v>457000000</v>
      </c>
      <c r="D33" s="642">
        <f>D34+D35+D36</f>
        <v>591800000</v>
      </c>
      <c r="E33" s="642">
        <f t="shared" ref="E33:F33" si="4">E34+E35+E36</f>
        <v>582700000</v>
      </c>
      <c r="F33" s="642">
        <f t="shared" si="4"/>
        <v>582500000</v>
      </c>
    </row>
    <row r="34" spans="1:7" ht="12" customHeight="1" x14ac:dyDescent="0.25">
      <c r="A34" s="13" t="s">
        <v>106</v>
      </c>
      <c r="B34" s="6" t="s">
        <v>173</v>
      </c>
      <c r="C34" s="643">
        <v>145000000</v>
      </c>
      <c r="D34" s="643">
        <v>385000000</v>
      </c>
      <c r="E34" s="643">
        <v>400000000</v>
      </c>
      <c r="F34" s="643">
        <v>400000000</v>
      </c>
    </row>
    <row r="35" spans="1:7" ht="12" customHeight="1" x14ac:dyDescent="0.25">
      <c r="A35" s="13" t="s">
        <v>107</v>
      </c>
      <c r="B35" s="10" t="s">
        <v>153</v>
      </c>
      <c r="C35" s="644">
        <v>292000000</v>
      </c>
      <c r="D35" s="644">
        <f>100000000-3200000+100000000</f>
        <v>196800000</v>
      </c>
      <c r="E35" s="644">
        <f>100000000-4300000+77000000</f>
        <v>172700000</v>
      </c>
      <c r="F35" s="644">
        <v>172500000</v>
      </c>
    </row>
    <row r="36" spans="1:7" ht="12" customHeight="1" thickBot="1" x14ac:dyDescent="0.3">
      <c r="A36" s="13" t="s">
        <v>108</v>
      </c>
      <c r="B36" s="127" t="s">
        <v>175</v>
      </c>
      <c r="C36" s="644">
        <v>20000000</v>
      </c>
      <c r="D36" s="644">
        <v>10000000</v>
      </c>
      <c r="E36" s="644">
        <v>10000000</v>
      </c>
      <c r="F36" s="644">
        <v>10000000</v>
      </c>
    </row>
    <row r="37" spans="1:7" ht="12" customHeight="1" thickBot="1" x14ac:dyDescent="0.3">
      <c r="A37" s="18" t="s">
        <v>23</v>
      </c>
      <c r="B37" s="66" t="s">
        <v>471</v>
      </c>
      <c r="C37" s="645">
        <f>+C32+C33</f>
        <v>2877500000</v>
      </c>
      <c r="D37" s="645">
        <f>D32+D33</f>
        <v>3391800000</v>
      </c>
      <c r="E37" s="645">
        <f t="shared" ref="E37:F37" si="5">E32+E33</f>
        <v>3432700000</v>
      </c>
      <c r="F37" s="645">
        <f t="shared" si="5"/>
        <v>3482500000</v>
      </c>
    </row>
    <row r="38" spans="1:7" ht="15" customHeight="1" thickBot="1" x14ac:dyDescent="0.3">
      <c r="A38" s="18" t="s">
        <v>24</v>
      </c>
      <c r="B38" s="66" t="s">
        <v>652</v>
      </c>
      <c r="C38" s="646">
        <v>155000000</v>
      </c>
      <c r="D38" s="646">
        <v>700000000</v>
      </c>
      <c r="E38" s="1390">
        <v>700000000</v>
      </c>
      <c r="F38" s="1390">
        <v>700000000</v>
      </c>
    </row>
    <row r="39" spans="1:7" s="206" customFormat="1" ht="12.95" customHeight="1" thickBot="1" x14ac:dyDescent="0.25">
      <c r="A39" s="128" t="s">
        <v>25</v>
      </c>
      <c r="B39" s="192" t="s">
        <v>653</v>
      </c>
      <c r="C39" s="647">
        <f>+C37+C38</f>
        <v>3032500000</v>
      </c>
      <c r="D39" s="647">
        <f>D37+D38</f>
        <v>4091800000</v>
      </c>
      <c r="E39" s="647">
        <f t="shared" ref="E39:F39" si="6">E37+E38</f>
        <v>4132700000</v>
      </c>
      <c r="F39" s="647">
        <f t="shared" si="6"/>
        <v>4182500000</v>
      </c>
    </row>
    <row r="40" spans="1:7" x14ac:dyDescent="0.25">
      <c r="C40" s="193"/>
      <c r="D40" s="793">
        <f>D26-D39</f>
        <v>0</v>
      </c>
      <c r="E40" s="793">
        <f t="shared" ref="E40:F40" si="7">E26-E39</f>
        <v>0</v>
      </c>
      <c r="F40" s="793">
        <f t="shared" si="7"/>
        <v>0</v>
      </c>
    </row>
    <row r="41" spans="1:7" x14ac:dyDescent="0.25">
      <c r="C41" s="193"/>
    </row>
    <row r="42" spans="1:7" x14ac:dyDescent="0.25">
      <c r="C42" s="193"/>
    </row>
    <row r="43" spans="1:7" ht="16.5" customHeight="1" x14ac:dyDescent="0.25">
      <c r="C43" s="193"/>
    </row>
    <row r="44" spans="1:7" x14ac:dyDescent="0.25">
      <c r="C44" s="193"/>
    </row>
    <row r="45" spans="1:7" x14ac:dyDescent="0.25">
      <c r="C45" s="193"/>
    </row>
    <row r="46" spans="1:7" s="193" customFormat="1" x14ac:dyDescent="0.25">
      <c r="G46" s="204"/>
    </row>
    <row r="47" spans="1:7" s="193" customFormat="1" x14ac:dyDescent="0.25">
      <c r="G47" s="204"/>
    </row>
    <row r="48" spans="1:7" s="193" customFormat="1" x14ac:dyDescent="0.25">
      <c r="G48" s="204"/>
    </row>
    <row r="49" spans="7:7" s="193" customFormat="1" x14ac:dyDescent="0.25">
      <c r="G49" s="204"/>
    </row>
    <row r="50" spans="7:7" s="193" customFormat="1" x14ac:dyDescent="0.25">
      <c r="G50" s="204"/>
    </row>
    <row r="51" spans="7:7" s="193" customFormat="1" x14ac:dyDescent="0.25">
      <c r="G51" s="204"/>
    </row>
    <row r="52" spans="7:7" s="193" customFormat="1" x14ac:dyDescent="0.25">
      <c r="G52" s="204"/>
    </row>
  </sheetData>
  <mergeCells count="6">
    <mergeCell ref="A1:F1"/>
    <mergeCell ref="A5:E5"/>
    <mergeCell ref="A6:B6"/>
    <mergeCell ref="A28:E28"/>
    <mergeCell ref="A29:B29"/>
    <mergeCell ref="A3:F3"/>
  </mergeCells>
  <pageMargins left="0.7" right="0.7" top="0.75" bottom="0.75" header="0.3" footer="0.3"/>
  <pageSetup paperSize="9" scale="8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D1" zoomScaleNormal="100" zoomScaleSheetLayoutView="100" workbookViewId="0">
      <selection activeCell="E9" sqref="E9:E11"/>
    </sheetView>
  </sheetViews>
  <sheetFormatPr defaultColWidth="10.6640625" defaultRowHeight="12.75" x14ac:dyDescent="0.2"/>
  <cols>
    <col min="1" max="2" width="9.33203125" style="812" hidden="1" customWidth="1"/>
    <col min="3" max="3" width="58.1640625" style="812" hidden="1" customWidth="1"/>
    <col min="4" max="4" width="70.1640625" style="812" customWidth="1"/>
    <col min="5" max="5" width="14.33203125" style="812" customWidth="1"/>
    <col min="6" max="6" width="9.6640625" style="812" customWidth="1"/>
    <col min="7" max="7" width="10.6640625" style="812" customWidth="1"/>
    <col min="8" max="16384" width="10.6640625" style="812"/>
  </cols>
  <sheetData>
    <row r="1" spans="4:7" x14ac:dyDescent="0.2">
      <c r="D1" s="1641" t="str">
        <f>CONCATENATE("9. számú tájékoztató tábla ",ALAPADATOK!A7," ",ALAPADATOK!B7," ",ALAPADATOK!C7," ",ALAPADATOK!D7," ",ALAPADATOK!E7," ",ALAPADATOK!F7," ",ALAPADATOK!G7," ",ALAPADATOK!H7)</f>
        <v>9. számú tájékoztató tábla a 6 / 2020. ( II.27 ) önkormányzati határozathoz</v>
      </c>
      <c r="E1" s="1641"/>
      <c r="F1" s="331"/>
      <c r="G1" s="331"/>
    </row>
    <row r="2" spans="4:7" x14ac:dyDescent="0.2">
      <c r="D2" s="331"/>
      <c r="E2" s="1633"/>
      <c r="F2" s="1633"/>
      <c r="G2" s="331"/>
    </row>
    <row r="3" spans="4:7" x14ac:dyDescent="0.2">
      <c r="D3" s="331"/>
      <c r="E3" s="331"/>
      <c r="F3" s="331"/>
      <c r="G3" s="331"/>
    </row>
    <row r="4" spans="4:7" ht="19.5" x14ac:dyDescent="0.35">
      <c r="D4" s="1634" t="s">
        <v>680</v>
      </c>
      <c r="E4" s="1634"/>
      <c r="F4" s="332"/>
      <c r="G4" s="332"/>
    </row>
    <row r="5" spans="4:7" ht="19.5" x14ac:dyDescent="0.35">
      <c r="D5" s="1634"/>
      <c r="E5" s="1634"/>
      <c r="F5" s="332"/>
      <c r="G5" s="332"/>
    </row>
    <row r="6" spans="4:7" x14ac:dyDescent="0.2">
      <c r="D6" s="331"/>
      <c r="E6" s="813"/>
      <c r="F6" s="331"/>
      <c r="G6" s="331"/>
    </row>
    <row r="8" spans="4:7" ht="13.5" thickBot="1" x14ac:dyDescent="0.25"/>
    <row r="9" spans="4:7" ht="12.75" customHeight="1" x14ac:dyDescent="0.2">
      <c r="D9" s="1635" t="s">
        <v>2</v>
      </c>
      <c r="E9" s="1638" t="s">
        <v>849</v>
      </c>
    </row>
    <row r="10" spans="4:7" x14ac:dyDescent="0.2">
      <c r="D10" s="1636"/>
      <c r="E10" s="1639"/>
    </row>
    <row r="11" spans="4:7" ht="13.5" thickBot="1" x14ac:dyDescent="0.25">
      <c r="D11" s="1637"/>
      <c r="E11" s="1640"/>
    </row>
    <row r="12" spans="4:7" x14ac:dyDescent="0.2">
      <c r="D12" s="936" t="s">
        <v>846</v>
      </c>
      <c r="E12" s="1343">
        <v>20.5</v>
      </c>
    </row>
    <row r="13" spans="4:7" x14ac:dyDescent="0.2">
      <c r="D13" s="815" t="s">
        <v>847</v>
      </c>
      <c r="E13" s="1344">
        <v>2</v>
      </c>
    </row>
    <row r="14" spans="4:7" x14ac:dyDescent="0.2">
      <c r="D14" s="814" t="s">
        <v>848</v>
      </c>
      <c r="E14" s="1343">
        <v>22.5</v>
      </c>
    </row>
    <row r="15" spans="4:7" s="333" customFormat="1" x14ac:dyDescent="0.2">
      <c r="D15" s="815" t="s">
        <v>675</v>
      </c>
      <c r="E15" s="1344">
        <v>55</v>
      </c>
    </row>
    <row r="16" spans="4:7" s="333" customFormat="1" x14ac:dyDescent="0.2">
      <c r="D16" s="946" t="s">
        <v>851</v>
      </c>
      <c r="E16" s="1344">
        <v>18.75</v>
      </c>
    </row>
    <row r="17" spans="4:5" s="333" customFormat="1" x14ac:dyDescent="0.2">
      <c r="D17" s="937" t="s">
        <v>852</v>
      </c>
      <c r="E17" s="1345">
        <v>1</v>
      </c>
    </row>
    <row r="18" spans="4:5" s="333" customFormat="1" x14ac:dyDescent="0.2">
      <c r="D18" s="815" t="s">
        <v>676</v>
      </c>
      <c r="E18" s="1346">
        <v>21</v>
      </c>
    </row>
    <row r="19" spans="4:5" s="333" customFormat="1" x14ac:dyDescent="0.2">
      <c r="D19" s="815" t="s">
        <v>843</v>
      </c>
      <c r="E19" s="1344">
        <v>1</v>
      </c>
    </row>
    <row r="20" spans="4:5" s="333" customFormat="1" x14ac:dyDescent="0.2">
      <c r="D20" s="815" t="s">
        <v>677</v>
      </c>
      <c r="E20" s="1346">
        <v>150</v>
      </c>
    </row>
    <row r="21" spans="4:5" s="333" customFormat="1" x14ac:dyDescent="0.2">
      <c r="D21" s="815" t="s">
        <v>854</v>
      </c>
      <c r="E21" s="1346">
        <v>4</v>
      </c>
    </row>
    <row r="22" spans="4:5" s="333" customFormat="1" x14ac:dyDescent="0.2">
      <c r="D22" s="947" t="s">
        <v>855</v>
      </c>
      <c r="E22" s="1346">
        <v>55</v>
      </c>
    </row>
    <row r="23" spans="4:5" s="333" customFormat="1" x14ac:dyDescent="0.2">
      <c r="D23" s="947" t="s">
        <v>856</v>
      </c>
      <c r="E23" s="1346">
        <v>1.5</v>
      </c>
    </row>
    <row r="24" spans="4:5" s="948" customFormat="1" x14ac:dyDescent="0.2">
      <c r="D24" s="949" t="s">
        <v>857</v>
      </c>
      <c r="E24" s="1347">
        <v>8</v>
      </c>
    </row>
    <row r="25" spans="4:5" ht="13.5" thickBot="1" x14ac:dyDescent="0.25">
      <c r="D25" s="816" t="s">
        <v>551</v>
      </c>
      <c r="E25" s="1348">
        <v>48.375</v>
      </c>
    </row>
    <row r="26" spans="4:5" ht="13.5" thickBot="1" x14ac:dyDescent="0.25">
      <c r="D26" s="938" t="s">
        <v>678</v>
      </c>
      <c r="E26" s="1349">
        <f>E12+E13+E15+E16+E17+E18+E19+E20+E21+E22+E23+E24+E25</f>
        <v>386.125</v>
      </c>
    </row>
    <row r="27" spans="4:5" ht="13.5" thickBot="1" x14ac:dyDescent="0.25">
      <c r="D27" s="939" t="s">
        <v>679</v>
      </c>
      <c r="E27" s="1349">
        <f>E12+E15+E18+E20+E25+E16</f>
        <v>313.625</v>
      </c>
    </row>
    <row r="28" spans="4:5" x14ac:dyDescent="0.2">
      <c r="D28" s="940" t="s">
        <v>170</v>
      </c>
      <c r="E28" s="1350">
        <v>5</v>
      </c>
    </row>
    <row r="29" spans="4:5" x14ac:dyDescent="0.2">
      <c r="D29" s="941" t="s">
        <v>840</v>
      </c>
      <c r="E29" s="1351"/>
    </row>
    <row r="30" spans="4:5" ht="13.5" thickBot="1" x14ac:dyDescent="0.25">
      <c r="D30" s="941" t="s">
        <v>841</v>
      </c>
      <c r="E30" s="1352">
        <v>3</v>
      </c>
    </row>
    <row r="31" spans="4:5" ht="13.5" thickBot="1" x14ac:dyDescent="0.25">
      <c r="D31" s="817" t="s">
        <v>842</v>
      </c>
      <c r="E31" s="1353">
        <f>SUM(E27:E30)</f>
        <v>321.625</v>
      </c>
    </row>
  </sheetData>
  <mergeCells count="5">
    <mergeCell ref="E2:F2"/>
    <mergeCell ref="D4:E5"/>
    <mergeCell ref="D9:D11"/>
    <mergeCell ref="E9:E11"/>
    <mergeCell ref="D1:E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zoomScale="115" zoomScaleNormal="115" zoomScaleSheetLayoutView="100" workbookViewId="0">
      <selection activeCell="B16" sqref="B16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194" customWidth="1"/>
    <col min="4" max="16384" width="9.33203125" style="204"/>
  </cols>
  <sheetData>
    <row r="1" spans="1:3" s="1006" customFormat="1" x14ac:dyDescent="0.25">
      <c r="A1" s="1496" t="str">
        <f>CONCATENATE("4. melléklet"," ",ALAPADATOK!A7," ",ALAPADATOK!B7," ",ALAPADATOK!C7," ",ALAPADATOK!D7," ",ALAPADATOK!E7," ",ALAPADATOK!F7," ",ALAPADATOK!G7," ",ALAPADATOK!H7)</f>
        <v>4. melléklet a 6 / 2020. ( II.27 ) önkormányzati határozathoz</v>
      </c>
      <c r="B1" s="1496"/>
      <c r="C1" s="1496"/>
    </row>
    <row r="2" spans="1:3" s="1375" customFormat="1" x14ac:dyDescent="0.25">
      <c r="A2" s="1066"/>
      <c r="B2" s="1066"/>
      <c r="C2" s="1066"/>
    </row>
    <row r="3" spans="1:3" s="1006" customFormat="1" x14ac:dyDescent="0.25">
      <c r="A3" s="1494" t="str">
        <f>CONCATENATE(ALAPADATOK!A3)</f>
        <v>Tiszavasvári Város Önkormányzat</v>
      </c>
      <c r="B3" s="1494"/>
      <c r="C3" s="1494"/>
    </row>
    <row r="4" spans="1:3" s="1006" customFormat="1" x14ac:dyDescent="0.25">
      <c r="A4" s="1495" t="str">
        <f>CONCATENATE(ALAPADATOK!D7," ÉVI KÖLTSÉGVETÉS")</f>
        <v>2020. ÉVI KÖLTSÉGVETÉS</v>
      </c>
      <c r="B4" s="1495"/>
      <c r="C4" s="1495"/>
    </row>
    <row r="5" spans="1:3" s="1006" customFormat="1" x14ac:dyDescent="0.25">
      <c r="A5" s="1495" t="s">
        <v>903</v>
      </c>
      <c r="B5" s="1495"/>
      <c r="C5" s="1495"/>
    </row>
    <row r="6" spans="1:3" s="1006" customFormat="1" x14ac:dyDescent="0.25">
      <c r="A6" s="1005"/>
      <c r="B6" s="1005"/>
      <c r="C6" s="194"/>
    </row>
    <row r="7" spans="1:3" ht="15.95" customHeight="1" x14ac:dyDescent="0.25">
      <c r="A7" s="1498" t="s">
        <v>18</v>
      </c>
      <c r="B7" s="1498"/>
      <c r="C7" s="1498"/>
    </row>
    <row r="8" spans="1:3" ht="15.95" customHeight="1" thickBot="1" x14ac:dyDescent="0.3">
      <c r="A8" s="1497" t="s">
        <v>129</v>
      </c>
      <c r="B8" s="1497"/>
      <c r="C8" s="139" t="s">
        <v>557</v>
      </c>
    </row>
    <row r="9" spans="1:3" ht="38.1" customHeight="1" thickBot="1" x14ac:dyDescent="0.3">
      <c r="A9" s="21" t="s">
        <v>72</v>
      </c>
      <c r="B9" s="22" t="s">
        <v>20</v>
      </c>
      <c r="C9" s="31" t="s">
        <v>794</v>
      </c>
    </row>
    <row r="10" spans="1:3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3" s="206" customFormat="1" ht="12" customHeight="1" thickBot="1" x14ac:dyDescent="0.25">
      <c r="A11" s="18" t="s">
        <v>21</v>
      </c>
      <c r="B11" s="19" t="s">
        <v>195</v>
      </c>
      <c r="C11" s="130">
        <f>+C12+C13+C14+C15+C16+C17</f>
        <v>0</v>
      </c>
    </row>
    <row r="12" spans="1:3" s="206" customFormat="1" ht="12" customHeight="1" x14ac:dyDescent="0.2">
      <c r="A12" s="13" t="s">
        <v>100</v>
      </c>
      <c r="B12" s="207" t="s">
        <v>196</v>
      </c>
      <c r="C12" s="132"/>
    </row>
    <row r="13" spans="1:3" s="206" customFormat="1" ht="12" customHeight="1" x14ac:dyDescent="0.2">
      <c r="A13" s="12" t="s">
        <v>101</v>
      </c>
      <c r="B13" s="208" t="s">
        <v>197</v>
      </c>
      <c r="C13" s="131"/>
    </row>
    <row r="14" spans="1:3" s="206" customFormat="1" ht="12" customHeight="1" x14ac:dyDescent="0.2">
      <c r="A14" s="12" t="s">
        <v>102</v>
      </c>
      <c r="B14" s="208" t="s">
        <v>547</v>
      </c>
      <c r="C14" s="131"/>
    </row>
    <row r="15" spans="1:3" s="206" customFormat="1" ht="12" customHeight="1" x14ac:dyDescent="0.2">
      <c r="A15" s="12" t="s">
        <v>103</v>
      </c>
      <c r="B15" s="208" t="s">
        <v>199</v>
      </c>
      <c r="C15" s="131"/>
    </row>
    <row r="16" spans="1:3" s="206" customFormat="1" ht="12" customHeight="1" x14ac:dyDescent="0.2">
      <c r="A16" s="12" t="s">
        <v>126</v>
      </c>
      <c r="B16" s="126" t="s">
        <v>450</v>
      </c>
      <c r="C16" s="131"/>
    </row>
    <row r="17" spans="1:3" s="206" customFormat="1" ht="12" customHeight="1" thickBot="1" x14ac:dyDescent="0.25">
      <c r="A17" s="14" t="s">
        <v>104</v>
      </c>
      <c r="B17" s="127" t="s">
        <v>451</v>
      </c>
      <c r="C17" s="131"/>
    </row>
    <row r="18" spans="1:3" s="206" customFormat="1" ht="12" customHeight="1" thickBot="1" x14ac:dyDescent="0.25">
      <c r="A18" s="18" t="s">
        <v>22</v>
      </c>
      <c r="B18" s="125" t="s">
        <v>200</v>
      </c>
      <c r="C18" s="130">
        <f>+C19+C20+C21+C22+C23</f>
        <v>0</v>
      </c>
    </row>
    <row r="19" spans="1:3" s="206" customFormat="1" ht="12" customHeight="1" x14ac:dyDescent="0.2">
      <c r="A19" s="13" t="s">
        <v>106</v>
      </c>
      <c r="B19" s="207" t="s">
        <v>201</v>
      </c>
      <c r="C19" s="132"/>
    </row>
    <row r="20" spans="1:3" s="206" customFormat="1" ht="12" customHeight="1" x14ac:dyDescent="0.2">
      <c r="A20" s="12" t="s">
        <v>107</v>
      </c>
      <c r="B20" s="208" t="s">
        <v>202</v>
      </c>
      <c r="C20" s="131"/>
    </row>
    <row r="21" spans="1:3" s="206" customFormat="1" ht="12" customHeight="1" x14ac:dyDescent="0.2">
      <c r="A21" s="12" t="s">
        <v>108</v>
      </c>
      <c r="B21" s="208" t="s">
        <v>370</v>
      </c>
      <c r="C21" s="131"/>
    </row>
    <row r="22" spans="1:3" s="206" customFormat="1" ht="12" customHeight="1" x14ac:dyDescent="0.2">
      <c r="A22" s="12" t="s">
        <v>109</v>
      </c>
      <c r="B22" s="208" t="s">
        <v>371</v>
      </c>
      <c r="C22" s="131"/>
    </row>
    <row r="23" spans="1:3" s="206" customFormat="1" ht="12" customHeight="1" x14ac:dyDescent="0.2">
      <c r="A23" s="12" t="s">
        <v>110</v>
      </c>
      <c r="B23" s="208" t="s">
        <v>203</v>
      </c>
      <c r="C23" s="131"/>
    </row>
    <row r="24" spans="1:3" s="206" customFormat="1" ht="12" customHeight="1" thickBot="1" x14ac:dyDescent="0.25">
      <c r="A24" s="14" t="s">
        <v>119</v>
      </c>
      <c r="B24" s="127" t="s">
        <v>204</v>
      </c>
      <c r="C24" s="133"/>
    </row>
    <row r="25" spans="1:3" s="206" customFormat="1" ht="12" customHeight="1" thickBot="1" x14ac:dyDescent="0.25">
      <c r="A25" s="18" t="s">
        <v>23</v>
      </c>
      <c r="B25" s="19" t="s">
        <v>205</v>
      </c>
      <c r="C25" s="130">
        <f>+C26+C27+C28+C29+C30</f>
        <v>0</v>
      </c>
    </row>
    <row r="26" spans="1:3" s="206" customFormat="1" ht="12" customHeight="1" x14ac:dyDescent="0.2">
      <c r="A26" s="13" t="s">
        <v>89</v>
      </c>
      <c r="B26" s="207" t="s">
        <v>206</v>
      </c>
      <c r="C26" s="132"/>
    </row>
    <row r="27" spans="1:3" s="206" customFormat="1" ht="12" customHeight="1" x14ac:dyDescent="0.2">
      <c r="A27" s="12" t="s">
        <v>90</v>
      </c>
      <c r="B27" s="208" t="s">
        <v>207</v>
      </c>
      <c r="C27" s="131"/>
    </row>
    <row r="28" spans="1:3" s="206" customFormat="1" ht="12" customHeight="1" x14ac:dyDescent="0.2">
      <c r="A28" s="12" t="s">
        <v>91</v>
      </c>
      <c r="B28" s="208" t="s">
        <v>372</v>
      </c>
      <c r="C28" s="131"/>
    </row>
    <row r="29" spans="1:3" s="206" customFormat="1" ht="12" customHeight="1" x14ac:dyDescent="0.2">
      <c r="A29" s="12" t="s">
        <v>92</v>
      </c>
      <c r="B29" s="208" t="s">
        <v>373</v>
      </c>
      <c r="C29" s="131"/>
    </row>
    <row r="30" spans="1:3" s="206" customFormat="1" ht="12" customHeight="1" x14ac:dyDescent="0.2">
      <c r="A30" s="12" t="s">
        <v>137</v>
      </c>
      <c r="B30" s="208" t="s">
        <v>208</v>
      </c>
      <c r="C30" s="131"/>
    </row>
    <row r="31" spans="1:3" s="206" customFormat="1" ht="12" customHeight="1" thickBot="1" x14ac:dyDescent="0.25">
      <c r="A31" s="14" t="s">
        <v>138</v>
      </c>
      <c r="B31" s="209" t="s">
        <v>209</v>
      </c>
      <c r="C31" s="133"/>
    </row>
    <row r="32" spans="1:3" s="206" customFormat="1" ht="12" customHeight="1" thickBot="1" x14ac:dyDescent="0.25">
      <c r="A32" s="18" t="s">
        <v>139</v>
      </c>
      <c r="B32" s="19" t="s">
        <v>661</v>
      </c>
      <c r="C32" s="135">
        <f>+C33+C37+C38+C39</f>
        <v>0</v>
      </c>
    </row>
    <row r="33" spans="1:3" s="206" customFormat="1" ht="12" customHeight="1" x14ac:dyDescent="0.2">
      <c r="A33" s="13" t="s">
        <v>211</v>
      </c>
      <c r="B33" s="207" t="s">
        <v>656</v>
      </c>
      <c r="C33" s="202">
        <f>C34+C35</f>
        <v>0</v>
      </c>
    </row>
    <row r="34" spans="1:3" s="206" customFormat="1" ht="12" customHeight="1" x14ac:dyDescent="0.2">
      <c r="A34" s="12" t="s">
        <v>212</v>
      </c>
      <c r="B34" s="208" t="s">
        <v>217</v>
      </c>
      <c r="C34" s="131"/>
    </row>
    <row r="35" spans="1:3" s="206" customFormat="1" ht="12" customHeight="1" x14ac:dyDescent="0.2">
      <c r="A35" s="12" t="s">
        <v>213</v>
      </c>
      <c r="B35" s="266" t="s">
        <v>655</v>
      </c>
      <c r="C35" s="131"/>
    </row>
    <row r="36" spans="1:3" s="206" customFormat="1" ht="12" customHeight="1" x14ac:dyDescent="0.2">
      <c r="A36" s="12" t="s">
        <v>214</v>
      </c>
      <c r="B36" s="208" t="s">
        <v>538</v>
      </c>
      <c r="C36" s="131"/>
    </row>
    <row r="37" spans="1:3" s="206" customFormat="1" ht="12" customHeight="1" x14ac:dyDescent="0.2">
      <c r="A37" s="12" t="s">
        <v>539</v>
      </c>
      <c r="B37" s="208" t="s">
        <v>218</v>
      </c>
      <c r="C37" s="131"/>
    </row>
    <row r="38" spans="1:3" s="206" customFormat="1" ht="12" customHeight="1" x14ac:dyDescent="0.2">
      <c r="A38" s="12" t="s">
        <v>216</v>
      </c>
      <c r="B38" s="208" t="s">
        <v>219</v>
      </c>
      <c r="C38" s="131"/>
    </row>
    <row r="39" spans="1:3" s="206" customFormat="1" ht="12" customHeight="1" thickBot="1" x14ac:dyDescent="0.25">
      <c r="A39" s="14" t="s">
        <v>540</v>
      </c>
      <c r="B39" s="209" t="s">
        <v>220</v>
      </c>
      <c r="C39" s="133"/>
    </row>
    <row r="40" spans="1:3" s="206" customFormat="1" ht="12" customHeight="1" thickBot="1" x14ac:dyDescent="0.25">
      <c r="A40" s="18" t="s">
        <v>25</v>
      </c>
      <c r="B40" s="19" t="s">
        <v>452</v>
      </c>
      <c r="C40" s="130">
        <f>SUM(C41:C51)</f>
        <v>1270959</v>
      </c>
    </row>
    <row r="41" spans="1:3" s="206" customFormat="1" ht="12" customHeight="1" x14ac:dyDescent="0.2">
      <c r="A41" s="13" t="s">
        <v>93</v>
      </c>
      <c r="B41" s="207" t="s">
        <v>223</v>
      </c>
      <c r="C41" s="132"/>
    </row>
    <row r="42" spans="1:3" s="206" customFormat="1" ht="12" customHeight="1" x14ac:dyDescent="0.2">
      <c r="A42" s="12" t="s">
        <v>94</v>
      </c>
      <c r="B42" s="208" t="s">
        <v>224</v>
      </c>
      <c r="C42" s="134">
        <v>1000755</v>
      </c>
    </row>
    <row r="43" spans="1:3" s="206" customFormat="1" ht="12" customHeight="1" x14ac:dyDescent="0.2">
      <c r="A43" s="12" t="s">
        <v>95</v>
      </c>
      <c r="B43" s="208" t="s">
        <v>225</v>
      </c>
      <c r="C43" s="134"/>
    </row>
    <row r="44" spans="1:3" s="206" customFormat="1" ht="12" customHeight="1" x14ac:dyDescent="0.2">
      <c r="A44" s="12" t="s">
        <v>141</v>
      </c>
      <c r="B44" s="208" t="s">
        <v>226</v>
      </c>
      <c r="C44" s="134"/>
    </row>
    <row r="45" spans="1:3" s="206" customFormat="1" ht="12" customHeight="1" x14ac:dyDescent="0.2">
      <c r="A45" s="12" t="s">
        <v>142</v>
      </c>
      <c r="B45" s="208" t="s">
        <v>227</v>
      </c>
      <c r="C45" s="134"/>
    </row>
    <row r="46" spans="1:3" s="206" customFormat="1" ht="12" customHeight="1" x14ac:dyDescent="0.2">
      <c r="A46" s="12" t="s">
        <v>143</v>
      </c>
      <c r="B46" s="208" t="s">
        <v>228</v>
      </c>
      <c r="C46" s="134">
        <v>270204</v>
      </c>
    </row>
    <row r="47" spans="1:3" s="206" customFormat="1" ht="12" customHeight="1" x14ac:dyDescent="0.2">
      <c r="A47" s="12" t="s">
        <v>144</v>
      </c>
      <c r="B47" s="208" t="s">
        <v>229</v>
      </c>
      <c r="C47" s="134"/>
    </row>
    <row r="48" spans="1:3" s="206" customFormat="1" ht="12" customHeight="1" x14ac:dyDescent="0.2">
      <c r="A48" s="12" t="s">
        <v>145</v>
      </c>
      <c r="B48" s="208" t="s">
        <v>544</v>
      </c>
      <c r="C48" s="134"/>
    </row>
    <row r="49" spans="1:3" s="206" customFormat="1" ht="12" customHeight="1" x14ac:dyDescent="0.2">
      <c r="A49" s="12" t="s">
        <v>221</v>
      </c>
      <c r="B49" s="208" t="s">
        <v>231</v>
      </c>
      <c r="C49" s="134"/>
    </row>
    <row r="50" spans="1:3" s="206" customFormat="1" ht="12" customHeight="1" x14ac:dyDescent="0.2">
      <c r="A50" s="14" t="s">
        <v>222</v>
      </c>
      <c r="B50" s="209" t="s">
        <v>453</v>
      </c>
      <c r="C50" s="196"/>
    </row>
    <row r="51" spans="1:3" s="206" customFormat="1" ht="12" customHeight="1" thickBot="1" x14ac:dyDescent="0.25">
      <c r="A51" s="14" t="s">
        <v>454</v>
      </c>
      <c r="B51" s="127" t="s">
        <v>232</v>
      </c>
      <c r="C51" s="196"/>
    </row>
    <row r="52" spans="1:3" s="206" customFormat="1" ht="12" customHeight="1" thickBot="1" x14ac:dyDescent="0.25">
      <c r="A52" s="18" t="s">
        <v>26</v>
      </c>
      <c r="B52" s="19" t="s">
        <v>233</v>
      </c>
      <c r="C52" s="130">
        <f>SUM(C53:C57)</f>
        <v>0</v>
      </c>
    </row>
    <row r="53" spans="1:3" s="206" customFormat="1" ht="12" customHeight="1" x14ac:dyDescent="0.2">
      <c r="A53" s="13" t="s">
        <v>96</v>
      </c>
      <c r="B53" s="207" t="s">
        <v>237</v>
      </c>
      <c r="C53" s="245"/>
    </row>
    <row r="54" spans="1:3" s="206" customFormat="1" ht="12" customHeight="1" x14ac:dyDescent="0.2">
      <c r="A54" s="12" t="s">
        <v>97</v>
      </c>
      <c r="B54" s="208" t="s">
        <v>238</v>
      </c>
      <c r="C54" s="134"/>
    </row>
    <row r="55" spans="1:3" s="206" customFormat="1" ht="12" customHeight="1" x14ac:dyDescent="0.2">
      <c r="A55" s="12" t="s">
        <v>234</v>
      </c>
      <c r="B55" s="208" t="s">
        <v>239</v>
      </c>
      <c r="C55" s="134"/>
    </row>
    <row r="56" spans="1:3" s="206" customFormat="1" ht="12" customHeight="1" x14ac:dyDescent="0.2">
      <c r="A56" s="12" t="s">
        <v>235</v>
      </c>
      <c r="B56" s="208" t="s">
        <v>240</v>
      </c>
      <c r="C56" s="134"/>
    </row>
    <row r="57" spans="1:3" s="206" customFormat="1" ht="12" customHeight="1" thickBot="1" x14ac:dyDescent="0.25">
      <c r="A57" s="14" t="s">
        <v>236</v>
      </c>
      <c r="B57" s="127" t="s">
        <v>241</v>
      </c>
      <c r="C57" s="196"/>
    </row>
    <row r="58" spans="1:3" s="206" customFormat="1" ht="12" customHeight="1" thickBot="1" x14ac:dyDescent="0.25">
      <c r="A58" s="18" t="s">
        <v>146</v>
      </c>
      <c r="B58" s="19" t="s">
        <v>242</v>
      </c>
      <c r="C58" s="130">
        <f>SUM(C59:C61)</f>
        <v>0</v>
      </c>
    </row>
    <row r="59" spans="1:3" s="206" customFormat="1" ht="12" customHeight="1" x14ac:dyDescent="0.2">
      <c r="A59" s="13" t="s">
        <v>98</v>
      </c>
      <c r="B59" s="207" t="s">
        <v>243</v>
      </c>
      <c r="C59" s="132"/>
    </row>
    <row r="60" spans="1:3" s="206" customFormat="1" ht="12" customHeight="1" x14ac:dyDescent="0.2">
      <c r="A60" s="12" t="s">
        <v>99</v>
      </c>
      <c r="B60" s="208" t="s">
        <v>374</v>
      </c>
      <c r="C60" s="131"/>
    </row>
    <row r="61" spans="1:3" s="206" customFormat="1" ht="12" customHeight="1" x14ac:dyDescent="0.2">
      <c r="A61" s="12" t="s">
        <v>246</v>
      </c>
      <c r="B61" s="208" t="s">
        <v>244</v>
      </c>
      <c r="C61" s="131"/>
    </row>
    <row r="62" spans="1:3" s="206" customFormat="1" ht="12" customHeight="1" thickBot="1" x14ac:dyDescent="0.25">
      <c r="A62" s="14" t="s">
        <v>247</v>
      </c>
      <c r="B62" s="127" t="s">
        <v>245</v>
      </c>
      <c r="C62" s="133"/>
    </row>
    <row r="63" spans="1:3" s="206" customFormat="1" ht="12" customHeight="1" thickBot="1" x14ac:dyDescent="0.25">
      <c r="A63" s="18" t="s">
        <v>28</v>
      </c>
      <c r="B63" s="125" t="s">
        <v>248</v>
      </c>
      <c r="C63" s="130">
        <f>SUM(C64:C66)</f>
        <v>0</v>
      </c>
    </row>
    <row r="64" spans="1:3" s="206" customFormat="1" ht="12" customHeight="1" x14ac:dyDescent="0.2">
      <c r="A64" s="13" t="s">
        <v>147</v>
      </c>
      <c r="B64" s="207" t="s">
        <v>250</v>
      </c>
      <c r="C64" s="134"/>
    </row>
    <row r="65" spans="1:3" s="206" customFormat="1" ht="12" customHeight="1" x14ac:dyDescent="0.2">
      <c r="A65" s="12" t="s">
        <v>148</v>
      </c>
      <c r="B65" s="208" t="s">
        <v>375</v>
      </c>
      <c r="C65" s="134"/>
    </row>
    <row r="66" spans="1:3" s="206" customFormat="1" ht="12" customHeight="1" x14ac:dyDescent="0.2">
      <c r="A66" s="12" t="s">
        <v>174</v>
      </c>
      <c r="B66" s="208" t="s">
        <v>251</v>
      </c>
      <c r="C66" s="134"/>
    </row>
    <row r="67" spans="1:3" s="206" customFormat="1" ht="12" customHeight="1" thickBot="1" x14ac:dyDescent="0.25">
      <c r="A67" s="14" t="s">
        <v>249</v>
      </c>
      <c r="B67" s="127" t="s">
        <v>252</v>
      </c>
      <c r="C67" s="134"/>
    </row>
    <row r="68" spans="1:3" s="206" customFormat="1" ht="12" customHeight="1" thickBot="1" x14ac:dyDescent="0.25">
      <c r="A68" s="267" t="s">
        <v>455</v>
      </c>
      <c r="B68" s="19" t="s">
        <v>253</v>
      </c>
      <c r="C68" s="135">
        <f>+C11+C18+C25+C32+C40+C52+C58+C63</f>
        <v>1270959</v>
      </c>
    </row>
    <row r="69" spans="1:3" s="206" customFormat="1" ht="12" customHeight="1" thickBot="1" x14ac:dyDescent="0.25">
      <c r="A69" s="268" t="s">
        <v>254</v>
      </c>
      <c r="B69" s="125" t="s">
        <v>255</v>
      </c>
      <c r="C69" s="130">
        <f>SUM(C70:C72)</f>
        <v>0</v>
      </c>
    </row>
    <row r="70" spans="1:3" s="206" customFormat="1" ht="12" customHeight="1" x14ac:dyDescent="0.2">
      <c r="A70" s="13" t="s">
        <v>286</v>
      </c>
      <c r="B70" s="207" t="s">
        <v>256</v>
      </c>
      <c r="C70" s="134"/>
    </row>
    <row r="71" spans="1:3" s="206" customFormat="1" ht="12" customHeight="1" x14ac:dyDescent="0.2">
      <c r="A71" s="12" t="s">
        <v>295</v>
      </c>
      <c r="B71" s="208" t="s">
        <v>257</v>
      </c>
      <c r="C71" s="134"/>
    </row>
    <row r="72" spans="1:3" s="206" customFormat="1" ht="12" customHeight="1" thickBot="1" x14ac:dyDescent="0.25">
      <c r="A72" s="14" t="s">
        <v>296</v>
      </c>
      <c r="B72" s="269" t="s">
        <v>456</v>
      </c>
      <c r="C72" s="134"/>
    </row>
    <row r="73" spans="1:3" s="206" customFormat="1" ht="12" customHeight="1" thickBot="1" x14ac:dyDescent="0.25">
      <c r="A73" s="268" t="s">
        <v>259</v>
      </c>
      <c r="B73" s="125" t="s">
        <v>260</v>
      </c>
      <c r="C73" s="130">
        <f>SUM(C74:C77)</f>
        <v>0</v>
      </c>
    </row>
    <row r="74" spans="1:3" s="206" customFormat="1" ht="12" customHeight="1" x14ac:dyDescent="0.2">
      <c r="A74" s="13" t="s">
        <v>127</v>
      </c>
      <c r="B74" s="207" t="s">
        <v>261</v>
      </c>
      <c r="C74" s="134"/>
    </row>
    <row r="75" spans="1:3" s="206" customFormat="1" ht="12" customHeight="1" x14ac:dyDescent="0.2">
      <c r="A75" s="12" t="s">
        <v>128</v>
      </c>
      <c r="B75" s="208" t="s">
        <v>262</v>
      </c>
      <c r="C75" s="134"/>
    </row>
    <row r="76" spans="1:3" s="206" customFormat="1" ht="12" customHeight="1" x14ac:dyDescent="0.2">
      <c r="A76" s="12" t="s">
        <v>287</v>
      </c>
      <c r="B76" s="208" t="s">
        <v>263</v>
      </c>
      <c r="C76" s="134"/>
    </row>
    <row r="77" spans="1:3" s="206" customFormat="1" ht="12" customHeight="1" thickBot="1" x14ac:dyDescent="0.25">
      <c r="A77" s="14" t="s">
        <v>288</v>
      </c>
      <c r="B77" s="127" t="s">
        <v>264</v>
      </c>
      <c r="C77" s="134"/>
    </row>
    <row r="78" spans="1:3" s="206" customFormat="1" ht="12" customHeight="1" thickBot="1" x14ac:dyDescent="0.25">
      <c r="A78" s="268" t="s">
        <v>265</v>
      </c>
      <c r="B78" s="125" t="s">
        <v>266</v>
      </c>
      <c r="C78" s="130">
        <f>SUM(C79:C80)</f>
        <v>0</v>
      </c>
    </row>
    <row r="79" spans="1:3" s="206" customFormat="1" ht="12" customHeight="1" x14ac:dyDescent="0.2">
      <c r="A79" s="13" t="s">
        <v>289</v>
      </c>
      <c r="B79" s="207" t="s">
        <v>267</v>
      </c>
      <c r="C79" s="134"/>
    </row>
    <row r="80" spans="1:3" s="206" customFormat="1" ht="12" customHeight="1" thickBot="1" x14ac:dyDescent="0.25">
      <c r="A80" s="14" t="s">
        <v>290</v>
      </c>
      <c r="B80" s="127" t="s">
        <v>268</v>
      </c>
      <c r="C80" s="134"/>
    </row>
    <row r="81" spans="1:3" s="206" customFormat="1" ht="12" customHeight="1" thickBot="1" x14ac:dyDescent="0.25">
      <c r="A81" s="268" t="s">
        <v>269</v>
      </c>
      <c r="B81" s="125" t="s">
        <v>270</v>
      </c>
      <c r="C81" s="130">
        <f>SUM(C82:C84)</f>
        <v>0</v>
      </c>
    </row>
    <row r="82" spans="1:3" s="206" customFormat="1" ht="12" customHeight="1" x14ac:dyDescent="0.2">
      <c r="A82" s="13" t="s">
        <v>291</v>
      </c>
      <c r="B82" s="207" t="s">
        <v>271</v>
      </c>
      <c r="C82" s="134"/>
    </row>
    <row r="83" spans="1:3" s="206" customFormat="1" ht="12" customHeight="1" x14ac:dyDescent="0.2">
      <c r="A83" s="12" t="s">
        <v>292</v>
      </c>
      <c r="B83" s="208" t="s">
        <v>272</v>
      </c>
      <c r="C83" s="134"/>
    </row>
    <row r="84" spans="1:3" s="206" customFormat="1" ht="12" customHeight="1" thickBot="1" x14ac:dyDescent="0.25">
      <c r="A84" s="14" t="s">
        <v>293</v>
      </c>
      <c r="B84" s="127" t="s">
        <v>273</v>
      </c>
      <c r="C84" s="134"/>
    </row>
    <row r="85" spans="1:3" s="206" customFormat="1" ht="12" customHeight="1" thickBot="1" x14ac:dyDescent="0.25">
      <c r="A85" s="268" t="s">
        <v>274</v>
      </c>
      <c r="B85" s="125" t="s">
        <v>294</v>
      </c>
      <c r="C85" s="130">
        <f>SUM(C86:C89)</f>
        <v>0</v>
      </c>
    </row>
    <row r="86" spans="1:3" s="206" customFormat="1" ht="12" customHeight="1" x14ac:dyDescent="0.2">
      <c r="A86" s="211" t="s">
        <v>275</v>
      </c>
      <c r="B86" s="207" t="s">
        <v>276</v>
      </c>
      <c r="C86" s="134"/>
    </row>
    <row r="87" spans="1:3" s="206" customFormat="1" ht="12" customHeight="1" x14ac:dyDescent="0.2">
      <c r="A87" s="212" t="s">
        <v>277</v>
      </c>
      <c r="B87" s="208" t="s">
        <v>278</v>
      </c>
      <c r="C87" s="134"/>
    </row>
    <row r="88" spans="1:3" s="206" customFormat="1" ht="12" customHeight="1" x14ac:dyDescent="0.2">
      <c r="A88" s="212" t="s">
        <v>279</v>
      </c>
      <c r="B88" s="208" t="s">
        <v>280</v>
      </c>
      <c r="C88" s="134"/>
    </row>
    <row r="89" spans="1:3" s="206" customFormat="1" ht="12" customHeight="1" thickBot="1" x14ac:dyDescent="0.25">
      <c r="A89" s="213" t="s">
        <v>281</v>
      </c>
      <c r="B89" s="127" t="s">
        <v>282</v>
      </c>
      <c r="C89" s="134"/>
    </row>
    <row r="90" spans="1:3" s="206" customFormat="1" ht="12" customHeight="1" thickBot="1" x14ac:dyDescent="0.25">
      <c r="A90" s="268" t="s">
        <v>283</v>
      </c>
      <c r="B90" s="125" t="s">
        <v>457</v>
      </c>
      <c r="C90" s="246"/>
    </row>
    <row r="91" spans="1:3" s="206" customFormat="1" ht="13.5" customHeight="1" thickBot="1" x14ac:dyDescent="0.25">
      <c r="A91" s="268" t="s">
        <v>285</v>
      </c>
      <c r="B91" s="125" t="s">
        <v>284</v>
      </c>
      <c r="C91" s="246"/>
    </row>
    <row r="92" spans="1:3" s="206" customFormat="1" ht="15.75" customHeight="1" thickBot="1" x14ac:dyDescent="0.25">
      <c r="A92" s="268" t="s">
        <v>297</v>
      </c>
      <c r="B92" s="214" t="s">
        <v>458</v>
      </c>
      <c r="C92" s="135">
        <f>+C69+C73+C78+C81+C85+C91+C90</f>
        <v>0</v>
      </c>
    </row>
    <row r="93" spans="1:3" s="206" customFormat="1" ht="16.5" customHeight="1" thickBot="1" x14ac:dyDescent="0.25">
      <c r="A93" s="270" t="s">
        <v>459</v>
      </c>
      <c r="B93" s="215" t="s">
        <v>460</v>
      </c>
      <c r="C93" s="135">
        <f>+C68+C92</f>
        <v>1270959</v>
      </c>
    </row>
    <row r="94" spans="1:3" s="206" customFormat="1" ht="83.25" customHeight="1" x14ac:dyDescent="0.2">
      <c r="A94" s="3"/>
      <c r="B94" s="4"/>
      <c r="C94" s="136"/>
    </row>
    <row r="95" spans="1:3" ht="16.5" customHeight="1" x14ac:dyDescent="0.25">
      <c r="A95" s="1498" t="s">
        <v>49</v>
      </c>
      <c r="B95" s="1498"/>
      <c r="C95" s="1498"/>
    </row>
    <row r="96" spans="1:3" s="216" customFormat="1" ht="16.5" customHeight="1" thickBot="1" x14ac:dyDescent="0.3">
      <c r="A96" s="1499" t="s">
        <v>130</v>
      </c>
      <c r="B96" s="1499"/>
      <c r="C96" s="68" t="s">
        <v>557</v>
      </c>
    </row>
    <row r="97" spans="1:3" ht="38.1" customHeight="1" thickBot="1" x14ac:dyDescent="0.3">
      <c r="A97" s="21" t="s">
        <v>72</v>
      </c>
      <c r="B97" s="22" t="s">
        <v>50</v>
      </c>
      <c r="C97" s="31" t="str">
        <f>+C9</f>
        <v>2020. évi előirányzat</v>
      </c>
    </row>
    <row r="98" spans="1:3" s="205" customFormat="1" ht="12" customHeight="1" thickBot="1" x14ac:dyDescent="0.25">
      <c r="A98" s="27" t="s">
        <v>447</v>
      </c>
      <c r="B98" s="28" t="s">
        <v>448</v>
      </c>
      <c r="C98" s="29" t="s">
        <v>449</v>
      </c>
    </row>
    <row r="99" spans="1:3" ht="12" customHeight="1" thickBot="1" x14ac:dyDescent="0.3">
      <c r="A99" s="20" t="s">
        <v>21</v>
      </c>
      <c r="B99" s="24" t="s">
        <v>498</v>
      </c>
      <c r="C99" s="129">
        <f>C100+C101+C102+C103+C104+C117</f>
        <v>845791</v>
      </c>
    </row>
    <row r="100" spans="1:3" ht="12" customHeight="1" x14ac:dyDescent="0.25">
      <c r="A100" s="15" t="s">
        <v>100</v>
      </c>
      <c r="B100" s="8" t="s">
        <v>51</v>
      </c>
      <c r="C100" s="1485">
        <f>333277+15454</f>
        <v>348731</v>
      </c>
    </row>
    <row r="101" spans="1:3" ht="12" customHeight="1" x14ac:dyDescent="0.25">
      <c r="A101" s="12" t="s">
        <v>101</v>
      </c>
      <c r="B101" s="6" t="s">
        <v>149</v>
      </c>
      <c r="C101" s="1486">
        <f>58324+2704</f>
        <v>61028</v>
      </c>
    </row>
    <row r="102" spans="1:3" ht="12" customHeight="1" x14ac:dyDescent="0.25">
      <c r="A102" s="12" t="s">
        <v>102</v>
      </c>
      <c r="B102" s="6" t="s">
        <v>125</v>
      </c>
      <c r="C102" s="196">
        <v>436032</v>
      </c>
    </row>
    <row r="103" spans="1:3" ht="12" customHeight="1" x14ac:dyDescent="0.25">
      <c r="A103" s="12" t="s">
        <v>103</v>
      </c>
      <c r="B103" s="9" t="s">
        <v>150</v>
      </c>
      <c r="C103" s="196"/>
    </row>
    <row r="104" spans="1:3" ht="12" customHeight="1" x14ac:dyDescent="0.25">
      <c r="A104" s="12" t="s">
        <v>114</v>
      </c>
      <c r="B104" s="17" t="s">
        <v>151</v>
      </c>
      <c r="C104" s="134">
        <f>SUM(C105:C116)</f>
        <v>0</v>
      </c>
    </row>
    <row r="105" spans="1:3" ht="12" customHeight="1" x14ac:dyDescent="0.25">
      <c r="A105" s="12" t="s">
        <v>104</v>
      </c>
      <c r="B105" s="6" t="s">
        <v>461</v>
      </c>
      <c r="C105" s="286"/>
    </row>
    <row r="106" spans="1:3" ht="12" customHeight="1" x14ac:dyDescent="0.25">
      <c r="A106" s="12" t="s">
        <v>105</v>
      </c>
      <c r="B106" s="72" t="s">
        <v>462</v>
      </c>
      <c r="C106" s="286"/>
    </row>
    <row r="107" spans="1:3" ht="12" customHeight="1" x14ac:dyDescent="0.25">
      <c r="A107" s="12" t="s">
        <v>115</v>
      </c>
      <c r="B107" s="72" t="s">
        <v>463</v>
      </c>
      <c r="C107" s="286"/>
    </row>
    <row r="108" spans="1:3" ht="12" customHeight="1" x14ac:dyDescent="0.25">
      <c r="A108" s="12" t="s">
        <v>116</v>
      </c>
      <c r="B108" s="70" t="s">
        <v>300</v>
      </c>
      <c r="C108" s="286"/>
    </row>
    <row r="109" spans="1:3" ht="12" customHeight="1" x14ac:dyDescent="0.25">
      <c r="A109" s="12" t="s">
        <v>117</v>
      </c>
      <c r="B109" s="71" t="s">
        <v>301</v>
      </c>
      <c r="C109" s="286"/>
    </row>
    <row r="110" spans="1:3" ht="12" customHeight="1" x14ac:dyDescent="0.25">
      <c r="A110" s="12" t="s">
        <v>118</v>
      </c>
      <c r="B110" s="71" t="s">
        <v>302</v>
      </c>
      <c r="C110" s="286"/>
    </row>
    <row r="111" spans="1:3" ht="12" customHeight="1" x14ac:dyDescent="0.25">
      <c r="A111" s="12" t="s">
        <v>120</v>
      </c>
      <c r="B111" s="70" t="s">
        <v>303</v>
      </c>
      <c r="C111" s="286"/>
    </row>
    <row r="112" spans="1:3" ht="12" customHeight="1" x14ac:dyDescent="0.25">
      <c r="A112" s="12" t="s">
        <v>152</v>
      </c>
      <c r="B112" s="70" t="s">
        <v>304</v>
      </c>
      <c r="C112" s="286"/>
    </row>
    <row r="113" spans="1:3" ht="12" customHeight="1" x14ac:dyDescent="0.25">
      <c r="A113" s="12" t="s">
        <v>298</v>
      </c>
      <c r="B113" s="71" t="s">
        <v>305</v>
      </c>
      <c r="C113" s="286"/>
    </row>
    <row r="114" spans="1:3" ht="12" customHeight="1" x14ac:dyDescent="0.25">
      <c r="A114" s="11" t="s">
        <v>299</v>
      </c>
      <c r="B114" s="72" t="s">
        <v>306</v>
      </c>
      <c r="C114" s="286"/>
    </row>
    <row r="115" spans="1:3" ht="12" customHeight="1" x14ac:dyDescent="0.25">
      <c r="A115" s="12" t="s">
        <v>464</v>
      </c>
      <c r="B115" s="72" t="s">
        <v>307</v>
      </c>
      <c r="C115" s="286"/>
    </row>
    <row r="116" spans="1:3" ht="12" customHeight="1" x14ac:dyDescent="0.25">
      <c r="A116" s="14" t="s">
        <v>465</v>
      </c>
      <c r="B116" s="72" t="s">
        <v>308</v>
      </c>
      <c r="C116" s="282"/>
    </row>
    <row r="117" spans="1:3" ht="12" customHeight="1" x14ac:dyDescent="0.25">
      <c r="A117" s="12" t="s">
        <v>466</v>
      </c>
      <c r="B117" s="9" t="s">
        <v>52</v>
      </c>
      <c r="C117" s="134">
        <f>C118+C119</f>
        <v>0</v>
      </c>
    </row>
    <row r="118" spans="1:3" ht="12" customHeight="1" x14ac:dyDescent="0.25">
      <c r="A118" s="12" t="s">
        <v>467</v>
      </c>
      <c r="B118" s="6" t="s">
        <v>468</v>
      </c>
      <c r="C118" s="131"/>
    </row>
    <row r="119" spans="1:3" ht="12" customHeight="1" thickBot="1" x14ac:dyDescent="0.3">
      <c r="A119" s="16" t="s">
        <v>469</v>
      </c>
      <c r="B119" s="271" t="s">
        <v>470</v>
      </c>
      <c r="C119" s="137"/>
    </row>
    <row r="120" spans="1:3" ht="12" customHeight="1" thickBot="1" x14ac:dyDescent="0.3">
      <c r="A120" s="272" t="s">
        <v>22</v>
      </c>
      <c r="B120" s="273" t="s">
        <v>309</v>
      </c>
      <c r="C120" s="274">
        <f>+C121+C123+C125</f>
        <v>0</v>
      </c>
    </row>
    <row r="121" spans="1:3" ht="12" customHeight="1" x14ac:dyDescent="0.25">
      <c r="A121" s="13" t="s">
        <v>106</v>
      </c>
      <c r="B121" s="6" t="s">
        <v>173</v>
      </c>
      <c r="C121" s="245"/>
    </row>
    <row r="122" spans="1:3" ht="12" customHeight="1" x14ac:dyDescent="0.25">
      <c r="A122" s="13" t="s">
        <v>107</v>
      </c>
      <c r="B122" s="10" t="s">
        <v>313</v>
      </c>
      <c r="C122" s="245"/>
    </row>
    <row r="123" spans="1:3" ht="12" customHeight="1" x14ac:dyDescent="0.25">
      <c r="A123" s="13" t="s">
        <v>108</v>
      </c>
      <c r="B123" s="10" t="s">
        <v>153</v>
      </c>
      <c r="C123" s="134"/>
    </row>
    <row r="124" spans="1:3" ht="12" customHeight="1" x14ac:dyDescent="0.25">
      <c r="A124" s="13" t="s">
        <v>109</v>
      </c>
      <c r="B124" s="10" t="s">
        <v>314</v>
      </c>
      <c r="C124" s="282"/>
    </row>
    <row r="125" spans="1:3" ht="12" customHeight="1" x14ac:dyDescent="0.25">
      <c r="A125" s="13" t="s">
        <v>110</v>
      </c>
      <c r="B125" s="127" t="s">
        <v>175</v>
      </c>
      <c r="C125" s="282">
        <f>SUM(C126:C133)</f>
        <v>0</v>
      </c>
    </row>
    <row r="126" spans="1:3" ht="12" customHeight="1" x14ac:dyDescent="0.25">
      <c r="A126" s="13" t="s">
        <v>119</v>
      </c>
      <c r="B126" s="126" t="s">
        <v>376</v>
      </c>
      <c r="C126" s="282"/>
    </row>
    <row r="127" spans="1:3" ht="12" customHeight="1" x14ac:dyDescent="0.25">
      <c r="A127" s="13" t="s">
        <v>121</v>
      </c>
      <c r="B127" s="203" t="s">
        <v>319</v>
      </c>
      <c r="C127" s="282"/>
    </row>
    <row r="128" spans="1:3" x14ac:dyDescent="0.25">
      <c r="A128" s="13" t="s">
        <v>154</v>
      </c>
      <c r="B128" s="71" t="s">
        <v>302</v>
      </c>
      <c r="C128" s="282"/>
    </row>
    <row r="129" spans="1:3" ht="12" customHeight="1" x14ac:dyDescent="0.25">
      <c r="A129" s="13" t="s">
        <v>155</v>
      </c>
      <c r="B129" s="71" t="s">
        <v>318</v>
      </c>
      <c r="C129" s="282"/>
    </row>
    <row r="130" spans="1:3" ht="12" customHeight="1" x14ac:dyDescent="0.25">
      <c r="A130" s="13" t="s">
        <v>156</v>
      </c>
      <c r="B130" s="71" t="s">
        <v>317</v>
      </c>
      <c r="C130" s="282"/>
    </row>
    <row r="131" spans="1:3" ht="12" customHeight="1" x14ac:dyDescent="0.25">
      <c r="A131" s="13" t="s">
        <v>310</v>
      </c>
      <c r="B131" s="71" t="s">
        <v>305</v>
      </c>
      <c r="C131" s="282"/>
    </row>
    <row r="132" spans="1:3" ht="12" customHeight="1" x14ac:dyDescent="0.25">
      <c r="A132" s="13" t="s">
        <v>311</v>
      </c>
      <c r="B132" s="71" t="s">
        <v>316</v>
      </c>
      <c r="C132" s="282"/>
    </row>
    <row r="133" spans="1:3" ht="16.5" thickBot="1" x14ac:dyDescent="0.3">
      <c r="A133" s="11" t="s">
        <v>312</v>
      </c>
      <c r="B133" s="71" t="s">
        <v>315</v>
      </c>
      <c r="C133" s="286"/>
    </row>
    <row r="134" spans="1:3" ht="12" customHeight="1" thickBot="1" x14ac:dyDescent="0.3">
      <c r="A134" s="18" t="s">
        <v>23</v>
      </c>
      <c r="B134" s="66" t="s">
        <v>471</v>
      </c>
      <c r="C134" s="130">
        <f>+C99+C120</f>
        <v>845791</v>
      </c>
    </row>
    <row r="135" spans="1:3" ht="12" customHeight="1" thickBot="1" x14ac:dyDescent="0.3">
      <c r="A135" s="18" t="s">
        <v>24</v>
      </c>
      <c r="B135" s="66" t="s">
        <v>472</v>
      </c>
      <c r="C135" s="130">
        <f>+C136+C137+C138</f>
        <v>0</v>
      </c>
    </row>
    <row r="136" spans="1:3" ht="12" customHeight="1" x14ac:dyDescent="0.25">
      <c r="A136" s="13" t="s">
        <v>211</v>
      </c>
      <c r="B136" s="10" t="s">
        <v>473</v>
      </c>
      <c r="C136" s="119"/>
    </row>
    <row r="137" spans="1:3" ht="12" customHeight="1" x14ac:dyDescent="0.25">
      <c r="A137" s="13" t="s">
        <v>214</v>
      </c>
      <c r="B137" s="10" t="s">
        <v>474</v>
      </c>
      <c r="C137" s="119"/>
    </row>
    <row r="138" spans="1:3" ht="12" customHeight="1" thickBot="1" x14ac:dyDescent="0.3">
      <c r="A138" s="11" t="s">
        <v>215</v>
      </c>
      <c r="B138" s="10" t="s">
        <v>475</v>
      </c>
      <c r="C138" s="119"/>
    </row>
    <row r="139" spans="1:3" ht="12" customHeight="1" thickBot="1" x14ac:dyDescent="0.3">
      <c r="A139" s="18" t="s">
        <v>25</v>
      </c>
      <c r="B139" s="66" t="s">
        <v>476</v>
      </c>
      <c r="C139" s="130">
        <f>SUM(C140:C145)</f>
        <v>0</v>
      </c>
    </row>
    <row r="140" spans="1:3" ht="12" customHeight="1" x14ac:dyDescent="0.25">
      <c r="A140" s="13" t="s">
        <v>93</v>
      </c>
      <c r="B140" s="7" t="s">
        <v>477</v>
      </c>
      <c r="C140" s="119"/>
    </row>
    <row r="141" spans="1:3" ht="12" customHeight="1" x14ac:dyDescent="0.25">
      <c r="A141" s="13" t="s">
        <v>94</v>
      </c>
      <c r="B141" s="7" t="s">
        <v>478</v>
      </c>
      <c r="C141" s="119"/>
    </row>
    <row r="142" spans="1:3" ht="12" customHeight="1" x14ac:dyDescent="0.25">
      <c r="A142" s="13" t="s">
        <v>95</v>
      </c>
      <c r="B142" s="7" t="s">
        <v>479</v>
      </c>
      <c r="C142" s="119"/>
    </row>
    <row r="143" spans="1:3" ht="12" customHeight="1" x14ac:dyDescent="0.25">
      <c r="A143" s="13" t="s">
        <v>141</v>
      </c>
      <c r="B143" s="7" t="s">
        <v>480</v>
      </c>
      <c r="C143" s="119"/>
    </row>
    <row r="144" spans="1:3" ht="12" customHeight="1" x14ac:dyDescent="0.25">
      <c r="A144" s="13" t="s">
        <v>142</v>
      </c>
      <c r="B144" s="7" t="s">
        <v>481</v>
      </c>
      <c r="C144" s="119"/>
    </row>
    <row r="145" spans="1:6" ht="12" customHeight="1" thickBot="1" x14ac:dyDescent="0.3">
      <c r="A145" s="11" t="s">
        <v>143</v>
      </c>
      <c r="B145" s="7" t="s">
        <v>482</v>
      </c>
      <c r="C145" s="119"/>
    </row>
    <row r="146" spans="1:6" ht="12" customHeight="1" thickBot="1" x14ac:dyDescent="0.3">
      <c r="A146" s="18" t="s">
        <v>26</v>
      </c>
      <c r="B146" s="66" t="s">
        <v>483</v>
      </c>
      <c r="C146" s="135">
        <f>+C147+C148+C149+C150</f>
        <v>0</v>
      </c>
    </row>
    <row r="147" spans="1:6" ht="12" customHeight="1" x14ac:dyDescent="0.25">
      <c r="A147" s="13" t="s">
        <v>96</v>
      </c>
      <c r="B147" s="7" t="s">
        <v>320</v>
      </c>
      <c r="C147" s="119"/>
    </row>
    <row r="148" spans="1:6" ht="12" customHeight="1" x14ac:dyDescent="0.25">
      <c r="A148" s="13" t="s">
        <v>97</v>
      </c>
      <c r="B148" s="7" t="s">
        <v>321</v>
      </c>
      <c r="C148" s="119"/>
    </row>
    <row r="149" spans="1:6" ht="12" customHeight="1" x14ac:dyDescent="0.25">
      <c r="A149" s="13" t="s">
        <v>234</v>
      </c>
      <c r="B149" s="7" t="s">
        <v>484</v>
      </c>
      <c r="C149" s="119"/>
    </row>
    <row r="150" spans="1:6" ht="12" customHeight="1" thickBot="1" x14ac:dyDescent="0.3">
      <c r="A150" s="11" t="s">
        <v>235</v>
      </c>
      <c r="B150" s="5" t="s">
        <v>339</v>
      </c>
      <c r="C150" s="119"/>
    </row>
    <row r="151" spans="1:6" ht="12" customHeight="1" thickBot="1" x14ac:dyDescent="0.3">
      <c r="A151" s="18" t="s">
        <v>27</v>
      </c>
      <c r="B151" s="66" t="s">
        <v>485</v>
      </c>
      <c r="C151" s="138">
        <f>SUM(C152:C156)</f>
        <v>0</v>
      </c>
    </row>
    <row r="152" spans="1:6" ht="12" customHeight="1" x14ac:dyDescent="0.25">
      <c r="A152" s="13" t="s">
        <v>98</v>
      </c>
      <c r="B152" s="7" t="s">
        <v>486</v>
      </c>
      <c r="C152" s="119"/>
    </row>
    <row r="153" spans="1:6" ht="12" customHeight="1" x14ac:dyDescent="0.25">
      <c r="A153" s="13" t="s">
        <v>99</v>
      </c>
      <c r="B153" s="7" t="s">
        <v>487</v>
      </c>
      <c r="C153" s="119"/>
    </row>
    <row r="154" spans="1:6" ht="12" customHeight="1" x14ac:dyDescent="0.25">
      <c r="A154" s="13" t="s">
        <v>246</v>
      </c>
      <c r="B154" s="7" t="s">
        <v>488</v>
      </c>
      <c r="C154" s="119"/>
    </row>
    <row r="155" spans="1:6" ht="12" customHeight="1" x14ac:dyDescent="0.25">
      <c r="A155" s="13" t="s">
        <v>247</v>
      </c>
      <c r="B155" s="7" t="s">
        <v>489</v>
      </c>
      <c r="C155" s="119"/>
    </row>
    <row r="156" spans="1:6" ht="12" customHeight="1" thickBot="1" x14ac:dyDescent="0.3">
      <c r="A156" s="13" t="s">
        <v>490</v>
      </c>
      <c r="B156" s="7" t="s">
        <v>491</v>
      </c>
      <c r="C156" s="119"/>
    </row>
    <row r="157" spans="1:6" ht="12" customHeight="1" thickBot="1" x14ac:dyDescent="0.3">
      <c r="A157" s="18" t="s">
        <v>28</v>
      </c>
      <c r="B157" s="66" t="s">
        <v>492</v>
      </c>
      <c r="C157" s="275"/>
    </row>
    <row r="158" spans="1:6" ht="12" customHeight="1" thickBot="1" x14ac:dyDescent="0.3">
      <c r="A158" s="18" t="s">
        <v>29</v>
      </c>
      <c r="B158" s="66" t="s">
        <v>493</v>
      </c>
      <c r="C158" s="275"/>
    </row>
    <row r="159" spans="1:6" ht="15" customHeight="1" thickBot="1" x14ac:dyDescent="0.3">
      <c r="A159" s="18" t="s">
        <v>30</v>
      </c>
      <c r="B159" s="66" t="s">
        <v>494</v>
      </c>
      <c r="C159" s="217">
        <f>+C135+C139+C146+C151+C157+C158</f>
        <v>0</v>
      </c>
      <c r="D159" s="218"/>
      <c r="E159" s="218"/>
      <c r="F159" s="218"/>
    </row>
    <row r="160" spans="1:6" s="206" customFormat="1" ht="12.95" customHeight="1" thickBot="1" x14ac:dyDescent="0.25">
      <c r="A160" s="128" t="s">
        <v>31</v>
      </c>
      <c r="B160" s="192" t="s">
        <v>495</v>
      </c>
      <c r="C160" s="217">
        <f>+C134+C159</f>
        <v>845791</v>
      </c>
    </row>
    <row r="161" spans="1:3" ht="7.5" customHeight="1" x14ac:dyDescent="0.25"/>
    <row r="162" spans="1:3" x14ac:dyDescent="0.25">
      <c r="A162" s="1495" t="s">
        <v>322</v>
      </c>
      <c r="B162" s="1495"/>
      <c r="C162" s="1495"/>
    </row>
    <row r="163" spans="1:3" ht="15" customHeight="1" thickBot="1" x14ac:dyDescent="0.3">
      <c r="A163" s="1497" t="s">
        <v>131</v>
      </c>
      <c r="B163" s="1497"/>
      <c r="C163" s="139" t="s">
        <v>557</v>
      </c>
    </row>
    <row r="164" spans="1:3" ht="13.5" customHeight="1" thickBot="1" x14ac:dyDescent="0.3">
      <c r="A164" s="18">
        <v>1</v>
      </c>
      <c r="B164" s="23" t="s">
        <v>496</v>
      </c>
      <c r="C164" s="130">
        <f>+C68-C134</f>
        <v>425168</v>
      </c>
    </row>
    <row r="165" spans="1:3" ht="32.25" customHeight="1" thickBot="1" x14ac:dyDescent="0.3">
      <c r="A165" s="18" t="s">
        <v>22</v>
      </c>
      <c r="B165" s="23" t="s">
        <v>497</v>
      </c>
      <c r="C165" s="130">
        <f>+C92-C159</f>
        <v>0</v>
      </c>
    </row>
  </sheetData>
  <mergeCells count="10">
    <mergeCell ref="A1:C1"/>
    <mergeCell ref="A3:C3"/>
    <mergeCell ref="A4:C4"/>
    <mergeCell ref="A5:C5"/>
    <mergeCell ref="A163:B163"/>
    <mergeCell ref="A7:C7"/>
    <mergeCell ref="A8:B8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2" max="2" man="1"/>
    <brk id="9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view="pageLayout" zoomScaleNormal="100" zoomScaleSheetLayoutView="100" workbookViewId="0">
      <selection sqref="A1:E1"/>
    </sheetView>
  </sheetViews>
  <sheetFormatPr defaultRowHeight="12.75" x14ac:dyDescent="0.2"/>
  <cols>
    <col min="1" max="1" width="6.83203125" style="37" customWidth="1"/>
    <col min="2" max="2" width="55.1640625" style="83" customWidth="1"/>
    <col min="3" max="3" width="16" style="37" bestFit="1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 thickBot="1" x14ac:dyDescent="0.25">
      <c r="A1" s="1505" t="s">
        <v>134</v>
      </c>
      <c r="B1" s="1505"/>
      <c r="C1" s="1505"/>
      <c r="D1" s="1505"/>
      <c r="E1" s="1505"/>
      <c r="F1" s="1501" t="str">
        <f>CONCATENATE("5. melléklet ",ALAPADATOK!A7," ",ALAPADATOK!B7," ",ALAPADATOK!C7," ",ALAPADATOK!D7," ",ALAPADATOK!E7," ",ALAPADATOK!F7," ",ALAPADATOK!G7," ",ALAPADATOK!H7)</f>
        <v>5. melléklet a 6 / 2020. ( II.27 ) önkormányzati határozathoz</v>
      </c>
    </row>
    <row r="2" spans="1:6" ht="18" customHeight="1" thickBot="1" x14ac:dyDescent="0.25">
      <c r="A2" s="1502" t="s">
        <v>72</v>
      </c>
      <c r="B2" s="670" t="s">
        <v>58</v>
      </c>
      <c r="C2" s="671"/>
      <c r="D2" s="670" t="s">
        <v>59</v>
      </c>
      <c r="E2" s="672"/>
      <c r="F2" s="1501"/>
    </row>
    <row r="3" spans="1:6" s="149" customFormat="1" ht="35.25" customHeight="1" thickBot="1" x14ac:dyDescent="0.25">
      <c r="A3" s="1503"/>
      <c r="B3" s="673" t="s">
        <v>64</v>
      </c>
      <c r="C3" s="674" t="s">
        <v>657</v>
      </c>
      <c r="D3" s="673" t="s">
        <v>64</v>
      </c>
      <c r="E3" s="675" t="str">
        <f>+C3</f>
        <v>2019.évi előirányzat</v>
      </c>
      <c r="F3" s="1501"/>
    </row>
    <row r="4" spans="1:6" s="154" customFormat="1" ht="12" customHeight="1" thickBot="1" x14ac:dyDescent="0.25">
      <c r="A4" s="150" t="s">
        <v>447</v>
      </c>
      <c r="B4" s="151" t="s">
        <v>448</v>
      </c>
      <c r="C4" s="152" t="s">
        <v>449</v>
      </c>
      <c r="D4" s="151" t="s">
        <v>499</v>
      </c>
      <c r="E4" s="153" t="s">
        <v>500</v>
      </c>
      <c r="F4" s="1501"/>
    </row>
    <row r="5" spans="1:6" ht="12.95" customHeight="1" x14ac:dyDescent="0.2">
      <c r="A5" s="676" t="s">
        <v>21</v>
      </c>
      <c r="B5" s="171" t="s">
        <v>323</v>
      </c>
      <c r="C5" s="652">
        <f>'1.1.sz.mell. '!C11</f>
        <v>1425055633</v>
      </c>
      <c r="D5" s="171" t="s">
        <v>65</v>
      </c>
      <c r="E5" s="41">
        <f>'1.1.sz.mell. '!C100</f>
        <v>1205958121</v>
      </c>
      <c r="F5" s="1501"/>
    </row>
    <row r="6" spans="1:6" ht="12.95" customHeight="1" x14ac:dyDescent="0.2">
      <c r="A6" s="677" t="s">
        <v>22</v>
      </c>
      <c r="B6" s="161" t="s">
        <v>324</v>
      </c>
      <c r="C6" s="42">
        <f>'1.1.sz.mell. '!C18</f>
        <v>340613687</v>
      </c>
      <c r="D6" s="161" t="s">
        <v>149</v>
      </c>
      <c r="E6" s="41">
        <f>'1.1.sz.mell. '!C101</f>
        <v>228956668</v>
      </c>
      <c r="F6" s="1501"/>
    </row>
    <row r="7" spans="1:6" ht="12.95" customHeight="1" x14ac:dyDescent="0.2">
      <c r="A7" s="677" t="s">
        <v>23</v>
      </c>
      <c r="B7" s="161" t="s">
        <v>344</v>
      </c>
      <c r="C7" s="42">
        <f>'1.1.sz.mell. '!C24</f>
        <v>205568019</v>
      </c>
      <c r="D7" s="161" t="s">
        <v>178</v>
      </c>
      <c r="E7" s="41">
        <f>'1.1.sz.mell. '!C102</f>
        <v>937314096</v>
      </c>
      <c r="F7" s="1501"/>
    </row>
    <row r="8" spans="1:6" ht="12.95" customHeight="1" x14ac:dyDescent="0.2">
      <c r="A8" s="677" t="s">
        <v>24</v>
      </c>
      <c r="B8" s="161" t="s">
        <v>140</v>
      </c>
      <c r="C8" s="42">
        <f>'1.1.sz.mell. '!C32</f>
        <v>538000000</v>
      </c>
      <c r="D8" s="161" t="s">
        <v>150</v>
      </c>
      <c r="E8" s="43">
        <f>'1.1.sz.mell. '!C103</f>
        <v>61300000</v>
      </c>
      <c r="F8" s="1501"/>
    </row>
    <row r="9" spans="1:6" ht="12.95" customHeight="1" x14ac:dyDescent="0.2">
      <c r="A9" s="677" t="s">
        <v>25</v>
      </c>
      <c r="B9" s="678" t="s">
        <v>369</v>
      </c>
      <c r="C9" s="42">
        <f>'1.1.sz.mell. '!C40</f>
        <v>345277930</v>
      </c>
      <c r="D9" s="161" t="s">
        <v>151</v>
      </c>
      <c r="E9" s="43">
        <f>'1.1.sz.mell. '!C104</f>
        <v>210337958</v>
      </c>
      <c r="F9" s="1501"/>
    </row>
    <row r="10" spans="1:6" ht="12.95" customHeight="1" x14ac:dyDescent="0.2">
      <c r="A10" s="677" t="s">
        <v>26</v>
      </c>
      <c r="B10" s="161" t="s">
        <v>325</v>
      </c>
      <c r="C10" s="291">
        <f>'1.1.sz.mell. '!C58</f>
        <v>2175000</v>
      </c>
      <c r="D10" s="161" t="s">
        <v>52</v>
      </c>
      <c r="E10" s="43">
        <f>'1.1.sz.mell. '!C117</f>
        <v>133240838</v>
      </c>
      <c r="F10" s="1501"/>
    </row>
    <row r="11" spans="1:6" ht="12.95" customHeight="1" x14ac:dyDescent="0.2">
      <c r="A11" s="677" t="s">
        <v>27</v>
      </c>
      <c r="B11" s="161" t="s">
        <v>501</v>
      </c>
      <c r="C11" s="42">
        <f>'1.1.sz.mell. '!C62</f>
        <v>0</v>
      </c>
      <c r="D11" s="319"/>
      <c r="E11" s="43"/>
      <c r="F11" s="1501"/>
    </row>
    <row r="12" spans="1:6" ht="12.95" customHeight="1" x14ac:dyDescent="0.2">
      <c r="A12" s="677" t="s">
        <v>28</v>
      </c>
      <c r="B12" s="319"/>
      <c r="C12" s="42"/>
      <c r="D12" s="319"/>
      <c r="E12" s="43"/>
      <c r="F12" s="1501"/>
    </row>
    <row r="13" spans="1:6" ht="12.95" customHeight="1" x14ac:dyDescent="0.2">
      <c r="A13" s="677" t="s">
        <v>29</v>
      </c>
      <c r="B13" s="219"/>
      <c r="C13" s="291"/>
      <c r="D13" s="319"/>
      <c r="E13" s="43"/>
      <c r="F13" s="1501"/>
    </row>
    <row r="14" spans="1:6" ht="12.95" customHeight="1" x14ac:dyDescent="0.2">
      <c r="A14" s="677" t="s">
        <v>30</v>
      </c>
      <c r="B14" s="319"/>
      <c r="C14" s="42"/>
      <c r="D14" s="319"/>
      <c r="E14" s="43"/>
      <c r="F14" s="1501"/>
    </row>
    <row r="15" spans="1:6" ht="12.95" customHeight="1" x14ac:dyDescent="0.2">
      <c r="A15" s="677" t="s">
        <v>31</v>
      </c>
      <c r="B15" s="319"/>
      <c r="C15" s="42"/>
      <c r="D15" s="319"/>
      <c r="E15" s="43"/>
      <c r="F15" s="1501"/>
    </row>
    <row r="16" spans="1:6" ht="12.95" customHeight="1" thickBot="1" x14ac:dyDescent="0.25">
      <c r="A16" s="677" t="s">
        <v>32</v>
      </c>
      <c r="B16" s="679"/>
      <c r="C16" s="472"/>
      <c r="D16" s="319"/>
      <c r="E16" s="518"/>
      <c r="F16" s="1501"/>
    </row>
    <row r="17" spans="1:6" ht="15.95" customHeight="1" thickBot="1" x14ac:dyDescent="0.25">
      <c r="A17" s="159" t="s">
        <v>33</v>
      </c>
      <c r="B17" s="67" t="s">
        <v>502</v>
      </c>
      <c r="C17" s="140">
        <f>SUM(C5:C16)-C7</f>
        <v>2651122250</v>
      </c>
      <c r="D17" s="67" t="s">
        <v>330</v>
      </c>
      <c r="E17" s="144">
        <f>SUM(E5:E16)</f>
        <v>2777107681</v>
      </c>
      <c r="F17" s="1501"/>
    </row>
    <row r="18" spans="1:6" ht="12.95" customHeight="1" x14ac:dyDescent="0.2">
      <c r="A18" s="680" t="s">
        <v>34</v>
      </c>
      <c r="B18" s="160" t="s">
        <v>327</v>
      </c>
      <c r="C18" s="248">
        <f>SUM(C19:C22)</f>
        <v>967968475</v>
      </c>
      <c r="D18" s="161" t="s">
        <v>157</v>
      </c>
      <c r="E18" s="145"/>
      <c r="F18" s="1501"/>
    </row>
    <row r="19" spans="1:6" ht="12.95" customHeight="1" x14ac:dyDescent="0.2">
      <c r="A19" s="677" t="s">
        <v>35</v>
      </c>
      <c r="B19" s="161" t="s">
        <v>171</v>
      </c>
      <c r="C19" s="42">
        <f>'1.1.sz.mell. '!C79</f>
        <v>967968475</v>
      </c>
      <c r="D19" s="161" t="s">
        <v>329</v>
      </c>
      <c r="E19" s="43">
        <f>'1.1.sz.mell. '!C137</f>
        <v>700000000</v>
      </c>
      <c r="F19" s="1501"/>
    </row>
    <row r="20" spans="1:6" ht="12.95" customHeight="1" x14ac:dyDescent="0.2">
      <c r="A20" s="677" t="s">
        <v>36</v>
      </c>
      <c r="B20" s="161" t="s">
        <v>172</v>
      </c>
      <c r="C20" s="42"/>
      <c r="D20" s="161" t="s">
        <v>132</v>
      </c>
      <c r="E20" s="43"/>
      <c r="F20" s="1501"/>
    </row>
    <row r="21" spans="1:6" ht="12.95" customHeight="1" x14ac:dyDescent="0.2">
      <c r="A21" s="677" t="s">
        <v>37</v>
      </c>
      <c r="B21" s="161" t="s">
        <v>176</v>
      </c>
      <c r="C21" s="42"/>
      <c r="D21" s="161" t="s">
        <v>133</v>
      </c>
      <c r="E21" s="43"/>
      <c r="F21" s="1501"/>
    </row>
    <row r="22" spans="1:6" ht="12.95" customHeight="1" x14ac:dyDescent="0.2">
      <c r="A22" s="677" t="s">
        <v>38</v>
      </c>
      <c r="B22" s="161" t="s">
        <v>177</v>
      </c>
      <c r="C22" s="42"/>
      <c r="D22" s="160" t="s">
        <v>179</v>
      </c>
      <c r="E22" s="43"/>
      <c r="F22" s="1501"/>
    </row>
    <row r="23" spans="1:6" ht="12.95" customHeight="1" x14ac:dyDescent="0.2">
      <c r="A23" s="677" t="s">
        <v>39</v>
      </c>
      <c r="B23" s="161" t="s">
        <v>328</v>
      </c>
      <c r="C23" s="162">
        <f>SUM(C24:C27)</f>
        <v>700000000</v>
      </c>
      <c r="D23" s="161" t="s">
        <v>158</v>
      </c>
      <c r="E23" s="43"/>
      <c r="F23" s="1501"/>
    </row>
    <row r="24" spans="1:6" ht="12.95" customHeight="1" x14ac:dyDescent="0.2">
      <c r="A24" s="680" t="s">
        <v>40</v>
      </c>
      <c r="B24" s="160" t="s">
        <v>326</v>
      </c>
      <c r="C24" s="141">
        <f>'1.1.sz.mell. '!C71</f>
        <v>700000000</v>
      </c>
      <c r="D24" s="171" t="s">
        <v>484</v>
      </c>
      <c r="E24" s="145"/>
      <c r="F24" s="1501"/>
    </row>
    <row r="25" spans="1:6" ht="12.95" customHeight="1" x14ac:dyDescent="0.2">
      <c r="A25" s="677" t="s">
        <v>41</v>
      </c>
      <c r="B25" s="161" t="s">
        <v>503</v>
      </c>
      <c r="C25" s="42"/>
      <c r="D25" s="161" t="s">
        <v>492</v>
      </c>
      <c r="E25" s="43"/>
      <c r="F25" s="1501"/>
    </row>
    <row r="26" spans="1:6" ht="12.95" customHeight="1" x14ac:dyDescent="0.2">
      <c r="A26" s="677" t="s">
        <v>42</v>
      </c>
      <c r="B26" s="161" t="s">
        <v>457</v>
      </c>
      <c r="C26" s="42"/>
      <c r="D26" s="161" t="s">
        <v>493</v>
      </c>
      <c r="E26" s="43"/>
      <c r="F26" s="1501"/>
    </row>
    <row r="27" spans="1:6" ht="12.95" customHeight="1" thickBot="1" x14ac:dyDescent="0.25">
      <c r="A27" s="680" t="s">
        <v>43</v>
      </c>
      <c r="B27" s="160" t="s">
        <v>284</v>
      </c>
      <c r="C27" s="141"/>
      <c r="D27" s="681" t="s">
        <v>549</v>
      </c>
      <c r="E27" s="145"/>
      <c r="F27" s="1501"/>
    </row>
    <row r="28" spans="1:6" ht="21.75" customHeight="1" thickBot="1" x14ac:dyDescent="0.25">
      <c r="A28" s="159" t="s">
        <v>44</v>
      </c>
      <c r="B28" s="67" t="s">
        <v>504</v>
      </c>
      <c r="C28" s="140">
        <f>+C18+C23+C26+C27</f>
        <v>1667968475</v>
      </c>
      <c r="D28" s="67" t="s">
        <v>505</v>
      </c>
      <c r="E28" s="144">
        <f>SUM(E18:E27)</f>
        <v>700000000</v>
      </c>
      <c r="F28" s="1501"/>
    </row>
    <row r="29" spans="1:6" ht="13.5" thickBot="1" x14ac:dyDescent="0.25">
      <c r="A29" s="159" t="s">
        <v>45</v>
      </c>
      <c r="B29" s="163" t="s">
        <v>506</v>
      </c>
      <c r="C29" s="324">
        <f>+C17+C28</f>
        <v>4319090725</v>
      </c>
      <c r="D29" s="163" t="s">
        <v>507</v>
      </c>
      <c r="E29" s="324">
        <f>E28+E17</f>
        <v>3477107681</v>
      </c>
      <c r="F29" s="1501"/>
    </row>
    <row r="30" spans="1:6" ht="13.5" thickBot="1" x14ac:dyDescent="0.25">
      <c r="A30" s="159" t="s">
        <v>46</v>
      </c>
      <c r="B30" s="163" t="s">
        <v>135</v>
      </c>
      <c r="C30" s="324">
        <f>IF(C17-E17&lt;0,E17-C17,"-")</f>
        <v>125985431</v>
      </c>
      <c r="D30" s="163" t="s">
        <v>136</v>
      </c>
      <c r="E30" s="324" t="str">
        <f>IF(C17-E17&gt;0,C17-E17,"-")</f>
        <v>-</v>
      </c>
      <c r="F30" s="1501"/>
    </row>
    <row r="31" spans="1:6" ht="13.5" thickBot="1" x14ac:dyDescent="0.25">
      <c r="A31" s="159" t="s">
        <v>47</v>
      </c>
      <c r="B31" s="163" t="s">
        <v>180</v>
      </c>
      <c r="C31" s="164" t="str">
        <f>IF(C29-E29&lt;0,E29-C29,"-")</f>
        <v>-</v>
      </c>
      <c r="D31" s="163" t="s">
        <v>181</v>
      </c>
      <c r="E31" s="324">
        <f>IF(C29-E29&gt;0,C29-E29,"-")</f>
        <v>841983044</v>
      </c>
      <c r="F31" s="1501"/>
    </row>
    <row r="32" spans="1:6" ht="18.75" x14ac:dyDescent="0.2">
      <c r="B32" s="1504"/>
      <c r="C32" s="1504"/>
      <c r="D32" s="1504"/>
    </row>
  </sheetData>
  <mergeCells count="4">
    <mergeCell ref="F1:F31"/>
    <mergeCell ref="A2:A3"/>
    <mergeCell ref="B32:D32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16" zoomScaleNormal="100" zoomScaleSheetLayoutView="115" workbookViewId="0">
      <selection activeCell="J11" sqref="I11:J11"/>
    </sheetView>
  </sheetViews>
  <sheetFormatPr defaultRowHeight="12.75" x14ac:dyDescent="0.2"/>
  <cols>
    <col min="1" max="1" width="6.83203125" style="37" customWidth="1"/>
    <col min="2" max="2" width="55.1640625" style="83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7.5" customHeight="1" thickBot="1" x14ac:dyDescent="0.25">
      <c r="A1" s="1508" t="s">
        <v>576</v>
      </c>
      <c r="B1" s="1508"/>
      <c r="C1" s="1508"/>
      <c r="D1" s="1508"/>
      <c r="E1" s="1508"/>
      <c r="F1" s="1501" t="str">
        <f>CONCATENATE("2.2. melléklet ",ALAPADATOK!A7," ",ALAPADATOK!B7," ",ALAPADATOK!C7," ",ALAPADATOK!D7," ",ALAPADATOK!E7," ",ALAPADATOK!F7," ",ALAPADATOK!G7," ",ALAPADATOK!H7)</f>
        <v>2.2. melléklet a 6 / 2020. ( II.27 ) önkormányzati határozathoz</v>
      </c>
    </row>
    <row r="2" spans="1:6" ht="13.5" thickBot="1" x14ac:dyDescent="0.25">
      <c r="A2" s="1506" t="s">
        <v>72</v>
      </c>
      <c r="B2" s="146" t="s">
        <v>58</v>
      </c>
      <c r="C2" s="147"/>
      <c r="D2" s="146" t="s">
        <v>59</v>
      </c>
      <c r="E2" s="148"/>
      <c r="F2" s="1501"/>
    </row>
    <row r="3" spans="1:6" s="149" customFormat="1" ht="24.75" thickBot="1" x14ac:dyDescent="0.25">
      <c r="A3" s="1507"/>
      <c r="B3" s="84" t="s">
        <v>64</v>
      </c>
      <c r="C3" s="31" t="s">
        <v>794</v>
      </c>
      <c r="D3" s="84" t="s">
        <v>64</v>
      </c>
      <c r="E3" s="31" t="s">
        <v>794</v>
      </c>
      <c r="F3" s="1501"/>
    </row>
    <row r="4" spans="1:6" s="149" customFormat="1" ht="13.5" thickBot="1" x14ac:dyDescent="0.25">
      <c r="A4" s="150" t="s">
        <v>447</v>
      </c>
      <c r="B4" s="151" t="s">
        <v>448</v>
      </c>
      <c r="C4" s="152" t="s">
        <v>449</v>
      </c>
      <c r="D4" s="151" t="s">
        <v>499</v>
      </c>
      <c r="E4" s="153" t="s">
        <v>500</v>
      </c>
      <c r="F4" s="1501"/>
    </row>
    <row r="5" spans="1:6" ht="12.95" customHeight="1" x14ac:dyDescent="0.2">
      <c r="A5" s="155" t="s">
        <v>21</v>
      </c>
      <c r="B5" s="156" t="s">
        <v>331</v>
      </c>
      <c r="C5" s="652">
        <f>'1.1.sz.mell. '!C25</f>
        <v>47689834</v>
      </c>
      <c r="D5" s="171" t="s">
        <v>173</v>
      </c>
      <c r="E5" s="41">
        <f>'1.1.sz.mell. '!C121</f>
        <v>680503226</v>
      </c>
      <c r="F5" s="1501"/>
    </row>
    <row r="6" spans="1:6" ht="12.75" customHeight="1" x14ac:dyDescent="0.2">
      <c r="A6" s="157" t="s">
        <v>22</v>
      </c>
      <c r="B6" s="158" t="s">
        <v>332</v>
      </c>
      <c r="C6" s="42">
        <f>'1.1.sz.mell. '!C31</f>
        <v>38069834</v>
      </c>
      <c r="D6" s="161" t="s">
        <v>337</v>
      </c>
      <c r="E6" s="302">
        <f>'1.1.sz.mell. '!C122</f>
        <v>575467863</v>
      </c>
      <c r="F6" s="1501"/>
    </row>
    <row r="7" spans="1:6" ht="12.95" customHeight="1" x14ac:dyDescent="0.2">
      <c r="A7" s="157" t="s">
        <v>23</v>
      </c>
      <c r="B7" s="158" t="s">
        <v>12</v>
      </c>
      <c r="C7" s="42">
        <f>'1.1.sz.mell. '!C52</f>
        <v>44604508</v>
      </c>
      <c r="D7" s="161" t="s">
        <v>153</v>
      </c>
      <c r="E7" s="302">
        <f>'1.1.sz.mell. '!C123</f>
        <v>262245726</v>
      </c>
      <c r="F7" s="1501"/>
    </row>
    <row r="8" spans="1:6" ht="12.95" customHeight="1" x14ac:dyDescent="0.2">
      <c r="A8" s="157" t="s">
        <v>24</v>
      </c>
      <c r="B8" s="158" t="s">
        <v>333</v>
      </c>
      <c r="C8" s="42">
        <f>'1.1.sz.mell. '!C63</f>
        <v>0</v>
      </c>
      <c r="D8" s="161" t="s">
        <v>338</v>
      </c>
      <c r="E8" s="302">
        <f>'1.1.sz.mell. '!C124</f>
        <v>92353398</v>
      </c>
      <c r="F8" s="1501"/>
    </row>
    <row r="9" spans="1:6" ht="12.75" customHeight="1" x14ac:dyDescent="0.2">
      <c r="A9" s="157" t="s">
        <v>25</v>
      </c>
      <c r="B9" s="158" t="s">
        <v>334</v>
      </c>
      <c r="C9" s="42"/>
      <c r="D9" s="161" t="s">
        <v>175</v>
      </c>
      <c r="E9" s="43">
        <f>'1.1.sz.mell. '!C125</f>
        <v>7901899</v>
      </c>
      <c r="F9" s="1501"/>
    </row>
    <row r="10" spans="1:6" ht="12.95" customHeight="1" x14ac:dyDescent="0.2">
      <c r="A10" s="157" t="s">
        <v>26</v>
      </c>
      <c r="B10" s="158" t="s">
        <v>335</v>
      </c>
      <c r="C10" s="291"/>
      <c r="D10" s="276"/>
      <c r="E10" s="43"/>
      <c r="F10" s="1501"/>
    </row>
    <row r="11" spans="1:6" ht="12.95" customHeight="1" x14ac:dyDescent="0.2">
      <c r="A11" s="157" t="s">
        <v>27</v>
      </c>
      <c r="B11" s="35"/>
      <c r="C11" s="42"/>
      <c r="D11" s="276"/>
      <c r="E11" s="43"/>
      <c r="F11" s="1501"/>
    </row>
    <row r="12" spans="1:6" ht="12.95" customHeight="1" x14ac:dyDescent="0.2">
      <c r="A12" s="157" t="s">
        <v>28</v>
      </c>
      <c r="B12" s="35"/>
      <c r="C12" s="42"/>
      <c r="D12" s="276"/>
      <c r="E12" s="43"/>
      <c r="F12" s="1501"/>
    </row>
    <row r="13" spans="1:6" ht="12.95" customHeight="1" x14ac:dyDescent="0.2">
      <c r="A13" s="157" t="s">
        <v>29</v>
      </c>
      <c r="B13" s="277"/>
      <c r="C13" s="291"/>
      <c r="D13" s="276"/>
      <c r="E13" s="43"/>
      <c r="F13" s="1501"/>
    </row>
    <row r="14" spans="1:6" x14ac:dyDescent="0.2">
      <c r="A14" s="157" t="s">
        <v>30</v>
      </c>
      <c r="B14" s="35"/>
      <c r="C14" s="291"/>
      <c r="D14" s="276"/>
      <c r="E14" s="43"/>
      <c r="F14" s="1501"/>
    </row>
    <row r="15" spans="1:6" ht="12.95" customHeight="1" thickBot="1" x14ac:dyDescent="0.25">
      <c r="A15" s="195" t="s">
        <v>31</v>
      </c>
      <c r="B15" s="220"/>
      <c r="C15" s="320"/>
      <c r="D15" s="160" t="s">
        <v>52</v>
      </c>
      <c r="E15" s="145"/>
      <c r="F15" s="1501"/>
    </row>
    <row r="16" spans="1:6" ht="15.95" customHeight="1" thickBot="1" x14ac:dyDescent="0.25">
      <c r="A16" s="159" t="s">
        <v>32</v>
      </c>
      <c r="B16" s="67" t="s">
        <v>345</v>
      </c>
      <c r="C16" s="140">
        <f>+C5+C7+C8+C10+C11+C12+C13+C14+C15</f>
        <v>92294342</v>
      </c>
      <c r="D16" s="67" t="s">
        <v>346</v>
      </c>
      <c r="E16" s="144">
        <f>+E5+E7+E9+E10+E11+E12+E13+E14+E15</f>
        <v>950650851</v>
      </c>
      <c r="F16" s="1501"/>
    </row>
    <row r="17" spans="1:6" ht="12.95" customHeight="1" x14ac:dyDescent="0.2">
      <c r="A17" s="155" t="s">
        <v>33</v>
      </c>
      <c r="B17" s="167" t="s">
        <v>193</v>
      </c>
      <c r="C17" s="174">
        <f>+C18+C19+C20+C21+C22</f>
        <v>0</v>
      </c>
      <c r="D17" s="161" t="s">
        <v>157</v>
      </c>
      <c r="E17" s="41"/>
      <c r="F17" s="1501"/>
    </row>
    <row r="18" spans="1:6" ht="12.95" customHeight="1" x14ac:dyDescent="0.2">
      <c r="A18" s="157" t="s">
        <v>34</v>
      </c>
      <c r="B18" s="168" t="s">
        <v>182</v>
      </c>
      <c r="C18" s="42"/>
      <c r="D18" s="161" t="s">
        <v>160</v>
      </c>
      <c r="E18" s="43">
        <f>SUM(E19:E20)</f>
        <v>26038434</v>
      </c>
      <c r="F18" s="1501"/>
    </row>
    <row r="19" spans="1:6" ht="12.95" customHeight="1" x14ac:dyDescent="0.2">
      <c r="A19" s="155" t="s">
        <v>35</v>
      </c>
      <c r="B19" s="168" t="s">
        <v>183</v>
      </c>
      <c r="C19" s="42"/>
      <c r="D19" s="821" t="s">
        <v>132</v>
      </c>
      <c r="E19" s="43"/>
      <c r="F19" s="1501"/>
    </row>
    <row r="20" spans="1:6" ht="12.95" customHeight="1" x14ac:dyDescent="0.2">
      <c r="A20" s="157" t="s">
        <v>36</v>
      </c>
      <c r="B20" s="168" t="s">
        <v>184</v>
      </c>
      <c r="C20" s="42"/>
      <c r="D20" s="821" t="s">
        <v>133</v>
      </c>
      <c r="E20" s="43">
        <f>'1.1.sz.mell. '!C136</f>
        <v>26038434</v>
      </c>
      <c r="F20" s="1501"/>
    </row>
    <row r="21" spans="1:6" ht="12.95" customHeight="1" x14ac:dyDescent="0.2">
      <c r="A21" s="155" t="s">
        <v>37</v>
      </c>
      <c r="B21" s="168" t="s">
        <v>185</v>
      </c>
      <c r="C21" s="42"/>
      <c r="D21" s="160" t="s">
        <v>179</v>
      </c>
      <c r="E21" s="43"/>
      <c r="F21" s="1501"/>
    </row>
    <row r="22" spans="1:6" ht="12.95" customHeight="1" x14ac:dyDescent="0.2">
      <c r="A22" s="157" t="s">
        <v>38</v>
      </c>
      <c r="B22" s="169" t="s">
        <v>186</v>
      </c>
      <c r="C22" s="42"/>
      <c r="D22" s="161" t="s">
        <v>161</v>
      </c>
      <c r="E22" s="43"/>
      <c r="F22" s="1501"/>
    </row>
    <row r="23" spans="1:6" ht="12.95" customHeight="1" x14ac:dyDescent="0.2">
      <c r="A23" s="155" t="s">
        <v>39</v>
      </c>
      <c r="B23" s="170" t="s">
        <v>187</v>
      </c>
      <c r="C23" s="473">
        <f>+C24+C25+C26+C27+C28</f>
        <v>42411899</v>
      </c>
      <c r="D23" s="171" t="s">
        <v>159</v>
      </c>
      <c r="E23" s="43"/>
      <c r="F23" s="1501"/>
    </row>
    <row r="24" spans="1:6" ht="12.95" customHeight="1" x14ac:dyDescent="0.2">
      <c r="A24" s="157" t="s">
        <v>40</v>
      </c>
      <c r="B24" s="169" t="s">
        <v>188</v>
      </c>
      <c r="C24" s="42">
        <f>'1.1.sz.mell. '!C70</f>
        <v>42411899</v>
      </c>
      <c r="D24" s="171" t="s">
        <v>339</v>
      </c>
      <c r="E24" s="43"/>
      <c r="F24" s="1501"/>
    </row>
    <row r="25" spans="1:6" ht="12.95" customHeight="1" x14ac:dyDescent="0.2">
      <c r="A25" s="155" t="s">
        <v>41</v>
      </c>
      <c r="B25" s="169" t="s">
        <v>189</v>
      </c>
      <c r="C25" s="42"/>
      <c r="D25" s="166"/>
      <c r="E25" s="43"/>
      <c r="F25" s="1501"/>
    </row>
    <row r="26" spans="1:6" ht="12.95" customHeight="1" x14ac:dyDescent="0.2">
      <c r="A26" s="157" t="s">
        <v>42</v>
      </c>
      <c r="B26" s="168" t="s">
        <v>190</v>
      </c>
      <c r="C26" s="42"/>
      <c r="D26" s="166"/>
      <c r="E26" s="43"/>
      <c r="F26" s="1501"/>
    </row>
    <row r="27" spans="1:6" ht="12.95" customHeight="1" x14ac:dyDescent="0.2">
      <c r="A27" s="155" t="s">
        <v>43</v>
      </c>
      <c r="B27" s="172" t="s">
        <v>191</v>
      </c>
      <c r="C27" s="42"/>
      <c r="D27" s="319"/>
      <c r="E27" s="43"/>
      <c r="F27" s="1501"/>
    </row>
    <row r="28" spans="1:6" ht="12.95" customHeight="1" thickBot="1" x14ac:dyDescent="0.25">
      <c r="A28" s="157" t="s">
        <v>44</v>
      </c>
      <c r="B28" s="173" t="s">
        <v>192</v>
      </c>
      <c r="C28" s="42"/>
      <c r="D28" s="166"/>
      <c r="E28" s="43"/>
      <c r="F28" s="1501"/>
    </row>
    <row r="29" spans="1:6" ht="21.75" customHeight="1" thickBot="1" x14ac:dyDescent="0.25">
      <c r="A29" s="159" t="s">
        <v>45</v>
      </c>
      <c r="B29" s="67" t="s">
        <v>336</v>
      </c>
      <c r="C29" s="140">
        <f>+C17+C23</f>
        <v>42411899</v>
      </c>
      <c r="D29" s="67" t="s">
        <v>340</v>
      </c>
      <c r="E29" s="144">
        <f>SUM(E17:E28)-E19-E20</f>
        <v>26038434</v>
      </c>
      <c r="F29" s="1501"/>
    </row>
    <row r="30" spans="1:6" ht="13.5" thickBot="1" x14ac:dyDescent="0.25">
      <c r="A30" s="159" t="s">
        <v>46</v>
      </c>
      <c r="B30" s="163" t="s">
        <v>341</v>
      </c>
      <c r="C30" s="164">
        <f>+C16+C29</f>
        <v>134706241</v>
      </c>
      <c r="D30" s="163" t="s">
        <v>342</v>
      </c>
      <c r="E30" s="164">
        <f>+E16+E29</f>
        <v>976689285</v>
      </c>
      <c r="F30" s="1501"/>
    </row>
    <row r="31" spans="1:6" ht="13.5" thickBot="1" x14ac:dyDescent="0.25">
      <c r="A31" s="159" t="s">
        <v>47</v>
      </c>
      <c r="B31" s="163" t="s">
        <v>135</v>
      </c>
      <c r="C31" s="164">
        <f>IF(C16-E16&lt;0,E16-C16,"-")</f>
        <v>858356509</v>
      </c>
      <c r="D31" s="163" t="s">
        <v>136</v>
      </c>
      <c r="E31" s="164" t="str">
        <f>IF(C16-E16&gt;0,C16-E16,"-")</f>
        <v>-</v>
      </c>
      <c r="F31" s="1501"/>
    </row>
    <row r="32" spans="1:6" ht="13.5" thickBot="1" x14ac:dyDescent="0.25">
      <c r="A32" s="159" t="s">
        <v>48</v>
      </c>
      <c r="B32" s="163" t="s">
        <v>180</v>
      </c>
      <c r="C32" s="164">
        <f>IF(C30-E30&lt;0,E30-C30,"-")</f>
        <v>841983044</v>
      </c>
      <c r="D32" s="163" t="s">
        <v>181</v>
      </c>
      <c r="E32" s="164" t="str">
        <f>IF(C30-E30&gt;0,C30-E30,"-")</f>
        <v>-</v>
      </c>
      <c r="F32" s="1501"/>
    </row>
    <row r="33" spans="3:5" x14ac:dyDescent="0.2">
      <c r="C33" s="418"/>
      <c r="D33" s="418"/>
      <c r="E33" s="418"/>
    </row>
    <row r="34" spans="3:5" x14ac:dyDescent="0.2">
      <c r="C34" s="418"/>
      <c r="D34" s="418"/>
      <c r="E34" s="418"/>
    </row>
    <row r="35" spans="3:5" x14ac:dyDescent="0.2">
      <c r="C35" s="418"/>
      <c r="D35" s="418"/>
      <c r="E35" s="418"/>
    </row>
    <row r="36" spans="3:5" x14ac:dyDescent="0.2">
      <c r="C36" s="418"/>
      <c r="D36" s="418"/>
      <c r="E36" s="418"/>
    </row>
    <row r="37" spans="3:5" x14ac:dyDescent="0.2">
      <c r="C37" s="418"/>
      <c r="D37" s="418"/>
      <c r="E37" s="418"/>
    </row>
    <row r="38" spans="3:5" x14ac:dyDescent="0.2">
      <c r="C38" s="418"/>
      <c r="D38" s="418"/>
      <c r="E38" s="418"/>
    </row>
  </sheetData>
  <mergeCells count="3">
    <mergeCell ref="F1:F32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B16" sqref="B16"/>
    </sheetView>
  </sheetViews>
  <sheetFormatPr defaultRowHeight="12.75" x14ac:dyDescent="0.2"/>
  <cols>
    <col min="1" max="1" width="46.33203125" style="1010" customWidth="1"/>
    <col min="2" max="2" width="16.83203125" style="1010" customWidth="1"/>
    <col min="3" max="3" width="66.1640625" style="1010" customWidth="1"/>
    <col min="4" max="4" width="13.83203125" style="1010" customWidth="1"/>
    <col min="5" max="5" width="17.6640625" style="1010" customWidth="1"/>
    <col min="6" max="16384" width="9.33203125" style="1010"/>
  </cols>
  <sheetData>
    <row r="1" spans="1:5" ht="18.75" x14ac:dyDescent="0.3">
      <c r="A1" s="1007" t="s">
        <v>905</v>
      </c>
      <c r="E1" s="1008" t="s">
        <v>906</v>
      </c>
    </row>
    <row r="3" spans="1:5" x14ac:dyDescent="0.2">
      <c r="A3" s="1009"/>
      <c r="B3" s="1014"/>
      <c r="C3" s="1009"/>
      <c r="D3" s="1015"/>
      <c r="E3" s="1014"/>
    </row>
    <row r="4" spans="1:5" ht="15.75" x14ac:dyDescent="0.25">
      <c r="A4" s="1016" t="str">
        <f>+[1]KV_ÖSSZEFÜGGÉSEK!A5</f>
        <v>2020. évi előirányzat BEVÉTELEK</v>
      </c>
      <c r="B4" s="1017"/>
      <c r="C4" s="1018"/>
      <c r="D4" s="1015"/>
      <c r="E4" s="1014"/>
    </row>
    <row r="5" spans="1:5" x14ac:dyDescent="0.2">
      <c r="A5" s="1009"/>
      <c r="B5" s="1014"/>
      <c r="C5" s="1009"/>
      <c r="D5" s="1015"/>
      <c r="E5" s="1014"/>
    </row>
    <row r="6" spans="1:5" x14ac:dyDescent="0.2">
      <c r="A6" s="1009" t="s">
        <v>907</v>
      </c>
      <c r="B6" s="1014">
        <f>'1.1.sz.mell. '!C68</f>
        <v>2743416592</v>
      </c>
      <c r="C6" s="1009" t="s">
        <v>908</v>
      </c>
      <c r="D6" s="1015">
        <f>'2.1.sz.mell '!C17+'2.2.sz.mell .'!C16</f>
        <v>2743416592</v>
      </c>
      <c r="E6" s="1014">
        <f t="shared" ref="E6:E15" si="0">+B6-D6</f>
        <v>0</v>
      </c>
    </row>
    <row r="7" spans="1:5" x14ac:dyDescent="0.2">
      <c r="A7" s="1009" t="s">
        <v>909</v>
      </c>
      <c r="B7" s="1014">
        <f>'1.1.sz.mell. '!C92</f>
        <v>1710380374</v>
      </c>
      <c r="C7" s="1009" t="s">
        <v>910</v>
      </c>
      <c r="D7" s="1015">
        <f>'2.1.sz.mell '!C28+'2.2.sz.mell .'!C29</f>
        <v>1710380374</v>
      </c>
      <c r="E7" s="1014">
        <f t="shared" si="0"/>
        <v>0</v>
      </c>
    </row>
    <row r="8" spans="1:5" x14ac:dyDescent="0.2">
      <c r="A8" s="1009" t="s">
        <v>911</v>
      </c>
      <c r="B8" s="1014">
        <f>'1.1.sz.mell. '!C93</f>
        <v>4453796966</v>
      </c>
      <c r="C8" s="1009" t="s">
        <v>912</v>
      </c>
      <c r="D8" s="1015">
        <f>'2.1.sz.mell '!C29+'2.2.sz.mell .'!C30</f>
        <v>4453796966</v>
      </c>
      <c r="E8" s="1014">
        <f t="shared" si="0"/>
        <v>0</v>
      </c>
    </row>
    <row r="9" spans="1:5" x14ac:dyDescent="0.2">
      <c r="A9" s="1009"/>
      <c r="B9" s="1014"/>
      <c r="C9" s="1009"/>
      <c r="D9" s="1015"/>
      <c r="E9" s="1014"/>
    </row>
    <row r="10" spans="1:5" x14ac:dyDescent="0.2">
      <c r="A10" s="1009"/>
      <c r="B10" s="1014"/>
      <c r="C10" s="1009"/>
      <c r="D10" s="1015"/>
      <c r="E10" s="1014"/>
    </row>
    <row r="11" spans="1:5" ht="15.75" x14ac:dyDescent="0.25">
      <c r="A11" s="1016" t="str">
        <f>+[1]KV_ÖSSZEFÜGGÉSEK!A12</f>
        <v>2020. évi előirányzat KIADÁSOK</v>
      </c>
      <c r="B11" s="1017"/>
      <c r="C11" s="1018"/>
      <c r="D11" s="1015"/>
      <c r="E11" s="1014"/>
    </row>
    <row r="12" spans="1:5" x14ac:dyDescent="0.2">
      <c r="A12" s="1009"/>
      <c r="B12" s="1014"/>
      <c r="C12" s="1009"/>
      <c r="D12" s="1015"/>
      <c r="E12" s="1014"/>
    </row>
    <row r="13" spans="1:5" x14ac:dyDescent="0.2">
      <c r="A13" s="1009" t="s">
        <v>913</v>
      </c>
      <c r="B13" s="1014">
        <f>'1.1.sz.mell. '!C134</f>
        <v>3727758532</v>
      </c>
      <c r="C13" s="1009" t="s">
        <v>914</v>
      </c>
      <c r="D13" s="1015">
        <f>'2.1.sz.mell '!E17+'2.2.sz.mell .'!E16</f>
        <v>3727758532</v>
      </c>
      <c r="E13" s="1014">
        <f t="shared" si="0"/>
        <v>0</v>
      </c>
    </row>
    <row r="14" spans="1:5" x14ac:dyDescent="0.2">
      <c r="A14" s="1009" t="s">
        <v>915</v>
      </c>
      <c r="B14" s="1014">
        <f>'1.1.sz.mell. '!C159</f>
        <v>726038434</v>
      </c>
      <c r="C14" s="1009" t="s">
        <v>916</v>
      </c>
      <c r="D14" s="1015">
        <f>'2.1.sz.mell '!E28+'2.2.sz.mell .'!E29</f>
        <v>726038434</v>
      </c>
      <c r="E14" s="1014">
        <f t="shared" si="0"/>
        <v>0</v>
      </c>
    </row>
    <row r="15" spans="1:5" x14ac:dyDescent="0.2">
      <c r="A15" s="1009" t="s">
        <v>917</v>
      </c>
      <c r="B15" s="1014">
        <f>'1.1.sz.mell. '!C160</f>
        <v>4453796966</v>
      </c>
      <c r="C15" s="1009" t="s">
        <v>918</v>
      </c>
      <c r="D15" s="1015">
        <f>'2.1.sz.mell '!E29+'2.2.sz.mell .'!E30</f>
        <v>4453796966</v>
      </c>
      <c r="E15" s="1014">
        <f t="shared" si="0"/>
        <v>0</v>
      </c>
    </row>
    <row r="16" spans="1:5" x14ac:dyDescent="0.2">
      <c r="A16" s="1019"/>
      <c r="B16" s="1019"/>
      <c r="C16" s="1009"/>
      <c r="D16" s="1015"/>
      <c r="E16" s="1020"/>
    </row>
    <row r="17" spans="1:5" x14ac:dyDescent="0.2">
      <c r="A17" s="1019"/>
      <c r="B17" s="1019"/>
      <c r="C17" s="1019"/>
      <c r="D17" s="1019"/>
      <c r="E17" s="1019"/>
    </row>
    <row r="18" spans="1:5" x14ac:dyDescent="0.2">
      <c r="A18" s="1019"/>
      <c r="B18" s="1019"/>
      <c r="C18" s="1019"/>
      <c r="D18" s="1019"/>
      <c r="E18" s="1019"/>
    </row>
    <row r="19" spans="1:5" x14ac:dyDescent="0.2">
      <c r="A19" s="1019"/>
      <c r="B19" s="1019"/>
      <c r="C19" s="1019"/>
      <c r="D19" s="1019"/>
      <c r="E19" s="1019"/>
    </row>
  </sheetData>
  <conditionalFormatting sqref="E3:E15">
    <cfRule type="cellIs" dxfId="12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32</vt:i4>
      </vt:variant>
    </vt:vector>
  </HeadingPairs>
  <TitlesOfParts>
    <vt:vector size="86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int.összesítő</vt:lpstr>
      <vt:lpstr>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'8.2. sz. mell.'!Nyomtatási_terület</vt:lpstr>
      <vt:lpstr>'9.1. sz. mell.'!Nyomtatási_terület</vt:lpstr>
      <vt:lpstr>'9.2. sz. mell. '!Nyomtatási_terület</vt:lpstr>
      <vt:lpstr>'9.sz tájékoztató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2020-02-28T10:00:58Z</cp:lastPrinted>
  <dcterms:created xsi:type="dcterms:W3CDTF">1999-10-30T10:30:45Z</dcterms:created>
  <dcterms:modified xsi:type="dcterms:W3CDTF">2020-02-28T10:02:11Z</dcterms:modified>
</cp:coreProperties>
</file>