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05" windowWidth="19755" windowHeight="3735" tabRatio="689" activeTab="0"/>
  </bookViews>
  <sheets>
    <sheet name="mérleg" sheetId="1" r:id="rId1"/>
    <sheet name="teljes kiadás" sheetId="2" r:id="rId2"/>
    <sheet name="MŰKÖDÉSI" sheetId="3" r:id="rId3"/>
    <sheet name="önkormányzati támogatás" sheetId="4" r:id="rId4"/>
    <sheet name="intézmény fin" sheetId="5" r:id="rId5"/>
    <sheet name="önkormányzat" sheetId="6" r:id="rId6"/>
    <sheet name="céltARTALÉK" sheetId="7" r:id="rId7"/>
    <sheet name="beruházás és felh. célú átadás" sheetId="8" r:id="rId8"/>
    <sheet name="pénzeszkö átadás" sheetId="9" r:id="rId9"/>
    <sheet name="eu támogatások" sheetId="10" r:id="rId10"/>
    <sheet name="felújítások (2)" sheetId="11" r:id="rId11"/>
    <sheet name="finanszírozás" sheetId="12" r:id="rId12"/>
    <sheet name="adósságot keletkeztető" sheetId="13" r:id="rId13"/>
    <sheet name="kötelezettségvállalások" sheetId="14" r:id="rId14"/>
    <sheet name="megfelelés" sheetId="15" r:id="rId15"/>
    <sheet name="közvetett" sheetId="16" r:id="rId16"/>
    <sheet name="gördülő" sheetId="17" r:id="rId17"/>
    <sheet name="előirányzat" sheetId="18" r:id="rId18"/>
    <sheet name="likviditás" sheetId="19" r:id="rId19"/>
    <sheet name="Munka2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Titles" localSheetId="12">'adósságot keletkeztető'!$1:$3</definedName>
    <definedName name="_xlnm.Print_Titles" localSheetId="7">'beruházás és felh. célú átadás'!$1:$7</definedName>
    <definedName name="_xlnm.Print_Titles" localSheetId="6">'céltARTALÉK'!$1:$3</definedName>
    <definedName name="_xlnm.Print_Titles" localSheetId="10">'felújítások (2)'!$1:$2</definedName>
    <definedName name="_xlnm.Print_Titles" localSheetId="11">'finanszírozás'!$1:$3</definedName>
    <definedName name="_xlnm.Print_Titles" localSheetId="13">'kötelezettségvállalások'!$1:$3</definedName>
    <definedName name="_xlnm.Print_Titles" localSheetId="0">'mérleg'!$1:$5</definedName>
    <definedName name="_xlnm.Print_Titles" localSheetId="5">'önkormányzat'!$1:$6</definedName>
    <definedName name="_xlnm.Print_Titles" localSheetId="8">'pénzeszkö átadás'!$1:$5</definedName>
  </definedNames>
  <calcPr fullCalcOnLoad="1"/>
</workbook>
</file>

<file path=xl/sharedStrings.xml><?xml version="1.0" encoding="utf-8"?>
<sst xmlns="http://schemas.openxmlformats.org/spreadsheetml/2006/main" count="687" uniqueCount="532">
  <si>
    <t>pályázatelőkészítő alap</t>
  </si>
  <si>
    <t>RÁCKEVE VÁROS</t>
  </si>
  <si>
    <t xml:space="preserve">Mûködési </t>
  </si>
  <si>
    <t>Beruházás,</t>
  </si>
  <si>
    <t>Támogat.</t>
  </si>
  <si>
    <t>Felújí-</t>
  </si>
  <si>
    <t xml:space="preserve">        Tartalékok</t>
  </si>
  <si>
    <t>Hitel-</t>
  </si>
  <si>
    <t>KIADÁS</t>
  </si>
  <si>
    <t xml:space="preserve">      Intézmények </t>
  </si>
  <si>
    <t xml:space="preserve">   kiadás </t>
  </si>
  <si>
    <t xml:space="preserve"> fejl.célú</t>
  </si>
  <si>
    <t>pénzeszk.</t>
  </si>
  <si>
    <t>tások</t>
  </si>
  <si>
    <t>cél</t>
  </si>
  <si>
    <t>általános</t>
  </si>
  <si>
    <t>VÁROS</t>
  </si>
  <si>
    <t>összesen</t>
  </si>
  <si>
    <t>pénze.átad</t>
  </si>
  <si>
    <t>átadás</t>
  </si>
  <si>
    <t>Ács Károly Mûv. Közp</t>
  </si>
  <si>
    <t>Szakorvosi Rend.Intézet</t>
  </si>
  <si>
    <t>Polgármesteri Hivatal</t>
  </si>
  <si>
    <t>VÁROS ÖSSZESEN</t>
  </si>
  <si>
    <t>3. sz. melléklet</t>
  </si>
  <si>
    <t>Cím</t>
  </si>
  <si>
    <t>Al-</t>
  </si>
  <si>
    <t>cím</t>
  </si>
  <si>
    <t>3.1</t>
  </si>
  <si>
    <t>1-9</t>
  </si>
  <si>
    <t>1-7</t>
  </si>
  <si>
    <t>1-3</t>
  </si>
  <si>
    <t>Előirányzat</t>
  </si>
  <si>
    <t xml:space="preserve">                                             CÉLTARTALÉK ELŐIRÁNYZAT</t>
  </si>
  <si>
    <t xml:space="preserve">                                     MEGNEVEZÉS</t>
  </si>
  <si>
    <t xml:space="preserve">   javaslat</t>
  </si>
  <si>
    <t>MŰKÖDÉSI CÉLÚ TARTALÉK</t>
  </si>
  <si>
    <t>MŰKÖDÉSI CÉLÚ TARTALÉK ÖSSZESEN</t>
  </si>
  <si>
    <t>FEJLESZTÉSI CÉLÚ TARTALÉK</t>
  </si>
  <si>
    <t>FELHALMOZÁSI CÉLÚ TARTALÉK ÖSSZESEN</t>
  </si>
  <si>
    <t xml:space="preserve">                            A mûködési célú pénzeszköz átadások, támogatások,</t>
  </si>
  <si>
    <t xml:space="preserve">       Feladat megnevezése</t>
  </si>
  <si>
    <t xml:space="preserve">        Megjegyzés</t>
  </si>
  <si>
    <t>1. TÁMOGATÁSOK, PÉNZESZKÖZ ÁTAD.</t>
  </si>
  <si>
    <t>1.1 Kötelezettségek összesen</t>
  </si>
  <si>
    <t>1.2 Egyéb feladatok</t>
  </si>
  <si>
    <t>1.2  Egyéb feladat ÖSSZESEN</t>
  </si>
  <si>
    <t>1. TÁM. PÉNZESZKÖZ ÁTAD ÖSSZ.</t>
  </si>
  <si>
    <t>2. SZOCIÁLPOLITIKAI JUTTATÁSOK</t>
  </si>
  <si>
    <r>
      <t>2.1</t>
    </r>
    <r>
      <rPr>
        <sz val="10"/>
        <color indexed="8"/>
        <rFont val="Arial CE"/>
        <family val="2"/>
      </rPr>
      <t xml:space="preserve"> </t>
    </r>
    <r>
      <rPr>
        <b/>
        <sz val="10"/>
        <color indexed="8"/>
        <rFont val="Arial CE"/>
        <family val="0"/>
      </rPr>
      <t>Pénzbeli szociális ellátások</t>
    </r>
  </si>
  <si>
    <t xml:space="preserve">              </t>
  </si>
  <si>
    <t xml:space="preserve">                   Pénzbeli támogatások</t>
  </si>
  <si>
    <t>2.2. Természetben nyújtott szoc.ellátás</t>
  </si>
  <si>
    <t xml:space="preserve">        Köztemetés</t>
  </si>
  <si>
    <t xml:space="preserve">                Természetben nyújtott támogatások </t>
  </si>
  <si>
    <t>2.Szociális ellátások  összesen</t>
  </si>
  <si>
    <t>I. ÖNKORMÁNYZAT ÖSSZESEN</t>
  </si>
  <si>
    <t>II. INTÉZMÉNYEK</t>
  </si>
  <si>
    <t>2.INTÉZMÉNYEK ÖSSZESEN</t>
  </si>
  <si>
    <t>Ráckeve Város</t>
  </si>
  <si>
    <t>Al</t>
  </si>
  <si>
    <t xml:space="preserve">        Intézmény</t>
  </si>
  <si>
    <t>Polgárm. Hiv. össz.</t>
  </si>
  <si>
    <t>Skarica Máté V. Könyvtár</t>
  </si>
  <si>
    <t>Alcím/szakfeladat</t>
  </si>
  <si>
    <t>megnevezése</t>
  </si>
  <si>
    <t>személyi</t>
  </si>
  <si>
    <t>munkaa</t>
  </si>
  <si>
    <t xml:space="preserve">Dologi és </t>
  </si>
  <si>
    <t>Össze-</t>
  </si>
  <si>
    <t>juttatás</t>
  </si>
  <si>
    <t>terh.jár</t>
  </si>
  <si>
    <t>egyéb  folyó</t>
  </si>
  <si>
    <t>sen</t>
  </si>
  <si>
    <t>INTÉZMÉNYI FELADATOK</t>
  </si>
  <si>
    <t>kiadás össz.</t>
  </si>
  <si>
    <t xml:space="preserve">    Szent István tér 5. </t>
  </si>
  <si>
    <t>5.1</t>
  </si>
  <si>
    <t>1-5</t>
  </si>
  <si>
    <t>6-9</t>
  </si>
  <si>
    <t>Önkorm. feladatok ÖSSZESEN</t>
  </si>
  <si>
    <t>Ráckeve, 2008.február 12</t>
  </si>
  <si>
    <t>Bölcsőde *</t>
  </si>
  <si>
    <t>* konyhával</t>
  </si>
  <si>
    <t>konyha nélkül</t>
  </si>
  <si>
    <t>különbség</t>
  </si>
  <si>
    <t>IGI karbantartás nélkül</t>
  </si>
  <si>
    <t>3/b melléklet</t>
  </si>
  <si>
    <t>Ráckeve, 2009 január</t>
  </si>
  <si>
    <t>közcélú ???</t>
  </si>
  <si>
    <t>gyámhivatal</t>
  </si>
  <si>
    <t>építésügyi hivatal</t>
  </si>
  <si>
    <t>okmányiroda</t>
  </si>
  <si>
    <t xml:space="preserve">            M e g n e v e z é s </t>
  </si>
  <si>
    <t>1. BERUHÁZÁSOK</t>
  </si>
  <si>
    <t>1. BERUHÁZÁSOK MINDÖSSZESEN</t>
  </si>
  <si>
    <t xml:space="preserve">                                                    FELÚJÍTÁSI FELADATOK</t>
  </si>
  <si>
    <t>FELÚJÍTÁS MINDÖSSZESEN</t>
  </si>
  <si>
    <t>ellenőrző sor</t>
  </si>
  <si>
    <t>különbség előző évihez</t>
  </si>
  <si>
    <t>önkormányzati hivatal összesen</t>
  </si>
  <si>
    <t xml:space="preserve">Önkormányzat </t>
  </si>
  <si>
    <t>megjegyzés</t>
  </si>
  <si>
    <t>1. sz. melléklet</t>
  </si>
  <si>
    <t xml:space="preserve">I. MÛKÖDÉSI BEVÉTELEK </t>
  </si>
  <si>
    <t xml:space="preserve">                   Bevételek megnevezése</t>
  </si>
  <si>
    <t xml:space="preserve">                   </t>
  </si>
  <si>
    <t>Intézményi mûködési bevételek (tárgyi e. áfa nélkül)</t>
  </si>
  <si>
    <t>Önkormányzatok költségvetési támogatása és</t>
  </si>
  <si>
    <t>Mûködési célú pénzeszköz átvétel (tám.ért.átv)</t>
  </si>
  <si>
    <t>Mûködési célú kölcsönök visszatérülése, igénybevétele</t>
  </si>
  <si>
    <t>Rövidlejáratú értékpapírok értékesítése</t>
  </si>
  <si>
    <t>Mûködési célú elõzõ évi pénzmaradvány igénybevétele</t>
  </si>
  <si>
    <t>MÛKÖDÉSI CÉLÚ BEVÉTEL ÖSSZESEN</t>
  </si>
  <si>
    <t>I. MŰKÖDÉSI KIADÁSOK megnevezése</t>
  </si>
  <si>
    <t>összeg ezer Ft-ban</t>
  </si>
  <si>
    <t>Személyi juttatások</t>
  </si>
  <si>
    <t>Munkaadót terhelõ járulékok</t>
  </si>
  <si>
    <t>Dologi és egyéb folyó kiadások (le:t.e.áfa befiz és kamat)</t>
  </si>
  <si>
    <t>Mûködési célú pénzeszköz átad.,egyéb tám.</t>
  </si>
  <si>
    <t>Ellátottak pénzbeli juttatása</t>
  </si>
  <si>
    <t>Mûköd. célú kölcsönök nyújtása és törlesztése</t>
  </si>
  <si>
    <t>Tartalékok</t>
  </si>
  <si>
    <t>MÛKÖDÉSI CÉLÚ KIADÁS ÖSSZESEN</t>
  </si>
  <si>
    <t>MŰKÖDÉSI BEVÉTEL - MŰKÖDÉSI KIADÁS</t>
  </si>
  <si>
    <t xml:space="preserve">ll. FELHALMOZÁSI BEVÉTELEK </t>
  </si>
  <si>
    <t>Önkormányzatok felhalmozási és tõke jellegû bevételei</t>
  </si>
  <si>
    <t xml:space="preserve">Fejlesztési célú támogatások </t>
  </si>
  <si>
    <t>Felhalmozási célú pénzeszköz átvétel</t>
  </si>
  <si>
    <t>Felhalmozási áfa visszatérülés</t>
  </si>
  <si>
    <t>Felhalmozási célú kölcsönök visszatérülése</t>
  </si>
  <si>
    <t>Hosszú lejáratú hitel/fejlesztési célú hitel</t>
  </si>
  <si>
    <t>Felhalmozási célú elõzõ évi pénzmaradv.igénybevét.</t>
  </si>
  <si>
    <t>FELHALMOZÁSI CÉLÚ BEVÉTELEK ÖSSZESEN</t>
  </si>
  <si>
    <t>BEVÉTELEK MINDÖSSZESEN</t>
  </si>
  <si>
    <t>II. FELHALMOZÁSI KIADÁSOK</t>
  </si>
  <si>
    <t>Felhalmozási kiadások (áfá-val)</t>
  </si>
  <si>
    <t>Felújítási kiadások (áfá-val)</t>
  </si>
  <si>
    <t>Értékesített tárgyi eszközök utáni áfa befizet</t>
  </si>
  <si>
    <t>Felhalmozási célú pénzeszköz átadás</t>
  </si>
  <si>
    <t>Felhalmozási célú kölcsönök nyújt. és törleszt.</t>
  </si>
  <si>
    <t>Hosszú lejáratú hitel visszafizetés</t>
  </si>
  <si>
    <t>Tartalék</t>
  </si>
  <si>
    <t>FELHALMOZÁSI CÉLÚ KIADÁSOK ÖSSZ.</t>
  </si>
  <si>
    <t>KIADÁSOK MINDÖSSZESEN</t>
  </si>
  <si>
    <t>FELHALMOZÁSI BEVÉTEL ÉS FELHALMOZÁSI KIADÁS</t>
  </si>
  <si>
    <t>Értékesített tárgyi eszközök</t>
  </si>
  <si>
    <t>Területi,körzeti igazgat.</t>
  </si>
  <si>
    <t>Árpád Fej.Általános Iskola működtetés</t>
  </si>
  <si>
    <t>5.4</t>
  </si>
  <si>
    <t>VIGI összesen</t>
  </si>
  <si>
    <t>VIGI közvetlen kiadásai</t>
  </si>
  <si>
    <t>VIGI önállóan gazdálkodó</t>
  </si>
  <si>
    <t xml:space="preserve">5.7 </t>
  </si>
  <si>
    <t>5.7</t>
  </si>
  <si>
    <t>5. melléklet</t>
  </si>
  <si>
    <t>RÁCKEVE VÁROS                  3/1. sz. melléklet</t>
  </si>
  <si>
    <t>MÉRLEG a BEVÉTELEK ÉS KIADÁSok ALAKULÁSÁRÓL</t>
  </si>
  <si>
    <t>A BERUHÁZÁSI KIADÁSOK ÉS FELHALMOZÁSI CÉLÚ</t>
  </si>
  <si>
    <t xml:space="preserve">       M e g n e v e z é s </t>
  </si>
  <si>
    <t>Lapkiadás ( Ráckevei Újság)</t>
  </si>
  <si>
    <t>Közutak üzemeltetése, fenntartása</t>
  </si>
  <si>
    <t>Város és Községgazdálkodás</t>
  </si>
  <si>
    <t>Ingatlanok</t>
  </si>
  <si>
    <t xml:space="preserve"> Szúnyog-,kullancs,rágcs.írt.</t>
  </si>
  <si>
    <t>Egyéb városgazdálkod.fa.</t>
  </si>
  <si>
    <t>Térmester és közterület feladatok</t>
  </si>
  <si>
    <t>Közvilágítás</t>
  </si>
  <si>
    <t>Önk.intézményekkal kapcs.kiad.</t>
  </si>
  <si>
    <t>Orvosi ügyelet</t>
  </si>
  <si>
    <t>Települési hulladékok kezelése</t>
  </si>
  <si>
    <t>PÉNZESZKÖZÁTADÁSOK</t>
  </si>
  <si>
    <t>óvoda társulás támogatása</t>
  </si>
  <si>
    <t>családsegítő társulás támogatása</t>
  </si>
  <si>
    <t>négyes ikrek támogatása</t>
  </si>
  <si>
    <t>Megnevezés</t>
  </si>
  <si>
    <t>támogatás</t>
  </si>
  <si>
    <t>elszámolható költség</t>
  </si>
  <si>
    <t>Tűzoltóság</t>
  </si>
  <si>
    <t>Civil támogatás</t>
  </si>
  <si>
    <t>Települési támogatás</t>
  </si>
  <si>
    <t>összeg e Ft tervezve</t>
  </si>
  <si>
    <t>Vizminőség javító pályázat</t>
  </si>
  <si>
    <t>folyamatban</t>
  </si>
  <si>
    <t>Közbiztonsági eszközök beszerzése</t>
  </si>
  <si>
    <t>mekkora legyen ?</t>
  </si>
  <si>
    <t>Stégek felújítása</t>
  </si>
  <si>
    <t>Bursa Hungarica ösztöndíj tám.</t>
  </si>
  <si>
    <t xml:space="preserve">Ady Endre Gimnázium szalagavató </t>
  </si>
  <si>
    <t>Árpád bál támogatás</t>
  </si>
  <si>
    <t>Katolikus Egyház templom látogatás</t>
  </si>
  <si>
    <t>Szerb Egyház  templom látogatás</t>
  </si>
  <si>
    <t xml:space="preserve">Sport célú támogatások </t>
  </si>
  <si>
    <t>Polgári védelmi tevékenység (rendőrség</t>
  </si>
  <si>
    <t>Egyéb városgazdálkodás önkéntes</t>
  </si>
  <si>
    <t>kamatkiadások, feladatra nem tervezhető</t>
  </si>
  <si>
    <t>maradvány terhére</t>
  </si>
  <si>
    <t>REGESZ</t>
  </si>
  <si>
    <t>Kincstári előleg</t>
  </si>
  <si>
    <t>Önkormányzat regesz felé</t>
  </si>
  <si>
    <t>születendő gyermekek támogatása</t>
  </si>
  <si>
    <t>ebből önkéntes feladat</t>
  </si>
  <si>
    <t>bérleti díj terhére DAKÖV kft által végzett</t>
  </si>
  <si>
    <t>Egyéb szórakoztató, reklám</t>
  </si>
  <si>
    <t>kishajó kikötő</t>
  </si>
  <si>
    <t>vagyonhasznosítási alap (2016)</t>
  </si>
  <si>
    <t>reprezentáció</t>
  </si>
  <si>
    <t>Szivárvány óvoda</t>
  </si>
  <si>
    <t>Szivárvány óvoda beruházás</t>
  </si>
  <si>
    <t>Szivárvány Óvoda</t>
  </si>
  <si>
    <t>ÁKMK beruházás</t>
  </si>
  <si>
    <t>Bölcsőde beruházás</t>
  </si>
  <si>
    <t>könyvtár</t>
  </si>
  <si>
    <t>Konyha-vigi</t>
  </si>
  <si>
    <t>PH</t>
  </si>
  <si>
    <t>Bíróság  új épületének létrehozása</t>
  </si>
  <si>
    <t>Múzeum beruházás</t>
  </si>
  <si>
    <t>szakorvosi beruházás</t>
  </si>
  <si>
    <t>Ady Endre Gimnázium</t>
  </si>
  <si>
    <t>Városi Konyha</t>
  </si>
  <si>
    <t>Árpád Múzeum</t>
  </si>
  <si>
    <t>Révközlekedés</t>
  </si>
  <si>
    <t>Polgárőrség</t>
  </si>
  <si>
    <t>települési támogatás sorában</t>
  </si>
  <si>
    <t>Szakorvosi Regesz felé</t>
  </si>
  <si>
    <t>önerős járda építés</t>
  </si>
  <si>
    <t>iparűzés adó háziorvosi feladatellátásra eső része</t>
  </si>
  <si>
    <t>Kis Duna Maraton támogatása</t>
  </si>
  <si>
    <t>12melléklet</t>
  </si>
  <si>
    <t>Önkormányzati kötelezettségvállalások</t>
  </si>
  <si>
    <t>2012. december 31 állapot</t>
  </si>
  <si>
    <t>tőke</t>
  </si>
  <si>
    <t>ÁKMK átalakítás terv kamat</t>
  </si>
  <si>
    <t>járda felújítások kamat</t>
  </si>
  <si>
    <t>összesen előző évek</t>
  </si>
  <si>
    <t>helyi adóból származó</t>
  </si>
  <si>
    <t>vagyonhasznosítás bevétele</t>
  </si>
  <si>
    <t>osztalék, koncessziós díj és hozam</t>
  </si>
  <si>
    <t>tárgyi eszköz értékesítés</t>
  </si>
  <si>
    <t>bírság, pótlék és díjbevétel</t>
  </si>
  <si>
    <t>kezességvállalás megtérülése</t>
  </si>
  <si>
    <t>ennek 50 %-a, azaz a lehetséges határ</t>
  </si>
  <si>
    <t>útfelújítás</t>
  </si>
  <si>
    <t>idegen bevétel , letéti számla</t>
  </si>
  <si>
    <t>ügyletekből eredő kötelezettség</t>
  </si>
  <si>
    <t>megfelelés</t>
  </si>
  <si>
    <t>Ránki illemhely átalakítás</t>
  </si>
  <si>
    <t>gyalogátkelőhelyek létesítése</t>
  </si>
  <si>
    <t>vagyonhasznosítás 2017</t>
  </si>
  <si>
    <t>hitel kamata</t>
  </si>
  <si>
    <t>Egyenleg</t>
  </si>
  <si>
    <t>közvilágítás fejlesztése 2017 tőke</t>
  </si>
  <si>
    <t>kamat</t>
  </si>
  <si>
    <t>szulai tó revitalizációja tőke</t>
  </si>
  <si>
    <t>szükség kompkikötő tőke</t>
  </si>
  <si>
    <t>ÁKMK vizesblokk tőke</t>
  </si>
  <si>
    <t>ÚJ hitelek Tőke</t>
  </si>
  <si>
    <t>összesen tőke</t>
  </si>
  <si>
    <t>halmozott tőke</t>
  </si>
  <si>
    <t>buszmegállók létesítése tőke</t>
  </si>
  <si>
    <t>12amelléklet kötelezettségvállalások felső értéke</t>
  </si>
  <si>
    <t>MLSZ önerő (kerítés)</t>
  </si>
  <si>
    <t>ASP projekt</t>
  </si>
  <si>
    <t>Vályogos út kialakítás</t>
  </si>
  <si>
    <t>0630-al lejár</t>
  </si>
  <si>
    <t>Ivóvízminőség javítás átdolgozott</t>
  </si>
  <si>
    <t>terület előkészítés, építés</t>
  </si>
  <si>
    <t>PR</t>
  </si>
  <si>
    <t>Eu Támogatás</t>
  </si>
  <si>
    <t>Kormány Támogatás</t>
  </si>
  <si>
    <t>javított</t>
  </si>
  <si>
    <t>önkormányzat által bonyolított</t>
  </si>
  <si>
    <t>Kontakt alapítvány által bonyolított</t>
  </si>
  <si>
    <t>tervezés, előkészítés</t>
  </si>
  <si>
    <t>lakások építése, vásárlása, felújítása</t>
  </si>
  <si>
    <t>közösségi ház kialakítása</t>
  </si>
  <si>
    <t>terfigyelő rendszer kialakítása</t>
  </si>
  <si>
    <t>iskola udvar rendezés, játszótér</t>
  </si>
  <si>
    <t>homokbánya tisztítása</t>
  </si>
  <si>
    <t>járdaépítés</t>
  </si>
  <si>
    <t>eszközbeszerzés</t>
  </si>
  <si>
    <t>területelőkészítés</t>
  </si>
  <si>
    <t>szakmai megvílósítás ktg</t>
  </si>
  <si>
    <t>közreműködő munkatársak ktg</t>
  </si>
  <si>
    <t>projektmenedzsment</t>
  </si>
  <si>
    <t>képzések, utiköltségek</t>
  </si>
  <si>
    <t>tartalék</t>
  </si>
  <si>
    <t>Pest megyei Nonprofit Kft</t>
  </si>
  <si>
    <t>Szoc rehab pályázat</t>
  </si>
  <si>
    <t>teljes</t>
  </si>
  <si>
    <t>teljes összeg</t>
  </si>
  <si>
    <t>elszámolható ktg</t>
  </si>
  <si>
    <t>építés</t>
  </si>
  <si>
    <t>Járulékok</t>
  </si>
  <si>
    <t>Dologi kiadások</t>
  </si>
  <si>
    <t>Közvilágítás fejlesztése</t>
  </si>
  <si>
    <t>Rendezési terv módosítása (Fanyilas és kérésre)</t>
  </si>
  <si>
    <t>Közhatalmi bevételek</t>
  </si>
  <si>
    <t xml:space="preserve">Önkormányzati támogatás </t>
  </si>
  <si>
    <t>állami támogatás</t>
  </si>
  <si>
    <t>Saját bevétel</t>
  </si>
  <si>
    <t>fenntartói kiegészítés</t>
  </si>
  <si>
    <t>önkormányzat</t>
  </si>
  <si>
    <t>Polgármesteri Hivatal össz.</t>
  </si>
  <si>
    <t>múzeum</t>
  </si>
  <si>
    <t>gimnázium</t>
  </si>
  <si>
    <t>konyha</t>
  </si>
  <si>
    <t>VIGI</t>
  </si>
  <si>
    <t>regesz</t>
  </si>
  <si>
    <t>VÁROS ÖSSZESEN***</t>
  </si>
  <si>
    <t>Intézmény finanszírozás</t>
  </si>
  <si>
    <t>finanszírozás</t>
  </si>
  <si>
    <t>Józsa V rendelő átalakítás (ÁNTSZ előírás)</t>
  </si>
  <si>
    <t>Iskola u óvoda ántsz előírás miatt</t>
  </si>
  <si>
    <t>Vörösmarty óvoda balesetveszélyes kerítés</t>
  </si>
  <si>
    <t>7/a. melléklet</t>
  </si>
  <si>
    <t>Finanszírozási célú pénzügyi műveletek cél szerinti tagolásban</t>
  </si>
  <si>
    <t>új hitel (több ügylet)</t>
  </si>
  <si>
    <t>már meglévő lehívása</t>
  </si>
  <si>
    <t>pénzmaradvány</t>
  </si>
  <si>
    <t>saját bevétel terhére</t>
  </si>
  <si>
    <t>egyéb lórév</t>
  </si>
  <si>
    <t>Tárgyi eszköz</t>
  </si>
  <si>
    <t>kontrol sor</t>
  </si>
  <si>
    <t>vega</t>
  </si>
  <si>
    <t>több sor</t>
  </si>
  <si>
    <t>bevételből finanszírozva</t>
  </si>
  <si>
    <t>kibővítés jónás féle</t>
  </si>
  <si>
    <t>hiteltőke törlesztés</t>
  </si>
  <si>
    <t>HIÁNY</t>
  </si>
  <si>
    <t>8 melléklet</t>
  </si>
  <si>
    <t xml:space="preserve">                                             KIMUTATÁS a közvetett támogtások</t>
  </si>
  <si>
    <t xml:space="preserve">                         M e g n e v e z é s </t>
  </si>
  <si>
    <t xml:space="preserve">összeg </t>
  </si>
  <si>
    <t>IPARŰZÉSI ADÓ</t>
  </si>
  <si>
    <t>Adómentesség (300eFt alatt)</t>
  </si>
  <si>
    <t>Foglalkoztatás növeléséhez kapcsolódó mentesség</t>
  </si>
  <si>
    <t>ÉPÍTMÉNYADÓ</t>
  </si>
  <si>
    <t xml:space="preserve">Adókedvezmény </t>
  </si>
  <si>
    <t>Adómentesség</t>
  </si>
  <si>
    <t>GÉPJÁRMŰADÓ</t>
  </si>
  <si>
    <t>mozgáskorlátozott és egyéb mentesség</t>
  </si>
  <si>
    <t>Adókedvezmény</t>
  </si>
  <si>
    <t>Egyéb közvetett támogatások</t>
  </si>
  <si>
    <t>szociális étkeztetés</t>
  </si>
  <si>
    <t>Gyermekétkeztetés nyersanyagnorma és a tényleges bekerülés közötti</t>
  </si>
  <si>
    <t>különbözet Általános Iskola, Gimnázium és Óvoda növendékei után, valamint szünidei étkeztetés</t>
  </si>
  <si>
    <t>ingyenes teremhasználat</t>
  </si>
  <si>
    <t>Együtt</t>
  </si>
  <si>
    <t>11. sz. melléklet</t>
  </si>
  <si>
    <t xml:space="preserve">                  A MŰKÖDÉSI ÉS FEJLESZTÉSI CÉLÚ BEVÉTELEK  ÉS KIADÁSOK </t>
  </si>
  <si>
    <t>adatok ezer Ft-ban</t>
  </si>
  <si>
    <t>Előirányzat-felhasználási ütemterv</t>
  </si>
  <si>
    <t>9.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</si>
  <si>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</si>
  <si>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</si>
  <si>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</si>
  <si>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</si>
  <si>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</si>
  <si>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</si>
  <si>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</si>
  <si>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</si>
  <si>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</si>
  <si>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</si>
  <si>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</si>
  <si>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</si>
  <si>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ebből kormányengedély köteles</t>
  </si>
  <si>
    <t>Református Diakónia Támogatása</t>
  </si>
  <si>
    <t>Tao önerő sportcsarnok</t>
  </si>
  <si>
    <t>hitelcél szerint</t>
  </si>
  <si>
    <t>beruházás értéke</t>
  </si>
  <si>
    <t>hitel</t>
  </si>
  <si>
    <t>előző évi felvét</t>
  </si>
  <si>
    <t>beforgatva járdába</t>
  </si>
  <si>
    <t>P+R parkoló hév állomás</t>
  </si>
  <si>
    <t>Gólyafészek Bölcsőde</t>
  </si>
  <si>
    <t>Közkutak vízdíja</t>
  </si>
  <si>
    <t>Tűzoltóság támogatása</t>
  </si>
  <si>
    <t>Közcélú foglalkoztatás önereje</t>
  </si>
  <si>
    <t>Tókert parkoló bevétel 2017 nettó</t>
  </si>
  <si>
    <t>Tókert parkoló bevétel 2018</t>
  </si>
  <si>
    <t>Közétkeztetés RÁFÁI konyha</t>
  </si>
  <si>
    <t>Külterületi utak pályázat</t>
  </si>
  <si>
    <t>MHSZ  Turisztikai pályázat önerő</t>
  </si>
  <si>
    <t>Csapadékvíz elvezetés kiadásai</t>
  </si>
  <si>
    <t>Vízitúra épület csónaktároló</t>
  </si>
  <si>
    <t>1 Ft támogatás terhére  végzendő feladatok</t>
  </si>
  <si>
    <t>RÉV üzemeltetés támogatása</t>
  </si>
  <si>
    <t>Katolikus iskola</t>
  </si>
  <si>
    <t>Szakellátás támogatása</t>
  </si>
  <si>
    <t>Zongora verseny és Monarchia egyesület</t>
  </si>
  <si>
    <t>Mentőállomás</t>
  </si>
  <si>
    <t>Polgármester átruházott jogkörű támogatása</t>
  </si>
  <si>
    <t>Borkovits Emlékverseny megrendezése</t>
  </si>
  <si>
    <t>Civil támogatás maradvány</t>
  </si>
  <si>
    <t>Középiskolai támogatás</t>
  </si>
  <si>
    <t>Pénzbeni ellátás</t>
  </si>
  <si>
    <t>Regesz járulék miatt kölcsön</t>
  </si>
  <si>
    <t>Szürke épület felújítása</t>
  </si>
  <si>
    <t>előző évi felvét lehívása</t>
  </si>
  <si>
    <t>7 melléklet</t>
  </si>
  <si>
    <t>Adósságot keletkeztető ügyletek</t>
  </si>
  <si>
    <t>Működési célú bevétel</t>
  </si>
  <si>
    <t>10. melléklet</t>
  </si>
  <si>
    <t>Halmozott egyenleg</t>
  </si>
  <si>
    <t>Táncsics utca kamat</t>
  </si>
  <si>
    <t>ÁFÁI felújítás kamat</t>
  </si>
  <si>
    <t>Közoktatási cílú hitel kamat</t>
  </si>
  <si>
    <t>Többcélú finanszírozási hitel</t>
  </si>
  <si>
    <t>állami támogatás megelőlegezés</t>
  </si>
  <si>
    <t>ebből államigazgatási feladat</t>
  </si>
  <si>
    <t>3/c melléklet</t>
  </si>
  <si>
    <t>zarándokút egyesület</t>
  </si>
  <si>
    <t>4/1 melléklet az Európai Uniós fejlesztésekről</t>
  </si>
  <si>
    <t>járdák kialakítása/felújítása több helyen</t>
  </si>
  <si>
    <t>További útfelújítások</t>
  </si>
  <si>
    <t>Likviditási ütemterv</t>
  </si>
  <si>
    <t>3/d melléklet</t>
  </si>
  <si>
    <t>kis duna Vízi fesztivál</t>
  </si>
  <si>
    <t>asp</t>
  </si>
  <si>
    <t>szoc rehab</t>
  </si>
  <si>
    <t>Rávüsz támogatás átcsoportosítás</t>
  </si>
  <si>
    <t>Ovi foci árnyékoló háló</t>
  </si>
  <si>
    <t>RSD tagdíj</t>
  </si>
  <si>
    <t>Háziorvos támogatás</t>
  </si>
  <si>
    <t>előző évi elszámolás</t>
  </si>
  <si>
    <t>törlesztés és finanszírozási múveletek</t>
  </si>
  <si>
    <t>Összesen</t>
  </si>
  <si>
    <t>Működési kiadások 2019</t>
  </si>
  <si>
    <t xml:space="preserve">        2019. ÉVI  KIADÁSI ELÕIRÁNYZAT CÍMREND SZERINT</t>
  </si>
  <si>
    <t xml:space="preserve">           2019. évi javaslat </t>
  </si>
  <si>
    <t xml:space="preserve">                                                     2019. évi tervezett összegéről</t>
  </si>
  <si>
    <t>Összeg Ft</t>
  </si>
  <si>
    <t>Kéve Néptánc Együttes -Thaiföld vendégszereplés</t>
  </si>
  <si>
    <t>Szent Vendel utcai telkek engedélyezési terve</t>
  </si>
  <si>
    <t>Magyarországi Orvos Muzs. Egy.2019. áprilisi rend.</t>
  </si>
  <si>
    <t>Ebsegély Alapítványi támogatás</t>
  </si>
  <si>
    <t>P+R parkoló tervezési díja</t>
  </si>
  <si>
    <t>Kerékpárút létesítésére pályázati önerő</t>
  </si>
  <si>
    <t>Ráckevei csónakos piac pályázat előkésztése II. részlet</t>
  </si>
  <si>
    <t>RÁVÜSZ térfigyelő bővítésre támogatás</t>
  </si>
  <si>
    <t>kész</t>
  </si>
  <si>
    <t>Csapadékvíz-elvezetése pályázat</t>
  </si>
  <si>
    <t xml:space="preserve">Közfoglalkoztatás </t>
  </si>
  <si>
    <t>már kész számok</t>
  </si>
  <si>
    <t>Iskola rendőre (2019)</t>
  </si>
  <si>
    <t>Dömsödi út feljújítás</t>
  </si>
  <si>
    <t>összeg  Ft tervezve</t>
  </si>
  <si>
    <t xml:space="preserve"> Ft-ban</t>
  </si>
  <si>
    <t>Leader tagdíj</t>
  </si>
  <si>
    <t>összeg Ft-ban</t>
  </si>
  <si>
    <t xml:space="preserve">adatok Ft-ban </t>
  </si>
  <si>
    <t>Ft</t>
  </si>
  <si>
    <t>összeg Ft</t>
  </si>
  <si>
    <t>*</t>
  </si>
  <si>
    <t>RÁVÜSZ Kft 2019 évi</t>
  </si>
  <si>
    <t>ÁKMK öltözők felújítása színpad mögött</t>
  </si>
  <si>
    <t>Árpád Múzeum karácsonyi díszkivilágítás</t>
  </si>
  <si>
    <t>Keve Galéria karácsonyi díszkivilágítás</t>
  </si>
  <si>
    <t>Patay képtár kazáncsere</t>
  </si>
  <si>
    <t>Patay képtár klíma, párologtató</t>
  </si>
  <si>
    <t>Gólyafészek Bölcsőde kerítés</t>
  </si>
  <si>
    <t>Gólyafészek Bölcsőde világítás korszerűsítés</t>
  </si>
  <si>
    <t>Skarica Máté V.K. padlás lépcső</t>
  </si>
  <si>
    <t>Ifjúság u. óvoda kerítés</t>
  </si>
  <si>
    <t>Ifjúság u. óvoda (Bölcsőde)</t>
  </si>
  <si>
    <t>Vörösmarty óvoda csatorna jav.</t>
  </si>
  <si>
    <t>Vörösmarty óvoda kazán csere</t>
  </si>
  <si>
    <t>Iskola u. óvoda ablakcsere</t>
  </si>
  <si>
    <t>Hivatal klíma</t>
  </si>
  <si>
    <t>Szivárvány óvoda klíma (4 db)</t>
  </si>
  <si>
    <t>Kék ház ablak csere</t>
  </si>
  <si>
    <t>HÉV WC konténer</t>
  </si>
  <si>
    <t>Bíróság kerítés bontás</t>
  </si>
  <si>
    <t>Régi Városháza vakolat hullás jav.</t>
  </si>
  <si>
    <t>Tourinform bádog csere</t>
  </si>
  <si>
    <t>ÁFÁI sportcsarnok öltözőkonténer, szállítás</t>
  </si>
  <si>
    <t>2019 év</t>
  </si>
  <si>
    <t>Skarica Máté V.K. klíma</t>
  </si>
  <si>
    <t>Ránki Gy AMI homlokzat felújításához hozzájárulás</t>
  </si>
  <si>
    <t>Szmárton étkezés 2018 évi.</t>
  </si>
  <si>
    <t>Szmárton étkezés miatt 2019. I. félév</t>
  </si>
  <si>
    <t xml:space="preserve">új hitel </t>
  </si>
  <si>
    <t>Szoc rehab pályázat Ktg</t>
  </si>
  <si>
    <t>Volt plébáni (paplak) épülete</t>
  </si>
  <si>
    <t>Kálvin téri régi malom épülete</t>
  </si>
  <si>
    <t>Intézményvezetők illetménykiegészítése</t>
  </si>
  <si>
    <t>teljes időszak</t>
  </si>
  <si>
    <t>2017 év</t>
  </si>
  <si>
    <t>2018 év</t>
  </si>
  <si>
    <t>Csónaktároló</t>
  </si>
  <si>
    <t xml:space="preserve">         önerő</t>
  </si>
  <si>
    <t xml:space="preserve">              támogatás</t>
  </si>
  <si>
    <t>2019. év</t>
  </si>
  <si>
    <t>Önerő</t>
  </si>
  <si>
    <r>
      <rPr>
        <sz val="10"/>
        <color indexed="8"/>
        <rFont val="Calibri"/>
        <family val="2"/>
      </rPr>
      <t>Elszámolható költségre vetíte</t>
    </r>
    <r>
      <rPr>
        <sz val="10"/>
        <rFont val="Arial"/>
        <family val="0"/>
      </rPr>
      <t>tt</t>
    </r>
  </si>
  <si>
    <t>MUNKANEM</t>
  </si>
  <si>
    <t xml:space="preserve">eLszámolható költségek </t>
  </si>
  <si>
    <t>nem el-</t>
  </si>
  <si>
    <t>Mindössz.</t>
  </si>
  <si>
    <t xml:space="preserve">Önerő </t>
  </si>
  <si>
    <t>max.támogatás %</t>
  </si>
  <si>
    <t>NETTÓ</t>
  </si>
  <si>
    <t>ÁFA</t>
  </si>
  <si>
    <t>bruttó</t>
  </si>
  <si>
    <t xml:space="preserve">számolható </t>
  </si>
  <si>
    <t>összege</t>
  </si>
  <si>
    <t>kiírás szerint</t>
  </si>
  <si>
    <t>tényleges</t>
  </si>
  <si>
    <t>irtás, föld.sziklamunka</t>
  </si>
  <si>
    <t>útburkolat készítés</t>
  </si>
  <si>
    <t>útpálya tartozékok</t>
  </si>
  <si>
    <t>együtt</t>
  </si>
  <si>
    <t>tervezés</t>
  </si>
  <si>
    <t>műszaki ellenőr</t>
  </si>
  <si>
    <t>tájékoztatás, nyilvánosság</t>
  </si>
  <si>
    <t>pénzügyi tanácsadás</t>
  </si>
  <si>
    <t>közbeszerzés</t>
  </si>
  <si>
    <t>MINDÖSSZESEBN</t>
  </si>
  <si>
    <t>Igényelhető előleg max</t>
  </si>
  <si>
    <t>TÁMOGATÓI OKIRAT ALAPJÁN  2019. év</t>
  </si>
  <si>
    <t>Elmenő intézmények kerete</t>
  </si>
  <si>
    <t>2019 módosítás</t>
  </si>
  <si>
    <t>módosítás</t>
  </si>
  <si>
    <t>Beruházás felúj.</t>
  </si>
  <si>
    <t>p.e.átadás</t>
  </si>
  <si>
    <t xml:space="preserve">VÁROS </t>
  </si>
  <si>
    <t>MÓDOSÍTÁS</t>
  </si>
  <si>
    <t>Finanszírozás</t>
  </si>
  <si>
    <t>Egyéb beruházások</t>
  </si>
  <si>
    <t>Módosítás</t>
  </si>
  <si>
    <t>Általános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</si>
</sst>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\ _F_t_-;\-* #,##0.0\ _F_t_-;_-* &quot;-&quot;?\ _F_t_-;_-@_-"/>
    <numFmt numFmtId="181" formatCode="0.0E+00"/>
    <numFmt numFmtId="182" formatCode="#,##0.0"/>
    <numFmt numFmtId="183" formatCode="0.0"/>
    <numFmt numFmtId="184" formatCode="#,##0_ ;[Red]\-#,##0\ 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_ ;[Red]\-#,##0.00\ "/>
    <numFmt numFmtId="189" formatCode="0.0000"/>
    <numFmt numFmtId="190" formatCode="[$-40E]General"/>
    <numFmt numFmtId="191" formatCode="[$-40E]#,##0"/>
    <numFmt numFmtId="192" formatCode="#,##0.0000"/>
    <numFmt numFmtId="193" formatCode="[$¥€-2]\ #\ ##,000_);[Red]\([$€-2]\ #\ ##,000\)"/>
    <numFmt numFmtId="194" formatCode="#,##0.00\ [$Ft-40E];[Red]\-#,##0.00\ [$Ft-40E]"/>
    <numFmt numFmtId="195" formatCode="#,##0.00&quot; &quot;[$Ft-40E];[Red]&quot;-&quot;#,##0.00&quot; &quot;[$Ft-40E]"/>
    <numFmt numFmtId="196" formatCode="#,##0.000"/>
    <numFmt numFmtId="197" formatCode="#,##0.00000"/>
    <numFmt numFmtId="198" formatCode="#,##0.000000"/>
    <numFmt numFmtId="199" formatCode="#,##0.0000000"/>
  </numFmts>
  <fonts count="144">
    <font>
      <sz val="10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u val="single"/>
      <sz val="12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 CE"/>
      <family val="0"/>
    </font>
    <font>
      <b/>
      <sz val="11"/>
      <color indexed="8"/>
      <name val="Albany"/>
      <family val="2"/>
    </font>
    <font>
      <sz val="10"/>
      <color indexed="8"/>
      <name val="Albany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9"/>
      <color indexed="8"/>
      <name val="Arial CE"/>
      <family val="0"/>
    </font>
    <font>
      <sz val="8"/>
      <color indexed="8"/>
      <name val="Arial CE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lbany"/>
      <family val="2"/>
    </font>
    <font>
      <b/>
      <sz val="10"/>
      <name val="Albany"/>
      <family val="0"/>
    </font>
    <font>
      <b/>
      <sz val="11"/>
      <name val="Albany"/>
      <family val="2"/>
    </font>
    <font>
      <sz val="11"/>
      <name val="Albany"/>
      <family val="2"/>
    </font>
    <font>
      <sz val="10"/>
      <color indexed="10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2"/>
    </font>
    <font>
      <sz val="11"/>
      <name val="Arial CE"/>
      <family val="2"/>
    </font>
    <font>
      <sz val="10"/>
      <color indexed="12"/>
      <name val="Arial CE"/>
      <family val="0"/>
    </font>
    <font>
      <b/>
      <sz val="12"/>
      <name val="Arial CE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10"/>
      <name val="Arial CE"/>
      <family val="0"/>
    </font>
    <font>
      <sz val="11"/>
      <color indexed="10"/>
      <name val="Arial"/>
      <family val="2"/>
    </font>
    <font>
      <sz val="11"/>
      <color indexed="10"/>
      <name val="Arial CE"/>
      <family val="2"/>
    </font>
    <font>
      <sz val="11"/>
      <color indexed="10"/>
      <name val="Calibri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1"/>
      <color indexed="10"/>
      <name val="Arial CE"/>
      <family val="0"/>
    </font>
    <font>
      <sz val="10"/>
      <color indexed="62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lbany"/>
      <family val="0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color indexed="8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Albany"/>
      <family val="2"/>
    </font>
    <font>
      <i/>
      <sz val="10"/>
      <color indexed="8"/>
      <name val="Arial"/>
      <family val="2"/>
    </font>
    <font>
      <sz val="10"/>
      <color indexed="21"/>
      <name val="Arial"/>
      <family val="2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indexed="10"/>
      <name val="Albany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Albany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  <font>
      <b/>
      <sz val="10"/>
      <color theme="1"/>
      <name val="Arial CE"/>
      <family val="2"/>
    </font>
    <font>
      <sz val="10"/>
      <color theme="8" tint="-0.4999699890613556"/>
      <name val="Arial"/>
      <family val="2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rgb="FFFF0000"/>
      <name val="Albany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 CE"/>
      <family val="0"/>
    </font>
    <font>
      <b/>
      <sz val="11"/>
      <color rgb="FFFF0000"/>
      <name val="Arial CE"/>
      <family val="0"/>
    </font>
    <font>
      <sz val="11"/>
      <color theme="1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ck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57" fillId="3" borderId="0" applyNumberFormat="0" applyBorder="0" applyAlignment="0" applyProtection="0"/>
    <xf numFmtId="0" fontId="100" fillId="4" borderId="0" applyNumberFormat="0" applyBorder="0" applyAlignment="0" applyProtection="0"/>
    <xf numFmtId="0" fontId="57" fillId="5" borderId="0" applyNumberFormat="0" applyBorder="0" applyAlignment="0" applyProtection="0"/>
    <xf numFmtId="0" fontId="100" fillId="6" borderId="0" applyNumberFormat="0" applyBorder="0" applyAlignment="0" applyProtection="0"/>
    <xf numFmtId="0" fontId="57" fillId="7" borderId="0" applyNumberFormat="0" applyBorder="0" applyAlignment="0" applyProtection="0"/>
    <xf numFmtId="0" fontId="100" fillId="8" borderId="0" applyNumberFormat="0" applyBorder="0" applyAlignment="0" applyProtection="0"/>
    <xf numFmtId="0" fontId="57" fillId="9" borderId="0" applyNumberFormat="0" applyBorder="0" applyAlignment="0" applyProtection="0"/>
    <xf numFmtId="0" fontId="100" fillId="10" borderId="0" applyNumberFormat="0" applyBorder="0" applyAlignment="0" applyProtection="0"/>
    <xf numFmtId="0" fontId="57" fillId="11" borderId="0" applyNumberFormat="0" applyBorder="0" applyAlignment="0" applyProtection="0"/>
    <xf numFmtId="0" fontId="100" fillId="12" borderId="0" applyNumberFormat="0" applyBorder="0" applyAlignment="0" applyProtection="0"/>
    <xf numFmtId="0" fontId="57" fillId="13" borderId="0" applyNumberFormat="0" applyBorder="0" applyAlignment="0" applyProtection="0"/>
    <xf numFmtId="0" fontId="100" fillId="14" borderId="0" applyNumberFormat="0" applyBorder="0" applyAlignment="0" applyProtection="0"/>
    <xf numFmtId="0" fontId="57" fillId="15" borderId="0" applyNumberFormat="0" applyBorder="0" applyAlignment="0" applyProtection="0"/>
    <xf numFmtId="0" fontId="100" fillId="16" borderId="0" applyNumberFormat="0" applyBorder="0" applyAlignment="0" applyProtection="0"/>
    <xf numFmtId="0" fontId="57" fillId="17" borderId="0" applyNumberFormat="0" applyBorder="0" applyAlignment="0" applyProtection="0"/>
    <xf numFmtId="0" fontId="100" fillId="18" borderId="0" applyNumberFormat="0" applyBorder="0" applyAlignment="0" applyProtection="0"/>
    <xf numFmtId="0" fontId="57" fillId="19" borderId="0" applyNumberFormat="0" applyBorder="0" applyAlignment="0" applyProtection="0"/>
    <xf numFmtId="0" fontId="100" fillId="20" borderId="0" applyNumberFormat="0" applyBorder="0" applyAlignment="0" applyProtection="0"/>
    <xf numFmtId="0" fontId="57" fillId="9" borderId="0" applyNumberFormat="0" applyBorder="0" applyAlignment="0" applyProtection="0"/>
    <xf numFmtId="0" fontId="100" fillId="21" borderId="0" applyNumberFormat="0" applyBorder="0" applyAlignment="0" applyProtection="0"/>
    <xf numFmtId="0" fontId="57" fillId="15" borderId="0" applyNumberFormat="0" applyBorder="0" applyAlignment="0" applyProtection="0"/>
    <xf numFmtId="0" fontId="100" fillId="22" borderId="0" applyNumberFormat="0" applyBorder="0" applyAlignment="0" applyProtection="0"/>
    <xf numFmtId="0" fontId="57" fillId="23" borderId="0" applyNumberFormat="0" applyBorder="0" applyAlignment="0" applyProtection="0"/>
    <xf numFmtId="0" fontId="101" fillId="24" borderId="0" applyNumberFormat="0" applyBorder="0" applyAlignment="0" applyProtection="0"/>
    <xf numFmtId="0" fontId="58" fillId="25" borderId="0" applyNumberFormat="0" applyBorder="0" applyAlignment="0" applyProtection="0"/>
    <xf numFmtId="0" fontId="101" fillId="26" borderId="0" applyNumberFormat="0" applyBorder="0" applyAlignment="0" applyProtection="0"/>
    <xf numFmtId="0" fontId="58" fillId="17" borderId="0" applyNumberFormat="0" applyBorder="0" applyAlignment="0" applyProtection="0"/>
    <xf numFmtId="0" fontId="101" fillId="27" borderId="0" applyNumberFormat="0" applyBorder="0" applyAlignment="0" applyProtection="0"/>
    <xf numFmtId="0" fontId="58" fillId="19" borderId="0" applyNumberFormat="0" applyBorder="0" applyAlignment="0" applyProtection="0"/>
    <xf numFmtId="0" fontId="101" fillId="28" borderId="0" applyNumberFormat="0" applyBorder="0" applyAlignment="0" applyProtection="0"/>
    <xf numFmtId="0" fontId="58" fillId="29" borderId="0" applyNumberFormat="0" applyBorder="0" applyAlignment="0" applyProtection="0"/>
    <xf numFmtId="0" fontId="101" fillId="30" borderId="0" applyNumberFormat="0" applyBorder="0" applyAlignment="0" applyProtection="0"/>
    <xf numFmtId="0" fontId="58" fillId="31" borderId="0" applyNumberFormat="0" applyBorder="0" applyAlignment="0" applyProtection="0"/>
    <xf numFmtId="0" fontId="101" fillId="32" borderId="0" applyNumberFormat="0" applyBorder="0" applyAlignment="0" applyProtection="0"/>
    <xf numFmtId="0" fontId="58" fillId="33" borderId="0" applyNumberFormat="0" applyBorder="0" applyAlignment="0" applyProtection="0"/>
    <xf numFmtId="0" fontId="102" fillId="34" borderId="1" applyNumberFormat="0" applyAlignment="0" applyProtection="0"/>
    <xf numFmtId="0" fontId="59" fillId="13" borderId="2" applyNumberFormat="0" applyAlignment="0" applyProtection="0"/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61" fillId="0" borderId="4" applyNumberFormat="0" applyFill="0" applyAlignment="0" applyProtection="0"/>
    <xf numFmtId="0" fontId="105" fillId="0" borderId="5" applyNumberFormat="0" applyFill="0" applyAlignment="0" applyProtection="0"/>
    <xf numFmtId="0" fontId="62" fillId="0" borderId="6" applyNumberFormat="0" applyFill="0" applyAlignment="0" applyProtection="0"/>
    <xf numFmtId="0" fontId="106" fillId="0" borderId="7" applyNumberFormat="0" applyFill="0" applyAlignment="0" applyProtection="0"/>
    <xf numFmtId="0" fontId="63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7" fillId="35" borderId="9" applyNumberFormat="0" applyAlignment="0" applyProtection="0"/>
    <xf numFmtId="0" fontId="64" fillId="36" borderId="10" applyNumberFormat="0" applyAlignment="0" applyProtection="0"/>
    <xf numFmtId="190" fontId="108" fillId="0" borderId="0">
      <alignment/>
      <protection/>
    </xf>
    <xf numFmtId="0" fontId="57" fillId="0" borderId="0" applyBorder="0" applyProtection="0">
      <alignment/>
    </xf>
    <xf numFmtId="190" fontId="108" fillId="0" borderId="0" applyBorder="0" applyProtection="0">
      <alignment/>
    </xf>
    <xf numFmtId="0" fontId="73" fillId="0" borderId="0" applyBorder="0" applyProtection="0">
      <alignment/>
    </xf>
    <xf numFmtId="190" fontId="109" fillId="0" borderId="0" applyFont="0" applyBorder="0" applyProtection="0">
      <alignment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5" fillId="0" borderId="0" applyNumberFormat="0" applyBorder="0" applyProtection="0">
      <alignment horizontal="center"/>
    </xf>
    <xf numFmtId="0" fontId="75" fillId="0" borderId="0" applyBorder="0" applyProtection="0">
      <alignment horizontal="center"/>
    </xf>
    <xf numFmtId="190" fontId="111" fillId="0" borderId="0" applyBorder="0" applyProtection="0">
      <alignment horizontal="center"/>
    </xf>
    <xf numFmtId="0" fontId="111" fillId="0" borderId="0" applyNumberFormat="0" applyBorder="0" applyProtection="0">
      <alignment horizontal="center"/>
    </xf>
    <xf numFmtId="0" fontId="75" fillId="0" borderId="0" applyNumberFormat="0" applyBorder="0" applyProtection="0">
      <alignment horizontal="center" textRotation="90"/>
    </xf>
    <xf numFmtId="0" fontId="75" fillId="0" borderId="0" applyBorder="0" applyProtection="0">
      <alignment horizontal="center" textRotation="90"/>
    </xf>
    <xf numFmtId="190" fontId="111" fillId="0" borderId="0" applyBorder="0" applyProtection="0">
      <alignment horizontal="center" textRotation="90"/>
    </xf>
    <xf numFmtId="0" fontId="111" fillId="0" borderId="0" applyNumberFormat="0" applyBorder="0" applyProtection="0">
      <alignment horizontal="center" textRotation="90"/>
    </xf>
    <xf numFmtId="0" fontId="27" fillId="0" borderId="0" applyNumberFormat="0" applyFill="0" applyBorder="0" applyAlignment="0" applyProtection="0"/>
    <xf numFmtId="0" fontId="112" fillId="0" borderId="11" applyNumberFormat="0" applyFill="0" applyAlignment="0" applyProtection="0"/>
    <xf numFmtId="0" fontId="65" fillId="0" borderId="12" applyNumberFormat="0" applyFill="0" applyAlignment="0" applyProtection="0"/>
    <xf numFmtId="0" fontId="0" fillId="37" borderId="13" applyNumberFormat="0" applyFont="0" applyAlignment="0" applyProtection="0"/>
    <xf numFmtId="0" fontId="73" fillId="38" borderId="14" applyNumberFormat="0" applyAlignment="0" applyProtection="0"/>
    <xf numFmtId="0" fontId="101" fillId="39" borderId="0" applyNumberFormat="0" applyBorder="0" applyAlignment="0" applyProtection="0"/>
    <xf numFmtId="0" fontId="58" fillId="40" borderId="0" applyNumberFormat="0" applyBorder="0" applyAlignment="0" applyProtection="0"/>
    <xf numFmtId="0" fontId="101" fillId="41" borderId="0" applyNumberFormat="0" applyBorder="0" applyAlignment="0" applyProtection="0"/>
    <xf numFmtId="0" fontId="58" fillId="42" borderId="0" applyNumberFormat="0" applyBorder="0" applyAlignment="0" applyProtection="0"/>
    <xf numFmtId="0" fontId="101" fillId="43" borderId="0" applyNumberFormat="0" applyBorder="0" applyAlignment="0" applyProtection="0"/>
    <xf numFmtId="0" fontId="58" fillId="44" borderId="0" applyNumberFormat="0" applyBorder="0" applyAlignment="0" applyProtection="0"/>
    <xf numFmtId="0" fontId="101" fillId="45" borderId="0" applyNumberFormat="0" applyBorder="0" applyAlignment="0" applyProtection="0"/>
    <xf numFmtId="0" fontId="58" fillId="29" borderId="0" applyNumberFormat="0" applyBorder="0" applyAlignment="0" applyProtection="0"/>
    <xf numFmtId="0" fontId="101" fillId="46" borderId="0" applyNumberFormat="0" applyBorder="0" applyAlignment="0" applyProtection="0"/>
    <xf numFmtId="0" fontId="58" fillId="31" borderId="0" applyNumberFormat="0" applyBorder="0" applyAlignment="0" applyProtection="0"/>
    <xf numFmtId="0" fontId="101" fillId="47" borderId="0" applyNumberFormat="0" applyBorder="0" applyAlignment="0" applyProtection="0"/>
    <xf numFmtId="0" fontId="58" fillId="48" borderId="0" applyNumberFormat="0" applyBorder="0" applyAlignment="0" applyProtection="0"/>
    <xf numFmtId="0" fontId="113" fillId="49" borderId="0" applyNumberFormat="0" applyBorder="0" applyAlignment="0" applyProtection="0"/>
    <xf numFmtId="0" fontId="66" fillId="7" borderId="0" applyNumberFormat="0" applyBorder="0" applyAlignment="0" applyProtection="0"/>
    <xf numFmtId="0" fontId="114" fillId="50" borderId="15" applyNumberFormat="0" applyAlignment="0" applyProtection="0"/>
    <xf numFmtId="0" fontId="67" fillId="51" borderId="16" applyNumberFormat="0" applyAlignment="0" applyProtection="0"/>
    <xf numFmtId="0" fontId="2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116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73" fillId="0" borderId="0">
      <alignment/>
      <protection/>
    </xf>
    <xf numFmtId="0" fontId="109" fillId="0" borderId="0">
      <alignment/>
      <protection/>
    </xf>
    <xf numFmtId="0" fontId="117" fillId="0" borderId="17" applyNumberFormat="0" applyFill="0" applyAlignment="0" applyProtection="0"/>
    <xf numFmtId="0" fontId="69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Border="0" applyProtection="0">
      <alignment/>
    </xf>
    <xf numFmtId="0" fontId="74" fillId="0" borderId="0" applyBorder="0" applyProtection="0">
      <alignment/>
    </xf>
    <xf numFmtId="190" fontId="116" fillId="0" borderId="0" applyBorder="0" applyProtection="0">
      <alignment/>
    </xf>
    <xf numFmtId="0" fontId="116" fillId="0" borderId="0" applyNumberFormat="0" applyBorder="0" applyProtection="0">
      <alignment/>
    </xf>
    <xf numFmtId="194" fontId="74" fillId="0" borderId="0" applyBorder="0" applyProtection="0">
      <alignment/>
    </xf>
    <xf numFmtId="194" fontId="74" fillId="0" borderId="0" applyBorder="0" applyProtection="0">
      <alignment/>
    </xf>
    <xf numFmtId="195" fontId="116" fillId="0" borderId="0" applyBorder="0" applyProtection="0">
      <alignment/>
    </xf>
    <xf numFmtId="195" fontId="116" fillId="0" borderId="0" applyBorder="0" applyProtection="0">
      <alignment/>
    </xf>
    <xf numFmtId="0" fontId="118" fillId="52" borderId="0" applyNumberFormat="0" applyBorder="0" applyAlignment="0" applyProtection="0"/>
    <xf numFmtId="0" fontId="70" fillId="5" borderId="0" applyNumberFormat="0" applyBorder="0" applyAlignment="0" applyProtection="0"/>
    <xf numFmtId="0" fontId="119" fillId="53" borderId="0" applyNumberFormat="0" applyBorder="0" applyAlignment="0" applyProtection="0"/>
    <xf numFmtId="0" fontId="71" fillId="54" borderId="0" applyNumberFormat="0" applyBorder="0" applyAlignment="0" applyProtection="0"/>
    <xf numFmtId="0" fontId="120" fillId="50" borderId="1" applyNumberFormat="0" applyAlignment="0" applyProtection="0"/>
    <xf numFmtId="0" fontId="72" fillId="51" borderId="2" applyNumberFormat="0" applyAlignment="0" applyProtection="0"/>
    <xf numFmtId="9" fontId="0" fillId="0" borderId="0" applyFont="0" applyFill="0" applyBorder="0" applyAlignment="0" applyProtection="0"/>
  </cellStyleXfs>
  <cellXfs count="7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3" fontId="5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40" xfId="0" applyNumberFormat="1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41" xfId="0" applyFont="1" applyBorder="1" applyAlignment="1">
      <alignment/>
    </xf>
    <xf numFmtId="0" fontId="26" fillId="0" borderId="0" xfId="0" applyFont="1" applyAlignment="1">
      <alignment/>
    </xf>
    <xf numFmtId="3" fontId="14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4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40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42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" fontId="0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3" xfId="0" applyFont="1" applyBorder="1" applyAlignment="1">
      <alignment/>
    </xf>
    <xf numFmtId="0" fontId="0" fillId="0" borderId="32" xfId="0" applyFont="1" applyBorder="1" applyAlignment="1">
      <alignment/>
    </xf>
    <xf numFmtId="49" fontId="9" fillId="0" borderId="43" xfId="0" applyNumberFormat="1" applyFont="1" applyBorder="1" applyAlignment="1">
      <alignment/>
    </xf>
    <xf numFmtId="4" fontId="29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3" fontId="8" fillId="0" borderId="25" xfId="0" applyNumberFormat="1" applyFont="1" applyBorder="1" applyAlignment="1">
      <alignment/>
    </xf>
    <xf numFmtId="0" fontId="2" fillId="0" borderId="44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5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5" fillId="0" borderId="22" xfId="0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53" xfId="0" applyNumberFormat="1" applyFont="1" applyFill="1" applyBorder="1" applyAlignment="1">
      <alignment/>
    </xf>
    <xf numFmtId="0" fontId="8" fillId="0" borderId="52" xfId="0" applyFont="1" applyBorder="1" applyAlignment="1">
      <alignment/>
    </xf>
    <xf numFmtId="0" fontId="8" fillId="0" borderId="22" xfId="0" applyFont="1" applyBorder="1" applyAlignment="1">
      <alignment/>
    </xf>
    <xf numFmtId="3" fontId="7" fillId="0" borderId="54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7" xfId="0" applyFont="1" applyBorder="1" applyAlignment="1">
      <alignment/>
    </xf>
    <xf numFmtId="0" fontId="1" fillId="0" borderId="45" xfId="0" applyFont="1" applyBorder="1" applyAlignment="1">
      <alignment/>
    </xf>
    <xf numFmtId="0" fontId="5" fillId="0" borderId="21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49" fontId="0" fillId="0" borderId="37" xfId="0" applyNumberFormat="1" applyBorder="1" applyAlignment="1">
      <alignment horizontal="right"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3" fontId="36" fillId="0" borderId="59" xfId="0" applyNumberFormat="1" applyFont="1" applyBorder="1" applyAlignment="1">
      <alignment horizontal="right"/>
    </xf>
    <xf numFmtId="0" fontId="41" fillId="0" borderId="0" xfId="0" applyFont="1" applyAlignment="1">
      <alignment/>
    </xf>
    <xf numFmtId="3" fontId="0" fillId="0" borderId="40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0" fontId="0" fillId="0" borderId="0" xfId="0" applyFont="1" applyAlignment="1">
      <alignment wrapText="1"/>
    </xf>
    <xf numFmtId="4" fontId="30" fillId="55" borderId="60" xfId="0" applyNumberFormat="1" applyFont="1" applyFill="1" applyBorder="1" applyAlignment="1">
      <alignment wrapText="1"/>
    </xf>
    <xf numFmtId="3" fontId="30" fillId="55" borderId="40" xfId="0" applyNumberFormat="1" applyFont="1" applyFill="1" applyBorder="1" applyAlignment="1">
      <alignment/>
    </xf>
    <xf numFmtId="3" fontId="8" fillId="56" borderId="34" xfId="0" applyNumberFormat="1" applyFont="1" applyFill="1" applyBorder="1" applyAlignment="1">
      <alignment/>
    </xf>
    <xf numFmtId="0" fontId="0" fillId="56" borderId="61" xfId="0" applyFill="1" applyBorder="1" applyAlignment="1">
      <alignment/>
    </xf>
    <xf numFmtId="49" fontId="0" fillId="56" borderId="62" xfId="0" applyNumberFormat="1" applyFill="1" applyBorder="1" applyAlignment="1">
      <alignment/>
    </xf>
    <xf numFmtId="0" fontId="0" fillId="56" borderId="63" xfId="0" applyFill="1" applyBorder="1" applyAlignment="1">
      <alignment/>
    </xf>
    <xf numFmtId="49" fontId="0" fillId="56" borderId="64" xfId="0" applyNumberFormat="1" applyFill="1" applyBorder="1" applyAlignment="1">
      <alignment/>
    </xf>
    <xf numFmtId="0" fontId="0" fillId="56" borderId="29" xfId="0" applyFill="1" applyBorder="1" applyAlignment="1">
      <alignment/>
    </xf>
    <xf numFmtId="0" fontId="0" fillId="56" borderId="24" xfId="0" applyFill="1" applyBorder="1" applyAlignment="1">
      <alignment/>
    </xf>
    <xf numFmtId="49" fontId="0" fillId="56" borderId="65" xfId="0" applyNumberFormat="1" applyFill="1" applyBorder="1" applyAlignment="1">
      <alignment/>
    </xf>
    <xf numFmtId="0" fontId="1" fillId="57" borderId="66" xfId="0" applyFont="1" applyFill="1" applyBorder="1" applyAlignment="1">
      <alignment/>
    </xf>
    <xf numFmtId="3" fontId="5" fillId="57" borderId="67" xfId="0" applyNumberFormat="1" applyFont="1" applyFill="1" applyBorder="1" applyAlignment="1">
      <alignment/>
    </xf>
    <xf numFmtId="3" fontId="5" fillId="57" borderId="54" xfId="0" applyNumberFormat="1" applyFont="1" applyFill="1" applyBorder="1" applyAlignment="1">
      <alignment/>
    </xf>
    <xf numFmtId="0" fontId="14" fillId="0" borderId="40" xfId="0" applyFont="1" applyBorder="1" applyAlignment="1">
      <alignment/>
    </xf>
    <xf numFmtId="0" fontId="7" fillId="58" borderId="45" xfId="0" applyFont="1" applyFill="1" applyBorder="1" applyAlignment="1">
      <alignment/>
    </xf>
    <xf numFmtId="0" fontId="7" fillId="58" borderId="22" xfId="0" applyFont="1" applyFill="1" applyBorder="1" applyAlignment="1">
      <alignment/>
    </xf>
    <xf numFmtId="3" fontId="1" fillId="58" borderId="57" xfId="0" applyNumberFormat="1" applyFont="1" applyFill="1" applyBorder="1" applyAlignment="1">
      <alignment/>
    </xf>
    <xf numFmtId="0" fontId="9" fillId="59" borderId="22" xfId="0" applyFont="1" applyFill="1" applyBorder="1" applyAlignment="1">
      <alignment/>
    </xf>
    <xf numFmtId="0" fontId="0" fillId="0" borderId="40" xfId="0" applyFont="1" applyBorder="1" applyAlignment="1">
      <alignment/>
    </xf>
    <xf numFmtId="3" fontId="17" fillId="56" borderId="40" xfId="0" applyNumberFormat="1" applyFont="1" applyFill="1" applyBorder="1" applyAlignment="1">
      <alignment/>
    </xf>
    <xf numFmtId="3" fontId="41" fillId="57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1" fillId="0" borderId="0" xfId="0" applyFont="1" applyAlignment="1">
      <alignment/>
    </xf>
    <xf numFmtId="0" fontId="17" fillId="0" borderId="0" xfId="0" applyFont="1" applyAlignment="1">
      <alignment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7" fillId="0" borderId="68" xfId="0" applyFont="1" applyBorder="1" applyAlignment="1">
      <alignment/>
    </xf>
    <xf numFmtId="0" fontId="17" fillId="0" borderId="69" xfId="0" applyFont="1" applyBorder="1" applyAlignment="1">
      <alignment/>
    </xf>
    <xf numFmtId="0" fontId="41" fillId="0" borderId="69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40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0" xfId="0" applyFont="1" applyBorder="1" applyAlignment="1">
      <alignment horizontal="center"/>
    </xf>
    <xf numFmtId="0" fontId="17" fillId="0" borderId="60" xfId="0" applyFont="1" applyBorder="1" applyAlignment="1">
      <alignment/>
    </xf>
    <xf numFmtId="0" fontId="17" fillId="0" borderId="40" xfId="0" applyFont="1" applyBorder="1" applyAlignment="1">
      <alignment/>
    </xf>
    <xf numFmtId="0" fontId="41" fillId="0" borderId="40" xfId="0" applyFont="1" applyBorder="1" applyAlignment="1">
      <alignment/>
    </xf>
    <xf numFmtId="3" fontId="17" fillId="0" borderId="0" xfId="0" applyNumberFormat="1" applyFont="1" applyAlignment="1">
      <alignment/>
    </xf>
    <xf numFmtId="49" fontId="17" fillId="0" borderId="40" xfId="0" applyNumberFormat="1" applyFont="1" applyBorder="1" applyAlignment="1">
      <alignment/>
    </xf>
    <xf numFmtId="0" fontId="17" fillId="0" borderId="40" xfId="0" applyNumberFormat="1" applyFont="1" applyBorder="1" applyAlignment="1">
      <alignment horizontal="right"/>
    </xf>
    <xf numFmtId="0" fontId="17" fillId="56" borderId="60" xfId="0" applyFont="1" applyFill="1" applyBorder="1" applyAlignment="1">
      <alignment/>
    </xf>
    <xf numFmtId="49" fontId="17" fillId="56" borderId="40" xfId="0" applyNumberFormat="1" applyFont="1" applyFill="1" applyBorder="1" applyAlignment="1">
      <alignment/>
    </xf>
    <xf numFmtId="0" fontId="41" fillId="57" borderId="40" xfId="0" applyFont="1" applyFill="1" applyBorder="1" applyAlignment="1">
      <alignment/>
    </xf>
    <xf numFmtId="0" fontId="14" fillId="0" borderId="0" xfId="0" applyFont="1" applyAlignment="1">
      <alignment/>
    </xf>
    <xf numFmtId="0" fontId="17" fillId="56" borderId="60" xfId="0" applyFont="1" applyFill="1" applyBorder="1" applyAlignment="1">
      <alignment/>
    </xf>
    <xf numFmtId="49" fontId="17" fillId="56" borderId="40" xfId="0" applyNumberFormat="1" applyFont="1" applyFill="1" applyBorder="1" applyAlignment="1">
      <alignment/>
    </xf>
    <xf numFmtId="0" fontId="41" fillId="57" borderId="40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26" fillId="0" borderId="40" xfId="0" applyFont="1" applyBorder="1" applyAlignment="1">
      <alignment/>
    </xf>
    <xf numFmtId="0" fontId="0" fillId="0" borderId="40" xfId="0" applyFont="1" applyFill="1" applyBorder="1" applyAlignment="1">
      <alignment/>
    </xf>
    <xf numFmtId="0" fontId="9" fillId="0" borderId="40" xfId="0" applyFont="1" applyBorder="1" applyAlignment="1">
      <alignment horizontal="center"/>
    </xf>
    <xf numFmtId="0" fontId="43" fillId="0" borderId="0" xfId="0" applyFont="1" applyAlignment="1">
      <alignment/>
    </xf>
    <xf numFmtId="3" fontId="41" fillId="60" borderId="40" xfId="0" applyNumberFormat="1" applyFont="1" applyFill="1" applyBorder="1" applyAlignment="1">
      <alignment/>
    </xf>
    <xf numFmtId="3" fontId="17" fillId="55" borderId="40" xfId="0" applyNumberFormat="1" applyFont="1" applyFill="1" applyBorder="1" applyAlignment="1">
      <alignment/>
    </xf>
    <xf numFmtId="3" fontId="17" fillId="55" borderId="40" xfId="0" applyNumberFormat="1" applyFont="1" applyFill="1" applyBorder="1" applyAlignment="1">
      <alignment/>
    </xf>
    <xf numFmtId="3" fontId="41" fillId="60" borderId="40" xfId="0" applyNumberFormat="1" applyFont="1" applyFill="1" applyBorder="1" applyAlignment="1">
      <alignment horizontal="right"/>
    </xf>
    <xf numFmtId="49" fontId="17" fillId="56" borderId="70" xfId="0" applyNumberFormat="1" applyFont="1" applyFill="1" applyBorder="1" applyAlignment="1">
      <alignment/>
    </xf>
    <xf numFmtId="0" fontId="17" fillId="56" borderId="71" xfId="0" applyFont="1" applyFill="1" applyBorder="1" applyAlignment="1">
      <alignment/>
    </xf>
    <xf numFmtId="0" fontId="41" fillId="57" borderId="71" xfId="0" applyFont="1" applyFill="1" applyBorder="1" applyAlignment="1">
      <alignment/>
    </xf>
    <xf numFmtId="3" fontId="41" fillId="57" borderId="71" xfId="0" applyNumberFormat="1" applyFont="1" applyFill="1" applyBorder="1" applyAlignment="1">
      <alignment/>
    </xf>
    <xf numFmtId="0" fontId="38" fillId="0" borderId="23" xfId="0" applyFont="1" applyBorder="1" applyAlignment="1">
      <alignment/>
    </xf>
    <xf numFmtId="0" fontId="38" fillId="0" borderId="64" xfId="0" applyFont="1" applyBorder="1" applyAlignment="1">
      <alignment/>
    </xf>
    <xf numFmtId="3" fontId="41" fillId="0" borderId="72" xfId="0" applyNumberFormat="1" applyFont="1" applyBorder="1" applyAlignment="1">
      <alignment/>
    </xf>
    <xf numFmtId="3" fontId="41" fillId="0" borderId="73" xfId="0" applyNumberFormat="1" applyFont="1" applyBorder="1" applyAlignment="1">
      <alignment/>
    </xf>
    <xf numFmtId="3" fontId="41" fillId="0" borderId="74" xfId="0" applyNumberFormat="1" applyFont="1" applyFill="1" applyBorder="1" applyAlignment="1">
      <alignment/>
    </xf>
    <xf numFmtId="3" fontId="36" fillId="0" borderId="64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8" fillId="0" borderId="64" xfId="0" applyNumberFormat="1" applyFont="1" applyBorder="1" applyAlignment="1">
      <alignment/>
    </xf>
    <xf numFmtId="3" fontId="9" fillId="59" borderId="54" xfId="0" applyNumberFormat="1" applyFont="1" applyFill="1" applyBorder="1" applyAlignment="1">
      <alignment/>
    </xf>
    <xf numFmtId="0" fontId="38" fillId="0" borderId="64" xfId="0" applyFont="1" applyBorder="1" applyAlignment="1">
      <alignment/>
    </xf>
    <xf numFmtId="3" fontId="37" fillId="0" borderId="72" xfId="0" applyNumberFormat="1" applyFont="1" applyBorder="1" applyAlignment="1">
      <alignment/>
    </xf>
    <xf numFmtId="3" fontId="37" fillId="0" borderId="73" xfId="0" applyNumberFormat="1" applyFont="1" applyBorder="1" applyAlignment="1">
      <alignment/>
    </xf>
    <xf numFmtId="3" fontId="38" fillId="0" borderId="75" xfId="0" applyNumberFormat="1" applyFont="1" applyBorder="1" applyAlignment="1">
      <alignment/>
    </xf>
    <xf numFmtId="3" fontId="38" fillId="0" borderId="6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76" xfId="0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3" fontId="9" fillId="59" borderId="65" xfId="0" applyNumberFormat="1" applyFont="1" applyFill="1" applyBorder="1" applyAlignment="1">
      <alignment/>
    </xf>
    <xf numFmtId="3" fontId="14" fillId="59" borderId="65" xfId="0" applyNumberFormat="1" applyFont="1" applyFill="1" applyBorder="1" applyAlignment="1">
      <alignment/>
    </xf>
    <xf numFmtId="0" fontId="0" fillId="55" borderId="40" xfId="0" applyFont="1" applyFill="1" applyBorder="1" applyAlignment="1">
      <alignment/>
    </xf>
    <xf numFmtId="3" fontId="0" fillId="55" borderId="40" xfId="0" applyNumberFormat="1" applyFont="1" applyFill="1" applyBorder="1" applyAlignment="1">
      <alignment/>
    </xf>
    <xf numFmtId="4" fontId="29" fillId="0" borderId="68" xfId="0" applyNumberFormat="1" applyFont="1" applyBorder="1" applyAlignment="1">
      <alignment wrapText="1"/>
    </xf>
    <xf numFmtId="4" fontId="31" fillId="0" borderId="60" xfId="0" applyNumberFormat="1" applyFont="1" applyBorder="1" applyAlignment="1">
      <alignment wrapText="1"/>
    </xf>
    <xf numFmtId="0" fontId="47" fillId="56" borderId="60" xfId="0" applyFont="1" applyFill="1" applyBorder="1" applyAlignment="1">
      <alignment/>
    </xf>
    <xf numFmtId="0" fontId="47" fillId="56" borderId="40" xfId="0" applyFont="1" applyFill="1" applyBorder="1" applyAlignment="1">
      <alignment/>
    </xf>
    <xf numFmtId="0" fontId="48" fillId="57" borderId="40" xfId="0" applyFont="1" applyFill="1" applyBorder="1" applyAlignment="1">
      <alignment/>
    </xf>
    <xf numFmtId="3" fontId="47" fillId="56" borderId="4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50" fillId="57" borderId="37" xfId="0" applyFont="1" applyFill="1" applyBorder="1" applyAlignment="1">
      <alignment/>
    </xf>
    <xf numFmtId="3" fontId="48" fillId="56" borderId="34" xfId="0" applyNumberFormat="1" applyFont="1" applyFill="1" applyBorder="1" applyAlignment="1">
      <alignment/>
    </xf>
    <xf numFmtId="3" fontId="51" fillId="57" borderId="25" xfId="0" applyNumberFormat="1" applyFont="1" applyFill="1" applyBorder="1" applyAlignment="1">
      <alignment/>
    </xf>
    <xf numFmtId="3" fontId="52" fillId="57" borderId="25" xfId="0" applyNumberFormat="1" applyFont="1" applyFill="1" applyBorder="1" applyAlignment="1">
      <alignment/>
    </xf>
    <xf numFmtId="3" fontId="51" fillId="57" borderId="34" xfId="0" applyNumberFormat="1" applyFont="1" applyFill="1" applyBorder="1" applyAlignment="1">
      <alignment/>
    </xf>
    <xf numFmtId="0" fontId="9" fillId="56" borderId="40" xfId="0" applyFont="1" applyFill="1" applyBorder="1" applyAlignment="1">
      <alignment wrapText="1"/>
    </xf>
    <xf numFmtId="4" fontId="32" fillId="0" borderId="40" xfId="0" applyNumberFormat="1" applyFont="1" applyFill="1" applyBorder="1" applyAlignment="1">
      <alignment wrapText="1"/>
    </xf>
    <xf numFmtId="2" fontId="0" fillId="0" borderId="40" xfId="0" applyNumberFormat="1" applyBorder="1" applyAlignment="1">
      <alignment wrapText="1"/>
    </xf>
    <xf numFmtId="3" fontId="0" fillId="61" borderId="40" xfId="0" applyNumberFormat="1" applyFont="1" applyFill="1" applyBorder="1" applyAlignment="1">
      <alignment/>
    </xf>
    <xf numFmtId="0" fontId="0" fillId="0" borderId="40" xfId="0" applyFont="1" applyFill="1" applyBorder="1" applyAlignment="1">
      <alignment wrapText="1"/>
    </xf>
    <xf numFmtId="0" fontId="0" fillId="56" borderId="40" xfId="0" applyFont="1" applyFill="1" applyBorder="1" applyAlignment="1">
      <alignment wrapText="1"/>
    </xf>
    <xf numFmtId="3" fontId="2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0" fillId="0" borderId="69" xfId="0" applyNumberFormat="1" applyFont="1" applyBorder="1" applyAlignment="1">
      <alignment/>
    </xf>
    <xf numFmtId="3" fontId="32" fillId="0" borderId="40" xfId="0" applyNumberFormat="1" applyFont="1" applyBorder="1" applyAlignment="1">
      <alignment/>
    </xf>
    <xf numFmtId="3" fontId="9" fillId="61" borderId="4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47" fillId="56" borderId="78" xfId="0" applyFont="1" applyFill="1" applyBorder="1" applyAlignment="1">
      <alignment/>
    </xf>
    <xf numFmtId="0" fontId="47" fillId="56" borderId="79" xfId="0" applyFont="1" applyFill="1" applyBorder="1" applyAlignment="1">
      <alignment/>
    </xf>
    <xf numFmtId="0" fontId="48" fillId="57" borderId="79" xfId="0" applyFont="1" applyFill="1" applyBorder="1" applyAlignment="1">
      <alignment/>
    </xf>
    <xf numFmtId="3" fontId="47" fillId="56" borderId="79" xfId="0" applyNumberFormat="1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9" borderId="0" xfId="0" applyFill="1" applyAlignment="1">
      <alignment/>
    </xf>
    <xf numFmtId="0" fontId="0" fillId="59" borderId="0" xfId="0" applyFont="1" applyFill="1" applyAlignment="1">
      <alignment/>
    </xf>
    <xf numFmtId="0" fontId="0" fillId="59" borderId="0" xfId="0" applyFont="1" applyFill="1" applyAlignment="1">
      <alignment/>
    </xf>
    <xf numFmtId="3" fontId="0" fillId="59" borderId="0" xfId="0" applyNumberFormat="1" applyFont="1" applyFill="1" applyAlignment="1">
      <alignment/>
    </xf>
    <xf numFmtId="3" fontId="0" fillId="59" borderId="0" xfId="0" applyNumberFormat="1" applyFill="1" applyAlignment="1">
      <alignment/>
    </xf>
    <xf numFmtId="0" fontId="9" fillId="62" borderId="29" xfId="0" applyFont="1" applyFill="1" applyBorder="1" applyAlignment="1">
      <alignment/>
    </xf>
    <xf numFmtId="0" fontId="0" fillId="62" borderId="40" xfId="0" applyFont="1" applyFill="1" applyBorder="1" applyAlignment="1">
      <alignment/>
    </xf>
    <xf numFmtId="3" fontId="53" fillId="62" borderId="40" xfId="0" applyNumberFormat="1" applyFont="1" applyFill="1" applyBorder="1" applyAlignment="1">
      <alignment/>
    </xf>
    <xf numFmtId="3" fontId="0" fillId="62" borderId="40" xfId="0" applyNumberFormat="1" applyFont="1" applyFill="1" applyBorder="1" applyAlignment="1">
      <alignment/>
    </xf>
    <xf numFmtId="0" fontId="9" fillId="62" borderId="0" xfId="0" applyFont="1" applyFill="1" applyAlignment="1">
      <alignment/>
    </xf>
    <xf numFmtId="0" fontId="0" fillId="0" borderId="40" xfId="0" applyFont="1" applyBorder="1" applyAlignment="1">
      <alignment wrapText="1"/>
    </xf>
    <xf numFmtId="3" fontId="0" fillId="0" borderId="40" xfId="0" applyNumberFormat="1" applyFont="1" applyBorder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2" fontId="20" fillId="0" borderId="40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0" fillId="0" borderId="80" xfId="0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0" xfId="0" applyAlignment="1">
      <alignment wrapText="1"/>
    </xf>
    <xf numFmtId="3" fontId="55" fillId="0" borderId="69" xfId="0" applyNumberFormat="1" applyFont="1" applyFill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top" wrapText="1"/>
    </xf>
    <xf numFmtId="0" fontId="55" fillId="0" borderId="40" xfId="0" applyFont="1" applyBorder="1" applyAlignment="1">
      <alignment horizontal="center" vertical="top" wrapText="1"/>
    </xf>
    <xf numFmtId="3" fontId="55" fillId="0" borderId="40" xfId="0" applyNumberFormat="1" applyFont="1" applyFill="1" applyBorder="1" applyAlignment="1">
      <alignment horizontal="center" vertical="center" wrapText="1"/>
    </xf>
    <xf numFmtId="3" fontId="56" fillId="0" borderId="40" xfId="0" applyNumberFormat="1" applyFont="1" applyFill="1" applyBorder="1" applyAlignment="1">
      <alignment horizontal="center" vertical="center" wrapText="1"/>
    </xf>
    <xf numFmtId="0" fontId="35" fillId="0" borderId="60" xfId="0" applyFont="1" applyBorder="1" applyAlignment="1">
      <alignment horizontal="left" vertical="top" wrapText="1"/>
    </xf>
    <xf numFmtId="0" fontId="35" fillId="0" borderId="40" xfId="0" applyFont="1" applyBorder="1" applyAlignment="1">
      <alignment horizontal="right" vertical="top" wrapText="1"/>
    </xf>
    <xf numFmtId="0" fontId="35" fillId="0" borderId="40" xfId="0" applyFont="1" applyBorder="1" applyAlignment="1">
      <alignment horizontal="center" vertical="center" wrapText="1"/>
    </xf>
    <xf numFmtId="3" fontId="56" fillId="0" borderId="4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40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0" fillId="62" borderId="0" xfId="0" applyFill="1" applyBorder="1" applyAlignment="1">
      <alignment/>
    </xf>
    <xf numFmtId="0" fontId="7" fillId="63" borderId="22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0" xfId="0" applyFill="1" applyAlignment="1">
      <alignment/>
    </xf>
    <xf numFmtId="0" fontId="7" fillId="64" borderId="22" xfId="0" applyFont="1" applyFill="1" applyBorder="1" applyAlignment="1">
      <alignment/>
    </xf>
    <xf numFmtId="0" fontId="35" fillId="62" borderId="40" xfId="0" applyFont="1" applyFill="1" applyBorder="1" applyAlignment="1">
      <alignment horizontal="right" vertical="top" wrapText="1"/>
    </xf>
    <xf numFmtId="3" fontId="0" fillId="62" borderId="40" xfId="0" applyNumberFormat="1" applyFill="1" applyBorder="1" applyAlignment="1">
      <alignment/>
    </xf>
    <xf numFmtId="0" fontId="35" fillId="62" borderId="40" xfId="0" applyFont="1" applyFill="1" applyBorder="1" applyAlignment="1">
      <alignment horizontal="center" vertical="center" wrapText="1"/>
    </xf>
    <xf numFmtId="3" fontId="56" fillId="62" borderId="40" xfId="0" applyNumberFormat="1" applyFont="1" applyFill="1" applyBorder="1" applyAlignment="1">
      <alignment horizontal="center" vertical="center" wrapText="1"/>
    </xf>
    <xf numFmtId="3" fontId="9" fillId="62" borderId="40" xfId="0" applyNumberFormat="1" applyFont="1" applyFill="1" applyBorder="1" applyAlignment="1">
      <alignment/>
    </xf>
    <xf numFmtId="3" fontId="20" fillId="0" borderId="40" xfId="0" applyNumberFormat="1" applyFont="1" applyBorder="1" applyAlignment="1">
      <alignment/>
    </xf>
    <xf numFmtId="0" fontId="36" fillId="58" borderId="61" xfId="0" applyFont="1" applyFill="1" applyBorder="1" applyAlignment="1">
      <alignment/>
    </xf>
    <xf numFmtId="0" fontId="0" fillId="64" borderId="0" xfId="0" applyFont="1" applyFill="1" applyBorder="1" applyAlignment="1">
      <alignment/>
    </xf>
    <xf numFmtId="0" fontId="17" fillId="59" borderId="83" xfId="0" applyFont="1" applyFill="1" applyBorder="1" applyAlignment="1">
      <alignment/>
    </xf>
    <xf numFmtId="0" fontId="0" fillId="59" borderId="83" xfId="0" applyFont="1" applyFill="1" applyBorder="1" applyAlignment="1">
      <alignment/>
    </xf>
    <xf numFmtId="0" fontId="17" fillId="62" borderId="84" xfId="0" applyFont="1" applyFill="1" applyBorder="1" applyAlignment="1">
      <alignment/>
    </xf>
    <xf numFmtId="3" fontId="14" fillId="59" borderId="40" xfId="0" applyNumberFormat="1" applyFont="1" applyFill="1" applyBorder="1" applyAlignment="1">
      <alignment/>
    </xf>
    <xf numFmtId="3" fontId="14" fillId="0" borderId="40" xfId="0" applyNumberFormat="1" applyFont="1" applyBorder="1" applyAlignment="1">
      <alignment/>
    </xf>
    <xf numFmtId="4" fontId="14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4" fillId="0" borderId="40" xfId="0" applyNumberFormat="1" applyFont="1" applyBorder="1" applyAlignment="1">
      <alignment wrapText="1"/>
    </xf>
    <xf numFmtId="4" fontId="0" fillId="0" borderId="40" xfId="0" applyNumberFormat="1" applyBorder="1" applyAlignment="1">
      <alignment wrapText="1"/>
    </xf>
    <xf numFmtId="4" fontId="0" fillId="0" borderId="40" xfId="0" applyNumberFormat="1" applyFont="1" applyBorder="1" applyAlignment="1">
      <alignment wrapText="1"/>
    </xf>
    <xf numFmtId="4" fontId="17" fillId="0" borderId="40" xfId="0" applyNumberFormat="1" applyFont="1" applyBorder="1" applyAlignment="1">
      <alignment wrapText="1"/>
    </xf>
    <xf numFmtId="4" fontId="19" fillId="59" borderId="40" xfId="0" applyNumberFormat="1" applyFont="1" applyFill="1" applyBorder="1" applyAlignment="1">
      <alignment wrapText="1"/>
    </xf>
    <xf numFmtId="4" fontId="19" fillId="0" borderId="40" xfId="0" applyNumberFormat="1" applyFont="1" applyBorder="1" applyAlignment="1">
      <alignment wrapText="1"/>
    </xf>
    <xf numFmtId="4" fontId="0" fillId="0" borderId="40" xfId="0" applyNumberFormat="1" applyFont="1" applyBorder="1" applyAlignment="1">
      <alignment wrapText="1"/>
    </xf>
    <xf numFmtId="4" fontId="30" fillId="62" borderId="81" xfId="0" applyNumberFormat="1" applyFont="1" applyFill="1" applyBorder="1" applyAlignment="1">
      <alignment wrapText="1"/>
    </xf>
    <xf numFmtId="3" fontId="30" fillId="62" borderId="40" xfId="0" applyNumberFormat="1" applyFont="1" applyFill="1" applyBorder="1" applyAlignment="1">
      <alignment/>
    </xf>
    <xf numFmtId="0" fontId="35" fillId="18" borderId="40" xfId="0" applyFont="1" applyFill="1" applyBorder="1" applyAlignment="1">
      <alignment horizontal="right" vertical="top" wrapText="1"/>
    </xf>
    <xf numFmtId="3" fontId="0" fillId="18" borderId="40" xfId="0" applyNumberFormat="1" applyFill="1" applyBorder="1" applyAlignment="1">
      <alignment/>
    </xf>
    <xf numFmtId="0" fontId="35" fillId="18" borderId="40" xfId="0" applyFont="1" applyFill="1" applyBorder="1" applyAlignment="1">
      <alignment horizontal="center" vertical="center" wrapText="1"/>
    </xf>
    <xf numFmtId="3" fontId="56" fillId="18" borderId="40" xfId="0" applyNumberFormat="1" applyFont="1" applyFill="1" applyBorder="1" applyAlignment="1">
      <alignment horizontal="center" vertical="center" wrapText="1"/>
    </xf>
    <xf numFmtId="3" fontId="9" fillId="18" borderId="40" xfId="0" applyNumberFormat="1" applyFont="1" applyFill="1" applyBorder="1" applyAlignment="1">
      <alignment/>
    </xf>
    <xf numFmtId="0" fontId="0" fillId="18" borderId="0" xfId="0" applyFill="1" applyAlignment="1">
      <alignment/>
    </xf>
    <xf numFmtId="1" fontId="55" fillId="0" borderId="68" xfId="0" applyNumberFormat="1" applyFont="1" applyBorder="1" applyAlignment="1">
      <alignment horizontal="center" vertical="center" wrapText="1"/>
    </xf>
    <xf numFmtId="1" fontId="55" fillId="0" borderId="69" xfId="0" applyNumberFormat="1" applyFont="1" applyBorder="1" applyAlignment="1">
      <alignment horizontal="center" vertical="center" wrapText="1"/>
    </xf>
    <xf numFmtId="1" fontId="55" fillId="0" borderId="6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/>
    </xf>
    <xf numFmtId="0" fontId="56" fillId="62" borderId="40" xfId="0" applyFont="1" applyFill="1" applyBorder="1" applyAlignment="1">
      <alignment horizontal="right" vertical="top" wrapText="1"/>
    </xf>
    <xf numFmtId="0" fontId="56" fillId="62" borderId="40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wrapText="1"/>
    </xf>
    <xf numFmtId="3" fontId="9" fillId="0" borderId="60" xfId="0" applyNumberFormat="1" applyFont="1" applyBorder="1" applyAlignment="1">
      <alignment wrapText="1"/>
    </xf>
    <xf numFmtId="3" fontId="0" fillId="0" borderId="85" xfId="0" applyNumberFormat="1" applyBorder="1" applyAlignment="1">
      <alignment horizontal="center" vertical="center"/>
    </xf>
    <xf numFmtId="3" fontId="9" fillId="0" borderId="85" xfId="0" applyNumberFormat="1" applyFont="1" applyBorder="1" applyAlignment="1">
      <alignment horizontal="center" vertical="center"/>
    </xf>
    <xf numFmtId="3" fontId="9" fillId="0" borderId="86" xfId="0" applyNumberFormat="1" applyFont="1" applyFill="1" applyBorder="1" applyAlignment="1">
      <alignment wrapText="1"/>
    </xf>
    <xf numFmtId="0" fontId="0" fillId="0" borderId="87" xfId="0" applyBorder="1" applyAlignment="1">
      <alignment/>
    </xf>
    <xf numFmtId="3" fontId="0" fillId="0" borderId="60" xfId="0" applyNumberFormat="1" applyBorder="1" applyAlignment="1">
      <alignment wrapText="1"/>
    </xf>
    <xf numFmtId="3" fontId="0" fillId="0" borderId="85" xfId="0" applyNumberFormat="1" applyBorder="1" applyAlignment="1">
      <alignment/>
    </xf>
    <xf numFmtId="3" fontId="0" fillId="0" borderId="70" xfId="0" applyNumberFormat="1" applyBorder="1" applyAlignment="1">
      <alignment wrapText="1"/>
    </xf>
    <xf numFmtId="3" fontId="0" fillId="0" borderId="71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9" fillId="65" borderId="40" xfId="0" applyFont="1" applyFill="1" applyBorder="1" applyAlignment="1">
      <alignment/>
    </xf>
    <xf numFmtId="3" fontId="9" fillId="65" borderId="40" xfId="0" applyNumberFormat="1" applyFont="1" applyFill="1" applyBorder="1" applyAlignment="1">
      <alignment/>
    </xf>
    <xf numFmtId="4" fontId="17" fillId="62" borderId="40" xfId="0" applyNumberFormat="1" applyFont="1" applyFill="1" applyBorder="1" applyAlignment="1">
      <alignment wrapText="1"/>
    </xf>
    <xf numFmtId="3" fontId="17" fillId="62" borderId="40" xfId="0" applyNumberFormat="1" applyFont="1" applyFill="1" applyBorder="1" applyAlignment="1">
      <alignment/>
    </xf>
    <xf numFmtId="0" fontId="0" fillId="62" borderId="0" xfId="0" applyFont="1" applyFill="1" applyAlignment="1">
      <alignment/>
    </xf>
    <xf numFmtId="0" fontId="121" fillId="62" borderId="40" xfId="0" applyFont="1" applyFill="1" applyBorder="1" applyAlignment="1">
      <alignment horizontal="right" vertical="top" wrapText="1"/>
    </xf>
    <xf numFmtId="3" fontId="122" fillId="62" borderId="40" xfId="0" applyNumberFormat="1" applyFont="1" applyFill="1" applyBorder="1" applyAlignment="1">
      <alignment/>
    </xf>
    <xf numFmtId="0" fontId="121" fillId="62" borderId="40" xfId="0" applyFont="1" applyFill="1" applyBorder="1" applyAlignment="1">
      <alignment horizontal="center" vertical="center" wrapText="1"/>
    </xf>
    <xf numFmtId="3" fontId="123" fillId="62" borderId="40" xfId="0" applyNumberFormat="1" applyFont="1" applyFill="1" applyBorder="1" applyAlignment="1">
      <alignment horizontal="center" vertical="center" wrapText="1"/>
    </xf>
    <xf numFmtId="3" fontId="122" fillId="0" borderId="40" xfId="0" applyNumberFormat="1" applyFont="1" applyBorder="1" applyAlignment="1">
      <alignment/>
    </xf>
    <xf numFmtId="3" fontId="124" fillId="0" borderId="40" xfId="0" applyNumberFormat="1" applyFont="1" applyBorder="1" applyAlignment="1">
      <alignment/>
    </xf>
    <xf numFmtId="0" fontId="122" fillId="62" borderId="0" xfId="0" applyFont="1" applyFill="1" applyAlignment="1">
      <alignment/>
    </xf>
    <xf numFmtId="4" fontId="117" fillId="0" borderId="40" xfId="0" applyNumberFormat="1" applyFont="1" applyBorder="1" applyAlignment="1">
      <alignment wrapText="1"/>
    </xf>
    <xf numFmtId="3" fontId="117" fillId="0" borderId="40" xfId="0" applyNumberFormat="1" applyFont="1" applyBorder="1" applyAlignment="1">
      <alignment/>
    </xf>
    <xf numFmtId="3" fontId="117" fillId="0" borderId="82" xfId="0" applyNumberFormat="1" applyFont="1" applyBorder="1" applyAlignment="1">
      <alignment/>
    </xf>
    <xf numFmtId="3" fontId="0" fillId="0" borderId="82" xfId="0" applyNumberFormat="1" applyBorder="1" applyAlignment="1">
      <alignment/>
    </xf>
    <xf numFmtId="4" fontId="0" fillId="0" borderId="0" xfId="0" applyNumberFormat="1" applyFont="1" applyAlignment="1">
      <alignment/>
    </xf>
    <xf numFmtId="2" fontId="9" fillId="0" borderId="40" xfId="0" applyNumberFormat="1" applyFont="1" applyBorder="1" applyAlignment="1">
      <alignment wrapText="1"/>
    </xf>
    <xf numFmtId="4" fontId="20" fillId="64" borderId="40" xfId="0" applyNumberFormat="1" applyFont="1" applyFill="1" applyBorder="1" applyAlignment="1">
      <alignment/>
    </xf>
    <xf numFmtId="4" fontId="9" fillId="0" borderId="40" xfId="0" applyNumberFormat="1" applyFont="1" applyBorder="1" applyAlignment="1">
      <alignment/>
    </xf>
    <xf numFmtId="2" fontId="0" fillId="0" borderId="89" xfId="0" applyNumberFormat="1" applyFont="1" applyBorder="1" applyAlignment="1">
      <alignment wrapText="1"/>
    </xf>
    <xf numFmtId="4" fontId="0" fillId="0" borderId="61" xfId="0" applyNumberFormat="1" applyBorder="1" applyAlignment="1">
      <alignment/>
    </xf>
    <xf numFmtId="0" fontId="0" fillId="0" borderId="83" xfId="0" applyBorder="1" applyAlignment="1">
      <alignment/>
    </xf>
    <xf numFmtId="0" fontId="9" fillId="0" borderId="80" xfId="0" applyFont="1" applyBorder="1" applyAlignment="1">
      <alignment/>
    </xf>
    <xf numFmtId="3" fontId="0" fillId="0" borderId="89" xfId="0" applyNumberFormat="1" applyFont="1" applyBorder="1" applyAlignment="1">
      <alignment wrapText="1"/>
    </xf>
    <xf numFmtId="0" fontId="0" fillId="0" borderId="61" xfId="0" applyFont="1" applyBorder="1" applyAlignment="1">
      <alignment/>
    </xf>
    <xf numFmtId="3" fontId="0" fillId="0" borderId="83" xfId="0" applyNumberFormat="1" applyBorder="1" applyAlignment="1">
      <alignment/>
    </xf>
    <xf numFmtId="4" fontId="0" fillId="62" borderId="89" xfId="0" applyNumberFormat="1" applyFill="1" applyBorder="1" applyAlignment="1">
      <alignment wrapText="1"/>
    </xf>
    <xf numFmtId="3" fontId="18" fillId="0" borderId="0" xfId="0" applyNumberFormat="1" applyFont="1" applyAlignment="1">
      <alignment/>
    </xf>
    <xf numFmtId="4" fontId="31" fillId="57" borderId="90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7" fillId="0" borderId="6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9" fillId="0" borderId="0" xfId="0" applyFont="1" applyAlignment="1">
      <alignment wrapText="1"/>
    </xf>
    <xf numFmtId="184" fontId="0" fillId="0" borderId="0" xfId="0" applyNumberFormat="1" applyAlignment="1">
      <alignment/>
    </xf>
    <xf numFmtId="16" fontId="9" fillId="0" borderId="0" xfId="0" applyNumberFormat="1" applyFont="1" applyAlignment="1">
      <alignment/>
    </xf>
    <xf numFmtId="0" fontId="9" fillId="56" borderId="68" xfId="0" applyFont="1" applyFill="1" applyBorder="1" applyAlignment="1">
      <alignment wrapText="1"/>
    </xf>
    <xf numFmtId="0" fontId="9" fillId="61" borderId="69" xfId="0" applyFont="1" applyFill="1" applyBorder="1" applyAlignment="1">
      <alignment wrapText="1"/>
    </xf>
    <xf numFmtId="0" fontId="9" fillId="61" borderId="91" xfId="0" applyFont="1" applyFill="1" applyBorder="1" applyAlignment="1">
      <alignment wrapText="1"/>
    </xf>
    <xf numFmtId="4" fontId="31" fillId="57" borderId="60" xfId="0" applyNumberFormat="1" applyFont="1" applyFill="1" applyBorder="1" applyAlignment="1">
      <alignment wrapText="1"/>
    </xf>
    <xf numFmtId="0" fontId="9" fillId="56" borderId="70" xfId="0" applyFont="1" applyFill="1" applyBorder="1" applyAlignment="1">
      <alignment/>
    </xf>
    <xf numFmtId="3" fontId="9" fillId="61" borderId="71" xfId="0" applyNumberFormat="1" applyFont="1" applyFill="1" applyBorder="1" applyAlignment="1">
      <alignment/>
    </xf>
    <xf numFmtId="0" fontId="38" fillId="0" borderId="68" xfId="0" applyFont="1" applyBorder="1" applyAlignment="1">
      <alignment/>
    </xf>
    <xf numFmtId="0" fontId="38" fillId="0" borderId="60" xfId="0" applyFont="1" applyBorder="1" applyAlignment="1">
      <alignment/>
    </xf>
    <xf numFmtId="0" fontId="37" fillId="0" borderId="60" xfId="0" applyFont="1" applyBorder="1" applyAlignment="1">
      <alignment/>
    </xf>
    <xf numFmtId="0" fontId="38" fillId="66" borderId="60" xfId="0" applyFont="1" applyFill="1" applyBorder="1" applyAlignment="1">
      <alignment/>
    </xf>
    <xf numFmtId="0" fontId="37" fillId="0" borderId="60" xfId="0" applyFont="1" applyBorder="1" applyAlignment="1">
      <alignment/>
    </xf>
    <xf numFmtId="0" fontId="37" fillId="0" borderId="60" xfId="0" applyFont="1" applyBorder="1" applyAlignment="1">
      <alignment/>
    </xf>
    <xf numFmtId="0" fontId="38" fillId="0" borderId="60" xfId="0" applyFont="1" applyBorder="1" applyAlignment="1">
      <alignment/>
    </xf>
    <xf numFmtId="0" fontId="1" fillId="0" borderId="40" xfId="0" applyFont="1" applyBorder="1" applyAlignment="1">
      <alignment/>
    </xf>
    <xf numFmtId="3" fontId="8" fillId="0" borderId="40" xfId="0" applyNumberFormat="1" applyFont="1" applyBorder="1" applyAlignment="1">
      <alignment/>
    </xf>
    <xf numFmtId="0" fontId="1" fillId="0" borderId="69" xfId="0" applyFont="1" applyBorder="1" applyAlignment="1">
      <alignment/>
    </xf>
    <xf numFmtId="184" fontId="0" fillId="0" borderId="91" xfId="0" applyNumberFormat="1" applyBorder="1" applyAlignment="1">
      <alignment/>
    </xf>
    <xf numFmtId="184" fontId="9" fillId="0" borderId="85" xfId="0" applyNumberFormat="1" applyFont="1" applyBorder="1" applyAlignment="1">
      <alignment wrapText="1"/>
    </xf>
    <xf numFmtId="0" fontId="38" fillId="58" borderId="60" xfId="0" applyFont="1" applyFill="1" applyBorder="1" applyAlignment="1">
      <alignment/>
    </xf>
    <xf numFmtId="0" fontId="0" fillId="0" borderId="60" xfId="0" applyBorder="1" applyAlignment="1">
      <alignment/>
    </xf>
    <xf numFmtId="0" fontId="77" fillId="0" borderId="61" xfId="0" applyFont="1" applyBorder="1" applyAlignment="1">
      <alignment/>
    </xf>
    <xf numFmtId="3" fontId="26" fillId="0" borderId="83" xfId="0" applyNumberFormat="1" applyFont="1" applyBorder="1" applyAlignment="1">
      <alignment/>
    </xf>
    <xf numFmtId="4" fontId="31" fillId="57" borderId="92" xfId="0" applyNumberFormat="1" applyFont="1" applyFill="1" applyBorder="1" applyAlignment="1">
      <alignment wrapText="1"/>
    </xf>
    <xf numFmtId="0" fontId="20" fillId="0" borderId="40" xfId="0" applyFont="1" applyBorder="1" applyAlignment="1">
      <alignment/>
    </xf>
    <xf numFmtId="0" fontId="38" fillId="67" borderId="60" xfId="0" applyFont="1" applyFill="1" applyBorder="1" applyAlignment="1">
      <alignment/>
    </xf>
    <xf numFmtId="3" fontId="8" fillId="67" borderId="40" xfId="0" applyNumberFormat="1" applyFont="1" applyFill="1" applyBorder="1" applyAlignment="1">
      <alignment/>
    </xf>
    <xf numFmtId="1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9" fillId="0" borderId="68" xfId="0" applyFont="1" applyFill="1" applyBorder="1" applyAlignment="1">
      <alignment/>
    </xf>
    <xf numFmtId="1" fontId="9" fillId="0" borderId="91" xfId="0" applyNumberFormat="1" applyFont="1" applyFill="1" applyBorder="1" applyAlignment="1">
      <alignment horizontal="right"/>
    </xf>
    <xf numFmtId="0" fontId="0" fillId="0" borderId="60" xfId="0" applyFill="1" applyBorder="1" applyAlignment="1">
      <alignment/>
    </xf>
    <xf numFmtId="1" fontId="9" fillId="0" borderId="85" xfId="0" applyNumberFormat="1" applyFont="1" applyFill="1" applyBorder="1" applyAlignment="1">
      <alignment horizontal="right"/>
    </xf>
    <xf numFmtId="0" fontId="14" fillId="0" borderId="60" xfId="0" applyFont="1" applyFill="1" applyBorder="1" applyAlignment="1">
      <alignment/>
    </xf>
    <xf numFmtId="1" fontId="0" fillId="0" borderId="85" xfId="0" applyNumberForma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4" fillId="0" borderId="70" xfId="0" applyFont="1" applyFill="1" applyBorder="1" applyAlignment="1">
      <alignment/>
    </xf>
    <xf numFmtId="1" fontId="14" fillId="0" borderId="88" xfId="0" applyNumberFormat="1" applyFont="1" applyFill="1" applyBorder="1" applyAlignment="1">
      <alignment horizontal="right"/>
    </xf>
    <xf numFmtId="0" fontId="7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40" xfId="0" applyFont="1" applyBorder="1" applyAlignment="1">
      <alignment/>
    </xf>
    <xf numFmtId="3" fontId="25" fillId="0" borderId="40" xfId="0" applyNumberFormat="1" applyFont="1" applyBorder="1" applyAlignment="1">
      <alignment/>
    </xf>
    <xf numFmtId="0" fontId="18" fillId="0" borderId="40" xfId="0" applyFont="1" applyBorder="1" applyAlignment="1">
      <alignment/>
    </xf>
    <xf numFmtId="0" fontId="18" fillId="2" borderId="0" xfId="0" applyFont="1" applyFill="1" applyAlignment="1">
      <alignment/>
    </xf>
    <xf numFmtId="0" fontId="20" fillId="2" borderId="0" xfId="0" applyFont="1" applyFill="1" applyAlignment="1">
      <alignment/>
    </xf>
    <xf numFmtId="3" fontId="20" fillId="2" borderId="0" xfId="0" applyNumberFormat="1" applyFont="1" applyFill="1" applyAlignment="1">
      <alignment/>
    </xf>
    <xf numFmtId="4" fontId="9" fillId="61" borderId="69" xfId="0" applyNumberFormat="1" applyFont="1" applyFill="1" applyBorder="1" applyAlignment="1">
      <alignment wrapText="1"/>
    </xf>
    <xf numFmtId="4" fontId="20" fillId="0" borderId="40" xfId="0" applyNumberFormat="1" applyFont="1" applyBorder="1" applyAlignment="1">
      <alignment/>
    </xf>
    <xf numFmtId="4" fontId="20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3" fontId="79" fillId="0" borderId="0" xfId="0" applyNumberFormat="1" applyFont="1" applyAlignment="1">
      <alignment/>
    </xf>
    <xf numFmtId="4" fontId="31" fillId="57" borderId="70" xfId="0" applyNumberFormat="1" applyFont="1" applyFill="1" applyBorder="1" applyAlignment="1">
      <alignment wrapText="1"/>
    </xf>
    <xf numFmtId="3" fontId="0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2" fontId="0" fillId="62" borderId="40" xfId="0" applyNumberFormat="1" applyFill="1" applyBorder="1" applyAlignment="1">
      <alignment wrapText="1"/>
    </xf>
    <xf numFmtId="0" fontId="0" fillId="62" borderId="0" xfId="0" applyFont="1" applyFill="1" applyAlignment="1">
      <alignment/>
    </xf>
    <xf numFmtId="0" fontId="35" fillId="64" borderId="40" xfId="0" applyFont="1" applyFill="1" applyBorder="1" applyAlignment="1">
      <alignment horizontal="right" vertical="top" wrapText="1"/>
    </xf>
    <xf numFmtId="3" fontId="0" fillId="64" borderId="40" xfId="0" applyNumberFormat="1" applyFill="1" applyBorder="1" applyAlignment="1">
      <alignment/>
    </xf>
    <xf numFmtId="0" fontId="35" fillId="64" borderId="40" xfId="0" applyFont="1" applyFill="1" applyBorder="1" applyAlignment="1">
      <alignment horizontal="center" vertical="center" wrapText="1"/>
    </xf>
    <xf numFmtId="3" fontId="56" fillId="64" borderId="40" xfId="0" applyNumberFormat="1" applyFont="1" applyFill="1" applyBorder="1" applyAlignment="1">
      <alignment horizontal="center" vertical="center" wrapText="1"/>
    </xf>
    <xf numFmtId="3" fontId="9" fillId="59" borderId="40" xfId="0" applyNumberFormat="1" applyFont="1" applyFill="1" applyBorder="1" applyAlignment="1">
      <alignment/>
    </xf>
    <xf numFmtId="3" fontId="38" fillId="0" borderId="40" xfId="0" applyNumberFormat="1" applyFont="1" applyBorder="1" applyAlignment="1">
      <alignment/>
    </xf>
    <xf numFmtId="0" fontId="1" fillId="57" borderId="93" xfId="0" applyFont="1" applyFill="1" applyBorder="1" applyAlignment="1">
      <alignment/>
    </xf>
    <xf numFmtId="3" fontId="8" fillId="56" borderId="19" xfId="0" applyNumberFormat="1" applyFont="1" applyFill="1" applyBorder="1" applyAlignment="1">
      <alignment/>
    </xf>
    <xf numFmtId="3" fontId="6" fillId="56" borderId="94" xfId="0" applyNumberFormat="1" applyFont="1" applyFill="1" applyBorder="1" applyAlignment="1">
      <alignment/>
    </xf>
    <xf numFmtId="0" fontId="1" fillId="57" borderId="95" xfId="0" applyFont="1" applyFill="1" applyBorder="1" applyAlignment="1">
      <alignment/>
    </xf>
    <xf numFmtId="3" fontId="8" fillId="56" borderId="27" xfId="0" applyNumberFormat="1" applyFont="1" applyFill="1" applyBorder="1" applyAlignment="1">
      <alignment/>
    </xf>
    <xf numFmtId="0" fontId="42" fillId="0" borderId="40" xfId="0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5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2" fillId="0" borderId="40" xfId="0" applyFont="1" applyBorder="1" applyAlignment="1">
      <alignment/>
    </xf>
    <xf numFmtId="0" fontId="38" fillId="0" borderId="40" xfId="0" applyFont="1" applyBorder="1" applyAlignment="1">
      <alignment/>
    </xf>
    <xf numFmtId="0" fontId="42" fillId="0" borderId="40" xfId="0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5" fillId="0" borderId="40" xfId="0" applyNumberFormat="1" applyFont="1" applyBorder="1" applyAlignment="1">
      <alignment/>
    </xf>
    <xf numFmtId="0" fontId="44" fillId="62" borderId="29" xfId="0" applyFont="1" applyFill="1" applyBorder="1" applyAlignment="1">
      <alignment/>
    </xf>
    <xf numFmtId="0" fontId="0" fillId="62" borderId="40" xfId="0" applyFont="1" applyFill="1" applyBorder="1" applyAlignment="1">
      <alignment/>
    </xf>
    <xf numFmtId="3" fontId="44" fillId="62" borderId="0" xfId="0" applyNumberFormat="1" applyFont="1" applyFill="1" applyAlignment="1">
      <alignment/>
    </xf>
    <xf numFmtId="0" fontId="44" fillId="62" borderId="0" xfId="0" applyFont="1" applyFill="1" applyAlignment="1">
      <alignment/>
    </xf>
    <xf numFmtId="0" fontId="0" fillId="62" borderId="29" xfId="0" applyFont="1" applyFill="1" applyBorder="1" applyAlignment="1">
      <alignment/>
    </xf>
    <xf numFmtId="0" fontId="0" fillId="62" borderId="0" xfId="0" applyFont="1" applyFill="1" applyAlignment="1">
      <alignment/>
    </xf>
    <xf numFmtId="0" fontId="45" fillId="62" borderId="29" xfId="0" applyFont="1" applyFill="1" applyBorder="1" applyAlignment="1">
      <alignment/>
    </xf>
    <xf numFmtId="0" fontId="45" fillId="62" borderId="0" xfId="0" applyFont="1" applyFill="1" applyAlignment="1">
      <alignment/>
    </xf>
    <xf numFmtId="0" fontId="0" fillId="62" borderId="40" xfId="0" applyFont="1" applyFill="1" applyBorder="1" applyAlignment="1">
      <alignment/>
    </xf>
    <xf numFmtId="182" fontId="0" fillId="62" borderId="40" xfId="0" applyNumberFormat="1" applyFont="1" applyFill="1" applyBorder="1" applyAlignment="1">
      <alignment/>
    </xf>
    <xf numFmtId="0" fontId="0" fillId="62" borderId="40" xfId="0" applyFont="1" applyFill="1" applyBorder="1" applyAlignment="1">
      <alignment/>
    </xf>
    <xf numFmtId="182" fontId="0" fillId="62" borderId="40" xfId="0" applyNumberFormat="1" applyFont="1" applyFill="1" applyBorder="1" applyAlignment="1">
      <alignment/>
    </xf>
    <xf numFmtId="3" fontId="0" fillId="62" borderId="40" xfId="0" applyNumberFormat="1" applyFont="1" applyFill="1" applyBorder="1" applyAlignment="1">
      <alignment/>
    </xf>
    <xf numFmtId="0" fontId="45" fillId="62" borderId="43" xfId="0" applyFont="1" applyFill="1" applyBorder="1" applyAlignment="1">
      <alignment/>
    </xf>
    <xf numFmtId="0" fontId="9" fillId="62" borderId="29" xfId="0" applyFont="1" applyFill="1" applyBorder="1" applyAlignment="1">
      <alignment horizontal="right"/>
    </xf>
    <xf numFmtId="0" fontId="44" fillId="62" borderId="31" xfId="0" applyFont="1" applyFill="1" applyBorder="1" applyAlignment="1">
      <alignment/>
    </xf>
    <xf numFmtId="4" fontId="0" fillId="62" borderId="40" xfId="0" applyNumberFormat="1" applyFont="1" applyFill="1" applyBorder="1" applyAlignment="1">
      <alignment wrapText="1"/>
    </xf>
    <xf numFmtId="4" fontId="125" fillId="0" borderId="40" xfId="0" applyNumberFormat="1" applyFont="1" applyFill="1" applyBorder="1" applyAlignment="1">
      <alignment wrapText="1"/>
    </xf>
    <xf numFmtId="0" fontId="126" fillId="0" borderId="40" xfId="0" applyFont="1" applyFill="1" applyBorder="1" applyAlignment="1">
      <alignment wrapText="1"/>
    </xf>
    <xf numFmtId="0" fontId="126" fillId="62" borderId="40" xfId="0" applyFont="1" applyFill="1" applyBorder="1" applyAlignment="1">
      <alignment wrapText="1"/>
    </xf>
    <xf numFmtId="0" fontId="127" fillId="0" borderId="40" xfId="0" applyFont="1" applyFill="1" applyBorder="1" applyAlignment="1">
      <alignment wrapText="1"/>
    </xf>
    <xf numFmtId="4" fontId="80" fillId="62" borderId="40" xfId="0" applyNumberFormat="1" applyFont="1" applyFill="1" applyBorder="1" applyAlignment="1">
      <alignment wrapText="1"/>
    </xf>
    <xf numFmtId="0" fontId="126" fillId="0" borderId="0" xfId="0" applyFont="1" applyAlignment="1">
      <alignment/>
    </xf>
    <xf numFmtId="0" fontId="7" fillId="0" borderId="68" xfId="0" applyFont="1" applyBorder="1" applyAlignment="1">
      <alignment/>
    </xf>
    <xf numFmtId="2" fontId="7" fillId="0" borderId="91" xfId="0" applyNumberFormat="1" applyFont="1" applyBorder="1" applyAlignment="1">
      <alignment horizontal="center" wrapText="1"/>
    </xf>
    <xf numFmtId="14" fontId="1" fillId="0" borderId="60" xfId="0" applyNumberFormat="1" applyFont="1" applyBorder="1" applyAlignment="1">
      <alignment/>
    </xf>
    <xf numFmtId="2" fontId="2" fillId="0" borderId="85" xfId="0" applyNumberFormat="1" applyFont="1" applyBorder="1" applyAlignment="1">
      <alignment wrapText="1"/>
    </xf>
    <xf numFmtId="0" fontId="2" fillId="62" borderId="60" xfId="0" applyFont="1" applyFill="1" applyBorder="1" applyAlignment="1">
      <alignment/>
    </xf>
    <xf numFmtId="2" fontId="22" fillId="62" borderId="85" xfId="0" applyNumberFormat="1" applyFont="1" applyFill="1" applyBorder="1" applyAlignment="1">
      <alignment wrapText="1"/>
    </xf>
    <xf numFmtId="2" fontId="2" fillId="62" borderId="85" xfId="0" applyNumberFormat="1" applyFont="1" applyFill="1" applyBorder="1" applyAlignment="1">
      <alignment wrapText="1"/>
    </xf>
    <xf numFmtId="0" fontId="0" fillId="62" borderId="85" xfId="0" applyFont="1" applyFill="1" applyBorder="1" applyAlignment="1">
      <alignment/>
    </xf>
    <xf numFmtId="2" fontId="33" fillId="62" borderId="85" xfId="0" applyNumberFormat="1" applyFont="1" applyFill="1" applyBorder="1" applyAlignment="1">
      <alignment wrapText="1"/>
    </xf>
    <xf numFmtId="2" fontId="76" fillId="62" borderId="85" xfId="0" applyNumberFormat="1" applyFont="1" applyFill="1" applyBorder="1" applyAlignment="1">
      <alignment wrapText="1"/>
    </xf>
    <xf numFmtId="0" fontId="38" fillId="68" borderId="78" xfId="0" applyFont="1" applyFill="1" applyBorder="1" applyAlignment="1">
      <alignment/>
    </xf>
    <xf numFmtId="3" fontId="38" fillId="68" borderId="79" xfId="0" applyNumberFormat="1" applyFont="1" applyFill="1" applyBorder="1" applyAlignment="1">
      <alignment/>
    </xf>
    <xf numFmtId="2" fontId="37" fillId="68" borderId="87" xfId="0" applyNumberFormat="1" applyFont="1" applyFill="1" applyBorder="1" applyAlignment="1">
      <alignment wrapText="1"/>
    </xf>
    <xf numFmtId="0" fontId="1" fillId="62" borderId="68" xfId="0" applyFont="1" applyFill="1" applyBorder="1" applyAlignment="1">
      <alignment/>
    </xf>
    <xf numFmtId="2" fontId="2" fillId="62" borderId="91" xfId="0" applyNumberFormat="1" applyFont="1" applyFill="1" applyBorder="1" applyAlignment="1">
      <alignment wrapText="1"/>
    </xf>
    <xf numFmtId="0" fontId="2" fillId="0" borderId="60" xfId="0" applyFont="1" applyBorder="1" applyAlignment="1">
      <alignment/>
    </xf>
    <xf numFmtId="2" fontId="23" fillId="0" borderId="85" xfId="0" applyNumberFormat="1" applyFont="1" applyBorder="1" applyAlignment="1">
      <alignment wrapText="1"/>
    </xf>
    <xf numFmtId="0" fontId="128" fillId="0" borderId="60" xfId="0" applyFont="1" applyBorder="1" applyAlignment="1">
      <alignment/>
    </xf>
    <xf numFmtId="2" fontId="129" fillId="0" borderId="85" xfId="0" applyNumberFormat="1" applyFont="1" applyBorder="1" applyAlignment="1">
      <alignment wrapText="1"/>
    </xf>
    <xf numFmtId="2" fontId="128" fillId="0" borderId="85" xfId="0" applyNumberFormat="1" applyFont="1" applyBorder="1" applyAlignment="1">
      <alignment wrapText="1"/>
    </xf>
    <xf numFmtId="0" fontId="1" fillId="0" borderId="60" xfId="0" applyFont="1" applyBorder="1" applyAlignment="1">
      <alignment/>
    </xf>
    <xf numFmtId="0" fontId="1" fillId="69" borderId="78" xfId="0" applyFont="1" applyFill="1" applyBorder="1" applyAlignment="1">
      <alignment/>
    </xf>
    <xf numFmtId="3" fontId="38" fillId="69" borderId="79" xfId="0" applyNumberFormat="1" applyFont="1" applyFill="1" applyBorder="1" applyAlignment="1">
      <alignment/>
    </xf>
    <xf numFmtId="2" fontId="2" fillId="69" borderId="87" xfId="0" applyNumberFormat="1" applyFont="1" applyFill="1" applyBorder="1" applyAlignment="1">
      <alignment wrapText="1"/>
    </xf>
    <xf numFmtId="3" fontId="38" fillId="0" borderId="40" xfId="0" applyNumberFormat="1" applyFont="1" applyBorder="1" applyAlignment="1">
      <alignment horizontal="right"/>
    </xf>
    <xf numFmtId="0" fontId="1" fillId="0" borderId="68" xfId="0" applyFont="1" applyBorder="1" applyAlignment="1">
      <alignment/>
    </xf>
    <xf numFmtId="2" fontId="2" fillId="0" borderId="91" xfId="0" applyNumberFormat="1" applyFont="1" applyBorder="1" applyAlignment="1">
      <alignment wrapText="1"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1" fillId="0" borderId="60" xfId="0" applyFont="1" applyBorder="1" applyAlignment="1">
      <alignment/>
    </xf>
    <xf numFmtId="0" fontId="1" fillId="0" borderId="78" xfId="0" applyFont="1" applyBorder="1" applyAlignment="1">
      <alignment/>
    </xf>
    <xf numFmtId="3" fontId="37" fillId="0" borderId="79" xfId="0" applyNumberFormat="1" applyFont="1" applyBorder="1" applyAlignment="1">
      <alignment horizontal="right"/>
    </xf>
    <xf numFmtId="2" fontId="2" fillId="0" borderId="87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38" fillId="0" borderId="40" xfId="0" applyNumberFormat="1" applyFont="1" applyBorder="1" applyAlignment="1">
      <alignment horizontal="right"/>
    </xf>
    <xf numFmtId="2" fontId="1" fillId="0" borderId="85" xfId="0" applyNumberFormat="1" applyFont="1" applyBorder="1" applyAlignment="1">
      <alignment wrapText="1"/>
    </xf>
    <xf numFmtId="0" fontId="1" fillId="70" borderId="70" xfId="0" applyFont="1" applyFill="1" applyBorder="1" applyAlignment="1">
      <alignment/>
    </xf>
    <xf numFmtId="3" fontId="43" fillId="70" borderId="71" xfId="0" applyNumberFormat="1" applyFont="1" applyFill="1" applyBorder="1" applyAlignment="1">
      <alignment horizontal="right"/>
    </xf>
    <xf numFmtId="2" fontId="2" fillId="70" borderId="88" xfId="0" applyNumberFormat="1" applyFont="1" applyFill="1" applyBorder="1" applyAlignment="1">
      <alignment wrapText="1"/>
    </xf>
    <xf numFmtId="3" fontId="18" fillId="0" borderId="40" xfId="0" applyNumberFormat="1" applyFont="1" applyBorder="1" applyAlignment="1">
      <alignment/>
    </xf>
    <xf numFmtId="2" fontId="17" fillId="0" borderId="68" xfId="0" applyNumberFormat="1" applyFont="1" applyBorder="1" applyAlignment="1">
      <alignment wrapText="1"/>
    </xf>
    <xf numFmtId="0" fontId="0" fillId="0" borderId="69" xfId="0" applyFont="1" applyBorder="1" applyAlignment="1">
      <alignment/>
    </xf>
    <xf numFmtId="0" fontId="0" fillId="0" borderId="91" xfId="0" applyFont="1" applyBorder="1" applyAlignment="1">
      <alignment/>
    </xf>
    <xf numFmtId="2" fontId="17" fillId="0" borderId="60" xfId="0" applyNumberFormat="1" applyFont="1" applyBorder="1" applyAlignment="1">
      <alignment wrapText="1"/>
    </xf>
    <xf numFmtId="0" fontId="0" fillId="0" borderId="85" xfId="0" applyFont="1" applyBorder="1" applyAlignment="1">
      <alignment/>
    </xf>
    <xf numFmtId="2" fontId="17" fillId="62" borderId="60" xfId="0" applyNumberFormat="1" applyFont="1" applyFill="1" applyBorder="1" applyAlignment="1">
      <alignment wrapText="1"/>
    </xf>
    <xf numFmtId="2" fontId="34" fillId="62" borderId="60" xfId="0" applyNumberFormat="1" applyFont="1" applyFill="1" applyBorder="1" applyAlignment="1">
      <alignment vertical="top" wrapText="1"/>
    </xf>
    <xf numFmtId="2" fontId="34" fillId="0" borderId="60" xfId="0" applyNumberFormat="1" applyFont="1" applyFill="1" applyBorder="1" applyAlignment="1">
      <alignment vertical="top" wrapText="1"/>
    </xf>
    <xf numFmtId="0" fontId="108" fillId="0" borderId="60" xfId="66" applyFont="1" applyFill="1" applyBorder="1" applyAlignment="1">
      <alignment/>
    </xf>
    <xf numFmtId="2" fontId="0" fillId="0" borderId="60" xfId="0" applyNumberFormat="1" applyFont="1" applyBorder="1" applyAlignment="1">
      <alignment wrapText="1"/>
    </xf>
    <xf numFmtId="2" fontId="17" fillId="55" borderId="70" xfId="0" applyNumberFormat="1" applyFont="1" applyFill="1" applyBorder="1" applyAlignment="1">
      <alignment wrapText="1"/>
    </xf>
    <xf numFmtId="0" fontId="0" fillId="0" borderId="88" xfId="0" applyFont="1" applyBorder="1" applyAlignment="1">
      <alignment/>
    </xf>
    <xf numFmtId="3" fontId="9" fillId="61" borderId="88" xfId="0" applyNumberFormat="1" applyFont="1" applyFill="1" applyBorder="1" applyAlignment="1">
      <alignment/>
    </xf>
    <xf numFmtId="3" fontId="9" fillId="61" borderId="69" xfId="0" applyNumberFormat="1" applyFont="1" applyFill="1" applyBorder="1" applyAlignment="1">
      <alignment wrapText="1"/>
    </xf>
    <xf numFmtId="3" fontId="31" fillId="57" borderId="40" xfId="0" applyNumberFormat="1" applyFont="1" applyFill="1" applyBorder="1" applyAlignment="1">
      <alignment wrapText="1"/>
    </xf>
    <xf numFmtId="3" fontId="31" fillId="57" borderId="60" xfId="0" applyNumberFormat="1" applyFont="1" applyFill="1" applyBorder="1" applyAlignment="1">
      <alignment wrapText="1"/>
    </xf>
    <xf numFmtId="3" fontId="31" fillId="57" borderId="92" xfId="0" applyNumberFormat="1" applyFont="1" applyFill="1" applyBorder="1" applyAlignment="1">
      <alignment wrapText="1"/>
    </xf>
    <xf numFmtId="3" fontId="0" fillId="0" borderId="81" xfId="0" applyNumberFormat="1" applyBorder="1" applyAlignment="1">
      <alignment/>
    </xf>
    <xf numFmtId="3" fontId="9" fillId="0" borderId="81" xfId="0" applyNumberFormat="1" applyFont="1" applyBorder="1" applyAlignment="1">
      <alignment/>
    </xf>
    <xf numFmtId="1" fontId="9" fillId="0" borderId="69" xfId="0" applyNumberFormat="1" applyFont="1" applyBorder="1" applyAlignment="1">
      <alignment horizontal="center" vertical="center"/>
    </xf>
    <xf numFmtId="1" fontId="9" fillId="0" borderId="91" xfId="0" applyNumberFormat="1" applyFont="1" applyBorder="1" applyAlignment="1">
      <alignment horizontal="center" vertical="center"/>
    </xf>
    <xf numFmtId="3" fontId="9" fillId="0" borderId="85" xfId="0" applyNumberFormat="1" applyFont="1" applyBorder="1" applyAlignment="1">
      <alignment/>
    </xf>
    <xf numFmtId="0" fontId="121" fillId="62" borderId="60" xfId="0" applyFont="1" applyFill="1" applyBorder="1" applyAlignment="1">
      <alignment horizontal="left" vertical="top" wrapText="1"/>
    </xf>
    <xf numFmtId="3" fontId="124" fillId="0" borderId="85" xfId="0" applyNumberFormat="1" applyFont="1" applyBorder="1" applyAlignment="1">
      <alignment/>
    </xf>
    <xf numFmtId="4" fontId="35" fillId="64" borderId="60" xfId="0" applyNumberFormat="1" applyFont="1" applyFill="1" applyBorder="1" applyAlignment="1">
      <alignment horizontal="left" vertical="top" wrapText="1"/>
    </xf>
    <xf numFmtId="3" fontId="124" fillId="64" borderId="85" xfId="0" applyNumberFormat="1" applyFont="1" applyFill="1" applyBorder="1" applyAlignment="1">
      <alignment/>
    </xf>
    <xf numFmtId="0" fontId="35" fillId="64" borderId="60" xfId="0" applyFont="1" applyFill="1" applyBorder="1" applyAlignment="1">
      <alignment horizontal="left" vertical="top" wrapText="1"/>
    </xf>
    <xf numFmtId="0" fontId="35" fillId="62" borderId="60" xfId="0" applyFont="1" applyFill="1" applyBorder="1" applyAlignment="1">
      <alignment horizontal="left" vertical="top" wrapText="1"/>
    </xf>
    <xf numFmtId="0" fontId="35" fillId="18" borderId="60" xfId="0" applyFont="1" applyFill="1" applyBorder="1" applyAlignment="1">
      <alignment horizontal="left" vertical="top" wrapText="1"/>
    </xf>
    <xf numFmtId="3" fontId="9" fillId="18" borderId="85" xfId="0" applyNumberFormat="1" applyFont="1" applyFill="1" applyBorder="1" applyAlignment="1">
      <alignment/>
    </xf>
    <xf numFmtId="0" fontId="56" fillId="62" borderId="60" xfId="0" applyFont="1" applyFill="1" applyBorder="1" applyAlignment="1">
      <alignment horizontal="left" vertical="top" wrapText="1"/>
    </xf>
    <xf numFmtId="0" fontId="9" fillId="65" borderId="60" xfId="0" applyFont="1" applyFill="1" applyBorder="1" applyAlignment="1">
      <alignment/>
    </xf>
    <xf numFmtId="3" fontId="9" fillId="65" borderId="85" xfId="0" applyNumberFormat="1" applyFont="1" applyFill="1" applyBorder="1" applyAlignment="1">
      <alignment/>
    </xf>
    <xf numFmtId="0" fontId="9" fillId="65" borderId="70" xfId="0" applyFont="1" applyFill="1" applyBorder="1" applyAlignment="1">
      <alignment/>
    </xf>
    <xf numFmtId="0" fontId="9" fillId="65" borderId="71" xfId="0" applyFont="1" applyFill="1" applyBorder="1" applyAlignment="1">
      <alignment/>
    </xf>
    <xf numFmtId="3" fontId="9" fillId="65" borderId="71" xfId="0" applyNumberFormat="1" applyFont="1" applyFill="1" applyBorder="1" applyAlignment="1">
      <alignment/>
    </xf>
    <xf numFmtId="3" fontId="9" fillId="65" borderId="88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3" fontId="41" fillId="60" borderId="82" xfId="0" applyNumberFormat="1" applyFont="1" applyFill="1" applyBorder="1" applyAlignment="1">
      <alignment horizontal="right"/>
    </xf>
    <xf numFmtId="3" fontId="41" fillId="57" borderId="82" xfId="0" applyNumberFormat="1" applyFont="1" applyFill="1" applyBorder="1" applyAlignment="1">
      <alignment/>
    </xf>
    <xf numFmtId="0" fontId="41" fillId="0" borderId="96" xfId="0" applyFont="1" applyBorder="1" applyAlignment="1">
      <alignment/>
    </xf>
    <xf numFmtId="0" fontId="41" fillId="0" borderId="82" xfId="0" applyFont="1" applyBorder="1" applyAlignment="1">
      <alignment horizontal="center"/>
    </xf>
    <xf numFmtId="3" fontId="17" fillId="56" borderId="82" xfId="0" applyNumberFormat="1" applyFont="1" applyFill="1" applyBorder="1" applyAlignment="1">
      <alignment/>
    </xf>
    <xf numFmtId="3" fontId="48" fillId="57" borderId="82" xfId="0" applyNumberFormat="1" applyFont="1" applyFill="1" applyBorder="1" applyAlignment="1">
      <alignment horizontal="right"/>
    </xf>
    <xf numFmtId="3" fontId="48" fillId="57" borderId="97" xfId="0" applyNumberFormat="1" applyFont="1" applyFill="1" applyBorder="1" applyAlignment="1">
      <alignment horizontal="right"/>
    </xf>
    <xf numFmtId="3" fontId="41" fillId="57" borderId="98" xfId="0" applyNumberFormat="1" applyFont="1" applyFill="1" applyBorder="1" applyAlignment="1">
      <alignment/>
    </xf>
    <xf numFmtId="1" fontId="9" fillId="0" borderId="96" xfId="0" applyNumberFormat="1" applyFont="1" applyBorder="1" applyAlignment="1">
      <alignment horizontal="center" vertical="center"/>
    </xf>
    <xf numFmtId="3" fontId="9" fillId="0" borderId="82" xfId="0" applyNumberFormat="1" applyFont="1" applyBorder="1" applyAlignment="1">
      <alignment/>
    </xf>
    <xf numFmtId="3" fontId="124" fillId="0" borderId="82" xfId="0" applyNumberFormat="1" applyFont="1" applyBorder="1" applyAlignment="1">
      <alignment/>
    </xf>
    <xf numFmtId="3" fontId="122" fillId="0" borderId="82" xfId="0" applyNumberFormat="1" applyFont="1" applyBorder="1" applyAlignment="1">
      <alignment/>
    </xf>
    <xf numFmtId="3" fontId="0" fillId="64" borderId="82" xfId="0" applyNumberFormat="1" applyFill="1" applyBorder="1" applyAlignment="1">
      <alignment/>
    </xf>
    <xf numFmtId="3" fontId="9" fillId="18" borderId="82" xfId="0" applyNumberFormat="1" applyFont="1" applyFill="1" applyBorder="1" applyAlignment="1">
      <alignment/>
    </xf>
    <xf numFmtId="3" fontId="0" fillId="18" borderId="82" xfId="0" applyNumberFormat="1" applyFill="1" applyBorder="1" applyAlignment="1">
      <alignment/>
    </xf>
    <xf numFmtId="0" fontId="12" fillId="0" borderId="96" xfId="0" applyFont="1" applyBorder="1" applyAlignment="1">
      <alignment/>
    </xf>
    <xf numFmtId="3" fontId="38" fillId="62" borderId="82" xfId="0" applyNumberFormat="1" applyFont="1" applyFill="1" applyBorder="1" applyAlignment="1">
      <alignment/>
    </xf>
    <xf numFmtId="3" fontId="38" fillId="62" borderId="96" xfId="0" applyNumberFormat="1" applyFont="1" applyFill="1" applyBorder="1" applyAlignment="1">
      <alignment/>
    </xf>
    <xf numFmtId="3" fontId="38" fillId="0" borderId="82" xfId="0" applyNumberFormat="1" applyFont="1" applyBorder="1" applyAlignment="1">
      <alignment/>
    </xf>
    <xf numFmtId="3" fontId="130" fillId="0" borderId="82" xfId="0" applyNumberFormat="1" applyFont="1" applyBorder="1" applyAlignment="1">
      <alignment/>
    </xf>
    <xf numFmtId="3" fontId="38" fillId="0" borderId="96" xfId="0" applyNumberFormat="1" applyFont="1" applyBorder="1" applyAlignment="1">
      <alignment/>
    </xf>
    <xf numFmtId="3" fontId="38" fillId="0" borderId="82" xfId="0" applyNumberFormat="1" applyFont="1" applyFill="1" applyBorder="1" applyAlignment="1">
      <alignment/>
    </xf>
    <xf numFmtId="3" fontId="46" fillId="0" borderId="82" xfId="0" applyNumberFormat="1" applyFont="1" applyFill="1" applyBorder="1" applyAlignment="1">
      <alignment/>
    </xf>
    <xf numFmtId="3" fontId="37" fillId="0" borderId="96" xfId="0" applyNumberFormat="1" applyFont="1" applyBorder="1" applyAlignment="1">
      <alignment/>
    </xf>
    <xf numFmtId="3" fontId="37" fillId="0" borderId="82" xfId="0" applyNumberFormat="1" applyFont="1" applyBorder="1" applyAlignment="1">
      <alignment/>
    </xf>
    <xf numFmtId="3" fontId="38" fillId="0" borderId="82" xfId="0" applyNumberFormat="1" applyFont="1" applyBorder="1" applyAlignment="1">
      <alignment/>
    </xf>
    <xf numFmtId="3" fontId="41" fillId="60" borderId="40" xfId="0" applyNumberFormat="1" applyFont="1" applyFill="1" applyBorder="1" applyAlignment="1">
      <alignment/>
    </xf>
    <xf numFmtId="3" fontId="41" fillId="71" borderId="40" xfId="0" applyNumberFormat="1" applyFont="1" applyFill="1" applyBorder="1" applyAlignment="1">
      <alignment/>
    </xf>
    <xf numFmtId="3" fontId="17" fillId="71" borderId="40" xfId="0" applyNumberFormat="1" applyFont="1" applyFill="1" applyBorder="1" applyAlignment="1">
      <alignment/>
    </xf>
    <xf numFmtId="0" fontId="0" fillId="0" borderId="81" xfId="0" applyBorder="1" applyAlignment="1">
      <alignment/>
    </xf>
    <xf numFmtId="0" fontId="55" fillId="0" borderId="81" xfId="0" applyFont="1" applyBorder="1" applyAlignment="1">
      <alignment horizontal="center"/>
    </xf>
    <xf numFmtId="3" fontId="47" fillId="56" borderId="40" xfId="0" applyNumberFormat="1" applyFont="1" applyFill="1" applyBorder="1" applyAlignment="1">
      <alignment/>
    </xf>
    <xf numFmtId="3" fontId="47" fillId="56" borderId="79" xfId="0" applyNumberFormat="1" applyFont="1" applyFill="1" applyBorder="1" applyAlignment="1">
      <alignment/>
    </xf>
    <xf numFmtId="3" fontId="17" fillId="21" borderId="40" xfId="0" applyNumberFormat="1" applyFont="1" applyFill="1" applyBorder="1" applyAlignment="1">
      <alignment/>
    </xf>
    <xf numFmtId="3" fontId="13" fillId="0" borderId="82" xfId="0" applyNumberFormat="1" applyFont="1" applyBorder="1" applyAlignment="1">
      <alignment/>
    </xf>
    <xf numFmtId="3" fontId="9" fillId="62" borderId="8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126" fillId="62" borderId="4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5" fillId="21" borderId="60" xfId="0" applyFont="1" applyFill="1" applyBorder="1" applyAlignment="1">
      <alignment horizontal="left" vertical="top" wrapText="1"/>
    </xf>
    <xf numFmtId="0" fontId="35" fillId="21" borderId="40" xfId="0" applyFont="1" applyFill="1" applyBorder="1" applyAlignment="1">
      <alignment horizontal="right" vertical="top" wrapText="1"/>
    </xf>
    <xf numFmtId="3" fontId="0" fillId="21" borderId="40" xfId="0" applyNumberFormat="1" applyFont="1" applyFill="1" applyBorder="1" applyAlignment="1">
      <alignment/>
    </xf>
    <xf numFmtId="0" fontId="35" fillId="21" borderId="40" xfId="0" applyFont="1" applyFill="1" applyBorder="1" applyAlignment="1">
      <alignment horizontal="center" vertical="center" wrapText="1"/>
    </xf>
    <xf numFmtId="3" fontId="56" fillId="21" borderId="40" xfId="0" applyNumberFormat="1" applyFont="1" applyFill="1" applyBorder="1" applyAlignment="1">
      <alignment horizontal="center" vertical="center" wrapText="1"/>
    </xf>
    <xf numFmtId="3" fontId="0" fillId="21" borderId="40" xfId="0" applyNumberFormat="1" applyFill="1" applyBorder="1" applyAlignment="1">
      <alignment/>
    </xf>
    <xf numFmtId="3" fontId="82" fillId="0" borderId="40" xfId="0" applyNumberFormat="1" applyFont="1" applyFill="1" applyBorder="1" applyAlignment="1">
      <alignment horizontal="center" vertical="center" wrapText="1"/>
    </xf>
    <xf numFmtId="3" fontId="41" fillId="64" borderId="73" xfId="0" applyNumberFormat="1" applyFont="1" applyFill="1" applyBorder="1" applyAlignment="1">
      <alignment/>
    </xf>
    <xf numFmtId="3" fontId="37" fillId="64" borderId="73" xfId="0" applyNumberFormat="1" applyFont="1" applyFill="1" applyBorder="1" applyAlignment="1">
      <alignment/>
    </xf>
    <xf numFmtId="3" fontId="0" fillId="64" borderId="99" xfId="0" applyNumberFormat="1" applyFont="1" applyFill="1" applyBorder="1" applyAlignment="1">
      <alignment/>
    </xf>
    <xf numFmtId="3" fontId="41" fillId="0" borderId="73" xfId="0" applyNumberFormat="1" applyFont="1" applyFill="1" applyBorder="1" applyAlignment="1">
      <alignment/>
    </xf>
    <xf numFmtId="3" fontId="37" fillId="0" borderId="73" xfId="0" applyNumberFormat="1" applyFont="1" applyFill="1" applyBorder="1" applyAlignment="1">
      <alignment/>
    </xf>
    <xf numFmtId="3" fontId="0" fillId="64" borderId="33" xfId="0" applyNumberFormat="1" applyFont="1" applyFill="1" applyBorder="1" applyAlignment="1">
      <alignment/>
    </xf>
    <xf numFmtId="3" fontId="83" fillId="0" borderId="40" xfId="0" applyNumberFormat="1" applyFont="1" applyBorder="1" applyAlignment="1">
      <alignment horizontal="center" vertical="center" wrapText="1"/>
    </xf>
    <xf numFmtId="3" fontId="83" fillId="0" borderId="40" xfId="0" applyNumberFormat="1" applyFont="1" applyFill="1" applyBorder="1" applyAlignment="1">
      <alignment horizontal="center" vertical="center" wrapText="1"/>
    </xf>
    <xf numFmtId="3" fontId="83" fillId="21" borderId="40" xfId="0" applyNumberFormat="1" applyFont="1" applyFill="1" applyBorder="1" applyAlignment="1">
      <alignment horizontal="center" vertical="center" wrapText="1"/>
    </xf>
    <xf numFmtId="3" fontId="83" fillId="21" borderId="82" xfId="0" applyNumberFormat="1" applyFont="1" applyFill="1" applyBorder="1" applyAlignment="1">
      <alignment horizontal="center" vertical="center" wrapText="1"/>
    </xf>
    <xf numFmtId="3" fontId="83" fillId="21" borderId="85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/>
    </xf>
    <xf numFmtId="0" fontId="0" fillId="72" borderId="0" xfId="0" applyFont="1" applyFill="1" applyAlignment="1">
      <alignment/>
    </xf>
    <xf numFmtId="3" fontId="117" fillId="0" borderId="100" xfId="0" applyNumberFormat="1" applyFont="1" applyFill="1" applyBorder="1" applyAlignment="1">
      <alignment/>
    </xf>
    <xf numFmtId="0" fontId="126" fillId="64" borderId="40" xfId="0" applyFont="1" applyFill="1" applyBorder="1" applyAlignment="1">
      <alignment wrapText="1"/>
    </xf>
    <xf numFmtId="3" fontId="8" fillId="56" borderId="94" xfId="0" applyNumberFormat="1" applyFont="1" applyFill="1" applyBorder="1" applyAlignment="1">
      <alignment/>
    </xf>
    <xf numFmtId="3" fontId="7" fillId="57" borderId="67" xfId="0" applyNumberFormat="1" applyFont="1" applyFill="1" applyBorder="1" applyAlignment="1">
      <alignment/>
    </xf>
    <xf numFmtId="2" fontId="34" fillId="0" borderId="78" xfId="0" applyNumberFormat="1" applyFont="1" applyFill="1" applyBorder="1" applyAlignment="1">
      <alignment vertical="top" wrapText="1"/>
    </xf>
    <xf numFmtId="0" fontId="0" fillId="0" borderId="87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0" fillId="55" borderId="40" xfId="0" applyNumberFormat="1" applyFill="1" applyBorder="1" applyAlignment="1">
      <alignment/>
    </xf>
    <xf numFmtId="3" fontId="26" fillId="0" borderId="80" xfId="0" applyNumberFormat="1" applyFont="1" applyBorder="1" applyAlignment="1">
      <alignment/>
    </xf>
    <xf numFmtId="3" fontId="31" fillId="57" borderId="81" xfId="0" applyNumberFormat="1" applyFont="1" applyFill="1" applyBorder="1" applyAlignment="1">
      <alignment wrapText="1"/>
    </xf>
    <xf numFmtId="3" fontId="31" fillId="57" borderId="101" xfId="0" applyNumberFormat="1" applyFont="1" applyFill="1" applyBorder="1" applyAlignment="1">
      <alignment wrapText="1"/>
    </xf>
    <xf numFmtId="3" fontId="0" fillId="0" borderId="89" xfId="0" applyNumberFormat="1" applyBorder="1" applyAlignment="1">
      <alignment/>
    </xf>
    <xf numFmtId="3" fontId="31" fillId="57" borderId="102" xfId="0" applyNumberFormat="1" applyFont="1" applyFill="1" applyBorder="1" applyAlignment="1">
      <alignment wrapText="1"/>
    </xf>
    <xf numFmtId="3" fontId="0" fillId="0" borderId="79" xfId="0" applyNumberFormat="1" applyBorder="1" applyAlignment="1">
      <alignment/>
    </xf>
    <xf numFmtId="0" fontId="0" fillId="0" borderId="81" xfId="0" applyBorder="1" applyAlignment="1">
      <alignment horizontal="center" vertical="center"/>
    </xf>
    <xf numFmtId="3" fontId="25" fillId="64" borderId="40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/>
    </xf>
    <xf numFmtId="3" fontId="41" fillId="0" borderId="72" xfId="0" applyNumberFormat="1" applyFont="1" applyFill="1" applyBorder="1" applyAlignment="1">
      <alignment/>
    </xf>
    <xf numFmtId="3" fontId="41" fillId="0" borderId="103" xfId="0" applyNumberFormat="1" applyFont="1" applyFill="1" applyBorder="1" applyAlignment="1">
      <alignment/>
    </xf>
    <xf numFmtId="3" fontId="41" fillId="0" borderId="10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81" fillId="0" borderId="40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17" fillId="0" borderId="0" xfId="0" applyFont="1" applyAlignment="1">
      <alignment/>
    </xf>
    <xf numFmtId="0" fontId="9" fillId="62" borderId="0" xfId="0" applyFont="1" applyFill="1" applyAlignment="1">
      <alignment/>
    </xf>
    <xf numFmtId="3" fontId="53" fillId="0" borderId="40" xfId="0" applyNumberFormat="1" applyFont="1" applyFill="1" applyBorder="1" applyAlignment="1">
      <alignment/>
    </xf>
    <xf numFmtId="3" fontId="131" fillId="0" borderId="40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4" fillId="0" borderId="40" xfId="0" applyNumberFormat="1" applyFont="1" applyFill="1" applyBorder="1" applyAlignment="1">
      <alignment wrapText="1"/>
    </xf>
    <xf numFmtId="3" fontId="84" fillId="0" borderId="40" xfId="0" applyNumberFormat="1" applyFont="1" applyFill="1" applyBorder="1" applyAlignment="1">
      <alignment/>
    </xf>
    <xf numFmtId="3" fontId="132" fillId="0" borderId="40" xfId="0" applyNumberFormat="1" applyFont="1" applyFill="1" applyBorder="1" applyAlignment="1">
      <alignment wrapText="1"/>
    </xf>
    <xf numFmtId="3" fontId="132" fillId="0" borderId="40" xfId="0" applyNumberFormat="1" applyFont="1" applyFill="1" applyBorder="1" applyAlignment="1">
      <alignment/>
    </xf>
    <xf numFmtId="3" fontId="132" fillId="62" borderId="40" xfId="0" applyNumberFormat="1" applyFont="1" applyFill="1" applyBorder="1" applyAlignment="1">
      <alignment/>
    </xf>
    <xf numFmtId="3" fontId="133" fillId="0" borderId="40" xfId="0" applyNumberFormat="1" applyFont="1" applyFill="1" applyBorder="1" applyAlignment="1">
      <alignment/>
    </xf>
    <xf numFmtId="3" fontId="84" fillId="61" borderId="40" xfId="0" applyNumberFormat="1" applyFont="1" applyFill="1" applyBorder="1" applyAlignment="1">
      <alignment/>
    </xf>
    <xf numFmtId="3" fontId="134" fillId="0" borderId="40" xfId="111" applyNumberFormat="1" applyFont="1" applyBorder="1">
      <alignment/>
      <protection/>
    </xf>
    <xf numFmtId="3" fontId="84" fillId="62" borderId="40" xfId="0" applyNumberFormat="1" applyFont="1" applyFill="1" applyBorder="1" applyAlignment="1">
      <alignment/>
    </xf>
    <xf numFmtId="3" fontId="85" fillId="55" borderId="40" xfId="0" applyNumberFormat="1" applyFont="1" applyFill="1" applyBorder="1" applyAlignment="1">
      <alignment/>
    </xf>
    <xf numFmtId="3" fontId="17" fillId="62" borderId="89" xfId="0" applyNumberFormat="1" applyFont="1" applyFill="1" applyBorder="1" applyAlignment="1">
      <alignment/>
    </xf>
    <xf numFmtId="198" fontId="0" fillId="0" borderId="0" xfId="0" applyNumberFormat="1" applyAlignment="1">
      <alignment/>
    </xf>
    <xf numFmtId="198" fontId="0" fillId="0" borderId="40" xfId="0" applyNumberFormat="1" applyBorder="1" applyAlignment="1">
      <alignment/>
    </xf>
    <xf numFmtId="3" fontId="0" fillId="0" borderId="0" xfId="0" applyNumberFormat="1" applyFill="1" applyAlignment="1">
      <alignment/>
    </xf>
    <xf numFmtId="4" fontId="117" fillId="0" borderId="0" xfId="0" applyNumberFormat="1" applyFont="1" applyBorder="1" applyAlignment="1">
      <alignment wrapText="1"/>
    </xf>
    <xf numFmtId="3" fontId="117" fillId="0" borderId="0" xfId="0" applyNumberFormat="1" applyFont="1" applyBorder="1" applyAlignment="1">
      <alignment/>
    </xf>
    <xf numFmtId="3" fontId="84" fillId="64" borderId="40" xfId="0" applyNumberFormat="1" applyFont="1" applyFill="1" applyBorder="1" applyAlignment="1">
      <alignment wrapText="1"/>
    </xf>
    <xf numFmtId="3" fontId="84" fillId="0" borderId="40" xfId="0" applyNumberFormat="1" applyFont="1" applyBorder="1" applyAlignment="1">
      <alignment/>
    </xf>
    <xf numFmtId="3" fontId="86" fillId="62" borderId="40" xfId="0" applyNumberFormat="1" applyFont="1" applyFill="1" applyBorder="1" applyAlignment="1">
      <alignment horizontal="right" vertical="top" wrapText="1"/>
    </xf>
    <xf numFmtId="3" fontId="86" fillId="0" borderId="40" xfId="0" applyNumberFormat="1" applyFont="1" applyFill="1" applyBorder="1" applyAlignment="1">
      <alignment horizontal="right" vertical="top" wrapText="1"/>
    </xf>
    <xf numFmtId="0" fontId="84" fillId="0" borderId="40" xfId="0" applyFont="1" applyBorder="1" applyAlignment="1">
      <alignment/>
    </xf>
    <xf numFmtId="3" fontId="86" fillId="0" borderId="79" xfId="0" applyNumberFormat="1" applyFont="1" applyFill="1" applyBorder="1" applyAlignment="1">
      <alignment horizontal="right" vertical="top" wrapText="1"/>
    </xf>
    <xf numFmtId="3" fontId="86" fillId="55" borderId="71" xfId="0" applyNumberFormat="1" applyFont="1" applyFill="1" applyBorder="1" applyAlignment="1">
      <alignment/>
    </xf>
    <xf numFmtId="4" fontId="0" fillId="62" borderId="89" xfId="0" applyNumberFormat="1" applyFont="1" applyFill="1" applyBorder="1" applyAlignment="1">
      <alignment wrapText="1"/>
    </xf>
    <xf numFmtId="3" fontId="135" fillId="57" borderId="40" xfId="0" applyNumberFormat="1" applyFont="1" applyFill="1" applyBorder="1" applyAlignment="1">
      <alignment wrapText="1"/>
    </xf>
    <xf numFmtId="1" fontId="0" fillId="0" borderId="85" xfId="0" applyNumberFormat="1" applyFont="1" applyFill="1" applyBorder="1" applyAlignment="1">
      <alignment horizontal="right"/>
    </xf>
    <xf numFmtId="3" fontId="32" fillId="0" borderId="60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0" fontId="34" fillId="0" borderId="40" xfId="0" applyFont="1" applyBorder="1" applyAlignment="1">
      <alignment horizontal="center" vertical="center" wrapText="1"/>
    </xf>
    <xf numFmtId="0" fontId="34" fillId="0" borderId="40" xfId="0" applyFont="1" applyBorder="1" applyAlignment="1">
      <alignment vertical="center" wrapText="1"/>
    </xf>
    <xf numFmtId="3" fontId="34" fillId="0" borderId="40" xfId="0" applyNumberFormat="1" applyFont="1" applyBorder="1" applyAlignment="1">
      <alignment horizontal="right" vertical="center" wrapText="1"/>
    </xf>
    <xf numFmtId="3" fontId="34" fillId="0" borderId="40" xfId="0" applyNumberFormat="1" applyFont="1" applyBorder="1" applyAlignment="1">
      <alignment vertical="center" wrapText="1"/>
    </xf>
    <xf numFmtId="3" fontId="34" fillId="0" borderId="40" xfId="0" applyNumberFormat="1" applyFont="1" applyBorder="1" applyAlignment="1">
      <alignment/>
    </xf>
    <xf numFmtId="0" fontId="0" fillId="0" borderId="100" xfId="0" applyFill="1" applyBorder="1" applyAlignment="1">
      <alignment/>
    </xf>
    <xf numFmtId="3" fontId="136" fillId="0" borderId="0" xfId="0" applyNumberFormat="1" applyFont="1" applyAlignment="1">
      <alignment/>
    </xf>
    <xf numFmtId="3" fontId="137" fillId="0" borderId="0" xfId="0" applyNumberFormat="1" applyFont="1" applyAlignment="1">
      <alignment/>
    </xf>
    <xf numFmtId="3" fontId="0" fillId="0" borderId="97" xfId="0" applyNumberFormat="1" applyBorder="1" applyAlignment="1">
      <alignment/>
    </xf>
    <xf numFmtId="3" fontId="0" fillId="0" borderId="92" xfId="0" applyNumberFormat="1" applyBorder="1" applyAlignment="1">
      <alignment/>
    </xf>
    <xf numFmtId="0" fontId="0" fillId="0" borderId="97" xfId="0" applyBorder="1" applyAlignment="1">
      <alignment/>
    </xf>
    <xf numFmtId="0" fontId="0" fillId="0" borderId="82" xfId="0" applyBorder="1" applyAlignment="1">
      <alignment/>
    </xf>
    <xf numFmtId="0" fontId="0" fillId="0" borderId="105" xfId="0" applyBorder="1" applyAlignment="1">
      <alignment/>
    </xf>
    <xf numFmtId="0" fontId="0" fillId="0" borderId="79" xfId="0" applyBorder="1" applyAlignment="1">
      <alignment/>
    </xf>
    <xf numFmtId="3" fontId="138" fillId="0" borderId="79" xfId="0" applyNumberFormat="1" applyFont="1" applyBorder="1" applyAlignment="1">
      <alignment/>
    </xf>
    <xf numFmtId="3" fontId="0" fillId="0" borderId="79" xfId="0" applyNumberFormat="1" applyFill="1" applyBorder="1" applyAlignment="1">
      <alignment/>
    </xf>
    <xf numFmtId="3" fontId="0" fillId="0" borderId="106" xfId="0" applyNumberFormat="1" applyBorder="1" applyAlignment="1">
      <alignment/>
    </xf>
    <xf numFmtId="3" fontId="136" fillId="0" borderId="101" xfId="0" applyNumberFormat="1" applyFont="1" applyBorder="1" applyAlignment="1">
      <alignment/>
    </xf>
    <xf numFmtId="0" fontId="0" fillId="0" borderId="106" xfId="0" applyBorder="1" applyAlignment="1">
      <alignment/>
    </xf>
    <xf numFmtId="0" fontId="139" fillId="0" borderId="89" xfId="0" applyFont="1" applyBorder="1" applyAlignment="1">
      <alignment/>
    </xf>
    <xf numFmtId="3" fontId="137" fillId="0" borderId="89" xfId="0" applyNumberFormat="1" applyFont="1" applyBorder="1" applyAlignment="1">
      <alignment/>
    </xf>
    <xf numFmtId="3" fontId="136" fillId="0" borderId="40" xfId="0" applyNumberFormat="1" applyFont="1" applyBorder="1" applyAlignment="1">
      <alignment/>
    </xf>
    <xf numFmtId="0" fontId="117" fillId="0" borderId="82" xfId="0" applyFont="1" applyBorder="1" applyAlignment="1">
      <alignment/>
    </xf>
    <xf numFmtId="3" fontId="117" fillId="0" borderId="40" xfId="0" applyNumberFormat="1" applyFont="1" applyBorder="1" applyAlignment="1">
      <alignment/>
    </xf>
    <xf numFmtId="2" fontId="0" fillId="0" borderId="40" xfId="0" applyNumberFormat="1" applyBorder="1" applyAlignment="1">
      <alignment/>
    </xf>
    <xf numFmtId="0" fontId="117" fillId="0" borderId="106" xfId="0" applyFont="1" applyBorder="1" applyAlignment="1">
      <alignment/>
    </xf>
    <xf numFmtId="3" fontId="117" fillId="0" borderId="89" xfId="0" applyNumberFormat="1" applyFont="1" applyBorder="1" applyAlignment="1">
      <alignment/>
    </xf>
    <xf numFmtId="3" fontId="117" fillId="0" borderId="82" xfId="0" applyNumberFormat="1" applyFont="1" applyBorder="1" applyAlignment="1">
      <alignment/>
    </xf>
    <xf numFmtId="0" fontId="117" fillId="0" borderId="89" xfId="0" applyFont="1" applyBorder="1" applyAlignment="1">
      <alignment/>
    </xf>
    <xf numFmtId="4" fontId="0" fillId="0" borderId="89" xfId="0" applyNumberFormat="1" applyBorder="1" applyAlignment="1">
      <alignment/>
    </xf>
    <xf numFmtId="3" fontId="140" fillId="0" borderId="0" xfId="0" applyNumberFormat="1" applyFont="1" applyAlignment="1">
      <alignment/>
    </xf>
    <xf numFmtId="3" fontId="6" fillId="56" borderId="24" xfId="0" applyNumberFormat="1" applyFont="1" applyFill="1" applyBorder="1" applyAlignment="1">
      <alignment/>
    </xf>
    <xf numFmtId="3" fontId="41" fillId="0" borderId="107" xfId="0" applyNumberFormat="1" applyFont="1" applyFill="1" applyBorder="1" applyAlignment="1">
      <alignment/>
    </xf>
    <xf numFmtId="3" fontId="41" fillId="0" borderId="24" xfId="0" applyNumberFormat="1" applyFont="1" applyFill="1" applyBorder="1" applyAlignment="1">
      <alignment/>
    </xf>
    <xf numFmtId="3" fontId="41" fillId="0" borderId="108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41" fillId="0" borderId="109" xfId="0" applyNumberFormat="1" applyFont="1" applyFill="1" applyBorder="1" applyAlignment="1">
      <alignment/>
    </xf>
    <xf numFmtId="0" fontId="0" fillId="0" borderId="109" xfId="0" applyBorder="1" applyAlignment="1">
      <alignment/>
    </xf>
    <xf numFmtId="3" fontId="41" fillId="0" borderId="109" xfId="0" applyNumberFormat="1" applyFont="1" applyBorder="1" applyAlignment="1">
      <alignment/>
    </xf>
    <xf numFmtId="3" fontId="41" fillId="62" borderId="109" xfId="0" applyNumberFormat="1" applyFont="1" applyFill="1" applyBorder="1" applyAlignment="1">
      <alignment/>
    </xf>
    <xf numFmtId="3" fontId="41" fillId="64" borderId="110" xfId="0" applyNumberFormat="1" applyFont="1" applyFill="1" applyBorder="1" applyAlignment="1">
      <alignment/>
    </xf>
    <xf numFmtId="0" fontId="0" fillId="0" borderId="111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110" xfId="0" applyBorder="1" applyAlignment="1">
      <alignment/>
    </xf>
    <xf numFmtId="3" fontId="41" fillId="0" borderId="111" xfId="0" applyNumberFormat="1" applyFont="1" applyBorder="1" applyAlignment="1">
      <alignment/>
    </xf>
    <xf numFmtId="0" fontId="0" fillId="0" borderId="54" xfId="0" applyBorder="1" applyAlignment="1">
      <alignment/>
    </xf>
    <xf numFmtId="3" fontId="41" fillId="0" borderId="110" xfId="0" applyNumberFormat="1" applyFont="1" applyBorder="1" applyAlignment="1">
      <alignment/>
    </xf>
    <xf numFmtId="3" fontId="41" fillId="0" borderId="54" xfId="0" applyNumberFormat="1" applyFont="1" applyBorder="1" applyAlignment="1">
      <alignment/>
    </xf>
    <xf numFmtId="0" fontId="41" fillId="0" borderId="54" xfId="0" applyFont="1" applyBorder="1" applyAlignment="1">
      <alignment/>
    </xf>
    <xf numFmtId="3" fontId="41" fillId="0" borderId="111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41" fillId="0" borderId="51" xfId="0" applyNumberFormat="1" applyFont="1" applyBorder="1" applyAlignment="1">
      <alignment/>
    </xf>
    <xf numFmtId="0" fontId="141" fillId="0" borderId="21" xfId="0" applyFont="1" applyBorder="1" applyAlignment="1">
      <alignment/>
    </xf>
    <xf numFmtId="0" fontId="141" fillId="0" borderId="0" xfId="0" applyFont="1" applyAlignment="1">
      <alignment/>
    </xf>
    <xf numFmtId="0" fontId="141" fillId="0" borderId="0" xfId="0" applyFont="1" applyBorder="1" applyAlignment="1">
      <alignment/>
    </xf>
    <xf numFmtId="0" fontId="124" fillId="0" borderId="0" xfId="0" applyFont="1" applyAlignment="1">
      <alignment/>
    </xf>
    <xf numFmtId="0" fontId="142" fillId="0" borderId="69" xfId="0" applyFont="1" applyBorder="1" applyAlignment="1">
      <alignment horizontal="center"/>
    </xf>
    <xf numFmtId="0" fontId="142" fillId="0" borderId="40" xfId="0" applyFont="1" applyBorder="1" applyAlignment="1">
      <alignment horizontal="center"/>
    </xf>
    <xf numFmtId="0" fontId="122" fillId="0" borderId="65" xfId="0" applyFont="1" applyBorder="1" applyAlignment="1">
      <alignment/>
    </xf>
    <xf numFmtId="184" fontId="0" fillId="0" borderId="96" xfId="0" applyNumberFormat="1" applyBorder="1" applyAlignment="1">
      <alignment/>
    </xf>
    <xf numFmtId="184" fontId="9" fillId="0" borderId="82" xfId="0" applyNumberFormat="1" applyFont="1" applyBorder="1" applyAlignment="1">
      <alignment wrapText="1"/>
    </xf>
    <xf numFmtId="184" fontId="0" fillId="0" borderId="82" xfId="0" applyNumberFormat="1" applyFont="1" applyBorder="1" applyAlignment="1">
      <alignment/>
    </xf>
    <xf numFmtId="3" fontId="17" fillId="0" borderId="82" xfId="0" applyNumberFormat="1" applyFont="1" applyBorder="1" applyAlignment="1">
      <alignment/>
    </xf>
    <xf numFmtId="0" fontId="124" fillId="0" borderId="40" xfId="0" applyFont="1" applyBorder="1" applyAlignment="1">
      <alignment/>
    </xf>
    <xf numFmtId="0" fontId="124" fillId="0" borderId="40" xfId="0" applyFont="1" applyBorder="1" applyAlignment="1">
      <alignment wrapText="1"/>
    </xf>
    <xf numFmtId="3" fontId="0" fillId="61" borderId="82" xfId="0" applyNumberFormat="1" applyFont="1" applyFill="1" applyBorder="1" applyAlignment="1">
      <alignment/>
    </xf>
    <xf numFmtId="3" fontId="30" fillId="55" borderId="82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62" borderId="40" xfId="0" applyNumberFormat="1" applyFont="1" applyFill="1" applyBorder="1" applyAlignment="1">
      <alignment/>
    </xf>
    <xf numFmtId="3" fontId="0" fillId="62" borderId="40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30" fillId="0" borderId="40" xfId="0" applyNumberFormat="1" applyFont="1" applyFill="1" applyBorder="1" applyAlignment="1">
      <alignment/>
    </xf>
    <xf numFmtId="3" fontId="124" fillId="61" borderId="69" xfId="0" applyNumberFormat="1" applyFont="1" applyFill="1" applyBorder="1" applyAlignment="1">
      <alignment wrapText="1"/>
    </xf>
    <xf numFmtId="184" fontId="9" fillId="0" borderId="82" xfId="0" applyNumberFormat="1" applyFont="1" applyBorder="1" applyAlignment="1">
      <alignment/>
    </xf>
    <xf numFmtId="0" fontId="122" fillId="0" borderId="112" xfId="0" applyFont="1" applyBorder="1" applyAlignment="1">
      <alignment/>
    </xf>
    <xf numFmtId="4" fontId="2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9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143" fillId="0" borderId="40" xfId="0" applyNumberFormat="1" applyFont="1" applyFill="1" applyBorder="1" applyAlignment="1">
      <alignment wrapText="1"/>
    </xf>
    <xf numFmtId="2" fontId="0" fillId="0" borderId="40" xfId="0" applyNumberFormat="1" applyFill="1" applyBorder="1" applyAlignment="1">
      <alignment wrapText="1"/>
    </xf>
    <xf numFmtId="0" fontId="0" fillId="0" borderId="0" xfId="0" applyFont="1" applyFill="1" applyAlignment="1">
      <alignment/>
    </xf>
  </cellXfs>
  <cellStyles count="11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Excel Built-in Normal" xfId="65"/>
    <cellStyle name="Excel Built-in Normal 1" xfId="66"/>
    <cellStyle name="Excel Built-in Normal 1 2" xfId="67"/>
    <cellStyle name="Excel Built-in Normal 2" xfId="68"/>
    <cellStyle name="Excel Built-in Normal 3" xfId="69"/>
    <cellStyle name="Comma" xfId="70"/>
    <cellStyle name="Comma [0]" xfId="71"/>
    <cellStyle name="Figyelmeztetés" xfId="72"/>
    <cellStyle name="Figyelmeztetés 2" xfId="73"/>
    <cellStyle name="Heading" xfId="74"/>
    <cellStyle name="Heading 1" xfId="75"/>
    <cellStyle name="Heading 1 2" xfId="76"/>
    <cellStyle name="Heading 2" xfId="77"/>
    <cellStyle name="Heading1" xfId="78"/>
    <cellStyle name="Heading1 1" xfId="79"/>
    <cellStyle name="Heading1 1 2" xfId="80"/>
    <cellStyle name="Heading1 2" xfId="81"/>
    <cellStyle name="Hyperlink" xfId="82"/>
    <cellStyle name="Hivatkozott cella" xfId="83"/>
    <cellStyle name="Hivatkozott cella 2" xfId="84"/>
    <cellStyle name="Jegyzet" xfId="85"/>
    <cellStyle name="Jegyzet 2" xfId="86"/>
    <cellStyle name="Jelölőszín (1)" xfId="87"/>
    <cellStyle name="Jelölőszín (1) 2" xfId="88"/>
    <cellStyle name="Jelölőszín (2)" xfId="89"/>
    <cellStyle name="Jelölőszín (2) 2" xfId="90"/>
    <cellStyle name="Jelölőszín (3)" xfId="91"/>
    <cellStyle name="Jelölőszín (3) 2" xfId="92"/>
    <cellStyle name="Jelölőszín (4)" xfId="93"/>
    <cellStyle name="Jelölőszín (4) 2" xfId="94"/>
    <cellStyle name="Jelölőszín (5)" xfId="95"/>
    <cellStyle name="Jelölőszín (5) 2" xfId="96"/>
    <cellStyle name="Jelölőszín (6)" xfId="97"/>
    <cellStyle name="Jelölőszín (6) 2" xfId="98"/>
    <cellStyle name="Jó" xfId="99"/>
    <cellStyle name="Jó 2" xfId="100"/>
    <cellStyle name="Kimenet" xfId="101"/>
    <cellStyle name="Kimenet 2" xfId="102"/>
    <cellStyle name="Followed Hyperlink" xfId="103"/>
    <cellStyle name="Magyarázó szöveg" xfId="104"/>
    <cellStyle name="Magyarázó szöveg 2" xfId="105"/>
    <cellStyle name="Magyarázó szöveg 3" xfId="106"/>
    <cellStyle name="Normál 2" xfId="107"/>
    <cellStyle name="Normál 2 2" xfId="108"/>
    <cellStyle name="Normál 3" xfId="109"/>
    <cellStyle name="Normál 3 2" xfId="110"/>
    <cellStyle name="Normál 4" xfId="111"/>
    <cellStyle name="Összesen" xfId="112"/>
    <cellStyle name="Összesen 2" xfId="113"/>
    <cellStyle name="Currency" xfId="114"/>
    <cellStyle name="Currency [0]" xfId="115"/>
    <cellStyle name="Result" xfId="116"/>
    <cellStyle name="Result 1" xfId="117"/>
    <cellStyle name="Result 1 2" xfId="118"/>
    <cellStyle name="Result 2" xfId="119"/>
    <cellStyle name="Result2" xfId="120"/>
    <cellStyle name="Result2 1" xfId="121"/>
    <cellStyle name="Result2 1 2" xfId="122"/>
    <cellStyle name="Result2 2" xfId="123"/>
    <cellStyle name="Rossz" xfId="124"/>
    <cellStyle name="Rossz 2" xfId="125"/>
    <cellStyle name="Semleges" xfId="126"/>
    <cellStyle name="Semleges 2" xfId="127"/>
    <cellStyle name="Számítás" xfId="128"/>
    <cellStyle name="Számítás 2" xfId="129"/>
    <cellStyle name="Percent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iroda\2018\04_koltsegvetes\bev&#233;tel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&#233;pvisel&#337;-test&#252;let%20nyilv&#225;nos%20&#252;l&#233;sek\2017\2017_03_10_rk_tu\Eloterjesztesek\04_koltsegvetes\kiad&#225;s201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v&#233;tel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ev&#233;tel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ev&#233;tel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ev&#233;tel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állami támogatások2017"/>
      <sheetName val="2018"/>
      <sheetName val="hatósági j és egyéb2017"/>
      <sheetName val="átvett eszköz"/>
      <sheetName val="létszámok"/>
      <sheetName val="Munka2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őző évi"/>
      <sheetName val="mérleg"/>
      <sheetName val="teljes kiadás"/>
      <sheetName val="MŰKÖDÉSI"/>
      <sheetName val="önkormányzat"/>
      <sheetName val="céltARTALÉK"/>
      <sheetName val="beruházás és felh. célú átadás"/>
      <sheetName val="pénzeszkö átadás2017"/>
      <sheetName val="eu támogatások"/>
      <sheetName val="önkormányzati támogatás"/>
      <sheetName val="felújítások (2)"/>
      <sheetName val="intézményfinanszírozás"/>
      <sheetName val="finanszírozás"/>
      <sheetName val="adósság"/>
      <sheetName val="közvetett támogatások"/>
      <sheetName val="gördülő"/>
      <sheetName val="kötelezettségvállalások"/>
      <sheetName val="megfelelés"/>
      <sheetName val="előirányzat"/>
      <sheetName val="likviditás"/>
      <sheetName val="Munka1"/>
    </sheetNames>
    <sheetDataSet>
      <sheetData sheetId="1">
        <row r="56">
          <cell r="F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2019"/>
      <sheetName val="hatósági j és egyéb2019"/>
      <sheetName val="átvett eszköz"/>
      <sheetName val="létszám"/>
    </sheetNames>
    <sheetDataSet>
      <sheetData sheetId="0">
        <row r="66">
          <cell r="M66">
            <v>329576506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2019"/>
      <sheetName val="hatósági j és egyéb2019"/>
      <sheetName val="átvett eszköz"/>
      <sheetName val="létszám"/>
    </sheetNames>
    <sheetDataSet>
      <sheetData sheetId="0">
        <row r="11">
          <cell r="O11">
            <v>872062322</v>
          </cell>
        </row>
        <row r="29">
          <cell r="O29">
            <v>461095000</v>
          </cell>
        </row>
        <row r="50">
          <cell r="O50">
            <v>97605000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2019"/>
      <sheetName val="hatósági j és egyéb2019"/>
      <sheetName val="átvett eszköz"/>
      <sheetName val="létszám"/>
      <sheetName val=""/>
    </sheetNames>
    <sheetDataSet>
      <sheetData sheetId="0">
        <row r="63">
          <cell r="O63">
            <v>656309960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2019"/>
      <sheetName val="hatósági j és egyéb2019"/>
      <sheetName val="átvett eszköz"/>
      <sheetName val="létszám"/>
    </sheetNames>
    <sheetDataSet>
      <sheetData sheetId="0">
        <row r="13">
          <cell r="O13">
            <v>407583671</v>
          </cell>
        </row>
        <row r="42">
          <cell r="O42">
            <v>239986175</v>
          </cell>
        </row>
        <row r="61">
          <cell r="O61">
            <v>61920000</v>
          </cell>
        </row>
        <row r="66">
          <cell r="B66">
            <v>4334029490</v>
          </cell>
          <cell r="C66">
            <v>14677954</v>
          </cell>
          <cell r="D66">
            <v>635000</v>
          </cell>
          <cell r="E66">
            <v>29110048</v>
          </cell>
          <cell r="F66">
            <v>581000</v>
          </cell>
          <cell r="G66">
            <v>119244973</v>
          </cell>
          <cell r="H66">
            <v>6837588</v>
          </cell>
          <cell r="I66">
            <v>4435852</v>
          </cell>
          <cell r="J66">
            <v>13386037</v>
          </cell>
          <cell r="K66">
            <v>2071753</v>
          </cell>
          <cell r="L66">
            <v>2026002</v>
          </cell>
          <cell r="N66">
            <v>86764580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95" zoomScaleNormal="95" zoomScalePageLayoutView="0" workbookViewId="0" topLeftCell="A4">
      <selection activeCell="M15" sqref="M15"/>
    </sheetView>
  </sheetViews>
  <sheetFormatPr defaultColWidth="10.8515625" defaultRowHeight="12.75"/>
  <cols>
    <col min="1" max="1" width="11.57421875" style="0" customWidth="1"/>
    <col min="2" max="2" width="13.28125" style="0" customWidth="1"/>
    <col min="3" max="3" width="14.57421875" style="0" customWidth="1"/>
    <col min="4" max="4" width="6.57421875" style="0" customWidth="1"/>
    <col min="5" max="5" width="7.8515625" style="0" hidden="1" customWidth="1"/>
    <col min="6" max="6" width="18.28125" style="61" customWidth="1"/>
    <col min="7" max="10" width="0" style="0" hidden="1" customWidth="1"/>
    <col min="11" max="11" width="15.00390625" style="0" bestFit="1" customWidth="1"/>
    <col min="12" max="12" width="12.421875" style="0" customWidth="1"/>
  </cols>
  <sheetData>
    <row r="1" spans="1:6" ht="15">
      <c r="A1" s="14" t="s">
        <v>1</v>
      </c>
      <c r="B1" s="14"/>
      <c r="C1" s="106"/>
      <c r="D1" s="47"/>
      <c r="E1" s="47"/>
      <c r="F1" s="163" t="s">
        <v>103</v>
      </c>
    </row>
    <row r="2" spans="1:6" ht="15">
      <c r="A2" s="14"/>
      <c r="B2" s="106" t="s">
        <v>157</v>
      </c>
      <c r="C2" s="47"/>
      <c r="D2" s="47"/>
      <c r="E2" s="47"/>
      <c r="F2" s="165"/>
    </row>
    <row r="3" spans="1:6" ht="16.5" thickBot="1">
      <c r="A3" s="107"/>
      <c r="B3" s="107"/>
      <c r="C3" s="107"/>
      <c r="D3" s="108"/>
      <c r="E3" s="108"/>
      <c r="F3" s="224"/>
    </row>
    <row r="4" spans="1:11" ht="13.5" thickBot="1">
      <c r="A4" s="109"/>
      <c r="B4" s="110"/>
      <c r="C4" s="111" t="s">
        <v>104</v>
      </c>
      <c r="D4" s="111"/>
      <c r="E4" s="50"/>
      <c r="F4" s="233">
        <v>2019</v>
      </c>
      <c r="K4" t="s">
        <v>522</v>
      </c>
    </row>
    <row r="5" spans="1:6" ht="16.5" thickBot="1">
      <c r="A5" s="112" t="s">
        <v>105</v>
      </c>
      <c r="B5" s="113"/>
      <c r="C5" s="113"/>
      <c r="D5" s="114"/>
      <c r="E5" s="115" t="s">
        <v>106</v>
      </c>
      <c r="F5" s="234" t="s">
        <v>432</v>
      </c>
    </row>
    <row r="6" spans="1:11" ht="14.25">
      <c r="A6" s="116" t="s">
        <v>107</v>
      </c>
      <c r="B6" s="117"/>
      <c r="C6" s="117"/>
      <c r="D6" s="117"/>
      <c r="E6" s="118"/>
      <c r="F6" s="672">
        <f>'[6]bevételek'!$O$42</f>
        <v>239986175</v>
      </c>
      <c r="K6" s="744">
        <v>239986175</v>
      </c>
    </row>
    <row r="7" spans="1:11" ht="14.25">
      <c r="A7" s="119" t="s">
        <v>297</v>
      </c>
      <c r="B7" s="120"/>
      <c r="C7" s="120"/>
      <c r="D7" s="120"/>
      <c r="E7" s="121"/>
      <c r="F7" s="673">
        <f>'[4]bevételek'!$O$29</f>
        <v>461095000</v>
      </c>
      <c r="K7" s="745">
        <f>'[4]bevételek'!$O$29</f>
        <v>461095000</v>
      </c>
    </row>
    <row r="8" spans="1:11" ht="14.25">
      <c r="A8" s="122" t="s">
        <v>108</v>
      </c>
      <c r="B8" s="123"/>
      <c r="C8" s="123"/>
      <c r="D8" s="123"/>
      <c r="E8" s="124"/>
      <c r="F8" s="674">
        <f>'[4]bevételek'!$O$11</f>
        <v>872062322</v>
      </c>
      <c r="K8" s="746">
        <f>'[4]bevételek'!$O$11</f>
        <v>872062322</v>
      </c>
    </row>
    <row r="9" spans="1:11" ht="14.25">
      <c r="A9" s="116"/>
      <c r="B9" s="117"/>
      <c r="C9" s="117"/>
      <c r="D9" s="117"/>
      <c r="E9" s="118"/>
      <c r="F9" s="645"/>
      <c r="K9" s="747"/>
    </row>
    <row r="10" spans="1:11" ht="14.25">
      <c r="A10" s="116" t="s">
        <v>109</v>
      </c>
      <c r="B10" s="117"/>
      <c r="C10" s="117"/>
      <c r="D10" s="117"/>
      <c r="E10" s="118"/>
      <c r="F10" s="237">
        <f>'[6]bevételek'!$O$13</f>
        <v>407583671</v>
      </c>
      <c r="H10" s="44"/>
      <c r="K10" s="748">
        <v>407583671</v>
      </c>
    </row>
    <row r="11" spans="1:11" ht="14.25">
      <c r="A11" s="116" t="s">
        <v>110</v>
      </c>
      <c r="B11" s="117"/>
      <c r="C11" s="117"/>
      <c r="D11" s="117"/>
      <c r="E11" s="118"/>
      <c r="F11" s="645">
        <v>54000000</v>
      </c>
      <c r="K11" s="748">
        <v>54000000</v>
      </c>
    </row>
    <row r="12" spans="1:11" ht="14.25">
      <c r="A12" s="116" t="s">
        <v>409</v>
      </c>
      <c r="B12" s="117"/>
      <c r="C12" s="117"/>
      <c r="D12" s="117"/>
      <c r="E12" s="118"/>
      <c r="F12" s="237">
        <v>31426346</v>
      </c>
      <c r="K12" s="748">
        <v>31426346</v>
      </c>
    </row>
    <row r="13" spans="1:11" ht="14.25">
      <c r="A13" s="116" t="s">
        <v>111</v>
      </c>
      <c r="B13" s="117"/>
      <c r="C13" s="117"/>
      <c r="D13" s="117"/>
      <c r="E13" s="118"/>
      <c r="F13" s="645"/>
      <c r="K13" s="749"/>
    </row>
    <row r="14" spans="1:12" ht="15" thickBot="1">
      <c r="A14" s="116" t="s">
        <v>112</v>
      </c>
      <c r="B14" s="117"/>
      <c r="C14" s="117"/>
      <c r="D14" s="117"/>
      <c r="E14" s="118"/>
      <c r="F14" s="642">
        <v>284572430</v>
      </c>
      <c r="K14" s="752">
        <f>'[5]bevételek'!$O$63-K38</f>
        <v>493572430</v>
      </c>
      <c r="L14" s="44"/>
    </row>
    <row r="15" spans="1:11" ht="15.75" thickBot="1">
      <c r="A15" s="125" t="s">
        <v>113</v>
      </c>
      <c r="B15" s="126"/>
      <c r="C15" s="126"/>
      <c r="D15" s="126"/>
      <c r="E15" s="127"/>
      <c r="F15" s="238">
        <f>SUM(F6:F14)</f>
        <v>2350725944</v>
      </c>
      <c r="K15" s="754">
        <f>SUM(K6:K14)</f>
        <v>2559725944</v>
      </c>
    </row>
    <row r="16" spans="1:11" ht="13.5" hidden="1" thickBot="1">
      <c r="A16" s="128"/>
      <c r="B16" s="50"/>
      <c r="C16" s="50"/>
      <c r="D16" s="50"/>
      <c r="E16" s="129"/>
      <c r="F16" s="239"/>
      <c r="K16" s="753"/>
    </row>
    <row r="17" spans="1:11" ht="13.5" hidden="1" thickBot="1">
      <c r="A17" s="130"/>
      <c r="D17" s="131"/>
      <c r="E17" s="52"/>
      <c r="F17" s="240"/>
      <c r="K17" s="755"/>
    </row>
    <row r="18" spans="1:11" ht="15.75" customHeight="1" thickBot="1">
      <c r="A18" s="132"/>
      <c r="B18" s="133" t="s">
        <v>114</v>
      </c>
      <c r="C18" s="133"/>
      <c r="D18" s="111"/>
      <c r="E18" s="127"/>
      <c r="F18" s="241" t="s">
        <v>115</v>
      </c>
      <c r="K18" s="757"/>
    </row>
    <row r="19" spans="1:12" ht="14.25">
      <c r="A19" s="116" t="s">
        <v>116</v>
      </c>
      <c r="B19" s="117"/>
      <c r="C19" s="117"/>
      <c r="D19" s="117"/>
      <c r="E19" s="134"/>
      <c r="F19" s="235">
        <f>MŰKÖDÉSI!D23</f>
        <v>871288220</v>
      </c>
      <c r="K19" s="756">
        <v>871288220</v>
      </c>
      <c r="L19" s="44"/>
    </row>
    <row r="20" spans="1:12" ht="14.25">
      <c r="A20" s="116" t="s">
        <v>117</v>
      </c>
      <c r="B20" s="117"/>
      <c r="C20" s="117"/>
      <c r="D20" s="117"/>
      <c r="E20" s="134"/>
      <c r="F20" s="236">
        <f>MŰKÖDÉSI!E23</f>
        <v>181364859.63</v>
      </c>
      <c r="K20" s="750">
        <v>181364860</v>
      </c>
      <c r="L20" s="44"/>
    </row>
    <row r="21" spans="1:12" ht="14.25">
      <c r="A21" s="116" t="s">
        <v>118</v>
      </c>
      <c r="B21" s="117"/>
      <c r="C21" s="117"/>
      <c r="D21" s="117"/>
      <c r="E21" s="134"/>
      <c r="F21" s="236">
        <f>MŰKÖDÉSI!F23</f>
        <v>673461530</v>
      </c>
      <c r="H21" s="44"/>
      <c r="K21" s="750">
        <f>673461530-19359444</f>
        <v>654102086</v>
      </c>
      <c r="L21" s="44"/>
    </row>
    <row r="22" spans="1:12" ht="14.25">
      <c r="A22" s="116" t="s">
        <v>119</v>
      </c>
      <c r="B22" s="117"/>
      <c r="C22" s="117"/>
      <c r="D22" s="117"/>
      <c r="E22" s="135"/>
      <c r="F22" s="237">
        <f>'teljes kiadás'!G24</f>
        <v>406697994</v>
      </c>
      <c r="H22" s="44"/>
      <c r="K22" s="750">
        <v>406697994</v>
      </c>
      <c r="L22" s="44"/>
    </row>
    <row r="23" spans="1:12" ht="14.25" customHeight="1">
      <c r="A23" s="116" t="s">
        <v>120</v>
      </c>
      <c r="B23" s="117"/>
      <c r="C23" s="117"/>
      <c r="D23" s="117"/>
      <c r="E23" s="136"/>
      <c r="F23" s="236"/>
      <c r="K23" s="750"/>
      <c r="L23" s="44"/>
    </row>
    <row r="24" spans="1:12" ht="14.25">
      <c r="A24" s="116" t="s">
        <v>121</v>
      </c>
      <c r="B24" s="117"/>
      <c r="C24" s="117"/>
      <c r="D24" s="117"/>
      <c r="E24" s="135"/>
      <c r="F24" s="237"/>
      <c r="K24" s="750"/>
      <c r="L24" s="44"/>
    </row>
    <row r="25" spans="1:12" ht="14.25">
      <c r="A25" s="116" t="s">
        <v>249</v>
      </c>
      <c r="B25" s="117"/>
      <c r="C25" s="117"/>
      <c r="D25" s="117"/>
      <c r="E25" s="134"/>
      <c r="F25" s="236">
        <f>kötelezettségvállalások!G64</f>
        <v>19359444</v>
      </c>
      <c r="K25" s="750">
        <v>19359444</v>
      </c>
      <c r="L25" s="44"/>
    </row>
    <row r="26" spans="1:12" ht="15" thickBot="1">
      <c r="A26" s="116" t="s">
        <v>122</v>
      </c>
      <c r="B26" s="117"/>
      <c r="C26" s="117"/>
      <c r="D26" s="117"/>
      <c r="E26" s="134"/>
      <c r="F26" s="642">
        <f>céltARTALÉK!B12+'teljes kiadás'!J9</f>
        <v>53019978</v>
      </c>
      <c r="H26" s="44"/>
      <c r="K26" s="758">
        <v>53019978</v>
      </c>
      <c r="L26" s="44"/>
    </row>
    <row r="27" spans="1:12" ht="15.75" thickBot="1">
      <c r="A27" s="125" t="s">
        <v>123</v>
      </c>
      <c r="B27" s="137"/>
      <c r="C27" s="137"/>
      <c r="D27" s="137"/>
      <c r="E27" s="138"/>
      <c r="F27" s="238">
        <f>SUM(F19:F26)</f>
        <v>2205192025.63</v>
      </c>
      <c r="K27" s="759">
        <f>SUM(K19:K26)</f>
        <v>2185832582</v>
      </c>
      <c r="L27" s="44"/>
    </row>
    <row r="28" spans="1:12" ht="15.75" thickBot="1">
      <c r="A28" s="185" t="s">
        <v>124</v>
      </c>
      <c r="B28" s="188"/>
      <c r="C28" s="188"/>
      <c r="D28" s="188"/>
      <c r="E28" s="188"/>
      <c r="F28" s="242">
        <f>F15-F27</f>
        <v>145533918.3699999</v>
      </c>
      <c r="K28" s="759">
        <f>K15-K27</f>
        <v>373893362</v>
      </c>
      <c r="L28" s="44"/>
    </row>
    <row r="29" spans="1:11" ht="16.5" thickBot="1">
      <c r="A29" s="109"/>
      <c r="B29" s="139"/>
      <c r="C29" s="140" t="s">
        <v>125</v>
      </c>
      <c r="D29" s="141"/>
      <c r="E29" s="142"/>
      <c r="F29" s="243" t="s">
        <v>450</v>
      </c>
      <c r="K29" s="760"/>
    </row>
    <row r="30" spans="1:11" ht="14.25">
      <c r="A30" s="143" t="s">
        <v>126</v>
      </c>
      <c r="B30" s="144"/>
      <c r="C30" s="144"/>
      <c r="D30" s="144"/>
      <c r="E30" s="145"/>
      <c r="F30" s="244"/>
      <c r="K30" s="753"/>
    </row>
    <row r="31" spans="1:12" ht="14.25">
      <c r="A31" s="116" t="s">
        <v>127</v>
      </c>
      <c r="B31" s="117"/>
      <c r="C31" s="117"/>
      <c r="D31" s="117"/>
      <c r="E31" s="146"/>
      <c r="F31" s="643">
        <f>1391807157+46417386</f>
        <v>1438224543</v>
      </c>
      <c r="K31" s="750">
        <v>1605204157</v>
      </c>
      <c r="L31" s="44"/>
    </row>
    <row r="32" spans="1:12" ht="14.25">
      <c r="A32" s="116" t="s">
        <v>128</v>
      </c>
      <c r="B32" s="117"/>
      <c r="C32" s="117"/>
      <c r="D32" s="117"/>
      <c r="E32" s="146"/>
      <c r="F32" s="646">
        <f>'[6]bevételek'!$O$61</f>
        <v>61920000</v>
      </c>
      <c r="K32" s="750">
        <v>61920000</v>
      </c>
      <c r="L32" s="44"/>
    </row>
    <row r="33" spans="1:12" ht="14.25">
      <c r="A33" s="116" t="s">
        <v>129</v>
      </c>
      <c r="B33" s="117"/>
      <c r="C33" s="117"/>
      <c r="D33" s="117"/>
      <c r="E33" s="146"/>
      <c r="F33" s="675"/>
      <c r="K33" s="750"/>
      <c r="L33" s="44"/>
    </row>
    <row r="34" spans="1:12" ht="14.25">
      <c r="A34" s="116" t="s">
        <v>146</v>
      </c>
      <c r="B34" s="117"/>
      <c r="C34" s="117"/>
      <c r="D34" s="117"/>
      <c r="E34" s="146"/>
      <c r="F34" s="646">
        <f>'[4]bevételek'!$O$50</f>
        <v>97605000</v>
      </c>
      <c r="K34" s="750">
        <v>97605000</v>
      </c>
      <c r="L34" s="44"/>
    </row>
    <row r="35" spans="1:12" ht="14.25">
      <c r="A35" s="116" t="s">
        <v>248</v>
      </c>
      <c r="B35" s="117"/>
      <c r="C35" s="117"/>
      <c r="D35" s="117"/>
      <c r="E35" s="146"/>
      <c r="F35" s="245"/>
      <c r="K35" s="750"/>
      <c r="L35" s="44"/>
    </row>
    <row r="36" spans="1:12" ht="14.25">
      <c r="A36" s="116" t="s">
        <v>130</v>
      </c>
      <c r="B36" s="117"/>
      <c r="C36" s="117"/>
      <c r="D36" s="117"/>
      <c r="E36" s="146"/>
      <c r="F36" s="245"/>
      <c r="K36" s="750"/>
      <c r="L36" s="44"/>
    </row>
    <row r="37" spans="1:12" ht="14.25">
      <c r="A37" s="116" t="s">
        <v>131</v>
      </c>
      <c r="B37" s="117"/>
      <c r="C37" s="117"/>
      <c r="D37" s="117"/>
      <c r="E37" s="146"/>
      <c r="F37" s="646">
        <f>finanszírozás!D74</f>
        <v>458554196</v>
      </c>
      <c r="K37" s="750">
        <v>458554196</v>
      </c>
      <c r="L37" s="44"/>
    </row>
    <row r="38" spans="1:12" ht="15" thickBot="1">
      <c r="A38" s="116" t="s">
        <v>132</v>
      </c>
      <c r="B38" s="117"/>
      <c r="C38" s="117"/>
      <c r="D38" s="117"/>
      <c r="E38" s="146"/>
      <c r="F38" s="643">
        <v>371737530</v>
      </c>
      <c r="K38" s="758">
        <f>finanszírozás!G74</f>
        <v>162737530</v>
      </c>
      <c r="L38" s="44"/>
    </row>
    <row r="39" spans="1:12" ht="15" thickBot="1">
      <c r="A39" s="147" t="s">
        <v>133</v>
      </c>
      <c r="B39" s="111"/>
      <c r="C39" s="111"/>
      <c r="D39" s="111"/>
      <c r="E39" s="111"/>
      <c r="F39" s="246">
        <f>SUM(F30:F38)</f>
        <v>2428041269</v>
      </c>
      <c r="K39" s="759">
        <f>K31+K32+K34+K37+K38</f>
        <v>2386020883</v>
      </c>
      <c r="L39" s="44"/>
    </row>
    <row r="40" spans="1:12" ht="15" thickBot="1">
      <c r="A40" s="147" t="s">
        <v>134</v>
      </c>
      <c r="B40" s="111"/>
      <c r="C40" s="111"/>
      <c r="D40" s="111"/>
      <c r="E40" s="111"/>
      <c r="F40" s="247">
        <f>F39+F15</f>
        <v>4778767213</v>
      </c>
      <c r="G40" s="44" t="e">
        <f>#REF!</f>
        <v>#REF!</v>
      </c>
      <c r="H40" s="44" t="e">
        <f>F40-G40</f>
        <v>#REF!</v>
      </c>
      <c r="I40" s="44" t="e">
        <f>#REF!</f>
        <v>#REF!</v>
      </c>
      <c r="J40" s="44" t="e">
        <f>F40-I40</f>
        <v>#REF!</v>
      </c>
      <c r="K40" s="759">
        <f>K39+K15</f>
        <v>4945746827</v>
      </c>
      <c r="L40" s="44"/>
    </row>
    <row r="41" spans="1:11" ht="14.25">
      <c r="A41" s="15"/>
      <c r="B41" s="15"/>
      <c r="C41" s="15"/>
      <c r="D41" s="15"/>
      <c r="E41" s="15"/>
      <c r="F41" s="248"/>
      <c r="K41" s="762"/>
    </row>
    <row r="42" spans="1:11" ht="15" thickBot="1">
      <c r="A42" s="15"/>
      <c r="B42" s="15"/>
      <c r="C42" s="15"/>
      <c r="D42" s="15"/>
      <c r="E42" s="15"/>
      <c r="F42" s="249"/>
      <c r="K42" s="763"/>
    </row>
    <row r="43" spans="1:11" ht="16.5" thickBot="1">
      <c r="A43" s="148" t="s">
        <v>135</v>
      </c>
      <c r="B43" s="15"/>
      <c r="C43" s="129"/>
      <c r="D43" s="129"/>
      <c r="E43" s="149"/>
      <c r="F43" s="250" t="s">
        <v>450</v>
      </c>
      <c r="K43" s="759"/>
    </row>
    <row r="44" spans="1:12" ht="16.5" thickBot="1">
      <c r="A44" s="143" t="s">
        <v>136</v>
      </c>
      <c r="B44" s="148"/>
      <c r="C44" s="144"/>
      <c r="D44" s="144"/>
      <c r="E44" s="150">
        <f>173014-28176-2152</f>
        <v>142686</v>
      </c>
      <c r="F44" s="251">
        <f>'beruházás és felh. célú átadás'!B44</f>
        <v>2219233767</v>
      </c>
      <c r="K44" s="761">
        <f>2403202781+2370044</f>
        <v>2405572825</v>
      </c>
      <c r="L44" s="44"/>
    </row>
    <row r="45" spans="1:12" ht="14.25">
      <c r="A45" s="116" t="s">
        <v>137</v>
      </c>
      <c r="B45" s="144"/>
      <c r="C45" s="117"/>
      <c r="D45" s="117"/>
      <c r="E45" s="151">
        <v>74070</v>
      </c>
      <c r="F45" s="647">
        <f>'felújítások (2)'!B35</f>
        <v>214852355</v>
      </c>
      <c r="H45" s="44"/>
      <c r="K45" s="750">
        <v>214852355</v>
      </c>
      <c r="L45" s="44"/>
    </row>
    <row r="46" spans="1:12" ht="14.25">
      <c r="A46" s="116" t="s">
        <v>138</v>
      </c>
      <c r="B46" s="117"/>
      <c r="C46" s="117"/>
      <c r="D46" s="117"/>
      <c r="E46" s="152"/>
      <c r="F46" s="252"/>
      <c r="K46" s="750"/>
      <c r="L46" s="44"/>
    </row>
    <row r="47" spans="1:12" ht="14.25">
      <c r="A47" s="116" t="s">
        <v>139</v>
      </c>
      <c r="B47" s="117"/>
      <c r="C47" s="117"/>
      <c r="D47" s="117"/>
      <c r="E47" s="153">
        <v>28176</v>
      </c>
      <c r="F47" s="252">
        <f>'beruházás és felh. célú átadás'!B46+'beruházás és felh. célú átadás'!B45</f>
        <v>0</v>
      </c>
      <c r="K47" s="750"/>
      <c r="L47" s="44"/>
    </row>
    <row r="48" spans="1:12" ht="14.25">
      <c r="A48" s="116" t="s">
        <v>140</v>
      </c>
      <c r="B48" s="117"/>
      <c r="C48" s="117"/>
      <c r="D48" s="117"/>
      <c r="E48" s="151"/>
      <c r="F48" s="252">
        <v>0</v>
      </c>
      <c r="K48" s="750"/>
      <c r="L48" s="44"/>
    </row>
    <row r="49" spans="1:12" ht="14.25">
      <c r="A49" s="116" t="s">
        <v>141</v>
      </c>
      <c r="B49" s="117"/>
      <c r="C49" s="117"/>
      <c r="D49" s="117"/>
      <c r="E49" s="152"/>
      <c r="F49" s="653">
        <f>'teljes kiadás'!L24</f>
        <v>7469065</v>
      </c>
      <c r="K49" s="750">
        <v>7469065</v>
      </c>
      <c r="L49" s="44"/>
    </row>
    <row r="50" spans="1:12" ht="15" thickBot="1">
      <c r="A50" s="116" t="s">
        <v>142</v>
      </c>
      <c r="B50" s="117"/>
      <c r="C50" s="117"/>
      <c r="D50" s="117"/>
      <c r="E50" s="153">
        <v>77640</v>
      </c>
      <c r="F50" s="644">
        <f>céltARTALÉK!B24</f>
        <v>132020000</v>
      </c>
      <c r="H50" s="44"/>
      <c r="K50" s="750">
        <v>132020000</v>
      </c>
      <c r="L50" s="44"/>
    </row>
    <row r="51" spans="1:12" ht="15.75" thickBot="1">
      <c r="A51" s="125" t="s">
        <v>143</v>
      </c>
      <c r="B51" s="117"/>
      <c r="C51" s="126"/>
      <c r="D51" s="126"/>
      <c r="E51" s="154" t="e">
        <f>E44+E45+E46+E47+E49+#REF!+E48+E50</f>
        <v>#REF!</v>
      </c>
      <c r="F51" s="253">
        <f>SUM(F44:F50)</f>
        <v>2573575187</v>
      </c>
      <c r="K51" s="750">
        <f>K44+K45+K49+K50</f>
        <v>2759914245</v>
      </c>
      <c r="L51" s="44"/>
    </row>
    <row r="52" spans="2:11" ht="15.75" thickBot="1">
      <c r="B52" s="126"/>
      <c r="K52" s="750"/>
    </row>
    <row r="53" spans="1:12" ht="15.75" thickBot="1">
      <c r="A53" s="125" t="s">
        <v>144</v>
      </c>
      <c r="C53" s="126"/>
      <c r="D53" s="137"/>
      <c r="E53" s="155">
        <v>0</v>
      </c>
      <c r="F53" s="254">
        <f>F51+F27</f>
        <v>4778767212.63</v>
      </c>
      <c r="G53" s="44">
        <f>'teljes kiadás'!M24</f>
        <v>4759407768.63</v>
      </c>
      <c r="H53" s="44">
        <f>G53-F53</f>
        <v>-19359444</v>
      </c>
      <c r="I53" s="44">
        <f>F53-F49</f>
        <v>4771298147.63</v>
      </c>
      <c r="K53" s="750">
        <f>K51+K27</f>
        <v>4945746827</v>
      </c>
      <c r="L53" s="44"/>
    </row>
    <row r="54" spans="1:12" ht="15.75" thickBot="1">
      <c r="A54" s="185" t="s">
        <v>145</v>
      </c>
      <c r="B54" s="329"/>
      <c r="C54" s="186"/>
      <c r="D54" s="186"/>
      <c r="E54" s="187"/>
      <c r="F54" s="255">
        <f>F39-F51</f>
        <v>-145533918</v>
      </c>
      <c r="K54" s="750">
        <f>K39-K51</f>
        <v>-373893362</v>
      </c>
      <c r="L54" s="44"/>
    </row>
    <row r="55" spans="1:11" s="328" customFormat="1" ht="15.75" thickBot="1">
      <c r="A55" s="325"/>
      <c r="B55" s="326"/>
      <c r="C55" s="325"/>
      <c r="D55" s="325"/>
      <c r="E55" s="325"/>
      <c r="F55" s="327"/>
      <c r="K55" s="751"/>
    </row>
    <row r="56" spans="1:11" ht="15.75" thickBot="1">
      <c r="A56" s="336" t="s">
        <v>250</v>
      </c>
      <c r="B56" s="337"/>
      <c r="C56" s="338"/>
      <c r="D56" s="339"/>
      <c r="E56" s="339"/>
      <c r="F56" s="256">
        <f>F28+F54</f>
        <v>0.36999988555908203</v>
      </c>
      <c r="K56" s="750">
        <f>K54+K28</f>
        <v>0</v>
      </c>
    </row>
    <row r="57" spans="1:6" s="328" customFormat="1" ht="14.25">
      <c r="A57" s="325"/>
      <c r="B57" s="340"/>
      <c r="C57" s="325"/>
      <c r="D57" s="325"/>
      <c r="E57" s="325"/>
      <c r="F57" s="327"/>
    </row>
    <row r="58" ht="12.75">
      <c r="B58" s="15"/>
    </row>
    <row r="60" ht="15.75">
      <c r="A60" s="5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2">
      <selection activeCell="B20" sqref="B20"/>
    </sheetView>
  </sheetViews>
  <sheetFormatPr defaultColWidth="9.140625" defaultRowHeight="12.75"/>
  <cols>
    <col min="1" max="1" width="40.140625" style="0" customWidth="1"/>
    <col min="2" max="2" width="20.00390625" style="60" bestFit="1" customWidth="1"/>
    <col min="3" max="3" width="15.00390625" style="0" customWidth="1"/>
    <col min="4" max="4" width="19.00390625" style="0" bestFit="1" customWidth="1"/>
    <col min="5" max="5" width="16.57421875" style="0" bestFit="1" customWidth="1"/>
    <col min="6" max="6" width="13.8515625" style="44" bestFit="1" customWidth="1"/>
    <col min="7" max="7" width="13.421875" style="0" bestFit="1" customWidth="1"/>
    <col min="8" max="8" width="10.140625" style="0" bestFit="1" customWidth="1"/>
    <col min="9" max="9" width="13.8515625" style="0" bestFit="1" customWidth="1"/>
    <col min="10" max="10" width="15.28125" style="0" customWidth="1"/>
    <col min="11" max="11" width="11.57421875" style="0" customWidth="1"/>
    <col min="12" max="12" width="12.8515625" style="0" customWidth="1"/>
    <col min="13" max="13" width="10.140625" style="0" bestFit="1" customWidth="1"/>
  </cols>
  <sheetData>
    <row r="1" ht="12.75">
      <c r="A1" s="42" t="s">
        <v>413</v>
      </c>
    </row>
    <row r="2" ht="12.75">
      <c r="A2" s="266" t="s">
        <v>265</v>
      </c>
    </row>
    <row r="3" ht="12.75">
      <c r="B3" s="395" t="s">
        <v>477</v>
      </c>
    </row>
    <row r="4" spans="1:7" ht="15">
      <c r="A4" s="391" t="s">
        <v>270</v>
      </c>
      <c r="B4" s="392" t="s">
        <v>177</v>
      </c>
      <c r="C4" s="392" t="s">
        <v>268</v>
      </c>
      <c r="D4" s="393" t="s">
        <v>269</v>
      </c>
      <c r="E4" s="58"/>
      <c r="G4" s="655"/>
    </row>
    <row r="5" spans="1:7" ht="12.75">
      <c r="A5" s="347" t="s">
        <v>266</v>
      </c>
      <c r="B5" s="43">
        <v>1021700000</v>
      </c>
      <c r="C5" s="43">
        <f>B5*F5/100</f>
        <v>908986219.4720001</v>
      </c>
      <c r="D5" s="394">
        <f>B5-C5</f>
        <v>112713780.52799988</v>
      </c>
      <c r="E5" s="695">
        <f>100-F5</f>
        <v>11.031983999999994</v>
      </c>
      <c r="F5" s="694">
        <v>88.968016</v>
      </c>
      <c r="G5" s="696"/>
    </row>
    <row r="6" spans="1:5" ht="12.75">
      <c r="A6" s="347" t="s">
        <v>267</v>
      </c>
      <c r="B6" s="43">
        <v>4419044</v>
      </c>
      <c r="C6" s="43">
        <v>3931536</v>
      </c>
      <c r="D6" s="394">
        <f>B6-C6</f>
        <v>487508</v>
      </c>
      <c r="E6" s="58">
        <f>D6/B6*100</f>
        <v>11.031978862396482</v>
      </c>
    </row>
    <row r="7" spans="1:5" ht="15">
      <c r="A7" s="391" t="s">
        <v>17</v>
      </c>
      <c r="B7" s="392">
        <f>B5+B6</f>
        <v>1026119044</v>
      </c>
      <c r="C7" s="392">
        <f>C5+C6</f>
        <v>912917755.4720001</v>
      </c>
      <c r="D7" s="393">
        <f>D5+D6</f>
        <v>113201288.52799988</v>
      </c>
      <c r="E7" s="58">
        <f>D7/B7*100</f>
        <v>11.031983977874587</v>
      </c>
    </row>
    <row r="8" spans="1:5" ht="15">
      <c r="A8" s="391"/>
      <c r="B8" s="392"/>
      <c r="C8" s="392"/>
      <c r="D8" s="393"/>
      <c r="E8" s="58"/>
    </row>
    <row r="9" spans="1:5" ht="15">
      <c r="A9" s="697"/>
      <c r="B9" s="698"/>
      <c r="C9" s="698"/>
      <c r="D9" s="698"/>
      <c r="E9" s="15"/>
    </row>
    <row r="10" spans="1:5" ht="15">
      <c r="A10" s="697"/>
      <c r="B10" s="698"/>
      <c r="C10" s="698"/>
      <c r="D10" s="698"/>
      <c r="E10" s="15"/>
    </row>
    <row r="11" spans="1:12" ht="12.75">
      <c r="A11" s="790" t="s">
        <v>487</v>
      </c>
      <c r="B11" s="791"/>
      <c r="C11" s="791"/>
      <c r="D11" s="790" t="s">
        <v>488</v>
      </c>
      <c r="E11" s="791"/>
      <c r="F11" s="791"/>
      <c r="G11" s="790" t="s">
        <v>489</v>
      </c>
      <c r="H11" s="791"/>
      <c r="I11" s="791"/>
      <c r="J11" s="790" t="s">
        <v>493</v>
      </c>
      <c r="K11" s="790"/>
      <c r="L11" s="790"/>
    </row>
    <row r="12" spans="1:12" ht="31.5">
      <c r="A12" s="713" t="s">
        <v>490</v>
      </c>
      <c r="B12" s="712" t="s">
        <v>491</v>
      </c>
      <c r="C12" s="713" t="s">
        <v>492</v>
      </c>
      <c r="D12" s="713" t="s">
        <v>490</v>
      </c>
      <c r="E12" s="712" t="s">
        <v>491</v>
      </c>
      <c r="F12" s="715" t="s">
        <v>492</v>
      </c>
      <c r="G12" s="713" t="s">
        <v>490</v>
      </c>
      <c r="H12" s="712" t="s">
        <v>491</v>
      </c>
      <c r="I12" s="713" t="s">
        <v>492</v>
      </c>
      <c r="J12" s="286" t="s">
        <v>490</v>
      </c>
      <c r="K12" s="286" t="s">
        <v>494</v>
      </c>
      <c r="L12" s="286" t="s">
        <v>176</v>
      </c>
    </row>
    <row r="13" spans="1:13" ht="15.75">
      <c r="A13" s="714">
        <v>38031350</v>
      </c>
      <c r="B13" s="714">
        <v>9531350</v>
      </c>
      <c r="C13" s="714">
        <v>28500000</v>
      </c>
      <c r="D13" s="714">
        <v>0</v>
      </c>
      <c r="E13" s="714">
        <v>0</v>
      </c>
      <c r="F13" s="714"/>
      <c r="G13" s="714">
        <f aca="true" t="shared" si="0" ref="G13:I14">A13-D13</f>
        <v>38031350</v>
      </c>
      <c r="H13" s="714">
        <f t="shared" si="0"/>
        <v>9531350</v>
      </c>
      <c r="I13" s="714">
        <f t="shared" si="0"/>
        <v>28500000</v>
      </c>
      <c r="J13" s="716">
        <v>50673631</v>
      </c>
      <c r="K13" s="716">
        <f>J13-L13</f>
        <v>15642218</v>
      </c>
      <c r="L13" s="716">
        <v>35031413</v>
      </c>
      <c r="M13" s="44"/>
    </row>
    <row r="14" spans="1:12" ht="15.75">
      <c r="A14" s="714">
        <v>1784000</v>
      </c>
      <c r="B14" s="714">
        <v>284000</v>
      </c>
      <c r="C14" s="714">
        <v>1500000</v>
      </c>
      <c r="D14" s="714">
        <v>1484000</v>
      </c>
      <c r="E14" s="714">
        <v>0</v>
      </c>
      <c r="F14" s="714">
        <v>1484000</v>
      </c>
      <c r="G14" s="714">
        <f t="shared" si="0"/>
        <v>300000</v>
      </c>
      <c r="H14" s="714">
        <f t="shared" si="0"/>
        <v>284000</v>
      </c>
      <c r="I14" s="714">
        <f t="shared" si="0"/>
        <v>16000</v>
      </c>
      <c r="J14" s="716"/>
      <c r="K14" s="716"/>
      <c r="L14" s="716"/>
    </row>
    <row r="15" spans="1:12" ht="15.75">
      <c r="A15" s="714">
        <f aca="true" t="shared" si="1" ref="A15:I15">A14+A13</f>
        <v>39815350</v>
      </c>
      <c r="B15" s="714">
        <f t="shared" si="1"/>
        <v>9815350</v>
      </c>
      <c r="C15" s="714">
        <f t="shared" si="1"/>
        <v>30000000</v>
      </c>
      <c r="D15" s="714">
        <f t="shared" si="1"/>
        <v>1484000</v>
      </c>
      <c r="E15" s="714">
        <f t="shared" si="1"/>
        <v>0</v>
      </c>
      <c r="F15" s="714">
        <f t="shared" si="1"/>
        <v>1484000</v>
      </c>
      <c r="G15" s="714">
        <f t="shared" si="1"/>
        <v>38331350</v>
      </c>
      <c r="H15" s="714">
        <f t="shared" si="1"/>
        <v>9815350</v>
      </c>
      <c r="I15" s="714">
        <f t="shared" si="1"/>
        <v>28516000</v>
      </c>
      <c r="J15" s="716">
        <v>50673631</v>
      </c>
      <c r="K15" s="716">
        <f>K13</f>
        <v>15642218</v>
      </c>
      <c r="L15" s="716">
        <f>L13</f>
        <v>35031413</v>
      </c>
    </row>
    <row r="16" spans="1:5" ht="15">
      <c r="A16" s="697"/>
      <c r="B16" s="698"/>
      <c r="C16" s="698"/>
      <c r="D16" s="698"/>
      <c r="E16" s="15"/>
    </row>
    <row r="17" spans="1:5" ht="15">
      <c r="A17" s="697"/>
      <c r="B17" s="698"/>
      <c r="C17" s="698"/>
      <c r="D17" s="698"/>
      <c r="E17" s="15"/>
    </row>
    <row r="18" spans="1:5" ht="15">
      <c r="A18" s="697" t="s">
        <v>382</v>
      </c>
      <c r="B18" s="698"/>
      <c r="C18" s="698"/>
      <c r="D18" s="698"/>
      <c r="E18" s="15"/>
    </row>
    <row r="19" spans="1:10" ht="15.75">
      <c r="A19" s="717"/>
      <c r="B19" s="718" t="s">
        <v>520</v>
      </c>
      <c r="C19" s="719"/>
      <c r="D19" s="719"/>
      <c r="E19" s="44"/>
      <c r="G19" s="44"/>
      <c r="H19" s="44"/>
      <c r="I19" s="720" t="s">
        <v>495</v>
      </c>
      <c r="J19" s="721"/>
    </row>
    <row r="20" spans="1:10" ht="15.75">
      <c r="A20" s="722" t="s">
        <v>496</v>
      </c>
      <c r="B20" s="723" t="s">
        <v>497</v>
      </c>
      <c r="C20" s="724"/>
      <c r="D20" s="625"/>
      <c r="E20" s="725" t="s">
        <v>498</v>
      </c>
      <c r="F20" s="726" t="s">
        <v>499</v>
      </c>
      <c r="G20" s="668" t="s">
        <v>176</v>
      </c>
      <c r="H20" s="727" t="s">
        <v>500</v>
      </c>
      <c r="I20" s="728" t="s">
        <v>501</v>
      </c>
      <c r="J20" s="729"/>
    </row>
    <row r="21" spans="1:10" ht="15.75">
      <c r="A21" s="730"/>
      <c r="B21" s="725" t="s">
        <v>502</v>
      </c>
      <c r="C21" s="725" t="s">
        <v>503</v>
      </c>
      <c r="D21" s="725" t="s">
        <v>504</v>
      </c>
      <c r="E21" s="731" t="s">
        <v>505</v>
      </c>
      <c r="F21" s="728"/>
      <c r="G21" s="666" t="s">
        <v>506</v>
      </c>
      <c r="H21" s="732" t="s">
        <v>506</v>
      </c>
      <c r="I21" s="58" t="s">
        <v>507</v>
      </c>
      <c r="J21" s="58" t="s">
        <v>508</v>
      </c>
    </row>
    <row r="22" spans="1:10" ht="12.75">
      <c r="A22" s="723" t="s">
        <v>509</v>
      </c>
      <c r="B22" s="43">
        <v>16060878</v>
      </c>
      <c r="C22" s="43">
        <f>B22*27%</f>
        <v>4336437.0600000005</v>
      </c>
      <c r="D22" s="43">
        <f aca="true" t="shared" si="2" ref="D22:D31">C22+B22</f>
        <v>20397315.060000002</v>
      </c>
      <c r="E22" s="43">
        <v>367537</v>
      </c>
      <c r="F22" s="394">
        <f>D22+E22</f>
        <v>20764852.060000002</v>
      </c>
      <c r="G22" s="43">
        <f>D22*90%</f>
        <v>18357583.554</v>
      </c>
      <c r="H22" s="43">
        <f>F22-G22</f>
        <v>2407268.506000001</v>
      </c>
      <c r="I22" s="668"/>
      <c r="J22" s="668"/>
    </row>
    <row r="23" spans="1:10" ht="12.75">
      <c r="A23" s="723" t="s">
        <v>510</v>
      </c>
      <c r="B23" s="43">
        <v>21986100</v>
      </c>
      <c r="C23" s="43">
        <f>B23*27%</f>
        <v>5936247</v>
      </c>
      <c r="D23" s="43">
        <f t="shared" si="2"/>
        <v>27922347</v>
      </c>
      <c r="E23" s="43">
        <v>0</v>
      </c>
      <c r="F23" s="394">
        <f aca="true" t="shared" si="3" ref="F23:F31">D23+E23</f>
        <v>27922347</v>
      </c>
      <c r="G23" s="43">
        <f aca="true" t="shared" si="4" ref="G23:G31">D23*90%</f>
        <v>25130112.3</v>
      </c>
      <c r="H23" s="43">
        <f aca="true" t="shared" si="5" ref="H23:H31">F23-G23</f>
        <v>2792234.6999999993</v>
      </c>
      <c r="I23" s="666"/>
      <c r="J23" s="666"/>
    </row>
    <row r="24" spans="1:10" ht="15.75">
      <c r="A24" s="723" t="s">
        <v>511</v>
      </c>
      <c r="B24" s="43">
        <v>801072</v>
      </c>
      <c r="C24" s="43">
        <f>B24*27%</f>
        <v>216289.44</v>
      </c>
      <c r="D24" s="43">
        <f t="shared" si="2"/>
        <v>1017361.44</v>
      </c>
      <c r="E24" s="43">
        <v>0</v>
      </c>
      <c r="F24" s="394">
        <f t="shared" si="3"/>
        <v>1017361.44</v>
      </c>
      <c r="G24" s="43">
        <f t="shared" si="4"/>
        <v>915625.296</v>
      </c>
      <c r="H24" s="43">
        <f t="shared" si="5"/>
        <v>101736.14399999997</v>
      </c>
      <c r="I24" s="43"/>
      <c r="J24" s="733"/>
    </row>
    <row r="25" spans="1:10" ht="15">
      <c r="A25" s="734" t="s">
        <v>512</v>
      </c>
      <c r="B25" s="735">
        <v>38848050</v>
      </c>
      <c r="C25" s="735">
        <v>10488973</v>
      </c>
      <c r="D25" s="43">
        <f t="shared" si="2"/>
        <v>49337023</v>
      </c>
      <c r="E25" s="735">
        <f>SUM(E22:E24)</f>
        <v>367537</v>
      </c>
      <c r="F25" s="394">
        <f t="shared" si="3"/>
        <v>49704560</v>
      </c>
      <c r="G25" s="43">
        <f t="shared" si="4"/>
        <v>44403320.7</v>
      </c>
      <c r="H25" s="43">
        <f t="shared" si="5"/>
        <v>5301239.299999997</v>
      </c>
      <c r="I25" s="43"/>
      <c r="J25" s="43"/>
    </row>
    <row r="26" spans="1:10" ht="12.75">
      <c r="A26" s="723" t="s">
        <v>513</v>
      </c>
      <c r="B26" s="43">
        <v>600000</v>
      </c>
      <c r="C26" s="43">
        <v>162000</v>
      </c>
      <c r="D26" s="43">
        <f t="shared" si="2"/>
        <v>762000</v>
      </c>
      <c r="E26" s="43">
        <v>0</v>
      </c>
      <c r="F26" s="394">
        <f t="shared" si="3"/>
        <v>762000</v>
      </c>
      <c r="G26" s="43">
        <f t="shared" si="4"/>
        <v>685800</v>
      </c>
      <c r="H26" s="43">
        <f t="shared" si="5"/>
        <v>76200</v>
      </c>
      <c r="I26" s="58"/>
      <c r="J26" s="736">
        <f>D26/G31%</f>
        <v>1.6416262753893096</v>
      </c>
    </row>
    <row r="27" spans="1:10" ht="12.75">
      <c r="A27" s="723" t="s">
        <v>514</v>
      </c>
      <c r="B27" s="43">
        <v>390000</v>
      </c>
      <c r="C27" s="43">
        <v>105300</v>
      </c>
      <c r="D27" s="43">
        <f t="shared" si="2"/>
        <v>495300</v>
      </c>
      <c r="E27" s="43">
        <v>0</v>
      </c>
      <c r="F27" s="394">
        <f t="shared" si="3"/>
        <v>495300</v>
      </c>
      <c r="G27" s="43">
        <f t="shared" si="4"/>
        <v>445770</v>
      </c>
      <c r="H27" s="43">
        <f t="shared" si="5"/>
        <v>49530</v>
      </c>
      <c r="I27" s="58">
        <v>1</v>
      </c>
      <c r="J27" s="66">
        <f>D27/G31%</f>
        <v>1.0670570790030511</v>
      </c>
    </row>
    <row r="28" spans="1:10" ht="15">
      <c r="A28" s="723" t="s">
        <v>515</v>
      </c>
      <c r="B28" s="43">
        <v>15000</v>
      </c>
      <c r="C28" s="43">
        <v>4050</v>
      </c>
      <c r="D28" s="43">
        <f t="shared" si="2"/>
        <v>19050</v>
      </c>
      <c r="E28" s="735">
        <v>171450</v>
      </c>
      <c r="F28" s="394">
        <f t="shared" si="3"/>
        <v>190500</v>
      </c>
      <c r="G28" s="43">
        <f t="shared" si="4"/>
        <v>17145</v>
      </c>
      <c r="H28" s="43">
        <f t="shared" si="5"/>
        <v>173355</v>
      </c>
      <c r="I28">
        <v>0.5</v>
      </c>
      <c r="J28" s="66">
        <f>D28/G31%</f>
        <v>0.04104065688473274</v>
      </c>
    </row>
    <row r="29" spans="1:10" ht="12.75">
      <c r="A29" s="723" t="s">
        <v>516</v>
      </c>
      <c r="B29" s="43">
        <v>450000</v>
      </c>
      <c r="C29" s="43">
        <v>121500</v>
      </c>
      <c r="D29" s="43">
        <f t="shared" si="2"/>
        <v>571500</v>
      </c>
      <c r="E29" s="43">
        <v>0</v>
      </c>
      <c r="F29" s="394">
        <f t="shared" si="3"/>
        <v>571500</v>
      </c>
      <c r="G29" s="43">
        <f t="shared" si="4"/>
        <v>514350</v>
      </c>
      <c r="H29" s="43">
        <f t="shared" si="5"/>
        <v>57150</v>
      </c>
      <c r="I29" s="58"/>
      <c r="J29" s="736">
        <f>D29/G31%</f>
        <v>1.231219706541982</v>
      </c>
    </row>
    <row r="30" spans="1:10" ht="12.75">
      <c r="A30" s="723" t="s">
        <v>517</v>
      </c>
      <c r="B30" s="43">
        <v>390000</v>
      </c>
      <c r="C30" s="43">
        <v>0</v>
      </c>
      <c r="D30" s="43">
        <f t="shared" si="2"/>
        <v>390000</v>
      </c>
      <c r="E30" s="43">
        <v>0</v>
      </c>
      <c r="F30" s="394">
        <f t="shared" si="3"/>
        <v>390000</v>
      </c>
      <c r="G30" s="43">
        <f t="shared" si="4"/>
        <v>351000</v>
      </c>
      <c r="H30" s="43">
        <f t="shared" si="5"/>
        <v>39000</v>
      </c>
      <c r="I30" s="58">
        <v>1</v>
      </c>
      <c r="J30" s="66">
        <f>D30/G31%</f>
        <v>0.8402024244118513</v>
      </c>
    </row>
    <row r="31" spans="1:10" ht="15">
      <c r="A31" s="737" t="s">
        <v>518</v>
      </c>
      <c r="B31" s="738">
        <f>SUM(B25:B30)</f>
        <v>40693050</v>
      </c>
      <c r="C31" s="738">
        <f>SUM(C25:C30)</f>
        <v>10881823</v>
      </c>
      <c r="D31" s="738">
        <f t="shared" si="2"/>
        <v>51574873</v>
      </c>
      <c r="E31" s="738">
        <f>SUM(E25:E30)</f>
        <v>538987</v>
      </c>
      <c r="F31" s="739">
        <f t="shared" si="3"/>
        <v>52113860</v>
      </c>
      <c r="G31" s="735">
        <f t="shared" si="4"/>
        <v>46417385.7</v>
      </c>
      <c r="H31" s="735">
        <f t="shared" si="5"/>
        <v>5696474.299999997</v>
      </c>
      <c r="I31" s="740">
        <v>5</v>
      </c>
      <c r="J31" s="741">
        <f>SUM(J26:J30)</f>
        <v>4.821146142230926</v>
      </c>
    </row>
    <row r="32" spans="1:7" ht="15">
      <c r="A32" s="717" t="s">
        <v>519</v>
      </c>
      <c r="B32"/>
      <c r="F32"/>
      <c r="G32" s="742">
        <v>23208693</v>
      </c>
    </row>
    <row r="33" spans="1:5" ht="15">
      <c r="A33" s="697"/>
      <c r="B33" s="698"/>
      <c r="C33" s="698"/>
      <c r="D33" s="698"/>
      <c r="E33" s="15"/>
    </row>
    <row r="34" spans="1:5" ht="15">
      <c r="A34" s="697"/>
      <c r="B34" s="698"/>
      <c r="C34" s="698"/>
      <c r="D34" s="698"/>
      <c r="E34" s="15"/>
    </row>
    <row r="35" ht="13.5" thickBot="1"/>
    <row r="36" spans="2:8" ht="13.5" thickBot="1">
      <c r="B36" s="400"/>
      <c r="C36" s="401"/>
      <c r="D36" s="402" t="s">
        <v>289</v>
      </c>
      <c r="E36" s="404">
        <v>2016</v>
      </c>
      <c r="F36" s="405">
        <v>2018</v>
      </c>
      <c r="G36" s="401">
        <v>2019</v>
      </c>
      <c r="H36" s="308">
        <v>2020</v>
      </c>
    </row>
    <row r="37" spans="1:8" s="102" customFormat="1" ht="38.25">
      <c r="A37" s="396" t="s">
        <v>288</v>
      </c>
      <c r="B37" s="399" t="s">
        <v>271</v>
      </c>
      <c r="C37" s="399" t="s">
        <v>272</v>
      </c>
      <c r="D37" s="399" t="s">
        <v>287</v>
      </c>
      <c r="E37" s="399" t="s">
        <v>271</v>
      </c>
      <c r="F37" s="403" t="s">
        <v>271</v>
      </c>
      <c r="G37" s="399" t="s">
        <v>271</v>
      </c>
      <c r="H37" s="403" t="s">
        <v>271</v>
      </c>
    </row>
    <row r="38" spans="1:8" ht="12.75">
      <c r="A38" s="286" t="s">
        <v>273</v>
      </c>
      <c r="B38" s="66">
        <f>3493000+3810000+3175000+11430000</f>
        <v>21908000</v>
      </c>
      <c r="C38" s="58">
        <v>207000</v>
      </c>
      <c r="D38" s="58"/>
      <c r="E38" s="58">
        <v>3175000</v>
      </c>
      <c r="F38" s="43">
        <f>14459280-3175000</f>
        <v>11284280</v>
      </c>
      <c r="G38" s="66">
        <f>B38-E38-F38</f>
        <v>7448720</v>
      </c>
      <c r="H38" s="58"/>
    </row>
    <row r="39" spans="1:8" ht="12.75">
      <c r="A39" s="286" t="s">
        <v>274</v>
      </c>
      <c r="B39" s="66">
        <f>95097600+6649720+9304746</f>
        <v>111052066</v>
      </c>
      <c r="C39" s="58"/>
      <c r="D39" s="58"/>
      <c r="E39" s="58"/>
      <c r="F39" s="43"/>
      <c r="G39" s="66"/>
      <c r="H39" s="58"/>
    </row>
    <row r="40" spans="1:8" ht="12.75">
      <c r="A40" s="286" t="s">
        <v>275</v>
      </c>
      <c r="B40" s="66">
        <f>47910750</f>
        <v>47910750</v>
      </c>
      <c r="C40" s="58"/>
      <c r="D40" s="58"/>
      <c r="E40" s="58"/>
      <c r="F40" s="43"/>
      <c r="G40" s="58"/>
      <c r="H40" s="58"/>
    </row>
    <row r="41" spans="1:8" ht="12.75">
      <c r="A41" s="286" t="s">
        <v>276</v>
      </c>
      <c r="B41" s="66">
        <v>3000000</v>
      </c>
      <c r="C41" s="58"/>
      <c r="D41" s="58"/>
      <c r="E41" s="58"/>
      <c r="F41" s="43"/>
      <c r="G41" s="58"/>
      <c r="H41" s="58"/>
    </row>
    <row r="42" spans="1:8" ht="12.75">
      <c r="A42" s="286" t="s">
        <v>277</v>
      </c>
      <c r="B42" s="66">
        <v>4270000</v>
      </c>
      <c r="C42" s="58"/>
      <c r="D42" s="58"/>
      <c r="E42" s="58"/>
      <c r="F42" s="43"/>
      <c r="G42" s="58"/>
      <c r="H42" s="58"/>
    </row>
    <row r="43" spans="1:8" ht="12.75">
      <c r="A43" s="286" t="s">
        <v>278</v>
      </c>
      <c r="B43" s="66">
        <v>11311255</v>
      </c>
      <c r="C43" s="58"/>
      <c r="D43" s="58"/>
      <c r="E43" s="58"/>
      <c r="F43" s="43"/>
      <c r="G43" s="58"/>
      <c r="H43" s="58"/>
    </row>
    <row r="44" spans="1:8" ht="12.75">
      <c r="A44" s="286" t="s">
        <v>279</v>
      </c>
      <c r="B44" s="66">
        <v>20209510</v>
      </c>
      <c r="C44" s="58"/>
      <c r="D44" s="58"/>
      <c r="E44" s="58"/>
      <c r="F44" s="43"/>
      <c r="G44" s="58"/>
      <c r="H44" s="58"/>
    </row>
    <row r="45" spans="1:8" ht="12.75">
      <c r="A45" s="286" t="s">
        <v>280</v>
      </c>
      <c r="B45" s="66">
        <v>4999990</v>
      </c>
      <c r="C45" s="58">
        <v>2110740</v>
      </c>
      <c r="D45" s="58"/>
      <c r="E45" s="58"/>
      <c r="F45" s="43"/>
      <c r="G45" s="58"/>
      <c r="H45" s="58"/>
    </row>
    <row r="46" spans="1:8" ht="12.75">
      <c r="A46" s="286" t="s">
        <v>281</v>
      </c>
      <c r="B46" s="66">
        <v>2000250</v>
      </c>
      <c r="C46" s="58"/>
      <c r="D46" s="58"/>
      <c r="E46" s="58"/>
      <c r="F46" s="43"/>
      <c r="G46" s="58"/>
      <c r="H46" s="58"/>
    </row>
    <row r="47" spans="1:8" ht="12.75">
      <c r="A47" s="286" t="s">
        <v>292</v>
      </c>
      <c r="B47" s="66">
        <f>SUM(B39:B46)</f>
        <v>204753821</v>
      </c>
      <c r="C47" s="58"/>
      <c r="D47" s="58"/>
      <c r="E47" s="58"/>
      <c r="F47" s="43">
        <v>135137521</v>
      </c>
      <c r="G47" s="66">
        <f aca="true" t="shared" si="6" ref="G47:G52">B47-F47</f>
        <v>69616300</v>
      </c>
      <c r="H47" s="58"/>
    </row>
    <row r="48" spans="1:8" ht="12.75">
      <c r="A48" s="286" t="s">
        <v>282</v>
      </c>
      <c r="B48" s="66">
        <f>538725+349999+3700000</f>
        <v>4588724</v>
      </c>
      <c r="C48" s="58">
        <f>9200000+6100000+2520000+6938772+2599690+2499995+1080000+8505000+387396+129132+31500000+1614150+387396+1647000+680400+2484000</f>
        <v>78272931</v>
      </c>
      <c r="D48" s="58"/>
      <c r="E48" s="58"/>
      <c r="F48" s="43">
        <v>3028558</v>
      </c>
      <c r="G48" s="66">
        <f t="shared" si="6"/>
        <v>1560166</v>
      </c>
      <c r="H48" s="58"/>
    </row>
    <row r="49" spans="1:8" ht="12.75">
      <c r="A49" s="286" t="s">
        <v>283</v>
      </c>
      <c r="B49" s="66"/>
      <c r="C49" s="58"/>
      <c r="D49" s="66"/>
      <c r="E49" s="58"/>
      <c r="F49" s="43"/>
      <c r="G49" s="66">
        <f t="shared" si="6"/>
        <v>0</v>
      </c>
      <c r="H49" s="58"/>
    </row>
    <row r="50" spans="1:8" ht="12.75">
      <c r="A50" s="286" t="s">
        <v>284</v>
      </c>
      <c r="B50" s="66">
        <f>231250+934104+3459646</f>
        <v>4625000</v>
      </c>
      <c r="C50" s="58"/>
      <c r="D50" s="58">
        <v>4625000</v>
      </c>
      <c r="E50" s="58"/>
      <c r="F50" s="43">
        <v>3052500</v>
      </c>
      <c r="G50" s="66">
        <f t="shared" si="6"/>
        <v>1572500</v>
      </c>
      <c r="H50" s="58"/>
    </row>
    <row r="51" spans="1:8" ht="12.75">
      <c r="A51" s="286" t="s">
        <v>285</v>
      </c>
      <c r="B51" s="66"/>
      <c r="C51" s="58">
        <f>1982470+999659+370800+4635000+2330000+20091400</f>
        <v>30409329</v>
      </c>
      <c r="D51" s="58"/>
      <c r="E51" s="58"/>
      <c r="F51" s="43"/>
      <c r="G51" s="66">
        <f t="shared" si="6"/>
        <v>0</v>
      </c>
      <c r="H51" s="58"/>
    </row>
    <row r="52" spans="1:8" ht="12.75">
      <c r="A52" s="286" t="s">
        <v>286</v>
      </c>
      <c r="B52" s="66">
        <v>18499455</v>
      </c>
      <c r="C52" s="58"/>
      <c r="D52" s="58"/>
      <c r="E52" s="66"/>
      <c r="F52" s="43"/>
      <c r="G52" s="66">
        <f t="shared" si="6"/>
        <v>18499455</v>
      </c>
      <c r="H52" s="58"/>
    </row>
    <row r="53" spans="1:9" ht="12.75">
      <c r="A53" s="58"/>
      <c r="B53" s="66">
        <f>SUM(B38:B52)-B47</f>
        <v>254375000</v>
      </c>
      <c r="C53" s="66">
        <f aca="true" t="shared" si="7" ref="C53:H53">SUM(C38:C52)-C47</f>
        <v>111000000</v>
      </c>
      <c r="D53" s="66">
        <f t="shared" si="7"/>
        <v>4625000</v>
      </c>
      <c r="E53" s="398">
        <f t="shared" si="7"/>
        <v>3175000</v>
      </c>
      <c r="F53" s="398">
        <f>SUM(F38:F52)</f>
        <v>152502859</v>
      </c>
      <c r="G53" s="398">
        <f>SUM(G38:G52)</f>
        <v>98697141</v>
      </c>
      <c r="H53" s="66">
        <f t="shared" si="7"/>
        <v>0</v>
      </c>
      <c r="I53" s="60"/>
    </row>
    <row r="54" spans="1:4" ht="12.75">
      <c r="A54" s="286" t="s">
        <v>290</v>
      </c>
      <c r="B54" s="66"/>
      <c r="C54" s="58"/>
      <c r="D54" s="397">
        <f>B53+C53+D53</f>
        <v>370000000</v>
      </c>
    </row>
    <row r="55" spans="1:2" ht="12.75">
      <c r="A55" s="64" t="s">
        <v>291</v>
      </c>
      <c r="B55" s="60">
        <f>B53-B52</f>
        <v>235875545</v>
      </c>
    </row>
    <row r="56" spans="1:8" ht="12.75">
      <c r="A56" s="59" t="s">
        <v>176</v>
      </c>
      <c r="B56" s="398">
        <f>B53</f>
        <v>254375000</v>
      </c>
      <c r="C56" s="398">
        <f>C53</f>
        <v>111000000</v>
      </c>
      <c r="D56" s="398">
        <f>D53</f>
        <v>4625000</v>
      </c>
      <c r="E56" s="59"/>
      <c r="F56" s="398">
        <f>F53</f>
        <v>152502859</v>
      </c>
      <c r="G56" s="398">
        <f>G53</f>
        <v>98697141</v>
      </c>
      <c r="H56" s="398">
        <f>H53</f>
        <v>0</v>
      </c>
    </row>
    <row r="59" ht="12.75">
      <c r="C59" s="44"/>
    </row>
  </sheetData>
  <sheetProtection/>
  <mergeCells count="4">
    <mergeCell ref="J11:L11"/>
    <mergeCell ref="A11:C11"/>
    <mergeCell ref="D11:F11"/>
    <mergeCell ref="G11:I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&amp;Rmelléklet a 2019. évi költségvetéshez
</oddHeader>
    <oddFooter>&amp;R&amp;P.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8">
      <selection activeCell="B13" sqref="B13"/>
    </sheetView>
  </sheetViews>
  <sheetFormatPr defaultColWidth="9.140625" defaultRowHeight="12.75"/>
  <cols>
    <col min="1" max="1" width="29.140625" style="102" customWidth="1"/>
    <col min="2" max="2" width="15.140625" style="0" customWidth="1"/>
    <col min="3" max="3" width="20.421875" style="0" customWidth="1"/>
    <col min="4" max="6" width="0" style="0" hidden="1" customWidth="1"/>
    <col min="9" max="9" width="5.140625" style="0" hidden="1" customWidth="1"/>
    <col min="10" max="10" width="9.28125" style="0" hidden="1" customWidth="1"/>
    <col min="12" max="12" width="3.57421875" style="0" hidden="1" customWidth="1"/>
    <col min="13" max="13" width="0" style="0" hidden="1" customWidth="1"/>
    <col min="14" max="14" width="9.00390625" style="0" hidden="1" customWidth="1"/>
    <col min="16" max="16" width="4.140625" style="0" hidden="1" customWidth="1"/>
  </cols>
  <sheetData>
    <row r="1" spans="1:3" ht="12.75">
      <c r="A1" s="159" t="s">
        <v>1</v>
      </c>
      <c r="C1" s="45" t="s">
        <v>155</v>
      </c>
    </row>
    <row r="2" spans="1:2" ht="21.75" customHeight="1" thickBot="1">
      <c r="A2" s="160" t="s">
        <v>96</v>
      </c>
      <c r="B2" s="46">
        <v>2019</v>
      </c>
    </row>
    <row r="3" spans="1:3" ht="31.5" customHeight="1">
      <c r="A3" s="558" t="s">
        <v>159</v>
      </c>
      <c r="B3" s="559" t="s">
        <v>32</v>
      </c>
      <c r="C3" s="560" t="s">
        <v>102</v>
      </c>
    </row>
    <row r="4" spans="1:3" ht="14.25">
      <c r="A4" s="561" t="s">
        <v>461</v>
      </c>
      <c r="B4" s="700">
        <v>750000</v>
      </c>
      <c r="C4" s="562"/>
    </row>
    <row r="5" spans="1:3" s="328" customFormat="1" ht="28.5">
      <c r="A5" s="563" t="s">
        <v>462</v>
      </c>
      <c r="B5" s="691">
        <v>500000</v>
      </c>
      <c r="C5" s="525"/>
    </row>
    <row r="6" spans="1:3" s="328" customFormat="1" ht="14.25">
      <c r="A6" s="563" t="s">
        <v>478</v>
      </c>
      <c r="B6" s="691">
        <v>0</v>
      </c>
      <c r="C6" s="525"/>
    </row>
    <row r="7" spans="1:3" s="328" customFormat="1" ht="33" customHeight="1">
      <c r="A7" s="563" t="s">
        <v>414</v>
      </c>
      <c r="B7" s="691">
        <v>69746813</v>
      </c>
      <c r="C7" s="525"/>
    </row>
    <row r="8" spans="1:3" s="328" customFormat="1" ht="14.25">
      <c r="A8" s="563" t="s">
        <v>225</v>
      </c>
      <c r="B8" s="691">
        <v>0</v>
      </c>
      <c r="C8" s="525"/>
    </row>
    <row r="9" spans="1:8" s="328" customFormat="1" ht="14.25">
      <c r="A9" s="563" t="s">
        <v>242</v>
      </c>
      <c r="B9" s="691">
        <v>30000000</v>
      </c>
      <c r="C9" s="525"/>
      <c r="H9" s="383"/>
    </row>
    <row r="10" spans="1:3" s="328" customFormat="1" ht="31.5">
      <c r="A10" s="564" t="s">
        <v>457</v>
      </c>
      <c r="B10" s="701">
        <v>200000</v>
      </c>
      <c r="C10" s="525"/>
    </row>
    <row r="11" spans="1:3" s="328" customFormat="1" ht="15.75">
      <c r="A11" s="564" t="s">
        <v>459</v>
      </c>
      <c r="B11" s="701">
        <v>1500000</v>
      </c>
      <c r="C11" s="525"/>
    </row>
    <row r="12" spans="1:3" s="328" customFormat="1" ht="31.5">
      <c r="A12" s="564" t="s">
        <v>458</v>
      </c>
      <c r="B12" s="701">
        <v>200000</v>
      </c>
      <c r="C12" s="525"/>
    </row>
    <row r="13" spans="1:3" ht="15.75">
      <c r="A13" s="565" t="s">
        <v>460</v>
      </c>
      <c r="B13" s="702">
        <v>0</v>
      </c>
      <c r="C13" s="562"/>
    </row>
    <row r="14" spans="1:3" ht="1.5" customHeight="1">
      <c r="A14" s="566" t="s">
        <v>312</v>
      </c>
      <c r="B14" s="702">
        <v>0</v>
      </c>
      <c r="C14" s="562"/>
    </row>
    <row r="15" spans="1:3" ht="15.75">
      <c r="A15" s="566" t="s">
        <v>475</v>
      </c>
      <c r="B15" s="702">
        <v>950000</v>
      </c>
      <c r="C15" s="562"/>
    </row>
    <row r="16" spans="1:3" ht="15.75">
      <c r="A16" s="566" t="s">
        <v>472</v>
      </c>
      <c r="B16" s="702">
        <v>4500000</v>
      </c>
      <c r="C16" s="562"/>
    </row>
    <row r="17" spans="1:3" ht="15.75">
      <c r="A17" s="566" t="s">
        <v>474</v>
      </c>
      <c r="B17" s="702">
        <v>1000000</v>
      </c>
      <c r="C17" s="562"/>
    </row>
    <row r="18" spans="1:3" ht="17.25" customHeight="1">
      <c r="A18" s="565" t="s">
        <v>473</v>
      </c>
      <c r="B18" s="702">
        <v>700000</v>
      </c>
      <c r="C18" s="562"/>
    </row>
    <row r="19" spans="1:3" ht="1.5" customHeight="1">
      <c r="A19" s="565" t="s">
        <v>313</v>
      </c>
      <c r="B19" s="702">
        <v>0</v>
      </c>
      <c r="C19" s="562"/>
    </row>
    <row r="20" spans="1:3" ht="1.5" customHeight="1">
      <c r="A20" s="565" t="s">
        <v>314</v>
      </c>
      <c r="B20" s="702">
        <v>0</v>
      </c>
      <c r="C20" s="562"/>
    </row>
    <row r="21" spans="1:7" ht="31.5">
      <c r="A21" s="565" t="s">
        <v>456</v>
      </c>
      <c r="B21" s="702">
        <v>1300000</v>
      </c>
      <c r="C21" s="562"/>
      <c r="G21" s="64" t="s">
        <v>454</v>
      </c>
    </row>
    <row r="22" spans="1:3" ht="31.5">
      <c r="A22" s="565" t="s">
        <v>463</v>
      </c>
      <c r="B22" s="702">
        <v>650000</v>
      </c>
      <c r="C22" s="562"/>
    </row>
    <row r="23" spans="1:3" ht="15.75">
      <c r="A23" s="565" t="s">
        <v>465</v>
      </c>
      <c r="B23" s="702">
        <v>750000</v>
      </c>
      <c r="C23" s="562"/>
    </row>
    <row r="24" spans="1:3" ht="15.75">
      <c r="A24" s="565" t="s">
        <v>464</v>
      </c>
      <c r="B24" s="702">
        <v>450000</v>
      </c>
      <c r="C24" s="562"/>
    </row>
    <row r="25" spans="1:3" ht="21.75" customHeight="1">
      <c r="A25" s="567" t="s">
        <v>314</v>
      </c>
      <c r="B25" s="700">
        <v>1200000</v>
      </c>
      <c r="C25" s="562"/>
    </row>
    <row r="26" spans="1:3" ht="21.75" customHeight="1">
      <c r="A26" s="567" t="s">
        <v>470</v>
      </c>
      <c r="B26" s="700">
        <v>0</v>
      </c>
      <c r="C26" s="562"/>
    </row>
    <row r="27" spans="1:3" ht="21.75" customHeight="1">
      <c r="A27" s="567" t="s">
        <v>466</v>
      </c>
      <c r="B27" s="700">
        <v>500000</v>
      </c>
      <c r="C27" s="562"/>
    </row>
    <row r="28" spans="1:3" ht="21.75" customHeight="1">
      <c r="A28" s="567" t="s">
        <v>398</v>
      </c>
      <c r="B28" s="703">
        <v>57453188</v>
      </c>
      <c r="C28" s="562"/>
    </row>
    <row r="29" spans="1:3" ht="18" customHeight="1">
      <c r="A29" s="567" t="s">
        <v>415</v>
      </c>
      <c r="B29" s="702">
        <v>36002354</v>
      </c>
      <c r="C29" s="562"/>
    </row>
    <row r="30" spans="1:3" ht="18" customHeight="1">
      <c r="A30" s="567" t="s">
        <v>467</v>
      </c>
      <c r="B30" s="702">
        <v>500000</v>
      </c>
      <c r="C30" s="562"/>
    </row>
    <row r="31" spans="1:3" ht="15.75">
      <c r="A31" s="565" t="s">
        <v>471</v>
      </c>
      <c r="B31" s="702">
        <v>0</v>
      </c>
      <c r="C31" s="562"/>
    </row>
    <row r="32" spans="1:3" ht="15.75">
      <c r="A32" s="659" t="s">
        <v>468</v>
      </c>
      <c r="B32" s="704">
        <v>0</v>
      </c>
      <c r="C32" s="660"/>
    </row>
    <row r="33" spans="1:3" ht="15.75">
      <c r="A33" s="659" t="s">
        <v>469</v>
      </c>
      <c r="B33" s="704">
        <v>0</v>
      </c>
      <c r="C33" s="660"/>
    </row>
    <row r="34" spans="1:3" ht="15.75">
      <c r="A34" s="659" t="s">
        <v>521</v>
      </c>
      <c r="B34" s="704">
        <v>6000000</v>
      </c>
      <c r="C34" s="660"/>
    </row>
    <row r="35" spans="1:3" ht="33" customHeight="1" thickBot="1">
      <c r="A35" s="568" t="s">
        <v>97</v>
      </c>
      <c r="B35" s="705">
        <f>SUM(B4:B34)</f>
        <v>214852355</v>
      </c>
      <c r="C35" s="569"/>
    </row>
    <row r="36" ht="30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&amp;Rmelléklet a 2019. évi költségvetéshez
</oddHeader>
    <oddFooter>&amp;R&amp;P.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xSplit="1" ySplit="3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64" sqref="H64"/>
    </sheetView>
  </sheetViews>
  <sheetFormatPr defaultColWidth="9.140625" defaultRowHeight="12.75"/>
  <cols>
    <col min="1" max="1" width="32.140625" style="42" customWidth="1"/>
    <col min="2" max="3" width="14.421875" style="44" customWidth="1"/>
    <col min="4" max="4" width="13.57421875" style="0" customWidth="1"/>
    <col min="5" max="5" width="13.8515625" style="60" bestFit="1" customWidth="1"/>
    <col min="6" max="6" width="0" style="0" hidden="1" customWidth="1"/>
    <col min="7" max="7" width="12.140625" style="0" customWidth="1"/>
    <col min="8" max="8" width="13.8515625" style="0" bestFit="1" customWidth="1"/>
    <col min="9" max="9" width="13.421875" style="0" bestFit="1" customWidth="1"/>
    <col min="10" max="10" width="0" style="0" hidden="1" customWidth="1"/>
    <col min="11" max="11" width="10.28125" style="44" bestFit="1" customWidth="1"/>
    <col min="12" max="12" width="12.7109375" style="0" bestFit="1" customWidth="1"/>
    <col min="13" max="13" width="13.421875" style="0" bestFit="1" customWidth="1"/>
    <col min="14" max="14" width="9.140625" style="0" customWidth="1"/>
  </cols>
  <sheetData>
    <row r="1" spans="1:4" ht="12.75">
      <c r="A1" s="416" t="s">
        <v>315</v>
      </c>
      <c r="B1" s="407" t="s">
        <v>316</v>
      </c>
      <c r="C1" s="407"/>
      <c r="D1" s="266"/>
    </row>
    <row r="2" ht="13.5" thickBot="1">
      <c r="K2" s="632" t="s">
        <v>441</v>
      </c>
    </row>
    <row r="3" spans="1:13" s="414" customFormat="1" ht="38.25">
      <c r="A3" s="417" t="s">
        <v>175</v>
      </c>
      <c r="B3" s="571" t="s">
        <v>453</v>
      </c>
      <c r="C3" s="784" t="s">
        <v>530</v>
      </c>
      <c r="D3" s="418" t="s">
        <v>399</v>
      </c>
      <c r="E3" s="463" t="s">
        <v>482</v>
      </c>
      <c r="F3" s="418" t="s">
        <v>318</v>
      </c>
      <c r="G3" s="418" t="s">
        <v>319</v>
      </c>
      <c r="H3" s="418" t="s">
        <v>176</v>
      </c>
      <c r="I3" s="418" t="s">
        <v>320</v>
      </c>
      <c r="J3" s="418" t="s">
        <v>321</v>
      </c>
      <c r="K3" s="571" t="s">
        <v>322</v>
      </c>
      <c r="L3" s="418" t="s">
        <v>17</v>
      </c>
      <c r="M3" s="419" t="s">
        <v>323</v>
      </c>
    </row>
    <row r="4" spans="1:13" ht="33.75" customHeight="1">
      <c r="A4" s="420" t="str">
        <f>'beruházás és felh. célú átadás'!A10</f>
        <v>Vizminőség javító pályázat</v>
      </c>
      <c r="B4" s="572">
        <f>'beruházás és felh. célú átadás'!B10</f>
        <v>1026119044</v>
      </c>
      <c r="C4" s="572">
        <v>1026119044</v>
      </c>
      <c r="D4" s="572"/>
      <c r="E4" s="43"/>
      <c r="F4" s="43"/>
      <c r="G4" s="43"/>
      <c r="H4" s="43">
        <v>1026119044</v>
      </c>
      <c r="I4" s="43"/>
      <c r="J4" s="43"/>
      <c r="K4" s="43"/>
      <c r="L4" s="43">
        <f aca="true" t="shared" si="0" ref="L4:L16">SUM(E4:K4)</f>
        <v>1026119044</v>
      </c>
      <c r="M4" s="375">
        <f>L4-C4</f>
        <v>0</v>
      </c>
    </row>
    <row r="5" spans="1:13" ht="33.75" customHeight="1">
      <c r="A5" s="420" t="str">
        <f>'beruházás és felh. célú átadás'!A11</f>
        <v>Szoc rehab pályázat Ktg</v>
      </c>
      <c r="B5" s="572">
        <f>'beruházás és felh. célú átadás'!B11</f>
        <v>152502859</v>
      </c>
      <c r="C5" s="572">
        <v>152502859</v>
      </c>
      <c r="D5" s="572"/>
      <c r="E5" s="43"/>
      <c r="F5" s="43"/>
      <c r="G5" s="43"/>
      <c r="H5" s="43">
        <f>B5</f>
        <v>152502859</v>
      </c>
      <c r="I5" s="43"/>
      <c r="J5" s="43"/>
      <c r="K5" s="43"/>
      <c r="L5" s="43">
        <f t="shared" si="0"/>
        <v>152502859</v>
      </c>
      <c r="M5" s="375">
        <f>L5-B5</f>
        <v>0</v>
      </c>
    </row>
    <row r="6" spans="1:13" ht="30" customHeight="1">
      <c r="A6" s="420" t="str">
        <f>'beruházás és felh. célú átadás'!A13</f>
        <v>Dömsödi út feljújítás</v>
      </c>
      <c r="B6" s="572">
        <f>'beruházás és felh. célú átadás'!B13</f>
        <v>105262545</v>
      </c>
      <c r="C6" s="572">
        <v>105262545</v>
      </c>
      <c r="D6" s="572"/>
      <c r="E6" s="43"/>
      <c r="F6" s="43"/>
      <c r="G6" s="43">
        <v>5263158</v>
      </c>
      <c r="H6" s="43">
        <v>99999387</v>
      </c>
      <c r="I6" s="43"/>
      <c r="J6" s="43"/>
      <c r="K6" s="43"/>
      <c r="L6" s="43">
        <f t="shared" si="0"/>
        <v>105262545</v>
      </c>
      <c r="M6" s="375">
        <f aca="true" t="shared" si="1" ref="M6:M73">L6-B6</f>
        <v>0</v>
      </c>
    </row>
    <row r="7" spans="1:13" ht="42" customHeight="1">
      <c r="A7" s="420" t="str">
        <f>'beruházás és felh. célú átadás'!A14</f>
        <v>Csapadékvíz elvezetés kiadásai</v>
      </c>
      <c r="B7" s="572">
        <f>'beruházás és felh. célú átadás'!B14</f>
        <v>24811000</v>
      </c>
      <c r="C7" s="572">
        <v>24811000</v>
      </c>
      <c r="D7" s="572"/>
      <c r="E7" s="43">
        <v>0</v>
      </c>
      <c r="F7" s="43"/>
      <c r="G7" s="43">
        <v>11811000</v>
      </c>
      <c r="H7" s="43">
        <v>0</v>
      </c>
      <c r="I7" s="43">
        <v>13000000</v>
      </c>
      <c r="J7" s="43"/>
      <c r="K7" s="43"/>
      <c r="L7" s="43">
        <f t="shared" si="0"/>
        <v>24811000</v>
      </c>
      <c r="M7" s="375">
        <f t="shared" si="1"/>
        <v>0</v>
      </c>
    </row>
    <row r="8" spans="1:13" ht="42" customHeight="1">
      <c r="A8" s="420" t="str">
        <f>'beruházás és felh. célú átadás'!A15</f>
        <v>Csapadékvíz-elvezetése pályázat</v>
      </c>
      <c r="B8" s="572">
        <f>'beruházás és felh. célú átadás'!B15</f>
        <v>113879860</v>
      </c>
      <c r="C8" s="572">
        <v>113879860</v>
      </c>
      <c r="D8" s="572"/>
      <c r="E8" s="43"/>
      <c r="F8" s="43"/>
      <c r="G8" s="43">
        <v>5693993</v>
      </c>
      <c r="H8" s="43">
        <v>108185867</v>
      </c>
      <c r="I8" s="43"/>
      <c r="J8" s="43"/>
      <c r="K8" s="43"/>
      <c r="L8" s="43">
        <f t="shared" si="0"/>
        <v>113879860</v>
      </c>
      <c r="M8" s="375">
        <f t="shared" si="1"/>
        <v>0</v>
      </c>
    </row>
    <row r="9" spans="1:13" ht="42" customHeight="1">
      <c r="A9" s="420" t="str">
        <f>'beruházás és felh. célú átadás'!A16</f>
        <v>Közbiztonsági eszközök beszerzése</v>
      </c>
      <c r="B9" s="572">
        <f>'beruházás és felh. célú átadás'!B16</f>
        <v>3000000</v>
      </c>
      <c r="C9" s="572">
        <v>3000000</v>
      </c>
      <c r="D9" s="572"/>
      <c r="E9" s="43"/>
      <c r="F9" s="43"/>
      <c r="G9" s="43"/>
      <c r="H9" s="43"/>
      <c r="I9" s="43">
        <v>3000000</v>
      </c>
      <c r="J9" s="43"/>
      <c r="K9" s="43"/>
      <c r="L9" s="43">
        <f t="shared" si="0"/>
        <v>3000000</v>
      </c>
      <c r="M9" s="375">
        <f t="shared" si="1"/>
        <v>0</v>
      </c>
    </row>
    <row r="10" spans="1:13" ht="39" customHeight="1">
      <c r="A10" s="420" t="str">
        <f>'beruházás és felh. célú átadás'!A17</f>
        <v>Stégek felújítása</v>
      </c>
      <c r="B10" s="572">
        <f>'beruházás és felh. célú átadás'!B17</f>
        <v>2500000</v>
      </c>
      <c r="C10" s="572">
        <v>2500000</v>
      </c>
      <c r="D10" s="572"/>
      <c r="E10" s="43"/>
      <c r="F10" s="43"/>
      <c r="G10" s="43">
        <v>0</v>
      </c>
      <c r="H10" s="43"/>
      <c r="I10" s="43">
        <v>0</v>
      </c>
      <c r="J10" s="43"/>
      <c r="K10" s="43">
        <v>2500000</v>
      </c>
      <c r="L10" s="43">
        <f t="shared" si="0"/>
        <v>2500000</v>
      </c>
      <c r="M10" s="375">
        <f t="shared" si="1"/>
        <v>0</v>
      </c>
    </row>
    <row r="11" spans="1:13" ht="15">
      <c r="A11" s="420" t="str">
        <f>'beruházás és felh. célú átadás'!A18</f>
        <v>Egyéb beruházások</v>
      </c>
      <c r="B11" s="572"/>
      <c r="C11" s="572">
        <f>183969014+2370044</f>
        <v>186339058</v>
      </c>
      <c r="D11" s="572"/>
      <c r="E11" s="43">
        <v>0</v>
      </c>
      <c r="F11" s="43"/>
      <c r="G11" s="43"/>
      <c r="H11" s="43"/>
      <c r="I11" s="43">
        <v>186339058</v>
      </c>
      <c r="J11" s="43"/>
      <c r="K11" s="43"/>
      <c r="L11" s="43">
        <f t="shared" si="0"/>
        <v>186339058</v>
      </c>
      <c r="M11" s="375">
        <f>L11-C11</f>
        <v>0</v>
      </c>
    </row>
    <row r="12" spans="1:13" ht="30">
      <c r="A12" s="420" t="str">
        <f>'beruházás és felh. célú átadás'!A19</f>
        <v>RÁVÜSZ térfigyelő bővítésre támogatás</v>
      </c>
      <c r="B12" s="572">
        <f>'beruházás és felh. célú átadás'!B19</f>
        <v>840000</v>
      </c>
      <c r="C12" s="572">
        <v>840000</v>
      </c>
      <c r="D12" s="572"/>
      <c r="E12" s="43"/>
      <c r="F12" s="43"/>
      <c r="G12" s="43">
        <v>840000</v>
      </c>
      <c r="H12" s="43"/>
      <c r="I12" s="43"/>
      <c r="J12" s="43"/>
      <c r="K12" s="43"/>
      <c r="L12" s="43">
        <f t="shared" si="0"/>
        <v>840000</v>
      </c>
      <c r="M12" s="375">
        <f t="shared" si="1"/>
        <v>0</v>
      </c>
    </row>
    <row r="13" spans="1:13" ht="15">
      <c r="A13" s="420" t="str">
        <f>'beruházás és felh. célú átadás'!A20</f>
        <v>Közvilágítás fejlesztése</v>
      </c>
      <c r="B13" s="572">
        <f>'beruházás és felh. célú átadás'!B20</f>
        <v>2000000</v>
      </c>
      <c r="C13" s="572">
        <v>2000000</v>
      </c>
      <c r="D13" s="572"/>
      <c r="E13" s="43"/>
      <c r="F13" s="43"/>
      <c r="G13" s="43"/>
      <c r="H13" s="43"/>
      <c r="I13" s="43"/>
      <c r="J13" s="43"/>
      <c r="K13" s="43">
        <v>2000000</v>
      </c>
      <c r="L13" s="43">
        <f t="shared" si="0"/>
        <v>2000000</v>
      </c>
      <c r="M13" s="375">
        <f t="shared" si="1"/>
        <v>0</v>
      </c>
    </row>
    <row r="14" spans="1:13" ht="47.25" customHeight="1">
      <c r="A14" s="420" t="str">
        <f>'beruházás és felh. célú átadás'!A21</f>
        <v>Vízitúra épület csónaktároló</v>
      </c>
      <c r="B14" s="572">
        <f>'beruházás és felh. célú átadás'!B21</f>
        <v>50673631</v>
      </c>
      <c r="C14" s="572">
        <v>50673631</v>
      </c>
      <c r="D14" s="572"/>
      <c r="E14" s="43"/>
      <c r="F14" s="43"/>
      <c r="G14" s="43">
        <v>0</v>
      </c>
      <c r="H14" s="43">
        <v>45000000</v>
      </c>
      <c r="I14" s="43">
        <v>5673631</v>
      </c>
      <c r="J14" s="43"/>
      <c r="K14" s="43"/>
      <c r="L14" s="43">
        <f t="shared" si="0"/>
        <v>50673631</v>
      </c>
      <c r="M14" s="375">
        <f t="shared" si="1"/>
        <v>0</v>
      </c>
    </row>
    <row r="15" spans="1:13" ht="30">
      <c r="A15" s="420" t="str">
        <f>'beruházás és felh. célú átadás'!A22</f>
        <v>1 Ft támogatás terhére  végzendő feladatok</v>
      </c>
      <c r="B15" s="572">
        <f>'beruházás és felh. célú átadás'!B22</f>
        <v>61920000</v>
      </c>
      <c r="C15" s="572">
        <v>61920000</v>
      </c>
      <c r="D15" s="572"/>
      <c r="E15" s="43"/>
      <c r="F15" s="43"/>
      <c r="G15" s="662">
        <v>0</v>
      </c>
      <c r="H15" s="662">
        <v>61920000</v>
      </c>
      <c r="I15" s="43">
        <v>0</v>
      </c>
      <c r="J15" s="43"/>
      <c r="K15" s="43"/>
      <c r="L15" s="43">
        <f t="shared" si="0"/>
        <v>61920000</v>
      </c>
      <c r="M15" s="375">
        <f t="shared" si="1"/>
        <v>0</v>
      </c>
    </row>
    <row r="16" spans="1:13" ht="15">
      <c r="A16" s="420" t="str">
        <f>'beruházás és felh. célú átadás'!A23</f>
        <v>Vályogos út kialakítás</v>
      </c>
      <c r="B16" s="572">
        <f>'beruházás és felh. célú átadás'!B23</f>
        <v>25986595</v>
      </c>
      <c r="C16" s="572">
        <v>25986595</v>
      </c>
      <c r="D16" s="572"/>
      <c r="E16" s="43">
        <v>0</v>
      </c>
      <c r="F16" s="43"/>
      <c r="G16" s="43">
        <v>25986595</v>
      </c>
      <c r="H16" s="43"/>
      <c r="I16" s="43">
        <v>0</v>
      </c>
      <c r="J16" s="43"/>
      <c r="K16" s="43">
        <v>0</v>
      </c>
      <c r="L16" s="43">
        <f t="shared" si="0"/>
        <v>25986595</v>
      </c>
      <c r="M16" s="375">
        <f t="shared" si="1"/>
        <v>0</v>
      </c>
    </row>
    <row r="17" spans="1:13" ht="33" customHeight="1">
      <c r="A17" s="420" t="str">
        <f>'beruházás és felh. célú átadás'!A24</f>
        <v>Bíróság  új épületének létrehozása</v>
      </c>
      <c r="B17" s="572">
        <f>'beruházás és felh. célú átadás'!B24</f>
        <v>228600000</v>
      </c>
      <c r="C17" s="572">
        <v>228600000</v>
      </c>
      <c r="D17" s="572">
        <v>59600000</v>
      </c>
      <c r="E17" s="43"/>
      <c r="F17" s="43"/>
      <c r="G17" s="43">
        <v>0</v>
      </c>
      <c r="H17" s="43">
        <v>169000000</v>
      </c>
      <c r="I17" s="43">
        <v>0</v>
      </c>
      <c r="J17" s="43"/>
      <c r="K17" s="43"/>
      <c r="L17" s="43">
        <f>SUM(D17:K17)</f>
        <v>228600000</v>
      </c>
      <c r="M17" s="375">
        <f t="shared" si="1"/>
        <v>0</v>
      </c>
    </row>
    <row r="18" spans="1:13" ht="33" customHeight="1">
      <c r="A18" s="420" t="str">
        <f>'beruházás és felh. célú átadás'!A25</f>
        <v>P+R parkoló hév állomás</v>
      </c>
      <c r="B18" s="572">
        <f>'beruházás és felh. célú átadás'!B25</f>
        <v>48000000</v>
      </c>
      <c r="C18" s="572">
        <v>48000000</v>
      </c>
      <c r="D18" s="572">
        <v>48000000</v>
      </c>
      <c r="E18" s="43"/>
      <c r="F18" s="43"/>
      <c r="G18" s="43"/>
      <c r="H18" s="43"/>
      <c r="I18" s="43">
        <v>0</v>
      </c>
      <c r="J18" s="43"/>
      <c r="K18" s="43"/>
      <c r="L18" s="43">
        <f>SUM(D18:K18)</f>
        <v>48000000</v>
      </c>
      <c r="M18" s="375">
        <f t="shared" si="1"/>
        <v>0</v>
      </c>
    </row>
    <row r="19" spans="1:13" ht="33" customHeight="1">
      <c r="A19" s="420" t="str">
        <f>'beruházás és felh. célú átadás'!A26</f>
        <v>P+R parkoló tervezési díja</v>
      </c>
      <c r="B19" s="572">
        <f>'beruházás és felh. célú átadás'!B26</f>
        <v>4064000</v>
      </c>
      <c r="C19" s="572">
        <v>4064000</v>
      </c>
      <c r="D19" s="572"/>
      <c r="E19" s="43"/>
      <c r="F19" s="43"/>
      <c r="G19" s="43">
        <v>4064000</v>
      </c>
      <c r="H19" s="43"/>
      <c r="I19" s="43">
        <v>0</v>
      </c>
      <c r="J19" s="43"/>
      <c r="K19" s="43"/>
      <c r="L19" s="43">
        <f aca="true" t="shared" si="2" ref="L19:L30">SUM(E19:K19)</f>
        <v>4064000</v>
      </c>
      <c r="M19" s="375">
        <f t="shared" si="1"/>
        <v>0</v>
      </c>
    </row>
    <row r="20" spans="1:13" ht="30">
      <c r="A20" s="420" t="str">
        <f>'beruházás és felh. célú átadás'!A28</f>
        <v>Kerékpárút létesítésére pályázati önerő</v>
      </c>
      <c r="B20" s="572">
        <f>'beruházás és felh. célú átadás'!B28</f>
        <v>11691404</v>
      </c>
      <c r="C20" s="572">
        <v>11691404</v>
      </c>
      <c r="D20" s="572"/>
      <c r="E20" s="43"/>
      <c r="F20" s="43"/>
      <c r="G20" s="43">
        <v>7108956</v>
      </c>
      <c r="H20" s="43"/>
      <c r="I20" s="43">
        <v>0</v>
      </c>
      <c r="J20" s="43"/>
      <c r="K20" s="43">
        <v>4582448</v>
      </c>
      <c r="L20" s="43">
        <f t="shared" si="2"/>
        <v>11691404</v>
      </c>
      <c r="M20" s="375">
        <f t="shared" si="1"/>
        <v>0</v>
      </c>
    </row>
    <row r="21" spans="1:13" ht="45">
      <c r="A21" s="420" t="str">
        <f>'beruházás és felh. célú átadás'!A29</f>
        <v>Ráckevei csónakos piac pályázat előkésztése II. részlet</v>
      </c>
      <c r="B21" s="572">
        <f>'beruházás és felh. célú átadás'!B29</f>
        <v>4000000</v>
      </c>
      <c r="C21" s="572">
        <v>4000000</v>
      </c>
      <c r="D21" s="572"/>
      <c r="E21" s="43"/>
      <c r="F21" s="43"/>
      <c r="G21" s="43">
        <v>4000000</v>
      </c>
      <c r="H21" s="43"/>
      <c r="I21" s="43"/>
      <c r="J21" s="43"/>
      <c r="K21" s="43"/>
      <c r="L21" s="43">
        <f t="shared" si="2"/>
        <v>4000000</v>
      </c>
      <c r="M21" s="375">
        <f t="shared" si="1"/>
        <v>0</v>
      </c>
    </row>
    <row r="22" spans="1:13" ht="30">
      <c r="A22" s="420" t="str">
        <f>'beruházás és felh. célú átadás'!A30</f>
        <v>Szent Vendel utcai telkek engedélyezési terve</v>
      </c>
      <c r="B22" s="572">
        <f>'beruházás és felh. célú átadás'!B30</f>
        <v>600000</v>
      </c>
      <c r="C22" s="572">
        <v>600000</v>
      </c>
      <c r="D22" s="572"/>
      <c r="E22" s="43"/>
      <c r="F22" s="43"/>
      <c r="G22" s="43">
        <v>600000</v>
      </c>
      <c r="H22" s="43"/>
      <c r="I22" s="43"/>
      <c r="J22" s="43"/>
      <c r="K22" s="43"/>
      <c r="L22" s="43">
        <f t="shared" si="2"/>
        <v>600000</v>
      </c>
      <c r="M22" s="375">
        <f t="shared" si="1"/>
        <v>0</v>
      </c>
    </row>
    <row r="23" spans="1:13" ht="15">
      <c r="A23" s="420" t="str">
        <f>'beruházás és felh. célú átadás'!A31</f>
        <v>Szivárvány óvoda beruházás</v>
      </c>
      <c r="B23" s="572">
        <f>'beruházás és felh. célú átadás'!B31</f>
        <v>4719070</v>
      </c>
      <c r="C23" s="572">
        <v>4719070</v>
      </c>
      <c r="D23" s="572"/>
      <c r="E23" s="43">
        <v>0</v>
      </c>
      <c r="F23" s="43"/>
      <c r="G23" s="43"/>
      <c r="H23" s="43"/>
      <c r="I23" s="43">
        <f aca="true" t="shared" si="3" ref="I23:I30">B23</f>
        <v>4719070</v>
      </c>
      <c r="J23" s="43"/>
      <c r="K23" s="43"/>
      <c r="L23" s="43">
        <f t="shared" si="2"/>
        <v>4719070</v>
      </c>
      <c r="M23" s="375">
        <f t="shared" si="1"/>
        <v>0</v>
      </c>
    </row>
    <row r="24" spans="1:13" ht="15">
      <c r="A24" s="420" t="str">
        <f>'beruházás és felh. célú átadás'!A32</f>
        <v>ÁKMK beruházás</v>
      </c>
      <c r="B24" s="572">
        <f>'beruházás és felh. célú átadás'!B32</f>
        <v>4680398</v>
      </c>
      <c r="C24" s="572">
        <v>4680398</v>
      </c>
      <c r="D24" s="572"/>
      <c r="E24" s="43"/>
      <c r="F24" s="43"/>
      <c r="G24" s="43">
        <v>0</v>
      </c>
      <c r="H24" s="43"/>
      <c r="I24" s="43">
        <f t="shared" si="3"/>
        <v>4680398</v>
      </c>
      <c r="J24" s="43"/>
      <c r="K24" s="43">
        <v>0</v>
      </c>
      <c r="L24" s="43">
        <f t="shared" si="2"/>
        <v>4680398</v>
      </c>
      <c r="M24" s="375">
        <f t="shared" si="1"/>
        <v>0</v>
      </c>
    </row>
    <row r="25" spans="1:13" ht="15">
      <c r="A25" s="420" t="str">
        <f>'beruházás és felh. célú átadás'!A33</f>
        <v>Bölcsőde beruházás</v>
      </c>
      <c r="B25" s="572">
        <f>'beruházás és felh. célú átadás'!B33</f>
        <v>2250002</v>
      </c>
      <c r="C25" s="572">
        <v>2250002</v>
      </c>
      <c r="D25" s="572"/>
      <c r="E25" s="43"/>
      <c r="F25" s="43"/>
      <c r="G25" s="43"/>
      <c r="H25" s="43">
        <v>0</v>
      </c>
      <c r="I25" s="43">
        <f t="shared" si="3"/>
        <v>2250002</v>
      </c>
      <c r="J25" s="43"/>
      <c r="K25" s="43"/>
      <c r="L25" s="43">
        <f t="shared" si="2"/>
        <v>2250002</v>
      </c>
      <c r="M25" s="375">
        <f t="shared" si="1"/>
        <v>0</v>
      </c>
    </row>
    <row r="26" spans="1:13" ht="15">
      <c r="A26" s="420" t="str">
        <f>'beruházás és felh. célú átadás'!A34</f>
        <v>Múzeum beruházás</v>
      </c>
      <c r="B26" s="572">
        <f>'beruházás és felh. célú átadás'!B34</f>
        <v>825500</v>
      </c>
      <c r="C26" s="572">
        <v>825500</v>
      </c>
      <c r="D26" s="572"/>
      <c r="E26" s="43"/>
      <c r="F26" s="43"/>
      <c r="G26" s="43"/>
      <c r="H26" s="43"/>
      <c r="I26" s="43">
        <f t="shared" si="3"/>
        <v>825500</v>
      </c>
      <c r="J26" s="43"/>
      <c r="K26" s="43"/>
      <c r="L26" s="43">
        <f t="shared" si="2"/>
        <v>825500</v>
      </c>
      <c r="M26" s="375">
        <f t="shared" si="1"/>
        <v>0</v>
      </c>
    </row>
    <row r="27" spans="1:13" ht="15">
      <c r="A27" s="420" t="str">
        <f>'beruházás és felh. célú átadás'!A35</f>
        <v>szakorvosi beruházás</v>
      </c>
      <c r="B27" s="572">
        <f>'beruházás és felh. célú átadás'!B35</f>
        <v>13099319</v>
      </c>
      <c r="C27" s="572">
        <v>13099319</v>
      </c>
      <c r="D27" s="572"/>
      <c r="E27" s="43"/>
      <c r="F27" s="43"/>
      <c r="G27" s="43">
        <v>0</v>
      </c>
      <c r="H27" s="43"/>
      <c r="I27" s="43">
        <f t="shared" si="3"/>
        <v>13099319</v>
      </c>
      <c r="J27" s="43"/>
      <c r="K27" s="43"/>
      <c r="L27" s="43">
        <f t="shared" si="2"/>
        <v>13099319</v>
      </c>
      <c r="M27" s="375">
        <f t="shared" si="1"/>
        <v>0</v>
      </c>
    </row>
    <row r="28" spans="1:13" ht="15">
      <c r="A28" s="420" t="str">
        <f>'beruházás és felh. célú átadás'!A36</f>
        <v>Konyha-vigi</v>
      </c>
      <c r="B28" s="572">
        <f>'beruházás és felh. célú átadás'!B36</f>
        <v>2484501</v>
      </c>
      <c r="C28" s="572">
        <v>2484501</v>
      </c>
      <c r="D28" s="572"/>
      <c r="E28" s="43"/>
      <c r="F28" s="43"/>
      <c r="G28" s="43">
        <v>0</v>
      </c>
      <c r="H28" s="43"/>
      <c r="I28" s="43">
        <f t="shared" si="3"/>
        <v>2484501</v>
      </c>
      <c r="J28" s="43"/>
      <c r="K28" s="43">
        <v>0</v>
      </c>
      <c r="L28" s="43">
        <f t="shared" si="2"/>
        <v>2484501</v>
      </c>
      <c r="M28" s="375">
        <f t="shared" si="1"/>
        <v>0</v>
      </c>
    </row>
    <row r="29" spans="1:13" ht="15">
      <c r="A29" s="420" t="str">
        <f>'beruházás és felh. célú átadás'!A37</f>
        <v>PH</v>
      </c>
      <c r="B29" s="572">
        <f>'beruházás és felh. célú átadás'!B37</f>
        <v>3527679</v>
      </c>
      <c r="C29" s="572">
        <v>3527679</v>
      </c>
      <c r="D29" s="572"/>
      <c r="E29" s="43"/>
      <c r="F29" s="43"/>
      <c r="G29" s="43">
        <v>0</v>
      </c>
      <c r="H29" s="43"/>
      <c r="I29" s="43">
        <f t="shared" si="3"/>
        <v>3527679</v>
      </c>
      <c r="J29" s="43"/>
      <c r="K29" s="43">
        <v>0</v>
      </c>
      <c r="L29" s="43">
        <f t="shared" si="2"/>
        <v>3527679</v>
      </c>
      <c r="M29" s="375">
        <f t="shared" si="1"/>
        <v>0</v>
      </c>
    </row>
    <row r="30" spans="1:13" s="42" customFormat="1" ht="15">
      <c r="A30" s="420" t="str">
        <f>'beruházás és felh. célú átadás'!A38</f>
        <v>könyvtár</v>
      </c>
      <c r="B30" s="572">
        <f>'beruházás és felh. célú átadás'!B38</f>
        <v>317500</v>
      </c>
      <c r="C30" s="572">
        <v>317500</v>
      </c>
      <c r="D30" s="572"/>
      <c r="E30" s="43">
        <v>0</v>
      </c>
      <c r="F30" s="43"/>
      <c r="G30" s="43"/>
      <c r="H30" s="43">
        <v>0</v>
      </c>
      <c r="I30" s="43">
        <f t="shared" si="3"/>
        <v>317500</v>
      </c>
      <c r="J30" s="43"/>
      <c r="K30" s="43"/>
      <c r="L30" s="43">
        <f t="shared" si="2"/>
        <v>317500</v>
      </c>
      <c r="M30" s="375">
        <f>L30-B30</f>
        <v>0</v>
      </c>
    </row>
    <row r="31" spans="1:13" s="42" customFormat="1" ht="15">
      <c r="A31" s="420" t="str">
        <f>'beruházás és felh. célú átadás'!A40</f>
        <v>Tao önerő sportcsarnok</v>
      </c>
      <c r="B31" s="572">
        <f>'beruházás és felh. célú átadás'!B40</f>
        <v>268765000</v>
      </c>
      <c r="C31" s="572">
        <v>268765000</v>
      </c>
      <c r="D31" s="572">
        <v>268765000</v>
      </c>
      <c r="E31" s="43"/>
      <c r="F31" s="43"/>
      <c r="G31" s="43"/>
      <c r="H31" s="43"/>
      <c r="I31" s="43">
        <v>0</v>
      </c>
      <c r="J31" s="43"/>
      <c r="K31" s="43"/>
      <c r="L31" s="43">
        <f>SUM(D31:K31)</f>
        <v>268765000</v>
      </c>
      <c r="M31" s="375">
        <f t="shared" si="1"/>
        <v>0</v>
      </c>
    </row>
    <row r="32" spans="1:13" s="42" customFormat="1" ht="15">
      <c r="A32" s="420" t="str">
        <f>'felújítások (2)'!A4</f>
        <v>Gólyafészek Bölcsőde kerítés</v>
      </c>
      <c r="B32" s="572">
        <f>'felújítások (2)'!B4</f>
        <v>750000</v>
      </c>
      <c r="C32" s="572">
        <v>750000</v>
      </c>
      <c r="D32" s="572"/>
      <c r="E32" s="43"/>
      <c r="F32" s="43"/>
      <c r="G32" s="43">
        <v>0</v>
      </c>
      <c r="H32" s="43"/>
      <c r="I32" s="43">
        <v>0</v>
      </c>
      <c r="J32" s="43"/>
      <c r="K32" s="43">
        <v>750000</v>
      </c>
      <c r="L32" s="43">
        <f aca="true" t="shared" si="4" ref="L32:L44">SUM(E32:K32)</f>
        <v>750000</v>
      </c>
      <c r="M32" s="375">
        <f t="shared" si="1"/>
        <v>0</v>
      </c>
    </row>
    <row r="33" spans="1:13" s="42" customFormat="1" ht="30">
      <c r="A33" s="420" t="str">
        <f>'felújítások (2)'!A5</f>
        <v>Gólyafészek Bölcsőde világítás korszerűsítés</v>
      </c>
      <c r="B33" s="572">
        <f>'felújítások (2)'!B5</f>
        <v>500000</v>
      </c>
      <c r="C33" s="572">
        <v>500000</v>
      </c>
      <c r="D33" s="572"/>
      <c r="E33" s="43"/>
      <c r="F33" s="43"/>
      <c r="G33" s="43"/>
      <c r="H33" s="43"/>
      <c r="I33" s="43">
        <v>0</v>
      </c>
      <c r="J33" s="43"/>
      <c r="K33" s="43">
        <v>500000</v>
      </c>
      <c r="L33" s="43">
        <f t="shared" si="4"/>
        <v>500000</v>
      </c>
      <c r="M33" s="375">
        <f t="shared" si="1"/>
        <v>0</v>
      </c>
    </row>
    <row r="34" spans="1:13" s="42" customFormat="1" ht="15">
      <c r="A34" s="420" t="str">
        <f>'felújítások (2)'!A6</f>
        <v>Skarica Máté V.K. klíma</v>
      </c>
      <c r="B34" s="572">
        <f>'felújítások (2)'!B6</f>
        <v>0</v>
      </c>
      <c r="C34" s="572">
        <v>0</v>
      </c>
      <c r="D34" s="572"/>
      <c r="E34" s="43"/>
      <c r="F34" s="43"/>
      <c r="G34" s="43"/>
      <c r="H34" s="43"/>
      <c r="I34" s="43">
        <f>B34</f>
        <v>0</v>
      </c>
      <c r="J34" s="43"/>
      <c r="K34" s="43"/>
      <c r="L34" s="43">
        <f t="shared" si="4"/>
        <v>0</v>
      </c>
      <c r="M34" s="375">
        <f t="shared" si="1"/>
        <v>0</v>
      </c>
    </row>
    <row r="35" spans="1:13" s="42" customFormat="1" ht="30">
      <c r="A35" s="420" t="str">
        <f>'felújítások (2)'!A7</f>
        <v>járdák kialakítása/felújítása több helyen</v>
      </c>
      <c r="B35" s="572">
        <f>'felújítások (2)'!B7</f>
        <v>69746813</v>
      </c>
      <c r="C35" s="572">
        <v>69746813</v>
      </c>
      <c r="D35" s="707">
        <v>7063520</v>
      </c>
      <c r="E35" s="43">
        <v>0</v>
      </c>
      <c r="F35" s="43"/>
      <c r="G35" s="43">
        <v>56019000</v>
      </c>
      <c r="H35" s="43"/>
      <c r="I35" s="43">
        <v>6664293</v>
      </c>
      <c r="J35" s="43"/>
      <c r="K35" s="43">
        <v>0</v>
      </c>
      <c r="L35" s="43">
        <f>SUM(D35:K35)</f>
        <v>69746813</v>
      </c>
      <c r="M35" s="375">
        <f t="shared" si="1"/>
        <v>0</v>
      </c>
    </row>
    <row r="36" spans="1:13" s="42" customFormat="1" ht="15">
      <c r="A36" s="420" t="str">
        <f>'felújítások (2)'!A9</f>
        <v>útfelújítás</v>
      </c>
      <c r="B36" s="572">
        <f>'felújítások (2)'!B9</f>
        <v>30000000</v>
      </c>
      <c r="C36" s="572">
        <v>30000000</v>
      </c>
      <c r="D36" s="572">
        <v>15000000</v>
      </c>
      <c r="E36" s="43">
        <v>0</v>
      </c>
      <c r="F36" s="43"/>
      <c r="G36" s="43"/>
      <c r="H36" s="43"/>
      <c r="I36" s="43">
        <v>0</v>
      </c>
      <c r="J36" s="43"/>
      <c r="K36" s="43">
        <v>15000000</v>
      </c>
      <c r="L36" s="43">
        <f>SUM(D36:K36)</f>
        <v>30000000</v>
      </c>
      <c r="M36" s="375">
        <f t="shared" si="1"/>
        <v>0</v>
      </c>
    </row>
    <row r="37" spans="1:13" s="42" customFormat="1" ht="30">
      <c r="A37" s="420" t="str">
        <f>'felújítások (2)'!A10</f>
        <v>Árpád Múzeum karácsonyi díszkivilágítás</v>
      </c>
      <c r="B37" s="572">
        <f>'felújítások (2)'!B10</f>
        <v>200000</v>
      </c>
      <c r="C37" s="572">
        <v>200000</v>
      </c>
      <c r="D37" s="572"/>
      <c r="E37" s="43"/>
      <c r="F37" s="43"/>
      <c r="G37" s="43">
        <v>0</v>
      </c>
      <c r="H37" s="43">
        <v>0</v>
      </c>
      <c r="I37" s="43">
        <v>200000</v>
      </c>
      <c r="J37" s="43"/>
      <c r="K37" s="43"/>
      <c r="L37" s="43">
        <f t="shared" si="4"/>
        <v>200000</v>
      </c>
      <c r="M37" s="375">
        <f t="shared" si="1"/>
        <v>0</v>
      </c>
    </row>
    <row r="38" spans="1:13" s="42" customFormat="1" ht="15">
      <c r="A38" s="420" t="str">
        <f>'felújítások (2)'!A11</f>
        <v>Patay képtár kazáncsere</v>
      </c>
      <c r="B38" s="572">
        <f>'felújítások (2)'!B11</f>
        <v>1500000</v>
      </c>
      <c r="C38" s="572">
        <v>1500000</v>
      </c>
      <c r="D38" s="572">
        <v>0</v>
      </c>
      <c r="E38" s="43">
        <v>0</v>
      </c>
      <c r="F38" s="43"/>
      <c r="G38" s="43">
        <v>0</v>
      </c>
      <c r="H38" s="43"/>
      <c r="I38" s="43">
        <v>1500000</v>
      </c>
      <c r="J38" s="43"/>
      <c r="K38" s="43"/>
      <c r="L38" s="43">
        <f>SUM(D38:K38)</f>
        <v>1500000</v>
      </c>
      <c r="M38" s="375">
        <f t="shared" si="1"/>
        <v>0</v>
      </c>
    </row>
    <row r="39" spans="1:13" s="42" customFormat="1" ht="30">
      <c r="A39" s="420" t="str">
        <f>'felújítások (2)'!A12</f>
        <v>Keve Galéria karácsonyi díszkivilágítás</v>
      </c>
      <c r="B39" s="572">
        <f>'felújítások (2)'!B12</f>
        <v>200000</v>
      </c>
      <c r="C39" s="572">
        <v>200000</v>
      </c>
      <c r="D39" s="572"/>
      <c r="E39" s="43"/>
      <c r="F39" s="43"/>
      <c r="G39" s="43"/>
      <c r="H39" s="43"/>
      <c r="I39" s="43">
        <v>200000</v>
      </c>
      <c r="J39" s="43"/>
      <c r="K39" s="43">
        <v>0</v>
      </c>
      <c r="L39" s="43">
        <f t="shared" si="4"/>
        <v>200000</v>
      </c>
      <c r="M39" s="375">
        <f t="shared" si="1"/>
        <v>0</v>
      </c>
    </row>
    <row r="40" spans="1:13" s="42" customFormat="1" ht="30">
      <c r="A40" s="420" t="str">
        <f>'felújítások (2)'!A13</f>
        <v>Patay képtár klíma, párologtató</v>
      </c>
      <c r="B40" s="572">
        <f>'felújítások (2)'!B13</f>
        <v>0</v>
      </c>
      <c r="C40" s="572">
        <v>0</v>
      </c>
      <c r="D40" s="572"/>
      <c r="E40" s="43"/>
      <c r="F40" s="43"/>
      <c r="G40" s="43"/>
      <c r="H40" s="43"/>
      <c r="I40" s="43">
        <v>0</v>
      </c>
      <c r="J40" s="43"/>
      <c r="K40" s="43"/>
      <c r="L40" s="43">
        <f t="shared" si="4"/>
        <v>0</v>
      </c>
      <c r="M40" s="375"/>
    </row>
    <row r="41" spans="1:13" s="42" customFormat="1" ht="15">
      <c r="A41" s="420" t="str">
        <f>'felújítások (2)'!A15</f>
        <v>Tourinform bádog csere</v>
      </c>
      <c r="B41" s="572">
        <f>'felújítások (2)'!B15</f>
        <v>950000</v>
      </c>
      <c r="C41" s="572">
        <v>950000</v>
      </c>
      <c r="D41" s="572"/>
      <c r="E41" s="43"/>
      <c r="F41" s="43"/>
      <c r="G41" s="43"/>
      <c r="H41" s="43"/>
      <c r="I41" s="43">
        <f>B41</f>
        <v>950000</v>
      </c>
      <c r="J41" s="43"/>
      <c r="K41" s="43"/>
      <c r="L41" s="43">
        <f t="shared" si="4"/>
        <v>950000</v>
      </c>
      <c r="M41" s="375">
        <f t="shared" si="1"/>
        <v>0</v>
      </c>
    </row>
    <row r="42" spans="1:13" s="42" customFormat="1" ht="17.25" customHeight="1">
      <c r="A42" s="420" t="str">
        <f>'felújítások (2)'!A16</f>
        <v>HÉV WC konténer</v>
      </c>
      <c r="B42" s="572">
        <f>'felújítások (2)'!B16</f>
        <v>4500000</v>
      </c>
      <c r="C42" s="572">
        <v>4500000</v>
      </c>
      <c r="D42" s="572"/>
      <c r="E42" s="43"/>
      <c r="F42" s="43"/>
      <c r="G42" s="43"/>
      <c r="H42" s="43">
        <v>0</v>
      </c>
      <c r="I42" s="43">
        <v>4500000</v>
      </c>
      <c r="J42" s="43"/>
      <c r="K42" s="43"/>
      <c r="L42" s="43">
        <f t="shared" si="4"/>
        <v>4500000</v>
      </c>
      <c r="M42" s="375">
        <f t="shared" si="1"/>
        <v>0</v>
      </c>
    </row>
    <row r="43" spans="1:13" s="42" customFormat="1" ht="30">
      <c r="A43" s="420" t="str">
        <f>'felújítások (2)'!A17</f>
        <v>Régi Városháza vakolat hullás jav.</v>
      </c>
      <c r="B43" s="572">
        <f>'felújítások (2)'!B17</f>
        <v>1000000</v>
      </c>
      <c r="C43" s="572">
        <v>1000000</v>
      </c>
      <c r="D43" s="572"/>
      <c r="E43" s="43"/>
      <c r="F43" s="43"/>
      <c r="G43" s="43"/>
      <c r="H43" s="43"/>
      <c r="I43" s="43">
        <v>1000000</v>
      </c>
      <c r="J43" s="43"/>
      <c r="K43" s="43"/>
      <c r="L43" s="43">
        <f t="shared" si="4"/>
        <v>1000000</v>
      </c>
      <c r="M43" s="375">
        <f t="shared" si="1"/>
        <v>0</v>
      </c>
    </row>
    <row r="44" spans="1:13" s="42" customFormat="1" ht="15">
      <c r="A44" s="420" t="str">
        <f>'felújítások (2)'!A18</f>
        <v>Bíróság kerítés bontás</v>
      </c>
      <c r="B44" s="572">
        <f>'felújítások (2)'!B18</f>
        <v>700000</v>
      </c>
      <c r="C44" s="572">
        <v>700000</v>
      </c>
      <c r="D44" s="572"/>
      <c r="E44" s="43"/>
      <c r="F44" s="43"/>
      <c r="G44" s="43"/>
      <c r="H44" s="43"/>
      <c r="I44" s="43">
        <v>700000</v>
      </c>
      <c r="J44" s="43"/>
      <c r="K44" s="43"/>
      <c r="L44" s="43">
        <f t="shared" si="4"/>
        <v>700000</v>
      </c>
      <c r="M44" s="375">
        <f t="shared" si="1"/>
        <v>0</v>
      </c>
    </row>
    <row r="45" spans="1:13" ht="33.75" customHeight="1">
      <c r="A45" s="420" t="str">
        <f>'felújítások (2)'!A21</f>
        <v>ÁKMK öltözők felújítása színpad mögött</v>
      </c>
      <c r="B45" s="572">
        <f>'felújítások (2)'!B21</f>
        <v>1300000</v>
      </c>
      <c r="C45" s="572">
        <v>1300000</v>
      </c>
      <c r="D45" s="707">
        <v>1300000</v>
      </c>
      <c r="E45" s="43">
        <v>0</v>
      </c>
      <c r="F45" s="43"/>
      <c r="G45" s="43"/>
      <c r="H45" s="43"/>
      <c r="I45" s="43">
        <v>0</v>
      </c>
      <c r="J45" s="43"/>
      <c r="K45" s="43"/>
      <c r="L45" s="43">
        <f>SUM(D45:K45)</f>
        <v>1300000</v>
      </c>
      <c r="M45" s="375">
        <f t="shared" si="1"/>
        <v>0</v>
      </c>
    </row>
    <row r="46" spans="1:13" ht="30">
      <c r="A46" s="420" t="str">
        <f>'felújítások (2)'!A22</f>
        <v>Skarica Máté V.K. padlás lépcső</v>
      </c>
      <c r="B46" s="572">
        <f>'felújítások (2)'!B22</f>
        <v>650000</v>
      </c>
      <c r="C46" s="572">
        <v>650000</v>
      </c>
      <c r="D46" s="707">
        <v>324488</v>
      </c>
      <c r="E46" s="43">
        <v>0</v>
      </c>
      <c r="F46" s="43"/>
      <c r="G46" s="43">
        <v>0</v>
      </c>
      <c r="H46" s="43"/>
      <c r="I46" s="43">
        <v>2960</v>
      </c>
      <c r="J46" s="43"/>
      <c r="K46" s="43">
        <v>322552</v>
      </c>
      <c r="L46" s="43">
        <f>SUM(D46:K46)</f>
        <v>650000</v>
      </c>
      <c r="M46" s="375">
        <f t="shared" si="1"/>
        <v>0</v>
      </c>
    </row>
    <row r="47" spans="1:13" ht="15">
      <c r="A47" s="420" t="str">
        <f>'felújítások (2)'!A23</f>
        <v>Ifjúság u. óvoda (Bölcsőde)</v>
      </c>
      <c r="B47" s="572">
        <f>'felújítások (2)'!B23</f>
        <v>750000</v>
      </c>
      <c r="C47" s="572">
        <v>750000</v>
      </c>
      <c r="D47" s="572"/>
      <c r="E47" s="43">
        <v>0</v>
      </c>
      <c r="F47" s="43"/>
      <c r="G47" s="43">
        <v>0</v>
      </c>
      <c r="H47" s="43">
        <v>0</v>
      </c>
      <c r="I47" s="43"/>
      <c r="J47" s="43"/>
      <c r="K47" s="43">
        <v>750000</v>
      </c>
      <c r="L47" s="43">
        <f>SUM(E47:K47)</f>
        <v>750000</v>
      </c>
      <c r="M47" s="375">
        <f t="shared" si="1"/>
        <v>0</v>
      </c>
    </row>
    <row r="48" spans="1:13" ht="15">
      <c r="A48" s="420" t="str">
        <f>'felújítások (2)'!A24</f>
        <v>Ifjúság u. óvoda kerítés</v>
      </c>
      <c r="B48" s="572">
        <f>'felújítások (2)'!B24</f>
        <v>450000</v>
      </c>
      <c r="C48" s="572">
        <v>450000</v>
      </c>
      <c r="D48" s="572"/>
      <c r="E48" s="43"/>
      <c r="F48" s="43"/>
      <c r="G48" s="43"/>
      <c r="H48" s="43">
        <v>0</v>
      </c>
      <c r="I48" s="43">
        <v>450000</v>
      </c>
      <c r="J48" s="43"/>
      <c r="K48" s="43">
        <v>0</v>
      </c>
      <c r="L48" s="43">
        <f aca="true" t="shared" si="5" ref="L48:L53">SUM(E48:K48)</f>
        <v>450000</v>
      </c>
      <c r="M48" s="375">
        <f aca="true" t="shared" si="6" ref="M48:M53">L48-B48</f>
        <v>0</v>
      </c>
    </row>
    <row r="49" spans="1:13" ht="30">
      <c r="A49" s="420" t="str">
        <f>'felújítások (2)'!A25</f>
        <v>Vörösmarty óvoda balesetveszélyes kerítés</v>
      </c>
      <c r="B49" s="572">
        <f>'felújítások (2)'!B25</f>
        <v>1200000</v>
      </c>
      <c r="C49" s="572">
        <v>1200000</v>
      </c>
      <c r="D49" s="572"/>
      <c r="E49" s="43">
        <v>0</v>
      </c>
      <c r="F49" s="43"/>
      <c r="G49" s="43"/>
      <c r="H49" s="43"/>
      <c r="I49" s="43"/>
      <c r="J49" s="43"/>
      <c r="K49" s="43">
        <v>1200000</v>
      </c>
      <c r="L49" s="43">
        <f t="shared" si="5"/>
        <v>1200000</v>
      </c>
      <c r="M49" s="375">
        <f t="shared" si="6"/>
        <v>0</v>
      </c>
    </row>
    <row r="50" spans="1:13" ht="15">
      <c r="A50" s="420" t="str">
        <f>'felújítások (2)'!A26</f>
        <v>Szivárvány óvoda klíma (4 db)</v>
      </c>
      <c r="B50" s="572">
        <f>'felújítások (2)'!B26</f>
        <v>0</v>
      </c>
      <c r="C50" s="572">
        <v>0</v>
      </c>
      <c r="D50" s="572"/>
      <c r="E50" s="43"/>
      <c r="F50" s="43"/>
      <c r="G50" s="43"/>
      <c r="H50" s="43"/>
      <c r="I50" s="43">
        <v>0</v>
      </c>
      <c r="J50" s="43"/>
      <c r="K50" s="43"/>
      <c r="L50" s="43">
        <f t="shared" si="5"/>
        <v>0</v>
      </c>
      <c r="M50" s="375">
        <f t="shared" si="6"/>
        <v>0</v>
      </c>
    </row>
    <row r="51" spans="1:13" ht="30">
      <c r="A51" s="420" t="str">
        <f>'felújítások (2)'!A27</f>
        <v>Vörösmarty óvoda csatorna jav.</v>
      </c>
      <c r="B51" s="572">
        <f>'felújítások (2)'!B27</f>
        <v>500000</v>
      </c>
      <c r="C51" s="572">
        <v>500000</v>
      </c>
      <c r="D51" s="572"/>
      <c r="E51" s="43">
        <v>0</v>
      </c>
      <c r="F51" s="43"/>
      <c r="G51" s="43"/>
      <c r="H51" s="43"/>
      <c r="I51" s="43">
        <v>500000</v>
      </c>
      <c r="J51" s="43"/>
      <c r="K51" s="43"/>
      <c r="L51" s="43">
        <f t="shared" si="5"/>
        <v>500000</v>
      </c>
      <c r="M51" s="375">
        <f t="shared" si="6"/>
        <v>0</v>
      </c>
    </row>
    <row r="52" spans="1:13" ht="15">
      <c r="A52" s="420" t="str">
        <f>'felújítások (2)'!A28</f>
        <v>Szürke épület felújítása</v>
      </c>
      <c r="B52" s="572">
        <f>'felújítások (2)'!B28</f>
        <v>57453188</v>
      </c>
      <c r="C52" s="572">
        <v>57453188</v>
      </c>
      <c r="D52" s="572">
        <v>27453188</v>
      </c>
      <c r="E52" s="43">
        <v>0</v>
      </c>
      <c r="F52" s="43"/>
      <c r="G52" s="43">
        <v>30000000</v>
      </c>
      <c r="H52" s="43">
        <v>0</v>
      </c>
      <c r="I52" s="43">
        <v>0</v>
      </c>
      <c r="J52" s="43"/>
      <c r="K52" s="43">
        <v>0</v>
      </c>
      <c r="L52" s="43">
        <f>SUM(D52:K52)</f>
        <v>57453188</v>
      </c>
      <c r="M52" s="375">
        <f t="shared" si="6"/>
        <v>0</v>
      </c>
    </row>
    <row r="53" spans="1:13" ht="0.75" customHeight="1">
      <c r="A53" s="420" t="str">
        <f>céltARTALÉK!A14</f>
        <v>vagyonhasznosítási alap (2016)</v>
      </c>
      <c r="B53" s="572">
        <f>céltARTALÉK!B14</f>
        <v>0</v>
      </c>
      <c r="C53" s="572"/>
      <c r="D53" s="572"/>
      <c r="E53" s="43"/>
      <c r="F53" s="43"/>
      <c r="G53" s="43">
        <v>0</v>
      </c>
      <c r="H53" s="43"/>
      <c r="I53" s="43">
        <v>0</v>
      </c>
      <c r="J53" s="43"/>
      <c r="K53" s="43"/>
      <c r="L53" s="43">
        <f t="shared" si="5"/>
        <v>0</v>
      </c>
      <c r="M53" s="375">
        <f t="shared" si="6"/>
        <v>0</v>
      </c>
    </row>
    <row r="54" spans="1:13" ht="15">
      <c r="A54" s="420" t="str">
        <f>'felújítások (2)'!A29</f>
        <v>További útfelújítások</v>
      </c>
      <c r="B54" s="572">
        <f>'felújítások (2)'!B29</f>
        <v>36002354</v>
      </c>
      <c r="C54" s="572">
        <v>36002354</v>
      </c>
      <c r="D54" s="572">
        <v>31048000</v>
      </c>
      <c r="E54" s="43">
        <v>0</v>
      </c>
      <c r="F54" s="43"/>
      <c r="G54" s="43">
        <v>4954354</v>
      </c>
      <c r="H54" s="43"/>
      <c r="I54" s="43">
        <v>0</v>
      </c>
      <c r="J54" s="43"/>
      <c r="K54" s="43"/>
      <c r="L54" s="43">
        <f aca="true" t="shared" si="7" ref="L54:L59">SUM(D54:K54)</f>
        <v>36002354</v>
      </c>
      <c r="M54" s="375">
        <f t="shared" si="1"/>
        <v>0</v>
      </c>
    </row>
    <row r="55" spans="1:13" ht="30">
      <c r="A55" s="420" t="str">
        <f>'felújítások (2)'!A30</f>
        <v>Vörösmarty óvoda kazán csere</v>
      </c>
      <c r="B55" s="572">
        <f>'felújítások (2)'!B30</f>
        <v>500000</v>
      </c>
      <c r="C55" s="572">
        <v>500000</v>
      </c>
      <c r="D55" s="572"/>
      <c r="E55" s="43"/>
      <c r="F55" s="43"/>
      <c r="G55" s="43"/>
      <c r="H55" s="43"/>
      <c r="I55" s="43">
        <v>500000</v>
      </c>
      <c r="J55" s="43"/>
      <c r="K55" s="43"/>
      <c r="L55" s="43">
        <f t="shared" si="7"/>
        <v>500000</v>
      </c>
      <c r="M55" s="375">
        <f t="shared" si="1"/>
        <v>0</v>
      </c>
    </row>
    <row r="56" spans="1:13" ht="15">
      <c r="A56" s="420" t="str">
        <f>'felújítások (2)'!A31</f>
        <v>Kék ház ablak csere</v>
      </c>
      <c r="B56" s="572">
        <f>'felújítások (2)'!B31</f>
        <v>0</v>
      </c>
      <c r="C56" s="572">
        <v>0</v>
      </c>
      <c r="D56" s="572">
        <f>'felújítások (2)'!C31</f>
        <v>0</v>
      </c>
      <c r="E56" s="43">
        <v>0</v>
      </c>
      <c r="F56" s="43"/>
      <c r="G56" s="43"/>
      <c r="H56" s="43"/>
      <c r="I56" s="43">
        <v>0</v>
      </c>
      <c r="J56" s="43"/>
      <c r="K56" s="43"/>
      <c r="L56" s="43">
        <f t="shared" si="7"/>
        <v>0</v>
      </c>
      <c r="M56" s="375">
        <f t="shared" si="1"/>
        <v>0</v>
      </c>
    </row>
    <row r="57" spans="1:13" ht="15">
      <c r="A57" s="420" t="str">
        <f>'felújítások (2)'!A32</f>
        <v>Iskola u. óvoda ablakcsere</v>
      </c>
      <c r="B57" s="572">
        <f>'felújítások (2)'!B32</f>
        <v>0</v>
      </c>
      <c r="C57" s="572">
        <v>0</v>
      </c>
      <c r="D57" s="572"/>
      <c r="E57" s="43">
        <v>0</v>
      </c>
      <c r="F57" s="43"/>
      <c r="G57" s="43"/>
      <c r="H57" s="43"/>
      <c r="I57" s="43">
        <v>0</v>
      </c>
      <c r="J57" s="43"/>
      <c r="K57" s="43"/>
      <c r="L57" s="43">
        <f t="shared" si="7"/>
        <v>0</v>
      </c>
      <c r="M57" s="375">
        <f t="shared" si="1"/>
        <v>0</v>
      </c>
    </row>
    <row r="58" spans="1:13" ht="15">
      <c r="A58" s="420" t="str">
        <f>'felújítások (2)'!A33</f>
        <v>Hivatal klíma</v>
      </c>
      <c r="B58" s="572">
        <f>'felújítások (2)'!B33</f>
        <v>0</v>
      </c>
      <c r="C58" s="572">
        <v>0</v>
      </c>
      <c r="D58" s="572"/>
      <c r="E58" s="43"/>
      <c r="F58" s="43"/>
      <c r="G58" s="43"/>
      <c r="H58" s="43"/>
      <c r="I58" s="43">
        <v>0</v>
      </c>
      <c r="J58" s="43"/>
      <c r="K58" s="43"/>
      <c r="L58" s="43">
        <f t="shared" si="7"/>
        <v>0</v>
      </c>
      <c r="M58" s="375">
        <f t="shared" si="1"/>
        <v>0</v>
      </c>
    </row>
    <row r="59" spans="1:13" ht="15">
      <c r="A59" s="420" t="str">
        <f>'felújítások (2)'!A34</f>
        <v>Elmenő intézmények kerete</v>
      </c>
      <c r="B59" s="572">
        <f>'felújítások (2)'!B34</f>
        <v>6000000</v>
      </c>
      <c r="C59" s="572">
        <v>6000000</v>
      </c>
      <c r="D59" s="572"/>
      <c r="E59" s="43"/>
      <c r="F59" s="43"/>
      <c r="G59" s="43"/>
      <c r="H59" s="43"/>
      <c r="I59" s="43">
        <v>6000000</v>
      </c>
      <c r="J59" s="43"/>
      <c r="K59" s="43"/>
      <c r="L59" s="43">
        <f t="shared" si="7"/>
        <v>6000000</v>
      </c>
      <c r="M59" s="375">
        <f t="shared" si="1"/>
        <v>0</v>
      </c>
    </row>
    <row r="60" spans="1:13" ht="30">
      <c r="A60" s="420" t="str">
        <f>céltARTALÉK!A17</f>
        <v>bérleti díj terhére DAKÖV kft által végzett</v>
      </c>
      <c r="B60" s="572">
        <f>céltARTALÉK!B17</f>
        <v>14700000</v>
      </c>
      <c r="C60" s="572">
        <v>14700000</v>
      </c>
      <c r="D60" s="572"/>
      <c r="E60" s="43"/>
      <c r="F60" s="43"/>
      <c r="G60" s="43"/>
      <c r="H60" s="43"/>
      <c r="I60" s="43">
        <f>B60</f>
        <v>14700000</v>
      </c>
      <c r="J60" s="43"/>
      <c r="K60" s="43">
        <v>0</v>
      </c>
      <c r="L60" s="43">
        <f aca="true" t="shared" si="8" ref="L60:L66">SUM(E60:K60)</f>
        <v>14700000</v>
      </c>
      <c r="M60" s="375">
        <f t="shared" si="1"/>
        <v>0</v>
      </c>
    </row>
    <row r="61" spans="1:13" ht="15">
      <c r="A61" s="420" t="str">
        <f>céltARTALÉK!A19</f>
        <v>MLSZ önerő (kerítés)</v>
      </c>
      <c r="B61" s="572">
        <f>céltARTALÉK!B19</f>
        <v>700000</v>
      </c>
      <c r="C61" s="572">
        <v>700000</v>
      </c>
      <c r="D61" s="572"/>
      <c r="E61" s="43"/>
      <c r="F61" s="43"/>
      <c r="G61" s="43">
        <v>700000</v>
      </c>
      <c r="H61" s="43">
        <v>0</v>
      </c>
      <c r="I61" s="43">
        <v>0</v>
      </c>
      <c r="J61" s="43"/>
      <c r="K61" s="43">
        <v>0</v>
      </c>
      <c r="L61" s="43">
        <f t="shared" si="8"/>
        <v>700000</v>
      </c>
      <c r="M61" s="375">
        <f t="shared" si="1"/>
        <v>0</v>
      </c>
    </row>
    <row r="62" spans="1:14" ht="15">
      <c r="A62" s="420" t="str">
        <f>'beruházás és felh. célú átadás'!A41</f>
        <v>Külterületi utak pályázat</v>
      </c>
      <c r="B62" s="573">
        <f>'beruházás és felh. célú átadás'!B41</f>
        <v>52113860</v>
      </c>
      <c r="C62" s="664">
        <v>52113860</v>
      </c>
      <c r="D62" s="572"/>
      <c r="E62" s="43"/>
      <c r="F62" s="43"/>
      <c r="G62" s="43">
        <v>5696474</v>
      </c>
      <c r="H62" s="388">
        <f>46417386-42020386</f>
        <v>4397000</v>
      </c>
      <c r="I62" s="388">
        <v>42020386</v>
      </c>
      <c r="J62" s="43"/>
      <c r="K62" s="43"/>
      <c r="L62" s="43">
        <f t="shared" si="8"/>
        <v>52113860</v>
      </c>
      <c r="M62" s="375">
        <f t="shared" si="1"/>
        <v>0</v>
      </c>
      <c r="N62" s="64"/>
    </row>
    <row r="63" spans="1:13" ht="30">
      <c r="A63" s="420" t="str">
        <f>céltARTALÉK!A20</f>
        <v>iparűzés adó háziorvosi feladatellátásra eső része</v>
      </c>
      <c r="B63" s="572">
        <f>céltARTALÉK!B20</f>
        <v>1620000</v>
      </c>
      <c r="C63" s="572">
        <v>1620000</v>
      </c>
      <c r="D63" s="572"/>
      <c r="E63" s="43"/>
      <c r="F63" s="43"/>
      <c r="G63" s="43">
        <v>0</v>
      </c>
      <c r="H63" s="43"/>
      <c r="I63" s="43">
        <f>B63</f>
        <v>1620000</v>
      </c>
      <c r="J63" s="43"/>
      <c r="K63" s="43"/>
      <c r="L63" s="43">
        <f t="shared" si="8"/>
        <v>1620000</v>
      </c>
      <c r="M63" s="375">
        <f t="shared" si="1"/>
        <v>0</v>
      </c>
    </row>
    <row r="64" spans="1:13" ht="30">
      <c r="A64" s="420" t="str">
        <f>céltARTALÉK!A21</f>
        <v>Ránki Gy AMI homlokzat felújításához hozzájárulás</v>
      </c>
      <c r="B64" s="572">
        <f>céltARTALÉK!B21</f>
        <v>15000000</v>
      </c>
      <c r="C64" s="572">
        <v>15000000</v>
      </c>
      <c r="D64" s="572"/>
      <c r="E64" s="43">
        <v>0</v>
      </c>
      <c r="F64" s="43"/>
      <c r="G64" s="43"/>
      <c r="H64" s="43"/>
      <c r="I64" s="43">
        <v>15000000</v>
      </c>
      <c r="J64" s="43"/>
      <c r="K64" s="43"/>
      <c r="L64" s="43">
        <f t="shared" si="8"/>
        <v>15000000</v>
      </c>
      <c r="M64" s="375">
        <f t="shared" si="1"/>
        <v>0</v>
      </c>
    </row>
    <row r="65" spans="1:13" ht="30">
      <c r="A65" s="420" t="str">
        <f>céltARTALÉK!A22</f>
        <v>MHSZ  Turisztikai pályázat önerő</v>
      </c>
      <c r="B65" s="572">
        <f>céltARTALÉK!B22</f>
        <v>70000000</v>
      </c>
      <c r="C65" s="572">
        <v>70000000</v>
      </c>
      <c r="D65" s="572"/>
      <c r="E65" s="43"/>
      <c r="F65" s="43"/>
      <c r="G65" s="43"/>
      <c r="H65" s="43"/>
      <c r="I65" s="43"/>
      <c r="J65" s="43"/>
      <c r="K65" s="43">
        <v>70000000</v>
      </c>
      <c r="L65" s="43">
        <f t="shared" si="8"/>
        <v>70000000</v>
      </c>
      <c r="M65" s="375">
        <f t="shared" si="1"/>
        <v>0</v>
      </c>
    </row>
    <row r="66" spans="1:14" ht="15">
      <c r="A66" s="420" t="str">
        <f>céltARTALÉK!A23</f>
        <v>pályázatelőkészítő alap</v>
      </c>
      <c r="B66" s="572">
        <f>céltARTALÉK!B23</f>
        <v>30000000</v>
      </c>
      <c r="C66" s="572">
        <v>30000000</v>
      </c>
      <c r="D66" s="572"/>
      <c r="E66" s="43"/>
      <c r="F66" s="43"/>
      <c r="G66" s="43">
        <v>0</v>
      </c>
      <c r="H66" s="43">
        <v>0</v>
      </c>
      <c r="I66" s="43">
        <v>30000000</v>
      </c>
      <c r="J66" s="43"/>
      <c r="K66" s="43">
        <v>0</v>
      </c>
      <c r="L66" s="43">
        <f t="shared" si="8"/>
        <v>30000000</v>
      </c>
      <c r="M66" s="375">
        <f t="shared" si="1"/>
        <v>0</v>
      </c>
      <c r="N66" s="64"/>
    </row>
    <row r="67" spans="1:13" ht="15" hidden="1">
      <c r="A67" s="420"/>
      <c r="B67" s="572"/>
      <c r="C67" s="572"/>
      <c r="D67" s="572"/>
      <c r="E67" s="43"/>
      <c r="F67" s="43"/>
      <c r="G67" s="43"/>
      <c r="H67" s="43"/>
      <c r="I67" s="43"/>
      <c r="J67" s="43"/>
      <c r="K67" s="43"/>
      <c r="L67" s="43"/>
      <c r="M67" s="375"/>
    </row>
    <row r="68" spans="1:13" ht="15" hidden="1">
      <c r="A68" s="420"/>
      <c r="B68" s="572">
        <f>céltARTALÉK!B25</f>
        <v>0</v>
      </c>
      <c r="C68" s="572"/>
      <c r="D68" s="572"/>
      <c r="E68" s="43"/>
      <c r="F68" s="43"/>
      <c r="G68" s="43"/>
      <c r="H68" s="43"/>
      <c r="I68" s="43"/>
      <c r="J68" s="43"/>
      <c r="K68" s="43"/>
      <c r="L68" s="43"/>
      <c r="M68" s="375"/>
    </row>
    <row r="69" spans="1:13" ht="15" hidden="1">
      <c r="A69" s="420"/>
      <c r="B69" s="572"/>
      <c r="C69" s="572"/>
      <c r="D69" s="572"/>
      <c r="E69" s="43"/>
      <c r="F69" s="43"/>
      <c r="G69" s="43"/>
      <c r="H69" s="43"/>
      <c r="I69" s="43"/>
      <c r="J69" s="43"/>
      <c r="K69" s="43"/>
      <c r="L69" s="43"/>
      <c r="M69" s="375"/>
    </row>
    <row r="70" spans="1:13" ht="15" hidden="1">
      <c r="A70" s="420"/>
      <c r="B70" s="572"/>
      <c r="C70" s="572"/>
      <c r="D70" s="572"/>
      <c r="E70" s="43"/>
      <c r="F70" s="43"/>
      <c r="G70" s="43"/>
      <c r="H70" s="43"/>
      <c r="I70" s="43"/>
      <c r="J70" s="43"/>
      <c r="K70" s="43"/>
      <c r="L70" s="43"/>
      <c r="M70" s="375"/>
    </row>
    <row r="71" spans="1:13" ht="15" hidden="1">
      <c r="A71" s="420"/>
      <c r="B71" s="572"/>
      <c r="C71" s="572"/>
      <c r="D71" s="572"/>
      <c r="E71" s="43"/>
      <c r="F71" s="43"/>
      <c r="G71" s="43"/>
      <c r="H71" s="43"/>
      <c r="I71" s="43"/>
      <c r="J71" s="43"/>
      <c r="K71" s="43"/>
      <c r="L71" s="43"/>
      <c r="M71" s="375"/>
    </row>
    <row r="72" spans="1:13" ht="15" hidden="1">
      <c r="A72" s="420"/>
      <c r="B72" s="572"/>
      <c r="C72" s="572"/>
      <c r="D72" s="572"/>
      <c r="E72" s="43"/>
      <c r="F72" s="43"/>
      <c r="G72" s="43"/>
      <c r="H72" s="43"/>
      <c r="I72" s="43"/>
      <c r="J72" s="43"/>
      <c r="K72" s="43"/>
      <c r="L72" s="43"/>
      <c r="M72" s="375"/>
    </row>
    <row r="73" spans="1:13" ht="15">
      <c r="A73" s="420" t="s">
        <v>328</v>
      </c>
      <c r="B73" s="572">
        <f>'teljes kiadás'!L9</f>
        <v>7469065</v>
      </c>
      <c r="C73" s="572">
        <v>7469065</v>
      </c>
      <c r="D73" s="572"/>
      <c r="E73" s="43"/>
      <c r="F73" s="43"/>
      <c r="G73" s="43"/>
      <c r="H73" s="43">
        <v>0</v>
      </c>
      <c r="I73" s="43">
        <v>7469065</v>
      </c>
      <c r="J73" s="43"/>
      <c r="K73" s="43"/>
      <c r="L73" s="43">
        <f>SUM(E73:K73)</f>
        <v>7469065</v>
      </c>
      <c r="M73" s="375">
        <f t="shared" si="1"/>
        <v>0</v>
      </c>
    </row>
    <row r="74" spans="1:13" ht="13.5" thickBot="1">
      <c r="A74" s="421"/>
      <c r="B74" s="422">
        <f aca="true" t="shared" si="9" ref="B74:I74">SUM(B4:B73)</f>
        <v>2573575187</v>
      </c>
      <c r="C74" s="422">
        <f t="shared" si="9"/>
        <v>2759914245</v>
      </c>
      <c r="D74" s="422">
        <f t="shared" si="9"/>
        <v>458554196</v>
      </c>
      <c r="E74" s="422">
        <f t="shared" si="9"/>
        <v>0</v>
      </c>
      <c r="F74" s="422">
        <f t="shared" si="9"/>
        <v>0</v>
      </c>
      <c r="G74" s="422">
        <f t="shared" si="9"/>
        <v>162737530</v>
      </c>
      <c r="H74" s="422">
        <f t="shared" si="9"/>
        <v>1667124157</v>
      </c>
      <c r="I74" s="422">
        <f t="shared" si="9"/>
        <v>373893362</v>
      </c>
      <c r="J74" s="422" t="e">
        <f>#N/A</f>
        <v>#N/A</v>
      </c>
      <c r="K74" s="422">
        <f>SUM(K4:K73)</f>
        <v>97605000</v>
      </c>
      <c r="L74" s="422">
        <f>SUM(L4:L73)</f>
        <v>2759914245</v>
      </c>
      <c r="M74" s="570">
        <f>SUM(M4:M73)</f>
        <v>0</v>
      </c>
    </row>
    <row r="75" spans="2:13" ht="12.75">
      <c r="B75" s="44">
        <f>mérleg!F51</f>
        <v>2573575187</v>
      </c>
      <c r="C75" s="44">
        <f>mérleg!K51</f>
        <v>2759914245</v>
      </c>
      <c r="D75" s="44"/>
      <c r="E75" s="44"/>
      <c r="F75" s="44"/>
      <c r="G75" s="44">
        <f>mérleg!K38</f>
        <v>162737530</v>
      </c>
      <c r="H75" s="44">
        <f>mérleg!K31+mérleg!K32</f>
        <v>1667124157</v>
      </c>
      <c r="I75" s="44">
        <v>0</v>
      </c>
      <c r="J75" s="44"/>
      <c r="K75" s="44">
        <f>mérleg!F34</f>
        <v>97605000</v>
      </c>
      <c r="L75" s="44"/>
      <c r="M75" s="44"/>
    </row>
    <row r="76" spans="2:13" ht="13.5" thickBot="1">
      <c r="B76" s="44">
        <f>B75-B74</f>
        <v>0</v>
      </c>
      <c r="D76" s="44"/>
      <c r="E76" s="44"/>
      <c r="F76" s="44"/>
      <c r="G76" s="44"/>
      <c r="H76" s="44"/>
      <c r="I76" s="44">
        <f>mérleg!K28</f>
        <v>373893362</v>
      </c>
      <c r="J76" s="44"/>
      <c r="L76" s="44"/>
      <c r="M76" s="44"/>
    </row>
    <row r="77" spans="1:13" ht="13.5" thickBot="1">
      <c r="A77" s="437" t="s">
        <v>329</v>
      </c>
      <c r="B77" s="438">
        <f>B75-B74</f>
        <v>0</v>
      </c>
      <c r="C77" s="438"/>
      <c r="D77" s="438"/>
      <c r="E77" s="438"/>
      <c r="F77" s="438"/>
      <c r="G77" s="438">
        <f>G75-G74</f>
        <v>0</v>
      </c>
      <c r="H77" s="438">
        <f>H75-H74</f>
        <v>0</v>
      </c>
      <c r="I77" s="438">
        <f>I74-I75-I76</f>
        <v>0</v>
      </c>
      <c r="J77" s="438"/>
      <c r="K77" s="438">
        <f>K75-K74</f>
        <v>0</v>
      </c>
      <c r="L77" s="438"/>
      <c r="M77" s="663"/>
    </row>
    <row r="78" spans="4:13" ht="12.75">
      <c r="D78" s="44"/>
      <c r="E78" s="44"/>
      <c r="F78" s="44"/>
      <c r="G78" s="44">
        <f>G75-G74</f>
        <v>0</v>
      </c>
      <c r="H78" s="44">
        <f>H75-H74</f>
        <v>0</v>
      </c>
      <c r="I78" s="44">
        <f>I74-I76</f>
        <v>0</v>
      </c>
      <c r="J78" s="44"/>
      <c r="L78" s="44"/>
      <c r="M78" s="44"/>
    </row>
    <row r="79" spans="4:13" ht="12.75">
      <c r="D79" s="44"/>
      <c r="E79" s="44"/>
      <c r="F79" s="44"/>
      <c r="G79" s="44"/>
      <c r="H79" s="44"/>
      <c r="I79" s="44"/>
      <c r="J79" s="44"/>
      <c r="L79" s="44"/>
      <c r="M79" s="44"/>
    </row>
    <row r="80" spans="1:13" ht="12.75">
      <c r="A80" s="59" t="s">
        <v>369</v>
      </c>
      <c r="B80" s="43" t="s">
        <v>370</v>
      </c>
      <c r="C80" s="43"/>
      <c r="D80" s="43"/>
      <c r="E80" s="43" t="s">
        <v>371</v>
      </c>
      <c r="F80" s="44"/>
      <c r="G80" s="44"/>
      <c r="H80" s="44"/>
      <c r="I80" s="44"/>
      <c r="J80" s="44"/>
      <c r="L80" s="44"/>
      <c r="M80" s="44"/>
    </row>
    <row r="81" spans="1:13" ht="12.75">
      <c r="A81" s="59" t="s">
        <v>408</v>
      </c>
      <c r="B81" s="43">
        <f>B31+B36+B49+B51+B17+B18</f>
        <v>577065000</v>
      </c>
      <c r="C81" s="43"/>
      <c r="D81" s="43"/>
      <c r="E81" s="43">
        <f>E31+E36+E52+E54+E17+E18</f>
        <v>0</v>
      </c>
      <c r="F81" s="44"/>
      <c r="G81" s="44"/>
      <c r="H81" s="44"/>
      <c r="I81" s="44"/>
      <c r="J81" s="44"/>
      <c r="L81" s="44"/>
      <c r="M81" s="44"/>
    </row>
    <row r="82" spans="1:13" ht="12.75">
      <c r="A82" s="59"/>
      <c r="B82" s="43">
        <f>SUM(B81:B81)</f>
        <v>577065000</v>
      </c>
      <c r="C82" s="43"/>
      <c r="D82" s="43"/>
      <c r="E82" s="43">
        <f>SUM(E81:E81)</f>
        <v>0</v>
      </c>
      <c r="F82" s="44"/>
      <c r="G82" s="44"/>
      <c r="H82" s="44"/>
      <c r="I82" s="44"/>
      <c r="J82" s="44"/>
      <c r="L82" s="44"/>
      <c r="M82" s="44"/>
    </row>
    <row r="84" ht="12.75">
      <c r="C84" s="44">
        <f>C75-C74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&amp;Rmelléklet a 2019. évi költségvetéshez
</oddHeader>
    <oddFooter>&amp;R&amp;P.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2" sqref="C62"/>
    </sheetView>
  </sheetViews>
  <sheetFormatPr defaultColWidth="9.140625" defaultRowHeight="12.75"/>
  <cols>
    <col min="1" max="1" width="29.8515625" style="42" customWidth="1"/>
    <col min="2" max="3" width="14.421875" style="44" customWidth="1"/>
    <col min="4" max="4" width="14.421875" style="0" customWidth="1"/>
    <col min="5" max="5" width="15.57421875" style="60" bestFit="1" customWidth="1"/>
    <col min="6" max="6" width="14.421875" style="0" customWidth="1"/>
    <col min="7" max="7" width="0" style="0" hidden="1" customWidth="1"/>
    <col min="8" max="8" width="11.8515625" style="0" customWidth="1"/>
    <col min="9" max="9" width="12.7109375" style="0" bestFit="1" customWidth="1"/>
    <col min="10" max="10" width="11.28125" style="0" customWidth="1"/>
    <col min="11" max="11" width="0" style="0" hidden="1" customWidth="1"/>
    <col min="12" max="12" width="11.7109375" style="0" customWidth="1"/>
    <col min="13" max="13" width="12.8515625" style="0" bestFit="1" customWidth="1"/>
    <col min="14" max="14" width="11.00390625" style="0" customWidth="1"/>
    <col min="15" max="17" width="0" style="0" hidden="1" customWidth="1"/>
  </cols>
  <sheetData>
    <row r="1" spans="1:6" ht="12.75">
      <c r="A1" s="416" t="s">
        <v>400</v>
      </c>
      <c r="B1" s="407" t="s">
        <v>401</v>
      </c>
      <c r="C1" s="407"/>
      <c r="D1" s="266"/>
      <c r="F1" s="266"/>
    </row>
    <row r="2" ht="13.5" thickBot="1"/>
    <row r="3" spans="1:15" s="414" customFormat="1" ht="38.25">
      <c r="A3" s="417" t="s">
        <v>175</v>
      </c>
      <c r="B3" s="571" t="s">
        <v>453</v>
      </c>
      <c r="C3" s="784" t="s">
        <v>530</v>
      </c>
      <c r="D3" s="418" t="s">
        <v>372</v>
      </c>
      <c r="E3" s="463" t="s">
        <v>317</v>
      </c>
      <c r="F3" s="418" t="s">
        <v>366</v>
      </c>
      <c r="G3" s="418" t="s">
        <v>318</v>
      </c>
      <c r="H3" s="418" t="s">
        <v>319</v>
      </c>
      <c r="I3" s="418" t="s">
        <v>176</v>
      </c>
      <c r="J3" s="418" t="s">
        <v>320</v>
      </c>
      <c r="K3" s="418" t="s">
        <v>321</v>
      </c>
      <c r="L3" s="418" t="s">
        <v>322</v>
      </c>
      <c r="M3" s="418" t="s">
        <v>17</v>
      </c>
      <c r="N3" s="419" t="s">
        <v>323</v>
      </c>
      <c r="O3" s="414" t="s">
        <v>324</v>
      </c>
    </row>
    <row r="4" spans="1:14" ht="33.75" customHeight="1">
      <c r="A4" s="420" t="str">
        <f>'beruházás és felh. célú átadás'!A10</f>
        <v>Vizminőség javító pályázat</v>
      </c>
      <c r="B4" s="573">
        <f>finanszírozás!B4</f>
        <v>1026119044</v>
      </c>
      <c r="C4" s="573">
        <f>finanszírozás!C4</f>
        <v>1026119044</v>
      </c>
      <c r="D4" s="573">
        <f>finanszírozás!D4</f>
        <v>0</v>
      </c>
      <c r="E4" s="573">
        <f>finanszírozás!E4</f>
        <v>0</v>
      </c>
      <c r="F4" s="664"/>
      <c r="G4" s="43"/>
      <c r="H4" s="43">
        <f>finanszírozás!G4</f>
        <v>0</v>
      </c>
      <c r="I4" s="43">
        <f>finanszírozás!H4</f>
        <v>1026119044</v>
      </c>
      <c r="J4" s="43">
        <f>finanszírozás!I4</f>
        <v>0</v>
      </c>
      <c r="K4" s="43">
        <f>finanszírozás!J4</f>
        <v>0</v>
      </c>
      <c r="L4" s="43">
        <f>finanszírozás!K4</f>
        <v>0</v>
      </c>
      <c r="M4" s="43">
        <f>SUM(D4:L4)-F4</f>
        <v>1026119044</v>
      </c>
      <c r="N4" s="375">
        <f aca="true" t="shared" si="0" ref="N4:N10">M4-B4</f>
        <v>0</v>
      </c>
    </row>
    <row r="5" spans="1:14" ht="33.75" customHeight="1">
      <c r="A5" s="420" t="str">
        <f>'beruházás és felh. célú átadás'!A11</f>
        <v>Szoc rehab pályázat Ktg</v>
      </c>
      <c r="B5" s="573">
        <f>finanszírozás!B5</f>
        <v>152502859</v>
      </c>
      <c r="C5" s="573">
        <f>finanszírozás!C5</f>
        <v>152502859</v>
      </c>
      <c r="D5" s="573">
        <f>finanszírozás!D5</f>
        <v>0</v>
      </c>
      <c r="E5" s="573">
        <f>finanszírozás!E5</f>
        <v>0</v>
      </c>
      <c r="F5" s="664"/>
      <c r="G5" s="43"/>
      <c r="H5" s="43">
        <f>finanszírozás!G5</f>
        <v>0</v>
      </c>
      <c r="I5" s="43">
        <f>finanszírozás!H5</f>
        <v>152502859</v>
      </c>
      <c r="J5" s="43">
        <f>finanszírozás!I5</f>
        <v>0</v>
      </c>
      <c r="K5" s="43">
        <f>finanszírozás!J5</f>
        <v>0</v>
      </c>
      <c r="L5" s="43">
        <f>finanszírozás!K5</f>
        <v>0</v>
      </c>
      <c r="M5" s="43">
        <f aca="true" t="shared" si="1" ref="M5:M68">SUM(D5:L5)-F5</f>
        <v>152502859</v>
      </c>
      <c r="N5" s="375">
        <f t="shared" si="0"/>
        <v>0</v>
      </c>
    </row>
    <row r="6" spans="1:14" ht="33.75" customHeight="1">
      <c r="A6" s="420" t="str">
        <f>'beruházás és felh. célú átadás'!A13</f>
        <v>Dömsödi út feljújítás</v>
      </c>
      <c r="B6" s="573">
        <f>finanszírozás!B6</f>
        <v>105262545</v>
      </c>
      <c r="C6" s="573">
        <f>finanszírozás!C6</f>
        <v>105262545</v>
      </c>
      <c r="D6" s="573">
        <f>finanszírozás!D6</f>
        <v>0</v>
      </c>
      <c r="E6" s="573">
        <f>finanszírozás!E6</f>
        <v>0</v>
      </c>
      <c r="F6" s="664"/>
      <c r="G6" s="43"/>
      <c r="H6" s="43">
        <f>finanszírozás!G6</f>
        <v>5263158</v>
      </c>
      <c r="I6" s="43">
        <f>finanszírozás!H6</f>
        <v>99999387</v>
      </c>
      <c r="J6" s="43">
        <f>finanszírozás!I6</f>
        <v>0</v>
      </c>
      <c r="K6" s="43">
        <f>finanszírozás!J6</f>
        <v>0</v>
      </c>
      <c r="L6" s="43">
        <f>finanszírozás!K6</f>
        <v>0</v>
      </c>
      <c r="M6" s="43">
        <f t="shared" si="1"/>
        <v>105262545</v>
      </c>
      <c r="N6" s="375">
        <f t="shared" si="0"/>
        <v>0</v>
      </c>
    </row>
    <row r="7" spans="1:16" ht="42" customHeight="1">
      <c r="A7" s="420" t="str">
        <f>'beruházás és felh. célú átadás'!A14</f>
        <v>Csapadékvíz elvezetés kiadásai</v>
      </c>
      <c r="B7" s="573">
        <f>finanszírozás!B7</f>
        <v>24811000</v>
      </c>
      <c r="C7" s="573">
        <f>finanszírozás!C7</f>
        <v>24811000</v>
      </c>
      <c r="D7" s="573">
        <f>finanszírozás!D7</f>
        <v>0</v>
      </c>
      <c r="E7" s="573">
        <f>finanszírozás!E7</f>
        <v>0</v>
      </c>
      <c r="F7" s="664"/>
      <c r="G7" s="43"/>
      <c r="H7" s="43">
        <f>finanszírozás!G7</f>
        <v>11811000</v>
      </c>
      <c r="I7" s="43">
        <f>finanszírozás!H7</f>
        <v>0</v>
      </c>
      <c r="J7" s="43">
        <f>finanszírozás!I7</f>
        <v>13000000</v>
      </c>
      <c r="K7" s="43">
        <f>finanszírozás!J7</f>
        <v>0</v>
      </c>
      <c r="L7" s="43">
        <f>finanszírozás!K7</f>
        <v>0</v>
      </c>
      <c r="M7" s="43">
        <f t="shared" si="1"/>
        <v>24811000</v>
      </c>
      <c r="N7" s="375">
        <f t="shared" si="0"/>
        <v>0</v>
      </c>
      <c r="O7">
        <v>30000</v>
      </c>
      <c r="P7" s="64" t="s">
        <v>325</v>
      </c>
    </row>
    <row r="8" spans="1:16" ht="42" customHeight="1">
      <c r="A8" s="420" t="str">
        <f>'beruházás és felh. célú átadás'!A15</f>
        <v>Csapadékvíz-elvezetése pályázat</v>
      </c>
      <c r="B8" s="573">
        <f>finanszírozás!B8</f>
        <v>113879860</v>
      </c>
      <c r="C8" s="573">
        <f>finanszírozás!C8</f>
        <v>113879860</v>
      </c>
      <c r="D8" s="573">
        <f>finanszírozás!D8</f>
        <v>0</v>
      </c>
      <c r="E8" s="573">
        <f>finanszírozás!E8</f>
        <v>0</v>
      </c>
      <c r="F8" s="664"/>
      <c r="G8" s="43"/>
      <c r="H8" s="43">
        <f>finanszírozás!G8</f>
        <v>5693993</v>
      </c>
      <c r="I8" s="43">
        <f>finanszírozás!H8</f>
        <v>108185867</v>
      </c>
      <c r="J8" s="43">
        <f>finanszírozás!I8</f>
        <v>0</v>
      </c>
      <c r="K8" s="43"/>
      <c r="L8" s="43"/>
      <c r="M8" s="43">
        <f t="shared" si="1"/>
        <v>113879860</v>
      </c>
      <c r="N8" s="375">
        <f t="shared" si="0"/>
        <v>0</v>
      </c>
      <c r="P8" s="64"/>
    </row>
    <row r="9" spans="1:16" ht="42" customHeight="1">
      <c r="A9" s="420" t="str">
        <f>'beruházás és felh. célú átadás'!A16</f>
        <v>Közbiztonsági eszközök beszerzése</v>
      </c>
      <c r="B9" s="573">
        <f>finanszírozás!B9</f>
        <v>3000000</v>
      </c>
      <c r="C9" s="573">
        <f>finanszírozás!C9</f>
        <v>3000000</v>
      </c>
      <c r="D9" s="573">
        <f>finanszírozás!D9</f>
        <v>0</v>
      </c>
      <c r="E9" s="573">
        <f>finanszírozás!E9</f>
        <v>0</v>
      </c>
      <c r="F9" s="664"/>
      <c r="G9" s="43"/>
      <c r="H9" s="43">
        <f>finanszírozás!G9</f>
        <v>0</v>
      </c>
      <c r="I9" s="43">
        <f>finanszírozás!H9</f>
        <v>0</v>
      </c>
      <c r="J9" s="43">
        <f>finanszírozás!I9</f>
        <v>3000000</v>
      </c>
      <c r="K9" s="43">
        <f>finanszírozás!J9</f>
        <v>0</v>
      </c>
      <c r="L9" s="43">
        <f>finanszírozás!K9</f>
        <v>0</v>
      </c>
      <c r="M9" s="43">
        <f t="shared" si="1"/>
        <v>3000000</v>
      </c>
      <c r="N9" s="375">
        <f t="shared" si="0"/>
        <v>0</v>
      </c>
      <c r="P9" s="64"/>
    </row>
    <row r="10" spans="1:14" ht="39" customHeight="1">
      <c r="A10" s="420" t="str">
        <f>'beruházás és felh. célú átadás'!A17</f>
        <v>Stégek felújítása</v>
      </c>
      <c r="B10" s="573">
        <f>finanszírozás!B10</f>
        <v>2500000</v>
      </c>
      <c r="C10" s="573">
        <f>finanszírozás!C10</f>
        <v>2500000</v>
      </c>
      <c r="D10" s="573">
        <f>finanszírozás!D10</f>
        <v>0</v>
      </c>
      <c r="E10" s="573">
        <f>finanszírozás!E10</f>
        <v>0</v>
      </c>
      <c r="F10" s="664"/>
      <c r="G10" s="43"/>
      <c r="H10" s="43">
        <f>finanszírozás!G10</f>
        <v>0</v>
      </c>
      <c r="I10" s="43">
        <f>finanszírozás!H10</f>
        <v>0</v>
      </c>
      <c r="J10" s="43">
        <f>finanszírozás!I10</f>
        <v>0</v>
      </c>
      <c r="K10" s="43">
        <f>finanszírozás!J10</f>
        <v>0</v>
      </c>
      <c r="L10" s="43">
        <f>finanszírozás!K10</f>
        <v>2500000</v>
      </c>
      <c r="M10" s="43">
        <f t="shared" si="1"/>
        <v>2500000</v>
      </c>
      <c r="N10" s="375">
        <f t="shared" si="0"/>
        <v>0</v>
      </c>
    </row>
    <row r="11" spans="1:14" ht="15">
      <c r="A11" s="420" t="str">
        <f>'beruházás és felh. célú átadás'!A18</f>
        <v>Egyéb beruházások</v>
      </c>
      <c r="B11" s="573">
        <f>finanszírozás!B11</f>
        <v>0</v>
      </c>
      <c r="C11" s="573">
        <f>finanszírozás!C11</f>
        <v>186339058</v>
      </c>
      <c r="D11" s="573">
        <f>finanszírozás!D11</f>
        <v>0</v>
      </c>
      <c r="E11" s="573">
        <f>finanszírozás!E11</f>
        <v>0</v>
      </c>
      <c r="F11" s="664"/>
      <c r="G11" s="43"/>
      <c r="H11" s="43">
        <f>finanszírozás!G11</f>
        <v>0</v>
      </c>
      <c r="I11" s="43">
        <f>finanszírozás!H11</f>
        <v>0</v>
      </c>
      <c r="J11" s="43">
        <f>finanszírozás!I11</f>
        <v>186339058</v>
      </c>
      <c r="K11" s="43">
        <f>finanszírozás!J11</f>
        <v>0</v>
      </c>
      <c r="L11" s="43">
        <f>finanszírozás!K11</f>
        <v>0</v>
      </c>
      <c r="M11" s="43">
        <f t="shared" si="1"/>
        <v>186339058</v>
      </c>
      <c r="N11" s="375">
        <f>M11-C11</f>
        <v>0</v>
      </c>
    </row>
    <row r="12" spans="1:14" ht="30">
      <c r="A12" s="420" t="str">
        <f>'beruházás és felh. célú átadás'!A19</f>
        <v>RÁVÜSZ térfigyelő bővítésre támogatás</v>
      </c>
      <c r="B12" s="573">
        <f>finanszírozás!B12</f>
        <v>840000</v>
      </c>
      <c r="C12" s="573">
        <f>finanszírozás!C12</f>
        <v>840000</v>
      </c>
      <c r="D12" s="573">
        <f>finanszírozás!D12</f>
        <v>0</v>
      </c>
      <c r="E12" s="573">
        <f>finanszírozás!E12</f>
        <v>0</v>
      </c>
      <c r="F12" s="664"/>
      <c r="G12" s="43"/>
      <c r="H12" s="43">
        <f>finanszírozás!G12</f>
        <v>840000</v>
      </c>
      <c r="I12" s="43">
        <f>finanszírozás!H12</f>
        <v>0</v>
      </c>
      <c r="J12" s="43">
        <f>finanszírozás!I12</f>
        <v>0</v>
      </c>
      <c r="K12" s="43"/>
      <c r="L12" s="43"/>
      <c r="M12" s="43">
        <f t="shared" si="1"/>
        <v>840000</v>
      </c>
      <c r="N12" s="375">
        <f aca="true" t="shared" si="2" ref="N12:N43">M12-B12</f>
        <v>0</v>
      </c>
    </row>
    <row r="13" spans="1:14" ht="15">
      <c r="A13" s="420" t="str">
        <f>'beruházás és felh. célú átadás'!A20</f>
        <v>Közvilágítás fejlesztése</v>
      </c>
      <c r="B13" s="573">
        <f>finanszírozás!B13</f>
        <v>2000000</v>
      </c>
      <c r="C13" s="573">
        <f>finanszírozás!C13</f>
        <v>2000000</v>
      </c>
      <c r="D13" s="573">
        <f>finanszírozás!D13</f>
        <v>0</v>
      </c>
      <c r="E13" s="573">
        <f>finanszírozás!E13</f>
        <v>0</v>
      </c>
      <c r="F13" s="664"/>
      <c r="G13" s="43"/>
      <c r="H13" s="43">
        <f>finanszírozás!G13</f>
        <v>0</v>
      </c>
      <c r="I13" s="43">
        <f>finanszírozás!H13</f>
        <v>0</v>
      </c>
      <c r="J13" s="43">
        <f>finanszírozás!I13</f>
        <v>0</v>
      </c>
      <c r="K13" s="43">
        <f>finanszírozás!J13</f>
        <v>0</v>
      </c>
      <c r="L13" s="43">
        <f>finanszírozás!K13</f>
        <v>2000000</v>
      </c>
      <c r="M13" s="43">
        <f t="shared" si="1"/>
        <v>2000000</v>
      </c>
      <c r="N13" s="375">
        <f t="shared" si="2"/>
        <v>0</v>
      </c>
    </row>
    <row r="14" spans="1:14" ht="47.25" customHeight="1">
      <c r="A14" s="420" t="str">
        <f>'beruházás és felh. célú átadás'!A21</f>
        <v>Vízitúra épület csónaktároló</v>
      </c>
      <c r="B14" s="573">
        <f>finanszírozás!B14</f>
        <v>50673631</v>
      </c>
      <c r="C14" s="573">
        <f>finanszírozás!C14</f>
        <v>50673631</v>
      </c>
      <c r="D14" s="573">
        <f>finanszírozás!D14</f>
        <v>0</v>
      </c>
      <c r="E14" s="573">
        <f>finanszírozás!E14</f>
        <v>0</v>
      </c>
      <c r="F14" s="664"/>
      <c r="G14" s="43"/>
      <c r="H14" s="43">
        <f>finanszírozás!G14</f>
        <v>0</v>
      </c>
      <c r="I14" s="43">
        <f>finanszírozás!H14</f>
        <v>45000000</v>
      </c>
      <c r="J14" s="43">
        <f>finanszírozás!I14</f>
        <v>5673631</v>
      </c>
      <c r="K14" s="43">
        <f>finanszírozás!J14</f>
        <v>0</v>
      </c>
      <c r="L14" s="43">
        <f>finanszírozás!K14</f>
        <v>0</v>
      </c>
      <c r="M14" s="43">
        <f t="shared" si="1"/>
        <v>50673631</v>
      </c>
      <c r="N14" s="375">
        <f t="shared" si="2"/>
        <v>0</v>
      </c>
    </row>
    <row r="15" spans="1:16" ht="30">
      <c r="A15" s="420" t="str">
        <f>'beruházás és felh. célú átadás'!A22</f>
        <v>1 Ft támogatás terhére  végzendő feladatok</v>
      </c>
      <c r="B15" s="573">
        <f>finanszírozás!B15</f>
        <v>61920000</v>
      </c>
      <c r="C15" s="573">
        <f>finanszírozás!C15</f>
        <v>61920000</v>
      </c>
      <c r="D15" s="573">
        <f>finanszírozás!D15</f>
        <v>0</v>
      </c>
      <c r="E15" s="573">
        <f>finanszírozás!E15</f>
        <v>0</v>
      </c>
      <c r="F15" s="664"/>
      <c r="G15" s="43"/>
      <c r="H15" s="43">
        <f>finanszírozás!G15</f>
        <v>0</v>
      </c>
      <c r="I15" s="43">
        <f>finanszírozás!H15</f>
        <v>61920000</v>
      </c>
      <c r="J15" s="43">
        <f>finanszírozás!I15</f>
        <v>0</v>
      </c>
      <c r="K15" s="43">
        <f>finanszírozás!J15</f>
        <v>0</v>
      </c>
      <c r="L15" s="43">
        <f>finanszírozás!K15</f>
        <v>0</v>
      </c>
      <c r="M15" s="43">
        <f t="shared" si="1"/>
        <v>61920000</v>
      </c>
      <c r="N15" s="375">
        <f t="shared" si="2"/>
        <v>0</v>
      </c>
      <c r="P15" s="64"/>
    </row>
    <row r="16" spans="1:16" ht="15">
      <c r="A16" s="420" t="str">
        <f>'beruházás és felh. célú átadás'!A23</f>
        <v>Vályogos út kialakítás</v>
      </c>
      <c r="B16" s="573">
        <f>finanszírozás!B16</f>
        <v>25986595</v>
      </c>
      <c r="C16" s="573">
        <f>finanszírozás!C16</f>
        <v>25986595</v>
      </c>
      <c r="D16" s="573">
        <f>finanszírozás!D16</f>
        <v>0</v>
      </c>
      <c r="E16" s="573">
        <f>finanszírozás!E16</f>
        <v>0</v>
      </c>
      <c r="F16" s="664"/>
      <c r="G16" s="43"/>
      <c r="H16" s="43">
        <f>finanszírozás!G16</f>
        <v>25986595</v>
      </c>
      <c r="I16" s="43">
        <f>finanszírozás!H16</f>
        <v>0</v>
      </c>
      <c r="J16" s="43">
        <f>finanszírozás!I16</f>
        <v>0</v>
      </c>
      <c r="K16" s="43">
        <f>finanszírozás!J16</f>
        <v>0</v>
      </c>
      <c r="L16" s="43">
        <f>finanszírozás!K16</f>
        <v>0</v>
      </c>
      <c r="M16" s="43">
        <f t="shared" si="1"/>
        <v>25986595</v>
      </c>
      <c r="N16" s="375">
        <f t="shared" si="2"/>
        <v>0</v>
      </c>
      <c r="O16">
        <v>1500</v>
      </c>
      <c r="P16" s="64" t="s">
        <v>326</v>
      </c>
    </row>
    <row r="17" spans="1:14" ht="33" customHeight="1">
      <c r="A17" s="420" t="str">
        <f>'beruházás és felh. célú átadás'!A24</f>
        <v>Bíróság  új épületének létrehozása</v>
      </c>
      <c r="B17" s="573">
        <f>finanszírozás!B17</f>
        <v>228600000</v>
      </c>
      <c r="C17" s="573">
        <f>finanszírozás!C17</f>
        <v>228600000</v>
      </c>
      <c r="D17" s="573">
        <f>finanszírozás!D17</f>
        <v>59600000</v>
      </c>
      <c r="E17" s="573">
        <f>finanszírozás!E17</f>
        <v>0</v>
      </c>
      <c r="F17" s="664">
        <f>E17</f>
        <v>0</v>
      </c>
      <c r="G17" s="43"/>
      <c r="H17" s="43">
        <f>finanszírozás!G17</f>
        <v>0</v>
      </c>
      <c r="I17" s="43">
        <f>finanszírozás!H17</f>
        <v>169000000</v>
      </c>
      <c r="J17" s="43">
        <f>finanszírozás!I17</f>
        <v>0</v>
      </c>
      <c r="K17" s="43">
        <f>finanszírozás!J17</f>
        <v>0</v>
      </c>
      <c r="L17" s="43">
        <f>finanszírozás!K17</f>
        <v>0</v>
      </c>
      <c r="M17" s="43">
        <f t="shared" si="1"/>
        <v>228600000</v>
      </c>
      <c r="N17" s="375">
        <f t="shared" si="2"/>
        <v>0</v>
      </c>
    </row>
    <row r="18" spans="1:14" ht="33" customHeight="1">
      <c r="A18" s="420" t="str">
        <f>'beruházás és felh. célú átadás'!A25</f>
        <v>P+R parkoló hév állomás</v>
      </c>
      <c r="B18" s="573">
        <f>finanszírozás!B18</f>
        <v>48000000</v>
      </c>
      <c r="C18" s="573">
        <f>finanszírozás!C18</f>
        <v>48000000</v>
      </c>
      <c r="D18" s="573">
        <f>finanszírozás!D18</f>
        <v>48000000</v>
      </c>
      <c r="E18" s="573">
        <f>finanszírozás!E18</f>
        <v>0</v>
      </c>
      <c r="F18" s="664">
        <v>0</v>
      </c>
      <c r="G18" s="43"/>
      <c r="H18" s="43">
        <f>finanszírozás!G18</f>
        <v>0</v>
      </c>
      <c r="I18" s="43">
        <f>finanszírozás!H18</f>
        <v>0</v>
      </c>
      <c r="J18" s="43">
        <f>finanszírozás!I18</f>
        <v>0</v>
      </c>
      <c r="K18" s="43">
        <f>finanszírozás!J18</f>
        <v>0</v>
      </c>
      <c r="L18" s="43">
        <f>finanszírozás!K18</f>
        <v>0</v>
      </c>
      <c r="M18" s="43">
        <f t="shared" si="1"/>
        <v>48000000</v>
      </c>
      <c r="N18" s="375">
        <f t="shared" si="2"/>
        <v>0</v>
      </c>
    </row>
    <row r="19" spans="1:14" ht="33" customHeight="1">
      <c r="A19" s="420" t="str">
        <f>'beruházás és felh. célú átadás'!A26</f>
        <v>P+R parkoló tervezési díja</v>
      </c>
      <c r="B19" s="573">
        <f>finanszírozás!B19</f>
        <v>4064000</v>
      </c>
      <c r="C19" s="573">
        <f>finanszírozás!C19</f>
        <v>4064000</v>
      </c>
      <c r="D19" s="573">
        <f>finanszírozás!D19</f>
        <v>0</v>
      </c>
      <c r="E19" s="573">
        <f>finanszírozás!E19</f>
        <v>0</v>
      </c>
      <c r="F19" s="664"/>
      <c r="G19" s="43"/>
      <c r="H19" s="43">
        <f>finanszírozás!G19</f>
        <v>4064000</v>
      </c>
      <c r="I19" s="43">
        <f>finanszírozás!H19</f>
        <v>0</v>
      </c>
      <c r="J19" s="43">
        <f>finanszírozás!I19</f>
        <v>0</v>
      </c>
      <c r="K19" s="43"/>
      <c r="L19" s="43"/>
      <c r="M19" s="43">
        <f t="shared" si="1"/>
        <v>4064000</v>
      </c>
      <c r="N19" s="375">
        <f t="shared" si="2"/>
        <v>0</v>
      </c>
    </row>
    <row r="20" spans="1:14" ht="30">
      <c r="A20" s="420" t="str">
        <f>'beruházás és felh. célú átadás'!A28</f>
        <v>Kerékpárút létesítésére pályázati önerő</v>
      </c>
      <c r="B20" s="573">
        <f>finanszírozás!B20</f>
        <v>11691404</v>
      </c>
      <c r="C20" s="573">
        <f>finanszírozás!C20</f>
        <v>11691404</v>
      </c>
      <c r="D20" s="573">
        <f>finanszírozás!D20</f>
        <v>0</v>
      </c>
      <c r="E20" s="573">
        <f>finanszírozás!E20</f>
        <v>0</v>
      </c>
      <c r="F20" s="664"/>
      <c r="G20" s="43"/>
      <c r="H20" s="43">
        <f>finanszírozás!G20</f>
        <v>7108956</v>
      </c>
      <c r="I20" s="43">
        <f>finanszírozás!H20</f>
        <v>0</v>
      </c>
      <c r="J20" s="43">
        <f>finanszírozás!I20</f>
        <v>0</v>
      </c>
      <c r="K20" s="43">
        <f>finanszírozás!J20</f>
        <v>0</v>
      </c>
      <c r="L20" s="43">
        <f>finanszírozás!K20</f>
        <v>4582448</v>
      </c>
      <c r="M20" s="43">
        <f t="shared" si="1"/>
        <v>11691404</v>
      </c>
      <c r="N20" s="375">
        <f t="shared" si="2"/>
        <v>0</v>
      </c>
    </row>
    <row r="21" spans="1:14" ht="45">
      <c r="A21" s="420" t="str">
        <f>'beruházás és felh. célú átadás'!A29</f>
        <v>Ráckevei csónakos piac pályázat előkésztése II. részlet</v>
      </c>
      <c r="B21" s="573">
        <f>finanszírozás!B21</f>
        <v>4000000</v>
      </c>
      <c r="C21" s="573">
        <f>finanszírozás!C21</f>
        <v>4000000</v>
      </c>
      <c r="D21" s="573">
        <f>finanszírozás!D21</f>
        <v>0</v>
      </c>
      <c r="E21" s="573">
        <f>finanszírozás!E21</f>
        <v>0</v>
      </c>
      <c r="F21" s="664"/>
      <c r="G21" s="43"/>
      <c r="H21" s="43">
        <f>finanszírozás!G21</f>
        <v>4000000</v>
      </c>
      <c r="I21" s="43">
        <f>finanszírozás!H21</f>
        <v>0</v>
      </c>
      <c r="J21" s="43">
        <f>finanszírozás!I21</f>
        <v>0</v>
      </c>
      <c r="K21" s="43"/>
      <c r="L21" s="43"/>
      <c r="M21" s="43">
        <f t="shared" si="1"/>
        <v>4000000</v>
      </c>
      <c r="N21" s="375">
        <f t="shared" si="2"/>
        <v>0</v>
      </c>
    </row>
    <row r="22" spans="1:14" ht="30">
      <c r="A22" s="420" t="str">
        <f>'beruházás és felh. célú átadás'!A30</f>
        <v>Szent Vendel utcai telkek engedélyezési terve</v>
      </c>
      <c r="B22" s="573">
        <f>finanszírozás!B22</f>
        <v>600000</v>
      </c>
      <c r="C22" s="573">
        <f>finanszírozás!C22</f>
        <v>600000</v>
      </c>
      <c r="D22" s="573">
        <f>finanszírozás!D22</f>
        <v>0</v>
      </c>
      <c r="E22" s="573">
        <f>finanszírozás!E22</f>
        <v>0</v>
      </c>
      <c r="F22" s="664"/>
      <c r="G22" s="43"/>
      <c r="H22" s="43">
        <f>finanszírozás!G22</f>
        <v>600000</v>
      </c>
      <c r="I22" s="43">
        <f>finanszírozás!H22</f>
        <v>0</v>
      </c>
      <c r="J22" s="43">
        <f>finanszírozás!I22</f>
        <v>0</v>
      </c>
      <c r="K22" s="43"/>
      <c r="L22" s="43"/>
      <c r="M22" s="43">
        <f t="shared" si="1"/>
        <v>600000</v>
      </c>
      <c r="N22" s="375">
        <f t="shared" si="2"/>
        <v>0</v>
      </c>
    </row>
    <row r="23" spans="1:14" ht="30">
      <c r="A23" s="420" t="str">
        <f>'beruházás és felh. célú átadás'!A31</f>
        <v>Szivárvány óvoda beruházás</v>
      </c>
      <c r="B23" s="573">
        <f>finanszírozás!B23</f>
        <v>4719070</v>
      </c>
      <c r="C23" s="573">
        <f>finanszírozás!C23</f>
        <v>4719070</v>
      </c>
      <c r="D23" s="573">
        <f>finanszírozás!D23</f>
        <v>0</v>
      </c>
      <c r="E23" s="573">
        <f>finanszírozás!E23</f>
        <v>0</v>
      </c>
      <c r="F23" s="664"/>
      <c r="G23" s="43"/>
      <c r="H23" s="43">
        <f>finanszírozás!G23</f>
        <v>0</v>
      </c>
      <c r="I23" s="43">
        <f>finanszírozás!H23</f>
        <v>0</v>
      </c>
      <c r="J23" s="43">
        <f>finanszírozás!I23</f>
        <v>4719070</v>
      </c>
      <c r="K23" s="43">
        <f>finanszírozás!J23</f>
        <v>0</v>
      </c>
      <c r="L23" s="43">
        <f>finanszírozás!K23</f>
        <v>0</v>
      </c>
      <c r="M23" s="43">
        <f t="shared" si="1"/>
        <v>4719070</v>
      </c>
      <c r="N23" s="375">
        <f t="shared" si="2"/>
        <v>0</v>
      </c>
    </row>
    <row r="24" spans="1:15" ht="15">
      <c r="A24" s="420" t="str">
        <f>'beruházás és felh. célú átadás'!A32</f>
        <v>ÁKMK beruházás</v>
      </c>
      <c r="B24" s="573">
        <f>finanszírozás!B24</f>
        <v>4680398</v>
      </c>
      <c r="C24" s="573">
        <f>finanszírozás!C24</f>
        <v>4680398</v>
      </c>
      <c r="D24" s="573">
        <f>finanszírozás!D24</f>
        <v>0</v>
      </c>
      <c r="E24" s="573">
        <f>finanszírozás!E24</f>
        <v>0</v>
      </c>
      <c r="F24" s="664"/>
      <c r="G24" s="43"/>
      <c r="H24" s="43">
        <f>finanszírozás!G24</f>
        <v>0</v>
      </c>
      <c r="I24" s="43">
        <f>finanszírozás!H24</f>
        <v>0</v>
      </c>
      <c r="J24" s="43">
        <f>finanszírozás!I24</f>
        <v>4680398</v>
      </c>
      <c r="K24" s="43">
        <f>finanszírozás!J24</f>
        <v>0</v>
      </c>
      <c r="L24" s="43">
        <f>finanszírozás!K24</f>
        <v>0</v>
      </c>
      <c r="M24" s="43">
        <f t="shared" si="1"/>
        <v>4680398</v>
      </c>
      <c r="N24" s="375">
        <f t="shared" si="2"/>
        <v>0</v>
      </c>
      <c r="O24" s="64" t="s">
        <v>327</v>
      </c>
    </row>
    <row r="25" spans="1:15" ht="15">
      <c r="A25" s="420" t="str">
        <f>'beruházás és felh. célú átadás'!A33</f>
        <v>Bölcsőde beruházás</v>
      </c>
      <c r="B25" s="573">
        <f>finanszírozás!B25</f>
        <v>2250002</v>
      </c>
      <c r="C25" s="573">
        <f>finanszírozás!C25</f>
        <v>2250002</v>
      </c>
      <c r="D25" s="573">
        <f>finanszírozás!D25</f>
        <v>0</v>
      </c>
      <c r="E25" s="573">
        <f>finanszírozás!E25</f>
        <v>0</v>
      </c>
      <c r="F25" s="664"/>
      <c r="G25" s="43"/>
      <c r="H25" s="43">
        <f>finanszírozás!G25</f>
        <v>0</v>
      </c>
      <c r="I25" s="43">
        <f>finanszírozás!H25</f>
        <v>0</v>
      </c>
      <c r="J25" s="43">
        <f>finanszírozás!I25</f>
        <v>2250002</v>
      </c>
      <c r="K25" s="43">
        <f>finanszírozás!J25</f>
        <v>0</v>
      </c>
      <c r="L25" s="43">
        <f>finanszírozás!K25</f>
        <v>0</v>
      </c>
      <c r="M25" s="43">
        <f t="shared" si="1"/>
        <v>2250002</v>
      </c>
      <c r="N25" s="375">
        <f t="shared" si="2"/>
        <v>0</v>
      </c>
      <c r="O25" s="64"/>
    </row>
    <row r="26" spans="1:14" ht="15">
      <c r="A26" s="420" t="str">
        <f>'beruházás és felh. célú átadás'!A34</f>
        <v>Múzeum beruházás</v>
      </c>
      <c r="B26" s="573">
        <f>finanszírozás!B26</f>
        <v>825500</v>
      </c>
      <c r="C26" s="573">
        <f>finanszírozás!C26</f>
        <v>825500</v>
      </c>
      <c r="D26" s="573">
        <f>finanszírozás!D26</f>
        <v>0</v>
      </c>
      <c r="E26" s="573">
        <f>finanszírozás!E26</f>
        <v>0</v>
      </c>
      <c r="F26" s="664"/>
      <c r="G26" s="43"/>
      <c r="H26" s="43">
        <f>finanszírozás!G26</f>
        <v>0</v>
      </c>
      <c r="I26" s="43">
        <f>finanszírozás!H26</f>
        <v>0</v>
      </c>
      <c r="J26" s="43">
        <f>finanszírozás!I26</f>
        <v>825500</v>
      </c>
      <c r="K26" s="43">
        <f>finanszírozás!J26</f>
        <v>0</v>
      </c>
      <c r="L26" s="43">
        <f>finanszírozás!K26</f>
        <v>0</v>
      </c>
      <c r="M26" s="43">
        <f t="shared" si="1"/>
        <v>825500</v>
      </c>
      <c r="N26" s="375">
        <f t="shared" si="2"/>
        <v>0</v>
      </c>
    </row>
    <row r="27" spans="1:14" ht="15">
      <c r="A27" s="420" t="str">
        <f>'beruházás és felh. célú átadás'!A35</f>
        <v>szakorvosi beruházás</v>
      </c>
      <c r="B27" s="573">
        <f>finanszírozás!B27</f>
        <v>13099319</v>
      </c>
      <c r="C27" s="573">
        <f>finanszírozás!C27</f>
        <v>13099319</v>
      </c>
      <c r="D27" s="573">
        <f>finanszírozás!D27</f>
        <v>0</v>
      </c>
      <c r="E27" s="573">
        <f>finanszírozás!E27</f>
        <v>0</v>
      </c>
      <c r="F27" s="664"/>
      <c r="G27" s="43"/>
      <c r="H27" s="43">
        <f>finanszírozás!G27</f>
        <v>0</v>
      </c>
      <c r="I27" s="43">
        <f>finanszírozás!H27</f>
        <v>0</v>
      </c>
      <c r="J27" s="43">
        <f>finanszírozás!I27</f>
        <v>13099319</v>
      </c>
      <c r="K27" s="43">
        <f>finanszírozás!J27</f>
        <v>0</v>
      </c>
      <c r="L27" s="43">
        <f>finanszírozás!K27</f>
        <v>0</v>
      </c>
      <c r="M27" s="43">
        <f t="shared" si="1"/>
        <v>13099319</v>
      </c>
      <c r="N27" s="375">
        <f t="shared" si="2"/>
        <v>0</v>
      </c>
    </row>
    <row r="28" spans="1:14" ht="15">
      <c r="A28" s="420" t="str">
        <f>'beruházás és felh. célú átadás'!A36</f>
        <v>Konyha-vigi</v>
      </c>
      <c r="B28" s="573">
        <f>finanszírozás!B28</f>
        <v>2484501</v>
      </c>
      <c r="C28" s="573">
        <f>finanszírozás!C28</f>
        <v>2484501</v>
      </c>
      <c r="D28" s="573">
        <f>finanszírozás!D28</f>
        <v>0</v>
      </c>
      <c r="E28" s="573">
        <f>finanszírozás!E28</f>
        <v>0</v>
      </c>
      <c r="F28" s="664"/>
      <c r="G28" s="43"/>
      <c r="H28" s="43">
        <f>finanszírozás!G28</f>
        <v>0</v>
      </c>
      <c r="I28" s="43">
        <f>finanszírozás!H28</f>
        <v>0</v>
      </c>
      <c r="J28" s="43">
        <f>finanszírozás!I28</f>
        <v>2484501</v>
      </c>
      <c r="K28" s="43">
        <f>finanszírozás!J28</f>
        <v>0</v>
      </c>
      <c r="L28" s="43">
        <f>finanszírozás!K28</f>
        <v>0</v>
      </c>
      <c r="M28" s="43">
        <f t="shared" si="1"/>
        <v>2484501</v>
      </c>
      <c r="N28" s="375">
        <f t="shared" si="2"/>
        <v>0</v>
      </c>
    </row>
    <row r="29" spans="1:14" ht="15">
      <c r="A29" s="420" t="str">
        <f>'beruházás és felh. célú átadás'!A37</f>
        <v>PH</v>
      </c>
      <c r="B29" s="573">
        <f>finanszírozás!B29</f>
        <v>3527679</v>
      </c>
      <c r="C29" s="573">
        <f>finanszírozás!C29</f>
        <v>3527679</v>
      </c>
      <c r="D29" s="573">
        <f>finanszírozás!D29</f>
        <v>0</v>
      </c>
      <c r="E29" s="573">
        <f>finanszírozás!E29</f>
        <v>0</v>
      </c>
      <c r="F29" s="664"/>
      <c r="G29" s="43"/>
      <c r="H29" s="43">
        <f>finanszírozás!G29</f>
        <v>0</v>
      </c>
      <c r="I29" s="43">
        <f>finanszírozás!H29</f>
        <v>0</v>
      </c>
      <c r="J29" s="43">
        <f>finanszírozás!I29</f>
        <v>3527679</v>
      </c>
      <c r="K29" s="43">
        <f>finanszírozás!J29</f>
        <v>0</v>
      </c>
      <c r="L29" s="43">
        <f>finanszírozás!K29</f>
        <v>0</v>
      </c>
      <c r="M29" s="43">
        <f t="shared" si="1"/>
        <v>3527679</v>
      </c>
      <c r="N29" s="375">
        <f t="shared" si="2"/>
        <v>0</v>
      </c>
    </row>
    <row r="30" spans="1:16" s="42" customFormat="1" ht="15">
      <c r="A30" s="420" t="str">
        <f>'beruházás és felh. célú átadás'!A38</f>
        <v>könyvtár</v>
      </c>
      <c r="B30" s="573">
        <f>finanszírozás!B30</f>
        <v>317500</v>
      </c>
      <c r="C30" s="573">
        <f>finanszírozás!C30</f>
        <v>317500</v>
      </c>
      <c r="D30" s="573">
        <f>finanszírozás!D30</f>
        <v>0</v>
      </c>
      <c r="E30" s="573">
        <f>finanszírozás!E30</f>
        <v>0</v>
      </c>
      <c r="F30" s="664"/>
      <c r="G30" s="43"/>
      <c r="H30" s="43">
        <f>finanszírozás!G30</f>
        <v>0</v>
      </c>
      <c r="I30" s="43">
        <f>finanszírozás!H30</f>
        <v>0</v>
      </c>
      <c r="J30" s="43">
        <f>finanszírozás!I30</f>
        <v>317500</v>
      </c>
      <c r="K30" s="43">
        <f>finanszírozás!J30</f>
        <v>0</v>
      </c>
      <c r="L30" s="43">
        <f>finanszírozás!K30</f>
        <v>0</v>
      </c>
      <c r="M30" s="43">
        <f t="shared" si="1"/>
        <v>317500</v>
      </c>
      <c r="N30" s="375">
        <f t="shared" si="2"/>
        <v>0</v>
      </c>
      <c r="O30" s="158"/>
      <c r="P30" s="158"/>
    </row>
    <row r="31" spans="1:16" s="42" customFormat="1" ht="15.75" thickBot="1">
      <c r="A31" s="469" t="str">
        <f>'beruházás és felh. célú átadás'!A40</f>
        <v>Tao önerő sportcsarnok</v>
      </c>
      <c r="B31" s="573">
        <f>finanszírozás!B31</f>
        <v>268765000</v>
      </c>
      <c r="C31" s="573">
        <f>finanszírozás!C31</f>
        <v>268765000</v>
      </c>
      <c r="D31" s="573">
        <f>finanszírozás!D31</f>
        <v>268765000</v>
      </c>
      <c r="E31" s="573">
        <f>finanszírozás!E31</f>
        <v>0</v>
      </c>
      <c r="F31" s="664">
        <f>E31</f>
        <v>0</v>
      </c>
      <c r="G31" s="43"/>
      <c r="H31" s="43">
        <f>finanszírozás!G31</f>
        <v>0</v>
      </c>
      <c r="I31" s="43">
        <f>finanszírozás!H31</f>
        <v>0</v>
      </c>
      <c r="J31" s="43">
        <f>finanszírozás!I31</f>
        <v>0</v>
      </c>
      <c r="K31" s="43">
        <f>finanszírozás!J31</f>
        <v>0</v>
      </c>
      <c r="L31" s="43">
        <f>finanszírozás!K31</f>
        <v>0</v>
      </c>
      <c r="M31" s="43">
        <f t="shared" si="1"/>
        <v>268765000</v>
      </c>
      <c r="N31" s="375">
        <f t="shared" si="2"/>
        <v>0</v>
      </c>
      <c r="O31" s="158"/>
      <c r="P31" s="158"/>
    </row>
    <row r="32" spans="1:16" s="42" customFormat="1" ht="30">
      <c r="A32" s="408" t="str">
        <f>'felújítások (2)'!A4</f>
        <v>Gólyafészek Bölcsőde kerítés</v>
      </c>
      <c r="B32" s="573">
        <f>finanszírozás!B32</f>
        <v>750000</v>
      </c>
      <c r="C32" s="573">
        <f>finanszírozás!C32</f>
        <v>750000</v>
      </c>
      <c r="D32" s="573">
        <f>finanszírozás!D32</f>
        <v>0</v>
      </c>
      <c r="E32" s="573">
        <f>finanszírozás!E32</f>
        <v>0</v>
      </c>
      <c r="F32" s="665"/>
      <c r="G32" s="666"/>
      <c r="H32" s="43">
        <f>finanszírozás!G32</f>
        <v>0</v>
      </c>
      <c r="I32" s="43">
        <f>finanszírozás!H32</f>
        <v>0</v>
      </c>
      <c r="J32" s="43">
        <f>finanszírozás!I32</f>
        <v>0</v>
      </c>
      <c r="K32" s="43">
        <f>finanszírozás!J32</f>
        <v>0</v>
      </c>
      <c r="L32" s="43">
        <f>finanszírozás!K32</f>
        <v>750000</v>
      </c>
      <c r="M32" s="43">
        <f t="shared" si="1"/>
        <v>750000</v>
      </c>
      <c r="N32" s="375">
        <f t="shared" si="2"/>
        <v>0</v>
      </c>
      <c r="O32" s="158"/>
      <c r="P32" s="158"/>
    </row>
    <row r="33" spans="1:16" s="42" customFormat="1" ht="30">
      <c r="A33" s="408" t="str">
        <f>'felújítások (2)'!A5</f>
        <v>Gólyafészek Bölcsőde világítás korszerűsítés</v>
      </c>
      <c r="B33" s="573">
        <f>finanszírozás!B33</f>
        <v>500000</v>
      </c>
      <c r="C33" s="573">
        <f>finanszírozás!C33</f>
        <v>500000</v>
      </c>
      <c r="D33" s="573">
        <f>finanszírozás!D33</f>
        <v>0</v>
      </c>
      <c r="E33" s="573">
        <f>finanszírozás!E33</f>
        <v>0</v>
      </c>
      <c r="F33" s="665"/>
      <c r="G33" s="43"/>
      <c r="H33" s="43">
        <f>finanszírozás!G33</f>
        <v>0</v>
      </c>
      <c r="I33" s="43">
        <f>finanszírozás!H33</f>
        <v>0</v>
      </c>
      <c r="J33" s="43">
        <f>finanszírozás!I33</f>
        <v>0</v>
      </c>
      <c r="K33" s="43">
        <f>finanszírozás!J33</f>
        <v>0</v>
      </c>
      <c r="L33" s="43">
        <f>finanszírozás!K33</f>
        <v>500000</v>
      </c>
      <c r="M33" s="43">
        <f t="shared" si="1"/>
        <v>500000</v>
      </c>
      <c r="N33" s="375">
        <f t="shared" si="2"/>
        <v>0</v>
      </c>
      <c r="O33" s="158"/>
      <c r="P33" s="158"/>
    </row>
    <row r="34" spans="1:16" s="42" customFormat="1" ht="15">
      <c r="A34" s="408" t="str">
        <f>'felújítások (2)'!A6</f>
        <v>Skarica Máté V.K. klíma</v>
      </c>
      <c r="B34" s="573">
        <f>finanszírozás!B34</f>
        <v>0</v>
      </c>
      <c r="C34" s="573">
        <f>finanszírozás!C34</f>
        <v>0</v>
      </c>
      <c r="D34" s="573">
        <f>finanszírozás!D34</f>
        <v>0</v>
      </c>
      <c r="E34" s="573">
        <f>finanszírozás!E34</f>
        <v>0</v>
      </c>
      <c r="F34" s="665"/>
      <c r="G34" s="43"/>
      <c r="H34" s="43">
        <f>finanszírozás!G34</f>
        <v>0</v>
      </c>
      <c r="I34" s="43">
        <f>finanszírozás!H34</f>
        <v>0</v>
      </c>
      <c r="J34" s="43">
        <f>finanszírozás!I34</f>
        <v>0</v>
      </c>
      <c r="K34" s="43">
        <f>finanszírozás!J34</f>
        <v>0</v>
      </c>
      <c r="L34" s="43">
        <f>finanszírozás!K34</f>
        <v>0</v>
      </c>
      <c r="M34" s="43">
        <f t="shared" si="1"/>
        <v>0</v>
      </c>
      <c r="N34" s="375">
        <f t="shared" si="2"/>
        <v>0</v>
      </c>
      <c r="O34" s="158"/>
      <c r="P34" s="158"/>
    </row>
    <row r="35" spans="1:16" s="42" customFormat="1" ht="30">
      <c r="A35" s="408" t="str">
        <f>'felújítások (2)'!A7</f>
        <v>járdák kialakítása/felújítása több helyen</v>
      </c>
      <c r="B35" s="573">
        <f>finanszírozás!B35</f>
        <v>69746813</v>
      </c>
      <c r="C35" s="573">
        <f>finanszírozás!C35</f>
        <v>69746813</v>
      </c>
      <c r="D35" s="573">
        <f>finanszírozás!D35</f>
        <v>7063520</v>
      </c>
      <c r="E35" s="573">
        <f>finanszírozás!E35</f>
        <v>0</v>
      </c>
      <c r="F35" s="664">
        <v>0</v>
      </c>
      <c r="G35" s="43"/>
      <c r="H35" s="43">
        <f>finanszírozás!G35</f>
        <v>56019000</v>
      </c>
      <c r="I35" s="43">
        <f>finanszírozás!H35</f>
        <v>0</v>
      </c>
      <c r="J35" s="43">
        <f>finanszírozás!I35</f>
        <v>6664293</v>
      </c>
      <c r="K35" s="43">
        <f>finanszírozás!J35</f>
        <v>0</v>
      </c>
      <c r="L35" s="43">
        <f>finanszírozás!K35</f>
        <v>0</v>
      </c>
      <c r="M35" s="43">
        <f t="shared" si="1"/>
        <v>69746813</v>
      </c>
      <c r="N35" s="375">
        <f t="shared" si="2"/>
        <v>0</v>
      </c>
      <c r="O35" s="158"/>
      <c r="P35" s="158"/>
    </row>
    <row r="36" spans="1:16" s="42" customFormat="1" ht="15">
      <c r="A36" s="408" t="str">
        <f>'felújítások (2)'!A9</f>
        <v>útfelújítás</v>
      </c>
      <c r="B36" s="573">
        <f>finanszírozás!B36</f>
        <v>30000000</v>
      </c>
      <c r="C36" s="573">
        <f>finanszírozás!C36</f>
        <v>30000000</v>
      </c>
      <c r="D36" s="573">
        <f>finanszírozás!D36</f>
        <v>15000000</v>
      </c>
      <c r="E36" s="573">
        <f>finanszírozás!E36</f>
        <v>0</v>
      </c>
      <c r="F36" s="664">
        <f>E36</f>
        <v>0</v>
      </c>
      <c r="G36" s="43"/>
      <c r="H36" s="43">
        <f>finanszírozás!G36</f>
        <v>0</v>
      </c>
      <c r="I36" s="43">
        <f>finanszírozás!H36</f>
        <v>0</v>
      </c>
      <c r="J36" s="43">
        <f>finanszírozás!I36</f>
        <v>0</v>
      </c>
      <c r="K36" s="43">
        <f>finanszírozás!J36</f>
        <v>0</v>
      </c>
      <c r="L36" s="43">
        <f>finanszírozás!K36</f>
        <v>15000000</v>
      </c>
      <c r="M36" s="43">
        <f t="shared" si="1"/>
        <v>30000000</v>
      </c>
      <c r="N36" s="375">
        <f t="shared" si="2"/>
        <v>0</v>
      </c>
      <c r="O36" s="158"/>
      <c r="P36" s="158"/>
    </row>
    <row r="37" spans="1:16" s="42" customFormat="1" ht="30">
      <c r="A37" s="408" t="str">
        <f>'felújítások (2)'!A10</f>
        <v>Árpád Múzeum karácsonyi díszkivilágítás</v>
      </c>
      <c r="B37" s="573">
        <f>finanszírozás!B37</f>
        <v>200000</v>
      </c>
      <c r="C37" s="573">
        <f>finanszírozás!C37</f>
        <v>200000</v>
      </c>
      <c r="D37" s="573">
        <f>finanszírozás!D37</f>
        <v>0</v>
      </c>
      <c r="E37" s="573">
        <f>finanszírozás!E37</f>
        <v>0</v>
      </c>
      <c r="F37" s="665"/>
      <c r="G37" s="43"/>
      <c r="H37" s="43">
        <f>finanszírozás!G37</f>
        <v>0</v>
      </c>
      <c r="I37" s="43">
        <f>finanszírozás!H37</f>
        <v>0</v>
      </c>
      <c r="J37" s="43">
        <f>finanszírozás!I37</f>
        <v>200000</v>
      </c>
      <c r="K37" s="43">
        <f>finanszírozás!J37</f>
        <v>0</v>
      </c>
      <c r="L37" s="43">
        <f>finanszírozás!K37</f>
        <v>0</v>
      </c>
      <c r="M37" s="43">
        <f t="shared" si="1"/>
        <v>200000</v>
      </c>
      <c r="N37" s="375">
        <f t="shared" si="2"/>
        <v>0</v>
      </c>
      <c r="O37" s="158"/>
      <c r="P37" s="158"/>
    </row>
    <row r="38" spans="1:16" s="42" customFormat="1" ht="15">
      <c r="A38" s="408" t="str">
        <f>'felújítások (2)'!A11</f>
        <v>Patay képtár kazáncsere</v>
      </c>
      <c r="B38" s="573">
        <f>finanszírozás!B38</f>
        <v>1500000</v>
      </c>
      <c r="C38" s="573">
        <f>finanszírozás!C38</f>
        <v>1500000</v>
      </c>
      <c r="D38" s="573">
        <f>finanszírozás!D38</f>
        <v>0</v>
      </c>
      <c r="E38" s="573">
        <f>finanszírozás!E38</f>
        <v>0</v>
      </c>
      <c r="F38" s="665"/>
      <c r="G38" s="43"/>
      <c r="H38" s="43">
        <f>finanszírozás!G38</f>
        <v>0</v>
      </c>
      <c r="I38" s="43">
        <f>finanszírozás!H38</f>
        <v>0</v>
      </c>
      <c r="J38" s="43">
        <f>finanszírozás!I38</f>
        <v>1500000</v>
      </c>
      <c r="K38" s="43">
        <f>finanszírozás!J38</f>
        <v>0</v>
      </c>
      <c r="L38" s="43">
        <f>finanszírozás!K38</f>
        <v>0</v>
      </c>
      <c r="M38" s="43">
        <f t="shared" si="1"/>
        <v>1500000</v>
      </c>
      <c r="N38" s="375">
        <f t="shared" si="2"/>
        <v>0</v>
      </c>
      <c r="O38" s="158"/>
      <c r="P38" s="158"/>
    </row>
    <row r="39" spans="1:16" s="42" customFormat="1" ht="30">
      <c r="A39" s="408" t="str">
        <f>'felújítások (2)'!A12</f>
        <v>Keve Galéria karácsonyi díszkivilágítás</v>
      </c>
      <c r="B39" s="573">
        <f>finanszírozás!B39</f>
        <v>200000</v>
      </c>
      <c r="C39" s="573">
        <f>finanszírozás!C39</f>
        <v>200000</v>
      </c>
      <c r="D39" s="573">
        <f>finanszírozás!D39</f>
        <v>0</v>
      </c>
      <c r="E39" s="573">
        <f>finanszírozás!E39</f>
        <v>0</v>
      </c>
      <c r="F39" s="665"/>
      <c r="G39" s="43"/>
      <c r="H39" s="43">
        <f>finanszírozás!G39</f>
        <v>0</v>
      </c>
      <c r="I39" s="43">
        <f>finanszírozás!H39</f>
        <v>0</v>
      </c>
      <c r="J39" s="43">
        <f>finanszírozás!I39</f>
        <v>200000</v>
      </c>
      <c r="K39" s="43">
        <f>finanszírozás!J39</f>
        <v>0</v>
      </c>
      <c r="L39" s="43">
        <f>finanszírozás!K39</f>
        <v>0</v>
      </c>
      <c r="M39" s="43">
        <f t="shared" si="1"/>
        <v>200000</v>
      </c>
      <c r="N39" s="375">
        <f t="shared" si="2"/>
        <v>0</v>
      </c>
      <c r="O39" s="158"/>
      <c r="P39" s="158"/>
    </row>
    <row r="40" spans="1:16" s="42" customFormat="1" ht="30">
      <c r="A40" s="408" t="str">
        <f>'felújítások (2)'!A13</f>
        <v>Patay képtár klíma, párologtató</v>
      </c>
      <c r="B40" s="573">
        <f>finanszírozás!B40</f>
        <v>0</v>
      </c>
      <c r="C40" s="573">
        <f>finanszírozás!C40</f>
        <v>0</v>
      </c>
      <c r="D40" s="573">
        <f>finanszírozás!D40</f>
        <v>0</v>
      </c>
      <c r="E40" s="573">
        <f>finanszírozás!E40</f>
        <v>0</v>
      </c>
      <c r="F40" s="665"/>
      <c r="G40" s="43"/>
      <c r="H40" s="43">
        <f>finanszírozás!G40</f>
        <v>0</v>
      </c>
      <c r="I40" s="43">
        <f>finanszírozás!H40</f>
        <v>0</v>
      </c>
      <c r="J40" s="43">
        <f>finanszírozás!I40</f>
        <v>0</v>
      </c>
      <c r="K40" s="43">
        <f>finanszírozás!J41</f>
        <v>0</v>
      </c>
      <c r="L40" s="43">
        <f>finanszírozás!K41</f>
        <v>0</v>
      </c>
      <c r="M40" s="43">
        <f t="shared" si="1"/>
        <v>0</v>
      </c>
      <c r="N40" s="375">
        <f t="shared" si="2"/>
        <v>0</v>
      </c>
      <c r="O40" s="158"/>
      <c r="P40" s="158"/>
    </row>
    <row r="41" spans="1:16" s="42" customFormat="1" ht="15">
      <c r="A41" s="408" t="str">
        <f>'felújítások (2)'!A15</f>
        <v>Tourinform bádog csere</v>
      </c>
      <c r="B41" s="573">
        <f>finanszírozás!B41</f>
        <v>950000</v>
      </c>
      <c r="C41" s="573">
        <f>finanszírozás!C41</f>
        <v>950000</v>
      </c>
      <c r="D41" s="573">
        <f>finanszírozás!D41</f>
        <v>0</v>
      </c>
      <c r="E41" s="573">
        <f>finanszírozás!E41</f>
        <v>0</v>
      </c>
      <c r="F41" s="665"/>
      <c r="G41" s="43"/>
      <c r="H41" s="43">
        <f>finanszírozás!G41</f>
        <v>0</v>
      </c>
      <c r="I41" s="43">
        <f>finanszírozás!H41</f>
        <v>0</v>
      </c>
      <c r="J41" s="43">
        <f>finanszírozás!I41</f>
        <v>950000</v>
      </c>
      <c r="K41" s="43">
        <f>finanszírozás!J41</f>
        <v>0</v>
      </c>
      <c r="L41" s="43">
        <f>finanszírozás!K41</f>
        <v>0</v>
      </c>
      <c r="M41" s="43">
        <f t="shared" si="1"/>
        <v>950000</v>
      </c>
      <c r="N41" s="375">
        <f t="shared" si="2"/>
        <v>0</v>
      </c>
      <c r="O41" s="158"/>
      <c r="P41" s="158"/>
    </row>
    <row r="42" spans="1:14" ht="15">
      <c r="A42" s="408" t="str">
        <f>'felújítások (2)'!A16</f>
        <v>HÉV WC konténer</v>
      </c>
      <c r="B42" s="573">
        <f>finanszírozás!B42</f>
        <v>4500000</v>
      </c>
      <c r="C42" s="573">
        <f>finanszírozás!C42</f>
        <v>4500000</v>
      </c>
      <c r="D42" s="573">
        <f>finanszírozás!D42</f>
        <v>0</v>
      </c>
      <c r="E42" s="573">
        <f>finanszírozás!E42</f>
        <v>0</v>
      </c>
      <c r="F42" s="665"/>
      <c r="G42" s="43"/>
      <c r="H42" s="43">
        <f>finanszírozás!G42</f>
        <v>0</v>
      </c>
      <c r="I42" s="43">
        <f>finanszírozás!H42</f>
        <v>0</v>
      </c>
      <c r="J42" s="43">
        <f>finanszírozás!I42</f>
        <v>4500000</v>
      </c>
      <c r="K42" s="43">
        <f>finanszírozás!J42</f>
        <v>0</v>
      </c>
      <c r="L42" s="43">
        <f>finanszírozás!K42</f>
        <v>0</v>
      </c>
      <c r="M42" s="43">
        <f t="shared" si="1"/>
        <v>4500000</v>
      </c>
      <c r="N42" s="375">
        <f t="shared" si="2"/>
        <v>0</v>
      </c>
    </row>
    <row r="43" spans="1:14" ht="30">
      <c r="A43" s="408" t="str">
        <f>'felújítások (2)'!A17</f>
        <v>Régi Városháza vakolat hullás jav.</v>
      </c>
      <c r="B43" s="573">
        <f>finanszírozás!B43</f>
        <v>1000000</v>
      </c>
      <c r="C43" s="573">
        <f>finanszírozás!C43</f>
        <v>1000000</v>
      </c>
      <c r="D43" s="573">
        <f>finanszírozás!D43</f>
        <v>0</v>
      </c>
      <c r="E43" s="573">
        <f>finanszírozás!E43</f>
        <v>0</v>
      </c>
      <c r="F43" s="665"/>
      <c r="G43" s="43"/>
      <c r="H43" s="43">
        <f>finanszírozás!G43</f>
        <v>0</v>
      </c>
      <c r="I43" s="43">
        <f>finanszírozás!H45</f>
        <v>0</v>
      </c>
      <c r="J43" s="43">
        <f>finanszírozás!I43</f>
        <v>1000000</v>
      </c>
      <c r="K43" s="43">
        <f>finanszírozás!J45</f>
        <v>0</v>
      </c>
      <c r="L43" s="43">
        <f>finanszírozás!K43</f>
        <v>0</v>
      </c>
      <c r="M43" s="43">
        <f t="shared" si="1"/>
        <v>1000000</v>
      </c>
      <c r="N43" s="375">
        <f t="shared" si="2"/>
        <v>0</v>
      </c>
    </row>
    <row r="44" spans="1:14" ht="15">
      <c r="A44" s="408" t="str">
        <f>'felújítások (2)'!A18</f>
        <v>Bíróság kerítés bontás</v>
      </c>
      <c r="B44" s="573">
        <f>finanszírozás!B44</f>
        <v>700000</v>
      </c>
      <c r="C44" s="573">
        <f>finanszírozás!C44</f>
        <v>700000</v>
      </c>
      <c r="D44" s="573">
        <f>finanszírozás!D44</f>
        <v>0</v>
      </c>
      <c r="E44" s="573">
        <f>finanszírozás!E44</f>
        <v>0</v>
      </c>
      <c r="F44" s="665"/>
      <c r="G44" s="43"/>
      <c r="H44" s="43">
        <f>finanszírozás!G44</f>
        <v>0</v>
      </c>
      <c r="I44" s="43">
        <f>finanszírozás!H46</f>
        <v>0</v>
      </c>
      <c r="J44" s="43">
        <f>finanszírozás!I44</f>
        <v>700000</v>
      </c>
      <c r="K44" s="43">
        <f>finanszírozás!J44</f>
        <v>0</v>
      </c>
      <c r="L44" s="43">
        <f>finanszírozás!K44</f>
        <v>0</v>
      </c>
      <c r="M44" s="43">
        <f t="shared" si="1"/>
        <v>700000</v>
      </c>
      <c r="N44" s="375">
        <f aca="true" t="shared" si="3" ref="N44:N75">M44-B44</f>
        <v>0</v>
      </c>
    </row>
    <row r="45" spans="1:14" ht="30">
      <c r="A45" s="408" t="str">
        <f>'felújítások (2)'!A21</f>
        <v>ÁKMK öltözők felújítása színpad mögött</v>
      </c>
      <c r="B45" s="573">
        <f>finanszírozás!B45</f>
        <v>1300000</v>
      </c>
      <c r="C45" s="573">
        <f>finanszírozás!C45</f>
        <v>1300000</v>
      </c>
      <c r="D45" s="573">
        <f>finanszírozás!D45</f>
        <v>1300000</v>
      </c>
      <c r="E45" s="573">
        <f>finanszírozás!E45</f>
        <v>0</v>
      </c>
      <c r="F45" s="665"/>
      <c r="G45" s="43"/>
      <c r="H45" s="43">
        <f>finanszírozás!G45</f>
        <v>0</v>
      </c>
      <c r="I45" s="43">
        <f>finanszírozás!H47</f>
        <v>0</v>
      </c>
      <c r="J45" s="43">
        <f>finanszírozás!I45</f>
        <v>0</v>
      </c>
      <c r="K45" s="43">
        <f>finanszírozás!J45</f>
        <v>0</v>
      </c>
      <c r="L45" s="43">
        <f>finanszírozás!K45</f>
        <v>0</v>
      </c>
      <c r="M45" s="43">
        <f t="shared" si="1"/>
        <v>1300000</v>
      </c>
      <c r="N45" s="375">
        <f t="shared" si="3"/>
        <v>0</v>
      </c>
    </row>
    <row r="46" spans="1:14" ht="30">
      <c r="A46" s="408" t="str">
        <f>'felújítások (2)'!A22</f>
        <v>Skarica Máté V.K. padlás lépcső</v>
      </c>
      <c r="B46" s="573">
        <f>finanszírozás!B46</f>
        <v>650000</v>
      </c>
      <c r="C46" s="573">
        <f>finanszírozás!C46</f>
        <v>650000</v>
      </c>
      <c r="D46" s="573">
        <f>finanszírozás!D46</f>
        <v>324488</v>
      </c>
      <c r="E46" s="573">
        <f>finanszírozás!E46</f>
        <v>0</v>
      </c>
      <c r="F46" s="665"/>
      <c r="G46" s="43"/>
      <c r="H46" s="43">
        <f>finanszírozás!G46</f>
        <v>0</v>
      </c>
      <c r="I46" s="43">
        <f>finanszírozás!H46</f>
        <v>0</v>
      </c>
      <c r="J46" s="43">
        <f>finanszírozás!I46</f>
        <v>2960</v>
      </c>
      <c r="K46" s="43">
        <f>finanszírozás!J46</f>
        <v>0</v>
      </c>
      <c r="L46" s="43">
        <f>finanszírozás!K46</f>
        <v>322552</v>
      </c>
      <c r="M46" s="43">
        <f t="shared" si="1"/>
        <v>650000</v>
      </c>
      <c r="N46" s="375">
        <f t="shared" si="3"/>
        <v>0</v>
      </c>
    </row>
    <row r="47" spans="1:14" ht="15">
      <c r="A47" s="408" t="str">
        <f>'felújítások (2)'!A23</f>
        <v>Ifjúság u. óvoda (Bölcsőde)</v>
      </c>
      <c r="B47" s="573">
        <f>finanszírozás!B47</f>
        <v>750000</v>
      </c>
      <c r="C47" s="573">
        <f>finanszírozás!C47</f>
        <v>750000</v>
      </c>
      <c r="D47" s="573">
        <f>finanszírozás!D47</f>
        <v>0</v>
      </c>
      <c r="E47" s="573">
        <f>finanszírozás!E47</f>
        <v>0</v>
      </c>
      <c r="F47" s="667"/>
      <c r="G47" s="668"/>
      <c r="H47" s="43">
        <f>finanszírozás!G47</f>
        <v>0</v>
      </c>
      <c r="I47" s="43">
        <f>finanszírozás!H47</f>
        <v>0</v>
      </c>
      <c r="J47" s="43">
        <f>finanszírozás!I47</f>
        <v>0</v>
      </c>
      <c r="K47" s="43" t="e">
        <f>finanszírozás!#REF!</f>
        <v>#REF!</v>
      </c>
      <c r="L47" s="43">
        <f>finanszírozás!K47</f>
        <v>750000</v>
      </c>
      <c r="M47" s="43">
        <f>D47+E47+H47+I47+J47+L47</f>
        <v>750000</v>
      </c>
      <c r="N47" s="375">
        <f t="shared" si="3"/>
        <v>0</v>
      </c>
    </row>
    <row r="48" spans="1:14" ht="15">
      <c r="A48" s="408" t="str">
        <f>'felújítások (2)'!A24</f>
        <v>Ifjúság u. óvoda kerítés</v>
      </c>
      <c r="B48" s="573">
        <f>finanszírozás!B48</f>
        <v>450000</v>
      </c>
      <c r="C48" s="573">
        <f>finanszírozás!C48</f>
        <v>450000</v>
      </c>
      <c r="D48" s="573">
        <f>finanszírozás!D48</f>
        <v>0</v>
      </c>
      <c r="E48" s="573">
        <f>finanszírozás!E48</f>
        <v>0</v>
      </c>
      <c r="F48" s="667"/>
      <c r="G48" s="668"/>
      <c r="H48" s="43">
        <f>finanszírozás!G48</f>
        <v>0</v>
      </c>
      <c r="I48" s="43">
        <f>finanszírozás!H48</f>
        <v>0</v>
      </c>
      <c r="J48" s="43">
        <f>finanszírozás!I48</f>
        <v>450000</v>
      </c>
      <c r="K48" s="43">
        <f>finanszírozás!J48</f>
        <v>0</v>
      </c>
      <c r="L48" s="43">
        <f>finanszírozás!K48</f>
        <v>0</v>
      </c>
      <c r="M48" s="43">
        <f>D48+E48+H48+I48+J48+L48</f>
        <v>450000</v>
      </c>
      <c r="N48" s="375">
        <f t="shared" si="3"/>
        <v>0</v>
      </c>
    </row>
    <row r="49" spans="1:14" ht="30">
      <c r="A49" s="408" t="str">
        <f>'felújítások (2)'!A25</f>
        <v>Vörösmarty óvoda balesetveszélyes kerítés</v>
      </c>
      <c r="B49" s="573">
        <f>finanszírozás!B49</f>
        <v>1200000</v>
      </c>
      <c r="C49" s="573">
        <f>finanszírozás!C49</f>
        <v>1200000</v>
      </c>
      <c r="D49" s="573">
        <f>finanszírozás!D49</f>
        <v>0</v>
      </c>
      <c r="E49" s="573">
        <f>finanszírozás!E49</f>
        <v>0</v>
      </c>
      <c r="F49" s="664">
        <f>E48</f>
        <v>0</v>
      </c>
      <c r="G49" s="668"/>
      <c r="H49" s="43">
        <f>finanszírozás!G49</f>
        <v>0</v>
      </c>
      <c r="I49" s="43">
        <f>finanszírozás!H49</f>
        <v>0</v>
      </c>
      <c r="J49" s="43">
        <f>finanszírozás!I49</f>
        <v>0</v>
      </c>
      <c r="K49" s="43">
        <f>finanszírozás!J49</f>
        <v>0</v>
      </c>
      <c r="L49" s="43">
        <f>finanszírozás!K49</f>
        <v>1200000</v>
      </c>
      <c r="M49" s="43">
        <f>D49+E49+H49+I49+J49+L49</f>
        <v>1200000</v>
      </c>
      <c r="N49" s="375">
        <f t="shared" si="3"/>
        <v>0</v>
      </c>
    </row>
    <row r="50" spans="1:14" ht="30">
      <c r="A50" s="408" t="str">
        <f>'felújítások (2)'!A26</f>
        <v>Szivárvány óvoda klíma (4 db)</v>
      </c>
      <c r="B50" s="573">
        <f>finanszírozás!B50</f>
        <v>0</v>
      </c>
      <c r="C50" s="573">
        <f>finanszírozás!C50</f>
        <v>0</v>
      </c>
      <c r="D50" s="573">
        <f>finanszírozás!D50</f>
        <v>0</v>
      </c>
      <c r="E50" s="573">
        <f>finanszírozás!E50</f>
        <v>0</v>
      </c>
      <c r="F50" s="664">
        <f>E49</f>
        <v>0</v>
      </c>
      <c r="G50" s="668"/>
      <c r="H50" s="43">
        <f>finanszírozás!G50</f>
        <v>0</v>
      </c>
      <c r="I50" s="43">
        <f>finanszírozás!H50</f>
        <v>0</v>
      </c>
      <c r="J50" s="43">
        <f>finanszírozás!I50</f>
        <v>0</v>
      </c>
      <c r="K50" s="43">
        <f>finanszírozás!J51</f>
        <v>0</v>
      </c>
      <c r="L50" s="43">
        <f>finanszírozás!K51</f>
        <v>0</v>
      </c>
      <c r="M50" s="43">
        <f t="shared" si="1"/>
        <v>0</v>
      </c>
      <c r="N50" s="375">
        <f t="shared" si="3"/>
        <v>0</v>
      </c>
    </row>
    <row r="51" spans="1:16" ht="30.75" thickBot="1">
      <c r="A51" s="408" t="str">
        <f>'felújítások (2)'!A27</f>
        <v>Vörösmarty óvoda csatorna jav.</v>
      </c>
      <c r="B51" s="573">
        <f>finanszírozás!B51</f>
        <v>500000</v>
      </c>
      <c r="C51" s="573">
        <f>finanszírozás!C51</f>
        <v>500000</v>
      </c>
      <c r="D51" s="573">
        <f>finanszírozás!D51</f>
        <v>0</v>
      </c>
      <c r="E51" s="573">
        <f>finanszírozás!E51</f>
        <v>0</v>
      </c>
      <c r="F51" s="667"/>
      <c r="G51" s="377"/>
      <c r="H51" s="43">
        <f>finanszírozás!G51</f>
        <v>0</v>
      </c>
      <c r="I51" s="43">
        <f>finanszírozás!H51</f>
        <v>0</v>
      </c>
      <c r="J51" s="43">
        <f>finanszírozás!I51</f>
        <v>500000</v>
      </c>
      <c r="K51" s="43">
        <f>finanszírozás!J52</f>
        <v>0</v>
      </c>
      <c r="L51" s="43">
        <f>finanszírozás!K51</f>
        <v>0</v>
      </c>
      <c r="M51" s="43">
        <f t="shared" si="1"/>
        <v>500000</v>
      </c>
      <c r="N51" s="375">
        <f t="shared" si="3"/>
        <v>0</v>
      </c>
      <c r="O51">
        <v>13000</v>
      </c>
      <c r="P51" s="64"/>
    </row>
    <row r="52" spans="1:16" ht="15">
      <c r="A52" s="408" t="str">
        <f>'felújítások (2)'!A28</f>
        <v>Szürke épület felújítása</v>
      </c>
      <c r="B52" s="573">
        <f>finanszírozás!B52</f>
        <v>57453188</v>
      </c>
      <c r="C52" s="573">
        <f>finanszírozás!C52</f>
        <v>57453188</v>
      </c>
      <c r="D52" s="573">
        <f>finanszírozás!D52</f>
        <v>27453188</v>
      </c>
      <c r="E52" s="573">
        <f>finanszírozás!E52</f>
        <v>0</v>
      </c>
      <c r="F52" s="665"/>
      <c r="G52" s="666"/>
      <c r="H52" s="43">
        <f>finanszírozás!G52</f>
        <v>30000000</v>
      </c>
      <c r="I52" s="43">
        <f>finanszírozás!H52</f>
        <v>0</v>
      </c>
      <c r="J52" s="43">
        <f>finanszírozás!I52</f>
        <v>0</v>
      </c>
      <c r="K52" s="43">
        <f>finanszírozás!J52</f>
        <v>0</v>
      </c>
      <c r="L52" s="43">
        <f>finanszírozás!K52</f>
        <v>0</v>
      </c>
      <c r="M52" s="43">
        <f t="shared" si="1"/>
        <v>57453188</v>
      </c>
      <c r="N52" s="375">
        <f t="shared" si="3"/>
        <v>0</v>
      </c>
      <c r="P52" s="64"/>
    </row>
    <row r="53" spans="1:14" ht="15">
      <c r="A53" s="408" t="str">
        <f>finanszírozás!A54</f>
        <v>További útfelújítások</v>
      </c>
      <c r="B53" s="573">
        <f>finanszírozás!B54</f>
        <v>36002354</v>
      </c>
      <c r="C53" s="573">
        <f>finanszírozás!C54</f>
        <v>36002354</v>
      </c>
      <c r="D53" s="573">
        <f>finanszírozás!D54</f>
        <v>31048000</v>
      </c>
      <c r="E53" s="573">
        <f>finanszírozás!E54</f>
        <v>0</v>
      </c>
      <c r="F53" s="573">
        <f>finanszírozás!F54</f>
        <v>0</v>
      </c>
      <c r="G53" s="573">
        <f>finanszírozás!G54</f>
        <v>4954354</v>
      </c>
      <c r="H53" s="709">
        <f>finanszírozás!G54</f>
        <v>4954354</v>
      </c>
      <c r="I53" s="43">
        <f>finanszírozás!H54</f>
        <v>0</v>
      </c>
      <c r="J53" s="43">
        <f>finanszírozás!I54</f>
        <v>0</v>
      </c>
      <c r="K53" s="709">
        <f>finanszírozás!J54</f>
        <v>0</v>
      </c>
      <c r="L53" s="709">
        <f>finanszírozás!K54</f>
        <v>0</v>
      </c>
      <c r="M53" s="43">
        <f>D53+E53+H53+I53+J53+L53</f>
        <v>36002354</v>
      </c>
      <c r="N53" s="375">
        <f t="shared" si="3"/>
        <v>0</v>
      </c>
    </row>
    <row r="54" spans="1:14" ht="30">
      <c r="A54" s="408" t="str">
        <f>finanszírozás!A55</f>
        <v>Vörösmarty óvoda kazán csere</v>
      </c>
      <c r="B54" s="573">
        <f>finanszírozás!B55</f>
        <v>500000</v>
      </c>
      <c r="C54" s="573">
        <f>finanszírozás!C55</f>
        <v>500000</v>
      </c>
      <c r="D54" s="573">
        <f>finanszírozás!D55</f>
        <v>0</v>
      </c>
      <c r="E54" s="573">
        <f>finanszírozás!E55</f>
        <v>0</v>
      </c>
      <c r="F54" s="665"/>
      <c r="G54" s="43"/>
      <c r="H54" s="43">
        <f>finanszírozás!G55</f>
        <v>0</v>
      </c>
      <c r="I54" s="43">
        <f>finanszírozás!H55</f>
        <v>0</v>
      </c>
      <c r="J54" s="43">
        <f>finanszírozás!I55</f>
        <v>500000</v>
      </c>
      <c r="K54" s="43">
        <f>finanszírozás!J55</f>
        <v>0</v>
      </c>
      <c r="L54" s="43">
        <f>finanszírozás!K55</f>
        <v>0</v>
      </c>
      <c r="M54" s="43">
        <f t="shared" si="1"/>
        <v>500000</v>
      </c>
      <c r="N54" s="375">
        <f t="shared" si="3"/>
        <v>0</v>
      </c>
    </row>
    <row r="55" spans="1:14" ht="15">
      <c r="A55" s="408" t="str">
        <f>finanszírozás!A56</f>
        <v>Kék ház ablak csere</v>
      </c>
      <c r="B55" s="573">
        <f>finanszírozás!B56</f>
        <v>0</v>
      </c>
      <c r="C55" s="573">
        <f>finanszírozás!C56</f>
        <v>0</v>
      </c>
      <c r="D55" s="573">
        <f>finanszírozás!D56</f>
        <v>0</v>
      </c>
      <c r="E55" s="573">
        <f>finanszírozás!E56</f>
        <v>0</v>
      </c>
      <c r="F55" s="665"/>
      <c r="G55" s="43"/>
      <c r="H55" s="43">
        <f>finanszírozás!G56</f>
        <v>0</v>
      </c>
      <c r="I55" s="43">
        <f>finanszírozás!H56</f>
        <v>0</v>
      </c>
      <c r="J55" s="43">
        <f>finanszírozás!I56</f>
        <v>0</v>
      </c>
      <c r="K55" s="43">
        <f>finanszírozás!J56</f>
        <v>0</v>
      </c>
      <c r="L55" s="43">
        <f>finanszírozás!K56</f>
        <v>0</v>
      </c>
      <c r="M55" s="43">
        <f t="shared" si="1"/>
        <v>0</v>
      </c>
      <c r="N55" s="375">
        <f t="shared" si="3"/>
        <v>0</v>
      </c>
    </row>
    <row r="56" spans="1:14" ht="15">
      <c r="A56" s="408" t="str">
        <f>finanszírozás!A57</f>
        <v>Iskola u. óvoda ablakcsere</v>
      </c>
      <c r="B56" s="573">
        <f>finanszírozás!B57</f>
        <v>0</v>
      </c>
      <c r="C56" s="573">
        <f>finanszírozás!C57</f>
        <v>0</v>
      </c>
      <c r="D56" s="573">
        <f>finanszírozás!D57</f>
        <v>0</v>
      </c>
      <c r="E56" s="573">
        <f>finanszírozás!E57</f>
        <v>0</v>
      </c>
      <c r="F56" s="667"/>
      <c r="G56" s="668"/>
      <c r="H56" s="43">
        <f>finanszírozás!G57</f>
        <v>0</v>
      </c>
      <c r="I56" s="43">
        <f>finanszírozás!H57</f>
        <v>0</v>
      </c>
      <c r="J56" s="43">
        <f>finanszírozás!I57</f>
        <v>0</v>
      </c>
      <c r="K56" s="43">
        <f>finanszírozás!J57</f>
        <v>0</v>
      </c>
      <c r="L56" s="43">
        <f>finanszírozás!K57</f>
        <v>0</v>
      </c>
      <c r="M56" s="43">
        <f t="shared" si="1"/>
        <v>0</v>
      </c>
      <c r="N56" s="375">
        <f t="shared" si="3"/>
        <v>0</v>
      </c>
    </row>
    <row r="57" spans="1:14" ht="15">
      <c r="A57" s="408" t="str">
        <f>finanszírozás!A58</f>
        <v>Hivatal klíma</v>
      </c>
      <c r="B57" s="573">
        <f>finanszírozás!B58</f>
        <v>0</v>
      </c>
      <c r="C57" s="573">
        <f>finanszírozás!C58</f>
        <v>0</v>
      </c>
      <c r="D57" s="573">
        <f>finanszírozás!D58</f>
        <v>0</v>
      </c>
      <c r="E57" s="573">
        <f>finanszírozás!E58</f>
        <v>0</v>
      </c>
      <c r="F57" s="667"/>
      <c r="G57" s="668"/>
      <c r="H57" s="43">
        <f>finanszírozás!G58</f>
        <v>0</v>
      </c>
      <c r="I57" s="43">
        <f>finanszírozás!H58</f>
        <v>0</v>
      </c>
      <c r="J57" s="43">
        <f>finanszírozás!I58</f>
        <v>0</v>
      </c>
      <c r="K57" s="43">
        <f>finanszírozás!J58</f>
        <v>0</v>
      </c>
      <c r="L57" s="43">
        <f>finanszírozás!K58</f>
        <v>0</v>
      </c>
      <c r="M57" s="43">
        <f t="shared" si="1"/>
        <v>0</v>
      </c>
      <c r="N57" s="375">
        <f t="shared" si="3"/>
        <v>0</v>
      </c>
    </row>
    <row r="58" spans="1:14" ht="15">
      <c r="A58" s="408" t="str">
        <f>finanszírozás!A59</f>
        <v>Elmenő intézmények kerete</v>
      </c>
      <c r="B58" s="573">
        <f>finanszírozás!B59</f>
        <v>6000000</v>
      </c>
      <c r="C58" s="573">
        <f>finanszírozás!C59</f>
        <v>6000000</v>
      </c>
      <c r="D58" s="573"/>
      <c r="E58" s="573"/>
      <c r="F58" s="667"/>
      <c r="G58" s="668"/>
      <c r="H58" s="43"/>
      <c r="I58" s="43"/>
      <c r="J58" s="43">
        <v>6000000</v>
      </c>
      <c r="K58" s="43"/>
      <c r="L58" s="43"/>
      <c r="M58" s="43">
        <f t="shared" si="1"/>
        <v>6000000</v>
      </c>
      <c r="N58" s="375">
        <f t="shared" si="3"/>
        <v>0</v>
      </c>
    </row>
    <row r="59" spans="1:14" ht="49.5" customHeight="1">
      <c r="A59" s="408" t="str">
        <f>finanszírozás!A60</f>
        <v>bérleti díj terhére DAKÖV kft által végzett</v>
      </c>
      <c r="B59" s="573">
        <f>finanszírozás!B60</f>
        <v>14700000</v>
      </c>
      <c r="C59" s="573">
        <f>finanszírozás!C60</f>
        <v>14700000</v>
      </c>
      <c r="D59" s="573">
        <f>finanszírozás!D60</f>
        <v>0</v>
      </c>
      <c r="E59" s="573">
        <f>finanszírozás!E60</f>
        <v>0</v>
      </c>
      <c r="F59" s="667"/>
      <c r="G59" s="668"/>
      <c r="H59" s="43">
        <f>finanszírozás!G60</f>
        <v>0</v>
      </c>
      <c r="I59" s="43">
        <f>finanszírozás!H60</f>
        <v>0</v>
      </c>
      <c r="J59" s="43">
        <f>finanszírozás!I60</f>
        <v>14700000</v>
      </c>
      <c r="K59" s="43">
        <f>finanszírozás!J60</f>
        <v>0</v>
      </c>
      <c r="L59" s="43">
        <f>finanszírozás!K60</f>
        <v>0</v>
      </c>
      <c r="M59" s="43">
        <f t="shared" si="1"/>
        <v>14700000</v>
      </c>
      <c r="N59" s="375">
        <f t="shared" si="3"/>
        <v>0</v>
      </c>
    </row>
    <row r="60" spans="1:14" ht="15.75" customHeight="1">
      <c r="A60" s="408" t="str">
        <f>finanszírozás!A61</f>
        <v>MLSZ önerő (kerítés)</v>
      </c>
      <c r="B60" s="573">
        <f>finanszírozás!B61</f>
        <v>700000</v>
      </c>
      <c r="C60" s="573">
        <f>finanszírozás!C61</f>
        <v>700000</v>
      </c>
      <c r="D60" s="573">
        <f>finanszírozás!D61</f>
        <v>0</v>
      </c>
      <c r="E60" s="573">
        <f>finanszírozás!E61</f>
        <v>0</v>
      </c>
      <c r="F60" s="667"/>
      <c r="G60" s="668"/>
      <c r="H60" s="43">
        <f>finanszírozás!G61</f>
        <v>700000</v>
      </c>
      <c r="I60" s="43">
        <f>finanszírozás!H61</f>
        <v>0</v>
      </c>
      <c r="J60" s="43">
        <f>finanszírozás!I61</f>
        <v>0</v>
      </c>
      <c r="K60" s="43">
        <f>finanszírozás!J61</f>
        <v>0</v>
      </c>
      <c r="L60" s="43">
        <f>finanszírozás!K61</f>
        <v>0</v>
      </c>
      <c r="M60" s="43">
        <f t="shared" si="1"/>
        <v>700000</v>
      </c>
      <c r="N60" s="375">
        <f t="shared" si="3"/>
        <v>0</v>
      </c>
    </row>
    <row r="61" spans="1:14" ht="36.75" customHeight="1">
      <c r="A61" s="408" t="str">
        <f>finanszírozás!A62</f>
        <v>Külterületi utak pályázat</v>
      </c>
      <c r="B61" s="573">
        <f>finanszírozás!B62</f>
        <v>52113860</v>
      </c>
      <c r="C61" s="573">
        <f>finanszírozás!C62</f>
        <v>52113860</v>
      </c>
      <c r="D61" s="573">
        <f>finanszírozás!D62</f>
        <v>0</v>
      </c>
      <c r="E61" s="573">
        <f>finanszírozás!E62</f>
        <v>0</v>
      </c>
      <c r="F61" s="667"/>
      <c r="G61" s="668"/>
      <c r="H61" s="43">
        <f>finanszírozás!G62</f>
        <v>5696474</v>
      </c>
      <c r="I61" s="43">
        <f>finanszírozás!H62</f>
        <v>4397000</v>
      </c>
      <c r="J61" s="43">
        <f>finanszírozás!I62</f>
        <v>42020386</v>
      </c>
      <c r="K61" s="43">
        <f>finanszírozás!J62</f>
        <v>0</v>
      </c>
      <c r="L61" s="43">
        <f>finanszírozás!K62</f>
        <v>0</v>
      </c>
      <c r="M61" s="43">
        <f t="shared" si="1"/>
        <v>52113860</v>
      </c>
      <c r="N61" s="375">
        <f t="shared" si="3"/>
        <v>0</v>
      </c>
    </row>
    <row r="62" spans="1:14" ht="49.5" customHeight="1">
      <c r="A62" s="408" t="str">
        <f>finanszírozás!A63</f>
        <v>iparűzés adó háziorvosi feladatellátásra eső része</v>
      </c>
      <c r="B62" s="573">
        <f>finanszírozás!B63</f>
        <v>1620000</v>
      </c>
      <c r="C62" s="573">
        <f>finanszírozás!C63</f>
        <v>1620000</v>
      </c>
      <c r="D62" s="573">
        <f>finanszírozás!D63</f>
        <v>0</v>
      </c>
      <c r="E62" s="573">
        <f>finanszírozás!E63</f>
        <v>0</v>
      </c>
      <c r="F62" s="667"/>
      <c r="G62" s="668"/>
      <c r="H62" s="43">
        <f>finanszírozás!G63</f>
        <v>0</v>
      </c>
      <c r="I62" s="43">
        <f>finanszírozás!H63</f>
        <v>0</v>
      </c>
      <c r="J62" s="43">
        <f>finanszírozás!I63</f>
        <v>1620000</v>
      </c>
      <c r="K62" s="43">
        <f>finanszírozás!J63</f>
        <v>0</v>
      </c>
      <c r="L62" s="43">
        <f>finanszírozás!K63</f>
        <v>0</v>
      </c>
      <c r="M62" s="43">
        <f t="shared" si="1"/>
        <v>1620000</v>
      </c>
      <c r="N62" s="375">
        <f t="shared" si="3"/>
        <v>0</v>
      </c>
    </row>
    <row r="63" spans="1:14" ht="49.5" customHeight="1">
      <c r="A63" s="408" t="str">
        <f>finanszírozás!A64</f>
        <v>Ránki Gy AMI homlokzat felújításához hozzájárulás</v>
      </c>
      <c r="B63" s="573">
        <f>finanszírozás!B64</f>
        <v>15000000</v>
      </c>
      <c r="C63" s="573">
        <f>finanszírozás!C64</f>
        <v>15000000</v>
      </c>
      <c r="D63" s="573">
        <f>finanszírozás!D64</f>
        <v>0</v>
      </c>
      <c r="E63" s="573">
        <f>finanszírozás!E64</f>
        <v>0</v>
      </c>
      <c r="F63" s="667"/>
      <c r="G63" s="668"/>
      <c r="H63" s="43">
        <f>finanszírozás!G64</f>
        <v>0</v>
      </c>
      <c r="I63" s="43">
        <f>finanszírozás!H64</f>
        <v>0</v>
      </c>
      <c r="J63" s="43">
        <f>finanszírozás!I64</f>
        <v>15000000</v>
      </c>
      <c r="K63" s="43">
        <f>finanszírozás!J64</f>
        <v>0</v>
      </c>
      <c r="L63" s="43">
        <f>finanszírozás!K64</f>
        <v>0</v>
      </c>
      <c r="M63" s="43">
        <f t="shared" si="1"/>
        <v>15000000</v>
      </c>
      <c r="N63" s="375">
        <f t="shared" si="3"/>
        <v>0</v>
      </c>
    </row>
    <row r="64" spans="1:14" ht="30">
      <c r="A64" s="408" t="str">
        <f>céltARTALÉK!A22</f>
        <v>MHSZ  Turisztikai pályázat önerő</v>
      </c>
      <c r="B64" s="573">
        <f>finanszírozás!B65</f>
        <v>70000000</v>
      </c>
      <c r="C64" s="573">
        <f>finanszírozás!C65</f>
        <v>70000000</v>
      </c>
      <c r="D64" s="573">
        <f>finanszírozás!D65</f>
        <v>0</v>
      </c>
      <c r="E64" s="573">
        <f>finanszírozás!E65</f>
        <v>0</v>
      </c>
      <c r="F64" s="667"/>
      <c r="G64" s="668"/>
      <c r="H64" s="43">
        <f>finanszírozás!G65</f>
        <v>0</v>
      </c>
      <c r="I64" s="43">
        <f>finanszírozás!H65</f>
        <v>0</v>
      </c>
      <c r="J64" s="43">
        <f>finanszírozás!I65</f>
        <v>0</v>
      </c>
      <c r="K64" s="43">
        <f>finanszírozás!J65</f>
        <v>0</v>
      </c>
      <c r="L64" s="43">
        <f>finanszírozás!K65</f>
        <v>70000000</v>
      </c>
      <c r="M64" s="43">
        <f t="shared" si="1"/>
        <v>70000000</v>
      </c>
      <c r="N64" s="375">
        <f t="shared" si="3"/>
        <v>0</v>
      </c>
    </row>
    <row r="65" spans="1:14" ht="24" customHeight="1">
      <c r="A65" s="408" t="str">
        <f>céltARTALÉK!A23</f>
        <v>pályázatelőkészítő alap</v>
      </c>
      <c r="B65" s="573">
        <f>finanszírozás!B66</f>
        <v>30000000</v>
      </c>
      <c r="C65" s="573">
        <f>finanszírozás!C66</f>
        <v>30000000</v>
      </c>
      <c r="D65" s="573">
        <f>finanszírozás!D66</f>
        <v>0</v>
      </c>
      <c r="E65" s="573">
        <f>finanszírozás!E66</f>
        <v>0</v>
      </c>
      <c r="F65" s="667"/>
      <c r="G65" s="668"/>
      <c r="H65" s="43">
        <f>finanszírozás!G66</f>
        <v>0</v>
      </c>
      <c r="I65" s="43">
        <f>finanszírozás!H66</f>
        <v>0</v>
      </c>
      <c r="J65" s="43">
        <f>finanszírozás!I66</f>
        <v>30000000</v>
      </c>
      <c r="K65" s="43">
        <f>finanszírozás!J66</f>
        <v>0</v>
      </c>
      <c r="L65" s="43">
        <f>finanszírozás!K66</f>
        <v>0</v>
      </c>
      <c r="M65" s="43">
        <f t="shared" si="1"/>
        <v>30000000</v>
      </c>
      <c r="N65" s="375">
        <f t="shared" si="3"/>
        <v>0</v>
      </c>
    </row>
    <row r="66" spans="1:14" ht="1.5" customHeight="1">
      <c r="A66" s="408"/>
      <c r="B66" s="573"/>
      <c r="C66" s="573"/>
      <c r="D66" s="573">
        <f>finanszírozás!D67</f>
        <v>0</v>
      </c>
      <c r="E66" s="573">
        <f>finanszírozás!E66</f>
        <v>0</v>
      </c>
      <c r="F66" s="667"/>
      <c r="G66" s="668"/>
      <c r="H66" s="43">
        <f>finanszírozás!G67</f>
        <v>0</v>
      </c>
      <c r="I66" s="43">
        <f>finanszírozás!H66</f>
        <v>0</v>
      </c>
      <c r="J66" s="43">
        <v>0</v>
      </c>
      <c r="K66" s="43">
        <f>finanszírozás!J67</f>
        <v>0</v>
      </c>
      <c r="L66" s="43">
        <f>finanszírozás!K67</f>
        <v>0</v>
      </c>
      <c r="M66" s="43">
        <f>SUM(D66:L66)-F66</f>
        <v>0</v>
      </c>
      <c r="N66" s="375">
        <f t="shared" si="3"/>
        <v>0</v>
      </c>
    </row>
    <row r="67" spans="1:14" ht="1.5" customHeight="1">
      <c r="A67" s="420"/>
      <c r="B67" s="573">
        <f>finanszírozás!B67</f>
        <v>0</v>
      </c>
      <c r="C67" s="573"/>
      <c r="D67" s="573">
        <f>finanszírozás!D68</f>
        <v>0</v>
      </c>
      <c r="E67" s="573">
        <f>finanszírozás!E67</f>
        <v>0</v>
      </c>
      <c r="F67" s="667"/>
      <c r="G67" s="668"/>
      <c r="H67" s="43">
        <f>finanszírozás!G68</f>
        <v>0</v>
      </c>
      <c r="I67" s="43">
        <f>finanszírozás!H67</f>
        <v>0</v>
      </c>
      <c r="J67" s="43">
        <f>finanszírozás!I67</f>
        <v>0</v>
      </c>
      <c r="K67" s="43">
        <f>finanszírozás!J68</f>
        <v>0</v>
      </c>
      <c r="L67" s="43">
        <f>finanszírozás!K68</f>
        <v>0</v>
      </c>
      <c r="M67" s="43">
        <f t="shared" si="1"/>
        <v>0</v>
      </c>
      <c r="N67" s="375">
        <f t="shared" si="3"/>
        <v>0</v>
      </c>
    </row>
    <row r="68" spans="1:14" ht="1.5" customHeight="1">
      <c r="A68" s="420"/>
      <c r="B68" s="573">
        <f>finanszírozás!B68</f>
        <v>0</v>
      </c>
      <c r="C68" s="573"/>
      <c r="D68" s="573">
        <f>finanszírozás!D69</f>
        <v>0</v>
      </c>
      <c r="E68" s="573">
        <f>finanszírozás!E68</f>
        <v>0</v>
      </c>
      <c r="F68" s="574"/>
      <c r="G68" s="668"/>
      <c r="H68" s="43">
        <f>finanszírozás!G69</f>
        <v>0</v>
      </c>
      <c r="I68" s="43">
        <f>finanszírozás!H68</f>
        <v>0</v>
      </c>
      <c r="J68" s="43">
        <f>finanszírozás!I68</f>
        <v>0</v>
      </c>
      <c r="K68" s="43">
        <f>finanszírozás!J69</f>
        <v>0</v>
      </c>
      <c r="L68" s="43">
        <f>finanszírozás!K69</f>
        <v>0</v>
      </c>
      <c r="M68" s="43">
        <f t="shared" si="1"/>
        <v>0</v>
      </c>
      <c r="N68" s="375">
        <f t="shared" si="3"/>
        <v>0</v>
      </c>
    </row>
    <row r="69" spans="1:14" ht="0.75" customHeight="1">
      <c r="A69" s="420"/>
      <c r="B69" s="573">
        <f>finanszírozás!B69</f>
        <v>0</v>
      </c>
      <c r="C69" s="573"/>
      <c r="D69" s="573">
        <f>finanszírozás!D70</f>
        <v>0</v>
      </c>
      <c r="E69" s="573">
        <f>finanszírozás!E69</f>
        <v>0</v>
      </c>
      <c r="F69" s="574"/>
      <c r="G69" s="668"/>
      <c r="H69" s="43">
        <f>finanszírozás!G70</f>
        <v>0</v>
      </c>
      <c r="I69" s="43">
        <f>finanszírozás!H69</f>
        <v>0</v>
      </c>
      <c r="J69" s="43">
        <f>finanszírozás!I69</f>
        <v>0</v>
      </c>
      <c r="K69" s="43">
        <f>finanszírozás!J70</f>
        <v>0</v>
      </c>
      <c r="L69" s="43">
        <f>finanszírozás!K70</f>
        <v>0</v>
      </c>
      <c r="M69" s="43">
        <f>SUM(D69:L69)-F69</f>
        <v>0</v>
      </c>
      <c r="N69" s="375">
        <f t="shared" si="3"/>
        <v>0</v>
      </c>
    </row>
    <row r="70" spans="1:14" ht="30" customHeight="1" hidden="1">
      <c r="A70" s="420"/>
      <c r="B70" s="573">
        <f>finanszírozás!B70</f>
        <v>0</v>
      </c>
      <c r="C70" s="573"/>
      <c r="D70" s="573">
        <f>finanszírozás!D71</f>
        <v>0</v>
      </c>
      <c r="E70" s="573">
        <f>finanszírozás!E70</f>
        <v>0</v>
      </c>
      <c r="F70" s="574"/>
      <c r="G70" s="668"/>
      <c r="H70" s="43">
        <f>finanszírozás!G71</f>
        <v>0</v>
      </c>
      <c r="I70" s="43">
        <f>finanszírozás!H70</f>
        <v>0</v>
      </c>
      <c r="J70" s="43">
        <f>finanszírozás!I70</f>
        <v>0</v>
      </c>
      <c r="K70" s="43">
        <f>finanszírozás!J71</f>
        <v>0</v>
      </c>
      <c r="L70" s="43">
        <f>finanszírozás!K71</f>
        <v>0</v>
      </c>
      <c r="M70" s="43">
        <f>SUM(D70:L70)-F70</f>
        <v>0</v>
      </c>
      <c r="N70" s="375">
        <f t="shared" si="3"/>
        <v>0</v>
      </c>
    </row>
    <row r="71" spans="1:14" ht="1.5" customHeight="1" hidden="1">
      <c r="A71" s="439"/>
      <c r="B71" s="573">
        <f>finanszírozás!B71</f>
        <v>0</v>
      </c>
      <c r="C71" s="573"/>
      <c r="D71" s="573">
        <f>finanszírozás!D72</f>
        <v>0</v>
      </c>
      <c r="E71" s="573">
        <f>finanszírozás!E71</f>
        <v>0</v>
      </c>
      <c r="F71" s="574"/>
      <c r="G71" s="668"/>
      <c r="H71" s="43">
        <f>finanszírozás!G72</f>
        <v>0</v>
      </c>
      <c r="I71" s="43">
        <f>finanszírozás!H71</f>
        <v>0</v>
      </c>
      <c r="J71" s="43">
        <f>finanszírozás!I71</f>
        <v>0</v>
      </c>
      <c r="K71" s="43">
        <f>finanszírozás!J72</f>
        <v>0</v>
      </c>
      <c r="L71" s="43">
        <f>finanszírozás!K72</f>
        <v>0</v>
      </c>
      <c r="M71" s="43">
        <f>SUM(D71:L71)-F71</f>
        <v>0</v>
      </c>
      <c r="N71" s="375">
        <f t="shared" si="3"/>
        <v>0</v>
      </c>
    </row>
    <row r="72" spans="1:14" ht="15">
      <c r="A72" s="439" t="s">
        <v>328</v>
      </c>
      <c r="B72" s="573">
        <f>finanszírozás!B73</f>
        <v>7469065</v>
      </c>
      <c r="C72" s="573">
        <f>finanszírozás!C73</f>
        <v>7469065</v>
      </c>
      <c r="D72" s="573">
        <f>finanszírozás!D73</f>
        <v>0</v>
      </c>
      <c r="E72" s="573">
        <f>finanszírozás!E73</f>
        <v>0</v>
      </c>
      <c r="F72" s="574"/>
      <c r="G72" s="668"/>
      <c r="H72" s="43">
        <f>finanszírozás!G73</f>
        <v>0</v>
      </c>
      <c r="I72" s="43">
        <f>finanszírozás!H73</f>
        <v>0</v>
      </c>
      <c r="J72" s="43">
        <f>finanszírozás!I73</f>
        <v>7469065</v>
      </c>
      <c r="K72" s="43">
        <f>finanszírozás!J73</f>
        <v>0</v>
      </c>
      <c r="L72" s="43">
        <f>finanszírozás!K73</f>
        <v>0</v>
      </c>
      <c r="M72" s="43">
        <f>finanszírozás!L73</f>
        <v>7469065</v>
      </c>
      <c r="N72" s="375">
        <f t="shared" si="3"/>
        <v>0</v>
      </c>
    </row>
    <row r="73" spans="1:14" ht="15.75" thickBot="1">
      <c r="A73" s="421"/>
      <c r="B73" s="573">
        <f>finanszírozás!B73</f>
        <v>7469065</v>
      </c>
      <c r="C73" s="573">
        <f>finanszírozás!C74</f>
        <v>2759914245</v>
      </c>
      <c r="D73" s="422">
        <f aca="true" t="shared" si="4" ref="D73:J73">SUM(D4:D72)</f>
        <v>458554196</v>
      </c>
      <c r="E73" s="422">
        <f t="shared" si="4"/>
        <v>0</v>
      </c>
      <c r="F73" s="422">
        <f t="shared" si="4"/>
        <v>0</v>
      </c>
      <c r="G73" s="422">
        <f t="shared" si="4"/>
        <v>4954354</v>
      </c>
      <c r="H73" s="422">
        <f t="shared" si="4"/>
        <v>162737530</v>
      </c>
      <c r="I73" s="422">
        <f t="shared" si="4"/>
        <v>1667124157</v>
      </c>
      <c r="J73" s="422">
        <f t="shared" si="4"/>
        <v>373893362</v>
      </c>
      <c r="K73" s="422" t="e">
        <f>#N/A</f>
        <v>#N/A</v>
      </c>
      <c r="L73" s="422">
        <f>SUM(L4:L72)</f>
        <v>97605000</v>
      </c>
      <c r="M73" s="422">
        <f>SUM(M4:M72)</f>
        <v>2759914245</v>
      </c>
      <c r="N73" s="422">
        <f>SUM(N4:N72)</f>
        <v>0</v>
      </c>
    </row>
    <row r="74" spans="2:14" ht="15" hidden="1">
      <c r="B74" s="573">
        <f>finanszírozás!B74</f>
        <v>2573575187</v>
      </c>
      <c r="D74" s="44"/>
      <c r="E74" s="44"/>
      <c r="F74" s="44"/>
      <c r="G74" s="44"/>
      <c r="H74" s="43">
        <f>finanszírozás!G74</f>
        <v>162737530</v>
      </c>
      <c r="I74" s="44">
        <f>mérleg!F31+mérleg!F32</f>
        <v>1500144543</v>
      </c>
      <c r="J74" s="43">
        <f>finanszírozás!I74</f>
        <v>373893362</v>
      </c>
      <c r="K74" s="44"/>
      <c r="L74" s="44">
        <f>mérleg!F34</f>
        <v>97605000</v>
      </c>
      <c r="M74" s="44"/>
      <c r="N74" s="44"/>
    </row>
    <row r="75" spans="2:14" ht="15" hidden="1">
      <c r="B75" s="573">
        <f>finanszírozás!B75</f>
        <v>2573575187</v>
      </c>
      <c r="D75" s="44"/>
      <c r="E75" s="44"/>
      <c r="F75" s="44"/>
      <c r="G75" s="44"/>
      <c r="H75" s="44"/>
      <c r="I75" s="44"/>
      <c r="J75" s="43">
        <f>finanszírozás!I75</f>
        <v>0</v>
      </c>
      <c r="K75" s="44"/>
      <c r="L75" s="44"/>
      <c r="M75" s="44"/>
      <c r="N75" s="44"/>
    </row>
    <row r="76" spans="1:14" ht="15.75" hidden="1" thickBot="1">
      <c r="A76" s="437" t="s">
        <v>329</v>
      </c>
      <c r="B76" s="573">
        <f>finanszírozás!B76</f>
        <v>0</v>
      </c>
      <c r="C76" s="438"/>
      <c r="D76" s="438"/>
      <c r="E76" s="438"/>
      <c r="F76" s="438"/>
      <c r="G76" s="438"/>
      <c r="H76" s="438">
        <f>H74-H73</f>
        <v>0</v>
      </c>
      <c r="I76" s="438">
        <f>I74-I73</f>
        <v>-166979614</v>
      </c>
      <c r="J76" s="43">
        <f>finanszírozás!I76</f>
        <v>373893362</v>
      </c>
      <c r="K76" s="438"/>
      <c r="L76" s="438">
        <f>L74-L73</f>
        <v>0</v>
      </c>
      <c r="M76" s="438"/>
      <c r="N76" s="663"/>
    </row>
    <row r="77" spans="4:14" ht="12.75" hidden="1">
      <c r="D77" s="44"/>
      <c r="E77" s="44"/>
      <c r="F77" s="44"/>
      <c r="G77" s="44"/>
      <c r="H77" s="44"/>
      <c r="I77" s="44"/>
      <c r="J77" s="43">
        <f>finanszírozás!I77</f>
        <v>0</v>
      </c>
      <c r="K77" s="44"/>
      <c r="L77" s="44"/>
      <c r="M77" s="44"/>
      <c r="N77" s="44"/>
    </row>
    <row r="78" spans="7:13" ht="12.75" hidden="1">
      <c r="G78" s="44"/>
      <c r="L78" s="60"/>
      <c r="M78" s="44"/>
    </row>
    <row r="79" spans="1:7" ht="12.75" hidden="1">
      <c r="A79" s="459"/>
      <c r="B79" s="335"/>
      <c r="C79" s="335"/>
      <c r="D79" s="440"/>
      <c r="E79" s="464"/>
      <c r="F79" s="440"/>
      <c r="G79" s="440"/>
    </row>
    <row r="80" spans="1:7" ht="12.75" hidden="1">
      <c r="A80" s="459"/>
      <c r="B80" s="335"/>
      <c r="C80" s="335"/>
      <c r="D80" s="440"/>
      <c r="E80" s="464"/>
      <c r="F80" s="440"/>
      <c r="G80" s="335"/>
    </row>
    <row r="81" spans="1:7" ht="12.75" hidden="1">
      <c r="A81" s="459"/>
      <c r="B81" s="335"/>
      <c r="C81" s="335"/>
      <c r="D81" s="440"/>
      <c r="E81" s="464"/>
      <c r="F81" s="440"/>
      <c r="G81" s="335"/>
    </row>
    <row r="82" spans="1:7" ht="12.75" hidden="1">
      <c r="A82" s="459"/>
      <c r="B82" s="557"/>
      <c r="C82" s="557"/>
      <c r="D82" s="459"/>
      <c r="E82" s="464"/>
      <c r="F82" s="459"/>
      <c r="G82" s="459"/>
    </row>
    <row r="83" spans="1:7" ht="12.75" hidden="1">
      <c r="A83" s="460"/>
      <c r="B83" s="462"/>
      <c r="C83" s="462"/>
      <c r="D83" s="461"/>
      <c r="E83" s="465"/>
      <c r="F83" s="461"/>
      <c r="G83" s="462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8:10" ht="12.75" hidden="1">
      <c r="H101" s="44">
        <f>H74-H73</f>
        <v>0</v>
      </c>
      <c r="I101" s="44">
        <f>I74-I73</f>
        <v>-166979614</v>
      </c>
      <c r="J101" s="44">
        <f>J73-J75</f>
        <v>373893362</v>
      </c>
    </row>
    <row r="102" ht="12.75" hidden="1"/>
    <row r="103" spans="1:6" ht="12.75">
      <c r="A103" s="59" t="s">
        <v>369</v>
      </c>
      <c r="B103" s="43" t="s">
        <v>370</v>
      </c>
      <c r="C103" s="43"/>
      <c r="D103" s="58"/>
      <c r="E103" s="66" t="s">
        <v>371</v>
      </c>
      <c r="F103" s="58"/>
    </row>
    <row r="104" spans="1:6" ht="12.75">
      <c r="A104" s="59" t="str">
        <f>finanszírozás!A81</f>
        <v>Többcélú finanszírozási hitel</v>
      </c>
      <c r="B104" s="65">
        <f>finanszírozás!B81</f>
        <v>577065000</v>
      </c>
      <c r="C104" s="65"/>
      <c r="D104" s="66"/>
      <c r="E104" s="59">
        <f>finanszírozás!E81</f>
        <v>0</v>
      </c>
      <c r="F104" s="66"/>
    </row>
    <row r="105" spans="1:6" ht="12.75">
      <c r="A105" s="59"/>
      <c r="B105" s="43">
        <f>SUM(B104:B104)</f>
        <v>577065000</v>
      </c>
      <c r="C105" s="43"/>
      <c r="D105" s="58"/>
      <c r="E105" s="66">
        <f>SUM(E104:E104)</f>
        <v>0</v>
      </c>
      <c r="F105" s="6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Header>&amp;Rmelléklet a 2019. évi költségvetéshez
</oddHeader>
    <oddFooter>&amp;R&amp;P.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pane xSplit="6" ySplit="3" topLeftCell="G2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40" sqref="G40"/>
    </sheetView>
  </sheetViews>
  <sheetFormatPr defaultColWidth="9.140625" defaultRowHeight="12.75"/>
  <cols>
    <col min="1" max="1" width="23.8515625" style="0" customWidth="1"/>
    <col min="2" max="4" width="0.13671875" style="0" customWidth="1"/>
    <col min="5" max="6" width="0.13671875" style="44" customWidth="1"/>
    <col min="7" max="7" width="10.140625" style="44" bestFit="1" customWidth="1"/>
    <col min="8" max="9" width="11.140625" style="44" bestFit="1" customWidth="1"/>
    <col min="10" max="11" width="10.421875" style="44" bestFit="1" customWidth="1"/>
    <col min="12" max="13" width="11.7109375" style="44" bestFit="1" customWidth="1"/>
    <col min="14" max="14" width="10.7109375" style="44" bestFit="1" customWidth="1"/>
    <col min="15" max="16" width="11.7109375" style="158" bestFit="1" customWidth="1"/>
    <col min="17" max="17" width="10.140625" style="158" bestFit="1" customWidth="1"/>
    <col min="18" max="18" width="11.140625" style="0" bestFit="1" customWidth="1"/>
    <col min="19" max="20" width="0" style="0" hidden="1" customWidth="1"/>
  </cols>
  <sheetData>
    <row r="1" spans="1:9" ht="12.75">
      <c r="A1" s="310"/>
      <c r="I1" s="158" t="s">
        <v>228</v>
      </c>
    </row>
    <row r="2" spans="1:9" ht="13.5" thickBot="1">
      <c r="A2" s="310"/>
      <c r="I2" s="158" t="s">
        <v>229</v>
      </c>
    </row>
    <row r="3" spans="1:18" s="364" customFormat="1" ht="37.5" customHeight="1">
      <c r="A3" s="361" t="s">
        <v>175</v>
      </c>
      <c r="B3" s="362">
        <v>2009</v>
      </c>
      <c r="C3" s="362">
        <v>2011</v>
      </c>
      <c r="D3" s="362" t="s">
        <v>230</v>
      </c>
      <c r="E3" s="363">
        <v>2017</v>
      </c>
      <c r="F3" s="363">
        <v>2018</v>
      </c>
      <c r="G3" s="363">
        <v>2019</v>
      </c>
      <c r="H3" s="363">
        <v>2020</v>
      </c>
      <c r="I3" s="363">
        <v>2021</v>
      </c>
      <c r="J3" s="363">
        <v>2022</v>
      </c>
      <c r="K3" s="363">
        <v>2023</v>
      </c>
      <c r="L3" s="363">
        <v>2024</v>
      </c>
      <c r="M3" s="363">
        <v>2025</v>
      </c>
      <c r="N3" s="577">
        <v>2026</v>
      </c>
      <c r="O3" s="577">
        <v>2027</v>
      </c>
      <c r="P3" s="577">
        <v>2028</v>
      </c>
      <c r="Q3" s="604">
        <v>2029</v>
      </c>
      <c r="R3" s="578" t="s">
        <v>17</v>
      </c>
    </row>
    <row r="4" spans="1:18" ht="51" customHeight="1">
      <c r="A4" s="312" t="s">
        <v>246</v>
      </c>
      <c r="B4" s="313"/>
      <c r="C4" s="313"/>
      <c r="D4" s="313"/>
      <c r="E4" s="314">
        <v>350</v>
      </c>
      <c r="F4" s="314">
        <v>264</v>
      </c>
      <c r="G4" s="314">
        <v>187384</v>
      </c>
      <c r="H4" s="314">
        <v>148969</v>
      </c>
      <c r="I4" s="314">
        <v>110554</v>
      </c>
      <c r="J4" s="314">
        <v>72139</v>
      </c>
      <c r="K4" s="314">
        <v>33724</v>
      </c>
      <c r="L4" s="314">
        <v>2429</v>
      </c>
      <c r="M4" s="314"/>
      <c r="N4" s="324"/>
      <c r="O4" s="65"/>
      <c r="P4" s="65"/>
      <c r="Q4" s="605"/>
      <c r="R4" s="579">
        <f>SUM(G4:Q4)</f>
        <v>555199</v>
      </c>
    </row>
    <row r="5" spans="1:19" ht="24.75" customHeight="1">
      <c r="A5" s="312" t="s">
        <v>231</v>
      </c>
      <c r="B5" s="313"/>
      <c r="C5" s="313"/>
      <c r="D5" s="313"/>
      <c r="E5" s="314">
        <v>1036</v>
      </c>
      <c r="F5" s="314">
        <f>1036+259</f>
        <v>1295</v>
      </c>
      <c r="G5" s="641">
        <v>1036000</v>
      </c>
      <c r="H5" s="641">
        <v>1036000</v>
      </c>
      <c r="I5" s="641">
        <v>1036000</v>
      </c>
      <c r="J5" s="641">
        <v>1036000</v>
      </c>
      <c r="K5" s="641">
        <v>1036000</v>
      </c>
      <c r="L5" s="641">
        <v>521000</v>
      </c>
      <c r="M5" s="314"/>
      <c r="N5" s="324"/>
      <c r="O5" s="65"/>
      <c r="P5" s="65"/>
      <c r="Q5" s="605"/>
      <c r="R5" s="579">
        <f>SUM(G5:Q5)</f>
        <v>5701000</v>
      </c>
      <c r="S5" s="44">
        <f>R5-O5</f>
        <v>5701000</v>
      </c>
    </row>
    <row r="6" spans="1:18" ht="33" customHeight="1">
      <c r="A6" s="312" t="s">
        <v>247</v>
      </c>
      <c r="B6" s="313"/>
      <c r="C6" s="313"/>
      <c r="D6" s="313"/>
      <c r="E6" s="314">
        <v>260</v>
      </c>
      <c r="F6" s="314">
        <v>221</v>
      </c>
      <c r="G6" s="314">
        <v>213178</v>
      </c>
      <c r="H6" s="314">
        <v>169449</v>
      </c>
      <c r="I6" s="314">
        <v>125720</v>
      </c>
      <c r="J6" s="314">
        <v>81991</v>
      </c>
      <c r="K6" s="314">
        <v>38262</v>
      </c>
      <c r="L6" s="314">
        <v>2733</v>
      </c>
      <c r="M6" s="314"/>
      <c r="N6" s="324"/>
      <c r="O6" s="65"/>
      <c r="P6" s="65"/>
      <c r="Q6" s="605"/>
      <c r="R6" s="579">
        <f aca="true" t="shared" si="0" ref="R6:R17">SUM(G6:Q6)</f>
        <v>631333</v>
      </c>
    </row>
    <row r="7" spans="1:19" ht="37.5" customHeight="1">
      <c r="A7" s="312" t="s">
        <v>231</v>
      </c>
      <c r="B7" s="313"/>
      <c r="C7" s="313"/>
      <c r="D7" s="313"/>
      <c r="E7" s="314">
        <v>884</v>
      </c>
      <c r="F7" s="314">
        <f>1179+295</f>
        <v>1474</v>
      </c>
      <c r="G7" s="641">
        <v>1179312</v>
      </c>
      <c r="H7" s="641">
        <v>1179312</v>
      </c>
      <c r="I7" s="641">
        <v>1179312</v>
      </c>
      <c r="J7" s="641">
        <v>1179312</v>
      </c>
      <c r="K7" s="641">
        <v>1179312</v>
      </c>
      <c r="L7" s="641">
        <v>589611</v>
      </c>
      <c r="M7" s="641"/>
      <c r="N7" s="324"/>
      <c r="O7" s="65"/>
      <c r="P7" s="65"/>
      <c r="Q7" s="605"/>
      <c r="R7" s="579">
        <f t="shared" si="0"/>
        <v>6486171</v>
      </c>
      <c r="S7" s="44">
        <f>R7-O7</f>
        <v>6486171</v>
      </c>
    </row>
    <row r="8" spans="1:18" ht="30" customHeight="1">
      <c r="A8" s="312" t="s">
        <v>232</v>
      </c>
      <c r="B8" s="313"/>
      <c r="C8" s="313"/>
      <c r="D8" s="313"/>
      <c r="E8" s="314">
        <v>175</v>
      </c>
      <c r="F8" s="314">
        <v>150</v>
      </c>
      <c r="G8" s="314">
        <v>138458</v>
      </c>
      <c r="H8" s="314">
        <v>110056</v>
      </c>
      <c r="I8" s="314">
        <v>81654</v>
      </c>
      <c r="J8" s="314">
        <v>53252</v>
      </c>
      <c r="K8" s="314">
        <v>24850</v>
      </c>
      <c r="L8" s="314">
        <v>1775</v>
      </c>
      <c r="M8" s="314"/>
      <c r="N8" s="324"/>
      <c r="O8" s="65"/>
      <c r="P8" s="65"/>
      <c r="Q8" s="605"/>
      <c r="R8" s="579">
        <f t="shared" si="0"/>
        <v>410045</v>
      </c>
    </row>
    <row r="9" spans="1:19" ht="30" customHeight="1">
      <c r="A9" s="312" t="s">
        <v>231</v>
      </c>
      <c r="B9" s="313"/>
      <c r="C9" s="313"/>
      <c r="D9" s="313"/>
      <c r="E9" s="314">
        <v>754</v>
      </c>
      <c r="F9" s="314">
        <f>1007+251</f>
        <v>1258</v>
      </c>
      <c r="G9" s="314">
        <v>765960</v>
      </c>
      <c r="H9" s="314">
        <v>765960</v>
      </c>
      <c r="I9" s="314">
        <v>765960</v>
      </c>
      <c r="J9" s="314">
        <v>765960</v>
      </c>
      <c r="K9" s="314">
        <v>765960</v>
      </c>
      <c r="L9" s="314">
        <v>382980</v>
      </c>
      <c r="M9" s="314"/>
      <c r="N9" s="324"/>
      <c r="O9" s="65"/>
      <c r="P9" s="65"/>
      <c r="Q9" s="605"/>
      <c r="R9" s="579">
        <f t="shared" si="0"/>
        <v>4212780</v>
      </c>
      <c r="S9" s="44">
        <f>R9-O9</f>
        <v>4212780</v>
      </c>
    </row>
    <row r="10" spans="1:18" ht="30" customHeight="1">
      <c r="A10" s="312" t="s">
        <v>233</v>
      </c>
      <c r="B10" s="313"/>
      <c r="C10" s="313"/>
      <c r="D10" s="313"/>
      <c r="E10" s="314">
        <v>215</v>
      </c>
      <c r="F10" s="314">
        <v>187</v>
      </c>
      <c r="G10" s="314">
        <v>137319</v>
      </c>
      <c r="H10" s="314">
        <v>110525</v>
      </c>
      <c r="I10" s="314">
        <v>83731</v>
      </c>
      <c r="J10" s="314">
        <v>56937</v>
      </c>
      <c r="K10" s="314">
        <v>30143</v>
      </c>
      <c r="L10" s="314">
        <v>6698</v>
      </c>
      <c r="M10" s="314"/>
      <c r="N10" s="324"/>
      <c r="O10" s="65"/>
      <c r="P10" s="65"/>
      <c r="Q10" s="605"/>
      <c r="R10" s="579">
        <f t="shared" si="0"/>
        <v>425353</v>
      </c>
    </row>
    <row r="11" spans="1:20" ht="30" customHeight="1">
      <c r="A11" s="312" t="s">
        <v>231</v>
      </c>
      <c r="B11" s="313"/>
      <c r="C11" s="313"/>
      <c r="D11" s="313"/>
      <c r="E11" s="314">
        <v>928</v>
      </c>
      <c r="F11" s="314">
        <f>1236+309</f>
        <v>1545</v>
      </c>
      <c r="G11" s="314">
        <v>722600</v>
      </c>
      <c r="H11" s="314">
        <v>722600</v>
      </c>
      <c r="I11" s="314">
        <v>722600</v>
      </c>
      <c r="J11" s="314">
        <v>722600</v>
      </c>
      <c r="K11" s="314">
        <v>722600</v>
      </c>
      <c r="L11" s="314">
        <v>541948</v>
      </c>
      <c r="M11" s="314"/>
      <c r="N11" s="324"/>
      <c r="O11" s="65"/>
      <c r="P11" s="65"/>
      <c r="Q11" s="605"/>
      <c r="R11" s="579">
        <f t="shared" si="0"/>
        <v>4154948</v>
      </c>
      <c r="S11" s="44">
        <v>5496</v>
      </c>
      <c r="T11" s="44">
        <f>S11-R11</f>
        <v>-4149452</v>
      </c>
    </row>
    <row r="12" spans="1:18" ht="15.75">
      <c r="A12" s="316" t="s">
        <v>405</v>
      </c>
      <c r="B12" s="317"/>
      <c r="C12" s="43">
        <f aca="true" t="shared" si="1" ref="C12:C17">SUM(D12:M12)</f>
        <v>1051984</v>
      </c>
      <c r="D12" s="318">
        <v>1718</v>
      </c>
      <c r="E12" s="319">
        <v>408</v>
      </c>
      <c r="F12" s="319">
        <v>358</v>
      </c>
      <c r="G12" s="319">
        <v>303548</v>
      </c>
      <c r="H12" s="319">
        <v>251880</v>
      </c>
      <c r="I12" s="319">
        <v>200212</v>
      </c>
      <c r="J12" s="319">
        <v>148545</v>
      </c>
      <c r="K12" s="319">
        <v>96877</v>
      </c>
      <c r="L12" s="319">
        <v>45209</v>
      </c>
      <c r="M12" s="319">
        <v>3229</v>
      </c>
      <c r="N12" s="324"/>
      <c r="O12" s="65"/>
      <c r="P12" s="65"/>
      <c r="Q12" s="605"/>
      <c r="R12" s="579">
        <f t="shared" si="0"/>
        <v>1049500</v>
      </c>
    </row>
    <row r="13" spans="1:20" ht="15.75">
      <c r="A13" s="312" t="s">
        <v>231</v>
      </c>
      <c r="B13" s="317"/>
      <c r="C13" s="309">
        <f t="shared" si="1"/>
        <v>7435390</v>
      </c>
      <c r="D13" s="318">
        <v>0</v>
      </c>
      <c r="E13" s="319">
        <v>858</v>
      </c>
      <c r="F13" s="319">
        <v>1144</v>
      </c>
      <c r="G13" s="648">
        <v>1143600</v>
      </c>
      <c r="H13" s="648">
        <v>1143600</v>
      </c>
      <c r="I13" s="648">
        <v>1143600</v>
      </c>
      <c r="J13" s="648">
        <v>1143600</v>
      </c>
      <c r="K13" s="648">
        <v>1143600</v>
      </c>
      <c r="L13" s="648">
        <v>1143600</v>
      </c>
      <c r="M13" s="649">
        <v>571788</v>
      </c>
      <c r="N13" s="324">
        <v>0</v>
      </c>
      <c r="O13" s="65"/>
      <c r="P13" s="65"/>
      <c r="Q13" s="605"/>
      <c r="R13" s="579">
        <f t="shared" si="0"/>
        <v>7433388</v>
      </c>
      <c r="S13">
        <v>9434</v>
      </c>
      <c r="T13" s="44">
        <f>S13-R13</f>
        <v>-7423954</v>
      </c>
    </row>
    <row r="14" spans="1:18" ht="15.75">
      <c r="A14" s="316" t="s">
        <v>406</v>
      </c>
      <c r="B14" s="317"/>
      <c r="C14" s="43">
        <f t="shared" si="1"/>
        <v>1060110</v>
      </c>
      <c r="D14" s="318">
        <v>1718</v>
      </c>
      <c r="E14" s="319">
        <v>384</v>
      </c>
      <c r="F14" s="319">
        <v>342</v>
      </c>
      <c r="G14" s="319">
        <v>305683</v>
      </c>
      <c r="H14" s="319">
        <v>253672</v>
      </c>
      <c r="I14" s="319">
        <v>201661</v>
      </c>
      <c r="J14" s="319">
        <v>149650</v>
      </c>
      <c r="K14" s="319">
        <v>97639</v>
      </c>
      <c r="L14" s="319">
        <v>45627</v>
      </c>
      <c r="M14" s="319">
        <v>3734</v>
      </c>
      <c r="N14" s="324"/>
      <c r="O14" s="65"/>
      <c r="P14" s="65"/>
      <c r="Q14" s="605"/>
      <c r="R14" s="579">
        <f t="shared" si="0"/>
        <v>1057666</v>
      </c>
    </row>
    <row r="15" spans="1:19" ht="15.75">
      <c r="A15" s="312" t="s">
        <v>231</v>
      </c>
      <c r="B15" s="317"/>
      <c r="C15" s="309">
        <f t="shared" si="1"/>
        <v>7487385</v>
      </c>
      <c r="D15" s="318">
        <v>0</v>
      </c>
      <c r="E15" s="319">
        <v>864</v>
      </c>
      <c r="F15" s="319">
        <v>1151</v>
      </c>
      <c r="G15" s="648">
        <v>1151200</v>
      </c>
      <c r="H15" s="648">
        <v>1151200</v>
      </c>
      <c r="I15" s="648">
        <v>1151200</v>
      </c>
      <c r="J15" s="648">
        <v>1151200</v>
      </c>
      <c r="K15" s="648">
        <v>1151200</v>
      </c>
      <c r="L15" s="648">
        <v>1151200</v>
      </c>
      <c r="M15" s="649">
        <v>578170</v>
      </c>
      <c r="N15" s="324"/>
      <c r="O15" s="65"/>
      <c r="P15" s="65"/>
      <c r="Q15" s="605"/>
      <c r="R15" s="579">
        <f t="shared" si="0"/>
        <v>7485370</v>
      </c>
      <c r="S15" s="44">
        <f>R15-O15</f>
        <v>7485370</v>
      </c>
    </row>
    <row r="16" spans="1:18" ht="31.5">
      <c r="A16" s="316" t="s">
        <v>407</v>
      </c>
      <c r="B16" s="317"/>
      <c r="C16" s="43">
        <f t="shared" si="1"/>
        <v>504733</v>
      </c>
      <c r="D16" s="318">
        <v>1718</v>
      </c>
      <c r="E16" s="319">
        <v>191</v>
      </c>
      <c r="F16" s="319">
        <v>184</v>
      </c>
      <c r="G16" s="319">
        <v>140406</v>
      </c>
      <c r="H16" s="319">
        <v>117483</v>
      </c>
      <c r="I16" s="319">
        <v>94560</v>
      </c>
      <c r="J16" s="319">
        <v>71638</v>
      </c>
      <c r="K16" s="319">
        <v>48716</v>
      </c>
      <c r="L16" s="319">
        <v>25793</v>
      </c>
      <c r="M16" s="319">
        <v>4044</v>
      </c>
      <c r="N16" s="324"/>
      <c r="O16" s="65"/>
      <c r="P16" s="65"/>
      <c r="Q16" s="605"/>
      <c r="R16" s="579">
        <f t="shared" si="0"/>
        <v>502640</v>
      </c>
    </row>
    <row r="17" spans="1:19" ht="15.75">
      <c r="A17" s="316" t="s">
        <v>231</v>
      </c>
      <c r="B17" s="317"/>
      <c r="C17" s="309">
        <f t="shared" si="1"/>
        <v>3425537</v>
      </c>
      <c r="D17" s="318">
        <v>0</v>
      </c>
      <c r="E17" s="319">
        <v>286</v>
      </c>
      <c r="F17" s="319">
        <v>571</v>
      </c>
      <c r="G17" s="319">
        <v>507360</v>
      </c>
      <c r="H17" s="319">
        <v>507360</v>
      </c>
      <c r="I17" s="319">
        <v>507360</v>
      </c>
      <c r="J17" s="319">
        <v>507360</v>
      </c>
      <c r="K17" s="319">
        <v>507360</v>
      </c>
      <c r="L17" s="319">
        <v>507360</v>
      </c>
      <c r="M17" s="315">
        <v>380520</v>
      </c>
      <c r="N17" s="324"/>
      <c r="O17" s="65"/>
      <c r="P17" s="65"/>
      <c r="Q17" s="605"/>
      <c r="R17" s="579">
        <f t="shared" si="0"/>
        <v>3424680</v>
      </c>
      <c r="S17" s="44">
        <f>R17-O17</f>
        <v>3424680</v>
      </c>
    </row>
    <row r="18" spans="1:18" s="390" customFormat="1" ht="30.75" customHeight="1">
      <c r="A18" s="580" t="s">
        <v>251</v>
      </c>
      <c r="B18" s="384"/>
      <c r="C18" s="385"/>
      <c r="D18" s="386"/>
      <c r="E18" s="387"/>
      <c r="F18" s="387"/>
      <c r="G18" s="388">
        <v>164090</v>
      </c>
      <c r="H18" s="388">
        <v>656360</v>
      </c>
      <c r="I18" s="388">
        <v>656360</v>
      </c>
      <c r="J18" s="388">
        <v>656360</v>
      </c>
      <c r="K18" s="388">
        <v>656360</v>
      </c>
      <c r="L18" s="388">
        <v>656360</v>
      </c>
      <c r="M18" s="388">
        <v>656360</v>
      </c>
      <c r="N18" s="388">
        <v>656360</v>
      </c>
      <c r="O18" s="389">
        <v>656390</v>
      </c>
      <c r="P18" s="389"/>
      <c r="Q18" s="606"/>
      <c r="R18" s="581">
        <f>SUM(G18:Q18)</f>
        <v>5415000</v>
      </c>
    </row>
    <row r="19" spans="1:18" s="390" customFormat="1" ht="15.75" hidden="1">
      <c r="A19" s="580">
        <v>5415</v>
      </c>
      <c r="B19" s="384"/>
      <c r="C19" s="385"/>
      <c r="D19" s="386"/>
      <c r="E19" s="388">
        <f>A19-E18</f>
        <v>5415</v>
      </c>
      <c r="F19" s="388">
        <f aca="true" t="shared" si="2" ref="F19:O19">E19-F18</f>
        <v>5415</v>
      </c>
      <c r="G19" s="388">
        <f t="shared" si="2"/>
        <v>-158675</v>
      </c>
      <c r="H19" s="388">
        <f t="shared" si="2"/>
        <v>-815035</v>
      </c>
      <c r="I19" s="388">
        <f t="shared" si="2"/>
        <v>-1471395</v>
      </c>
      <c r="J19" s="388">
        <f t="shared" si="2"/>
        <v>-2127755</v>
      </c>
      <c r="K19" s="388">
        <f t="shared" si="2"/>
        <v>-2784115</v>
      </c>
      <c r="L19" s="388">
        <f t="shared" si="2"/>
        <v>-3440475</v>
      </c>
      <c r="M19" s="388">
        <f t="shared" si="2"/>
        <v>-4096835</v>
      </c>
      <c r="N19" s="388">
        <f t="shared" si="2"/>
        <v>-4753195</v>
      </c>
      <c r="O19" s="388">
        <f t="shared" si="2"/>
        <v>-5409585</v>
      </c>
      <c r="P19" s="388"/>
      <c r="Q19" s="607"/>
      <c r="R19" s="581">
        <f aca="true" t="shared" si="3" ref="R19:R38">SUM(G19:Q19)</f>
        <v>-25057065</v>
      </c>
    </row>
    <row r="20" spans="1:18" s="390" customFormat="1" ht="28.5" customHeight="1">
      <c r="A20" s="580" t="s">
        <v>252</v>
      </c>
      <c r="B20" s="384"/>
      <c r="C20" s="385"/>
      <c r="D20" s="386"/>
      <c r="E20" s="388">
        <f>E19*0.04518/2</f>
        <v>122.32485</v>
      </c>
      <c r="F20" s="388">
        <v>190</v>
      </c>
      <c r="G20" s="388">
        <v>189000</v>
      </c>
      <c r="H20" s="388">
        <v>170000</v>
      </c>
      <c r="I20" s="388">
        <v>147000</v>
      </c>
      <c r="J20" s="388">
        <v>124000</v>
      </c>
      <c r="K20" s="388">
        <v>101000</v>
      </c>
      <c r="L20" s="388">
        <v>78000</v>
      </c>
      <c r="M20" s="388">
        <v>55000</v>
      </c>
      <c r="N20" s="388">
        <v>32000</v>
      </c>
      <c r="O20" s="389">
        <v>3000</v>
      </c>
      <c r="P20" s="389"/>
      <c r="Q20" s="606"/>
      <c r="R20" s="581">
        <f t="shared" si="3"/>
        <v>899000</v>
      </c>
    </row>
    <row r="21" spans="1:18" s="390" customFormat="1" ht="31.5">
      <c r="A21" s="580" t="s">
        <v>253</v>
      </c>
      <c r="B21" s="384"/>
      <c r="C21" s="385"/>
      <c r="D21" s="386"/>
      <c r="E21" s="387"/>
      <c r="F21" s="387"/>
      <c r="G21" s="388">
        <v>111515</v>
      </c>
      <c r="H21" s="388">
        <v>446060</v>
      </c>
      <c r="I21" s="388">
        <v>446060</v>
      </c>
      <c r="J21" s="388">
        <v>446060</v>
      </c>
      <c r="K21" s="388">
        <v>446060</v>
      </c>
      <c r="L21" s="388">
        <v>446060</v>
      </c>
      <c r="M21" s="388">
        <v>446060</v>
      </c>
      <c r="N21" s="388">
        <v>446060</v>
      </c>
      <c r="O21" s="389">
        <v>446065</v>
      </c>
      <c r="P21" s="389"/>
      <c r="Q21" s="606"/>
      <c r="R21" s="581">
        <f t="shared" si="3"/>
        <v>3680000</v>
      </c>
    </row>
    <row r="22" spans="1:18" s="390" customFormat="1" ht="15.75" hidden="1">
      <c r="A22" s="580">
        <v>3680</v>
      </c>
      <c r="B22" s="384"/>
      <c r="C22" s="385"/>
      <c r="D22" s="386"/>
      <c r="E22" s="388">
        <f>A22-E21</f>
        <v>3680</v>
      </c>
      <c r="F22" s="388">
        <f aca="true" t="shared" si="4" ref="F22:O22">E22-F21</f>
        <v>3680</v>
      </c>
      <c r="G22" s="388">
        <f t="shared" si="4"/>
        <v>-107835</v>
      </c>
      <c r="H22" s="388">
        <f t="shared" si="4"/>
        <v>-553895</v>
      </c>
      <c r="I22" s="388">
        <f t="shared" si="4"/>
        <v>-999955</v>
      </c>
      <c r="J22" s="388">
        <f t="shared" si="4"/>
        <v>-1446015</v>
      </c>
      <c r="K22" s="388">
        <f t="shared" si="4"/>
        <v>-1892075</v>
      </c>
      <c r="L22" s="388">
        <f t="shared" si="4"/>
        <v>-2338135</v>
      </c>
      <c r="M22" s="388">
        <f t="shared" si="4"/>
        <v>-2784195</v>
      </c>
      <c r="N22" s="388">
        <f t="shared" si="4"/>
        <v>-3230255</v>
      </c>
      <c r="O22" s="388">
        <f t="shared" si="4"/>
        <v>-3676320</v>
      </c>
      <c r="P22" s="388"/>
      <c r="Q22" s="607"/>
      <c r="R22" s="581">
        <f t="shared" si="3"/>
        <v>-17028680</v>
      </c>
    </row>
    <row r="23" spans="1:18" s="390" customFormat="1" ht="15.75">
      <c r="A23" s="580" t="s">
        <v>252</v>
      </c>
      <c r="B23" s="384"/>
      <c r="C23" s="385"/>
      <c r="D23" s="386"/>
      <c r="E23" s="388">
        <f>E22*0.04518/2</f>
        <v>83.13119999999999</v>
      </c>
      <c r="F23" s="388">
        <v>129</v>
      </c>
      <c r="G23" s="388">
        <v>128000</v>
      </c>
      <c r="H23" s="388">
        <v>116000</v>
      </c>
      <c r="I23" s="388">
        <v>100000</v>
      </c>
      <c r="J23" s="388">
        <v>84000</v>
      </c>
      <c r="K23" s="388">
        <v>69000</v>
      </c>
      <c r="L23" s="388">
        <v>53000</v>
      </c>
      <c r="M23" s="388">
        <v>37000</v>
      </c>
      <c r="N23" s="388">
        <v>22000</v>
      </c>
      <c r="O23" s="389">
        <v>2000</v>
      </c>
      <c r="P23" s="389"/>
      <c r="Q23" s="606"/>
      <c r="R23" s="581">
        <f t="shared" si="3"/>
        <v>611000</v>
      </c>
    </row>
    <row r="24" spans="1:18" s="390" customFormat="1" ht="31.5">
      <c r="A24" s="580" t="s">
        <v>254</v>
      </c>
      <c r="B24" s="384"/>
      <c r="C24" s="385"/>
      <c r="D24" s="386"/>
      <c r="E24" s="387"/>
      <c r="F24" s="387"/>
      <c r="G24" s="388">
        <v>212848</v>
      </c>
      <c r="H24" s="388">
        <v>851392</v>
      </c>
      <c r="I24" s="388">
        <v>851392</v>
      </c>
      <c r="J24" s="388">
        <v>851392</v>
      </c>
      <c r="K24" s="388">
        <f>J24</f>
        <v>851392</v>
      </c>
      <c r="L24" s="388">
        <f>K24</f>
        <v>851392</v>
      </c>
      <c r="M24" s="388">
        <f>L24</f>
        <v>851392</v>
      </c>
      <c r="N24" s="388">
        <f>M24</f>
        <v>851392</v>
      </c>
      <c r="O24" s="389">
        <v>851408</v>
      </c>
      <c r="P24" s="389"/>
      <c r="Q24" s="606"/>
      <c r="R24" s="581">
        <f t="shared" si="3"/>
        <v>7024000</v>
      </c>
    </row>
    <row r="25" spans="1:18" s="390" customFormat="1" ht="15.75" hidden="1">
      <c r="A25" s="580">
        <v>7024</v>
      </c>
      <c r="B25" s="384"/>
      <c r="C25" s="385"/>
      <c r="D25" s="386"/>
      <c r="E25" s="388">
        <f>A25-E24</f>
        <v>7024</v>
      </c>
      <c r="F25" s="388">
        <f aca="true" t="shared" si="5" ref="F25:O25">E25-F24</f>
        <v>7024</v>
      </c>
      <c r="G25" s="388">
        <f t="shared" si="5"/>
        <v>-205824</v>
      </c>
      <c r="H25" s="388">
        <f t="shared" si="5"/>
        <v>-1057216</v>
      </c>
      <c r="I25" s="388">
        <f t="shared" si="5"/>
        <v>-1908608</v>
      </c>
      <c r="J25" s="388">
        <f t="shared" si="5"/>
        <v>-2760000</v>
      </c>
      <c r="K25" s="388">
        <f t="shared" si="5"/>
        <v>-3611392</v>
      </c>
      <c r="L25" s="388">
        <f t="shared" si="5"/>
        <v>-4462784</v>
      </c>
      <c r="M25" s="388">
        <f t="shared" si="5"/>
        <v>-5314176</v>
      </c>
      <c r="N25" s="388">
        <f t="shared" si="5"/>
        <v>-6165568</v>
      </c>
      <c r="O25" s="388">
        <f t="shared" si="5"/>
        <v>-7016976</v>
      </c>
      <c r="P25" s="388"/>
      <c r="Q25" s="607"/>
      <c r="R25" s="581">
        <f t="shared" si="3"/>
        <v>-32502544</v>
      </c>
    </row>
    <row r="26" spans="1:18" s="390" customFormat="1" ht="15.75">
      <c r="A26" s="580" t="s">
        <v>252</v>
      </c>
      <c r="B26" s="384"/>
      <c r="C26" s="385"/>
      <c r="D26" s="386"/>
      <c r="E26" s="388">
        <f>E25*0.04518/2</f>
        <v>158.67216</v>
      </c>
      <c r="F26" s="388">
        <v>213</v>
      </c>
      <c r="G26" s="388">
        <v>245000</v>
      </c>
      <c r="H26" s="388">
        <v>221000</v>
      </c>
      <c r="I26" s="388">
        <v>191000</v>
      </c>
      <c r="J26" s="388">
        <v>161000</v>
      </c>
      <c r="K26" s="388">
        <v>131000</v>
      </c>
      <c r="L26" s="388">
        <v>101000</v>
      </c>
      <c r="M26" s="388">
        <v>71000</v>
      </c>
      <c r="N26" s="388">
        <v>41000</v>
      </c>
      <c r="O26" s="389">
        <v>4000</v>
      </c>
      <c r="P26" s="389"/>
      <c r="Q26" s="606"/>
      <c r="R26" s="581">
        <f t="shared" si="3"/>
        <v>1166000</v>
      </c>
    </row>
    <row r="27" spans="1:18" s="390" customFormat="1" ht="31.5">
      <c r="A27" s="580" t="s">
        <v>259</v>
      </c>
      <c r="B27" s="384"/>
      <c r="C27" s="385"/>
      <c r="D27" s="386"/>
      <c r="E27" s="387"/>
      <c r="F27" s="387"/>
      <c r="G27" s="388">
        <v>62910</v>
      </c>
      <c r="H27" s="388">
        <v>251640</v>
      </c>
      <c r="I27" s="388">
        <f aca="true" t="shared" si="6" ref="I27:N27">H27</f>
        <v>251640</v>
      </c>
      <c r="J27" s="388">
        <f t="shared" si="6"/>
        <v>251640</v>
      </c>
      <c r="K27" s="388">
        <f t="shared" si="6"/>
        <v>251640</v>
      </c>
      <c r="L27" s="388">
        <f t="shared" si="6"/>
        <v>251640</v>
      </c>
      <c r="M27" s="388">
        <f t="shared" si="6"/>
        <v>251640</v>
      </c>
      <c r="N27" s="388">
        <f t="shared" si="6"/>
        <v>251640</v>
      </c>
      <c r="O27" s="389">
        <v>251610</v>
      </c>
      <c r="P27" s="389"/>
      <c r="Q27" s="606"/>
      <c r="R27" s="581">
        <f t="shared" si="3"/>
        <v>2076000</v>
      </c>
    </row>
    <row r="28" spans="1:18" s="390" customFormat="1" ht="15.75" hidden="1">
      <c r="A28" s="580">
        <v>2076</v>
      </c>
      <c r="B28" s="384"/>
      <c r="C28" s="385"/>
      <c r="D28" s="386"/>
      <c r="E28" s="388">
        <v>2076</v>
      </c>
      <c r="F28" s="388">
        <f aca="true" t="shared" si="7" ref="F28:O28">E28-F27</f>
        <v>2076</v>
      </c>
      <c r="G28" s="388">
        <f t="shared" si="7"/>
        <v>-60834</v>
      </c>
      <c r="H28" s="388">
        <f t="shared" si="7"/>
        <v>-312474</v>
      </c>
      <c r="I28" s="388">
        <f t="shared" si="7"/>
        <v>-564114</v>
      </c>
      <c r="J28" s="388">
        <f t="shared" si="7"/>
        <v>-815754</v>
      </c>
      <c r="K28" s="388">
        <f t="shared" si="7"/>
        <v>-1067394</v>
      </c>
      <c r="L28" s="388">
        <f t="shared" si="7"/>
        <v>-1319034</v>
      </c>
      <c r="M28" s="388">
        <f t="shared" si="7"/>
        <v>-1570674</v>
      </c>
      <c r="N28" s="388">
        <f t="shared" si="7"/>
        <v>-1822314</v>
      </c>
      <c r="O28" s="388">
        <f t="shared" si="7"/>
        <v>-2073924</v>
      </c>
      <c r="P28" s="388"/>
      <c r="Q28" s="607"/>
      <c r="R28" s="581">
        <f t="shared" si="3"/>
        <v>-9606516</v>
      </c>
    </row>
    <row r="29" spans="1:18" s="390" customFormat="1" ht="15.75">
      <c r="A29" s="580" t="s">
        <v>252</v>
      </c>
      <c r="B29" s="384"/>
      <c r="C29" s="385"/>
      <c r="D29" s="386"/>
      <c r="E29" s="388">
        <f>E28*0.04518/2</f>
        <v>46.89684</v>
      </c>
      <c r="F29" s="388">
        <v>73</v>
      </c>
      <c r="G29" s="388">
        <v>70290</v>
      </c>
      <c r="H29" s="388">
        <v>63097</v>
      </c>
      <c r="I29" s="388">
        <v>54244</v>
      </c>
      <c r="J29" s="388">
        <v>45392</v>
      </c>
      <c r="K29" s="388">
        <v>36539</v>
      </c>
      <c r="L29" s="388">
        <v>27686</v>
      </c>
      <c r="M29" s="388">
        <v>18834</v>
      </c>
      <c r="N29" s="388">
        <v>9981</v>
      </c>
      <c r="O29" s="389">
        <v>559</v>
      </c>
      <c r="P29" s="389"/>
      <c r="Q29" s="606"/>
      <c r="R29" s="581">
        <f t="shared" si="3"/>
        <v>326622</v>
      </c>
    </row>
    <row r="30" spans="1:18" s="390" customFormat="1" ht="15.75">
      <c r="A30" s="580" t="s">
        <v>204</v>
      </c>
      <c r="B30" s="384"/>
      <c r="C30" s="385"/>
      <c r="D30" s="386"/>
      <c r="E30" s="387"/>
      <c r="F30" s="387"/>
      <c r="G30" s="388">
        <v>92121</v>
      </c>
      <c r="H30" s="388">
        <v>368484</v>
      </c>
      <c r="I30" s="388">
        <f aca="true" t="shared" si="8" ref="I30:N30">H30</f>
        <v>368484</v>
      </c>
      <c r="J30" s="388">
        <f t="shared" si="8"/>
        <v>368484</v>
      </c>
      <c r="K30" s="388">
        <f t="shared" si="8"/>
        <v>368484</v>
      </c>
      <c r="L30" s="388">
        <f t="shared" si="8"/>
        <v>368484</v>
      </c>
      <c r="M30" s="388">
        <f t="shared" si="8"/>
        <v>368484</v>
      </c>
      <c r="N30" s="388">
        <f t="shared" si="8"/>
        <v>368484</v>
      </c>
      <c r="O30" s="389">
        <v>368491</v>
      </c>
      <c r="P30" s="389"/>
      <c r="Q30" s="606"/>
      <c r="R30" s="581">
        <f t="shared" si="3"/>
        <v>3040000</v>
      </c>
    </row>
    <row r="31" spans="1:18" s="390" customFormat="1" ht="15.75" hidden="1">
      <c r="A31" s="580">
        <v>3040</v>
      </c>
      <c r="B31" s="384"/>
      <c r="C31" s="385"/>
      <c r="D31" s="386"/>
      <c r="E31" s="388">
        <f>A31-E30</f>
        <v>3040</v>
      </c>
      <c r="F31" s="388">
        <f aca="true" t="shared" si="9" ref="F31:O31">E31-F30</f>
        <v>3040</v>
      </c>
      <c r="G31" s="388">
        <f t="shared" si="9"/>
        <v>-89081</v>
      </c>
      <c r="H31" s="388">
        <f t="shared" si="9"/>
        <v>-457565</v>
      </c>
      <c r="I31" s="388">
        <f t="shared" si="9"/>
        <v>-826049</v>
      </c>
      <c r="J31" s="388">
        <f t="shared" si="9"/>
        <v>-1194533</v>
      </c>
      <c r="K31" s="388">
        <f t="shared" si="9"/>
        <v>-1563017</v>
      </c>
      <c r="L31" s="388">
        <f t="shared" si="9"/>
        <v>-1931501</v>
      </c>
      <c r="M31" s="388">
        <f t="shared" si="9"/>
        <v>-2299985</v>
      </c>
      <c r="N31" s="388">
        <f t="shared" si="9"/>
        <v>-2668469</v>
      </c>
      <c r="O31" s="388">
        <f t="shared" si="9"/>
        <v>-3036960</v>
      </c>
      <c r="P31" s="388"/>
      <c r="Q31" s="607"/>
      <c r="R31" s="581">
        <f t="shared" si="3"/>
        <v>-14067160</v>
      </c>
    </row>
    <row r="32" spans="1:18" s="390" customFormat="1" ht="15.75">
      <c r="A32" s="580" t="s">
        <v>252</v>
      </c>
      <c r="B32" s="384"/>
      <c r="C32" s="385"/>
      <c r="D32" s="386"/>
      <c r="E32" s="388">
        <f>E31*0.04518/2</f>
        <v>68.6736</v>
      </c>
      <c r="F32" s="388">
        <v>107</v>
      </c>
      <c r="G32" s="388">
        <v>106000</v>
      </c>
      <c r="H32" s="388">
        <v>96000</v>
      </c>
      <c r="I32" s="388">
        <v>83000</v>
      </c>
      <c r="J32" s="388">
        <v>69000</v>
      </c>
      <c r="K32" s="388">
        <v>56000</v>
      </c>
      <c r="L32" s="388">
        <v>44000</v>
      </c>
      <c r="M32" s="388">
        <v>31000</v>
      </c>
      <c r="N32" s="388">
        <v>18000</v>
      </c>
      <c r="O32" s="389">
        <v>2000</v>
      </c>
      <c r="P32" s="389"/>
      <c r="Q32" s="606"/>
      <c r="R32" s="581">
        <f t="shared" si="3"/>
        <v>505000</v>
      </c>
    </row>
    <row r="33" spans="1:18" s="390" customFormat="1" ht="15.75">
      <c r="A33" s="580" t="s">
        <v>242</v>
      </c>
      <c r="B33" s="384"/>
      <c r="C33" s="385"/>
      <c r="D33" s="386"/>
      <c r="E33" s="387"/>
      <c r="F33" s="387"/>
      <c r="G33" s="388">
        <v>287879</v>
      </c>
      <c r="H33" s="388">
        <v>1151516</v>
      </c>
      <c r="I33" s="388">
        <f>H33</f>
        <v>1151516</v>
      </c>
      <c r="J33" s="388">
        <f>I33</f>
        <v>1151516</v>
      </c>
      <c r="K33" s="388">
        <f>J33</f>
        <v>1151516</v>
      </c>
      <c r="L33" s="388">
        <f>K33</f>
        <v>1151516</v>
      </c>
      <c r="M33" s="388">
        <v>1151516</v>
      </c>
      <c r="N33" s="388">
        <v>1151516</v>
      </c>
      <c r="O33" s="389">
        <v>1151509</v>
      </c>
      <c r="P33" s="389"/>
      <c r="Q33" s="606"/>
      <c r="R33" s="581">
        <f t="shared" si="3"/>
        <v>9500000</v>
      </c>
    </row>
    <row r="34" spans="1:18" s="390" customFormat="1" ht="15.75" hidden="1">
      <c r="A34" s="580">
        <v>9500</v>
      </c>
      <c r="B34" s="384"/>
      <c r="C34" s="385"/>
      <c r="D34" s="386"/>
      <c r="E34" s="388">
        <f>A34-E33</f>
        <v>9500</v>
      </c>
      <c r="F34" s="388">
        <f aca="true" t="shared" si="10" ref="F34:O34">E34-F33</f>
        <v>9500</v>
      </c>
      <c r="G34" s="388">
        <f t="shared" si="10"/>
        <v>-278379</v>
      </c>
      <c r="H34" s="388">
        <f t="shared" si="10"/>
        <v>-1429895</v>
      </c>
      <c r="I34" s="388">
        <f t="shared" si="10"/>
        <v>-2581411</v>
      </c>
      <c r="J34" s="388">
        <f t="shared" si="10"/>
        <v>-3732927</v>
      </c>
      <c r="K34" s="388">
        <f t="shared" si="10"/>
        <v>-4884443</v>
      </c>
      <c r="L34" s="388">
        <f t="shared" si="10"/>
        <v>-6035959</v>
      </c>
      <c r="M34" s="388">
        <f t="shared" si="10"/>
        <v>-7187475</v>
      </c>
      <c r="N34" s="388">
        <f t="shared" si="10"/>
        <v>-8338991</v>
      </c>
      <c r="O34" s="388">
        <f t="shared" si="10"/>
        <v>-9490500</v>
      </c>
      <c r="P34" s="388"/>
      <c r="Q34" s="607"/>
      <c r="R34" s="581">
        <f t="shared" si="3"/>
        <v>-43959980</v>
      </c>
    </row>
    <row r="35" spans="1:18" s="390" customFormat="1" ht="15.75">
      <c r="A35" s="580" t="s">
        <v>252</v>
      </c>
      <c r="B35" s="384"/>
      <c r="C35" s="385"/>
      <c r="D35" s="386"/>
      <c r="E35" s="388">
        <f>E34*0.04518/2</f>
        <v>214.605</v>
      </c>
      <c r="F35" s="388">
        <v>334</v>
      </c>
      <c r="G35" s="388">
        <v>331678</v>
      </c>
      <c r="H35" s="388">
        <v>298764</v>
      </c>
      <c r="I35" s="388">
        <v>258253</v>
      </c>
      <c r="J35" s="388">
        <v>217743</v>
      </c>
      <c r="K35" s="388">
        <v>177233</v>
      </c>
      <c r="L35" s="388">
        <v>136722</v>
      </c>
      <c r="M35" s="388">
        <v>86212</v>
      </c>
      <c r="N35" s="388">
        <v>55701</v>
      </c>
      <c r="O35" s="389">
        <v>12659</v>
      </c>
      <c r="P35" s="389"/>
      <c r="Q35" s="606"/>
      <c r="R35" s="581">
        <f t="shared" si="3"/>
        <v>1574965</v>
      </c>
    </row>
    <row r="36" spans="1:18" s="390" customFormat="1" ht="15.75">
      <c r="A36" s="580" t="s">
        <v>255</v>
      </c>
      <c r="B36" s="384"/>
      <c r="C36" s="385"/>
      <c r="D36" s="386"/>
      <c r="E36" s="387"/>
      <c r="F36" s="387"/>
      <c r="G36" s="388">
        <v>31670</v>
      </c>
      <c r="H36" s="388">
        <v>126680</v>
      </c>
      <c r="I36" s="388">
        <f aca="true" t="shared" si="11" ref="I36:N36">H36</f>
        <v>126680</v>
      </c>
      <c r="J36" s="388">
        <f t="shared" si="11"/>
        <v>126680</v>
      </c>
      <c r="K36" s="388">
        <f t="shared" si="11"/>
        <v>126680</v>
      </c>
      <c r="L36" s="388">
        <f t="shared" si="11"/>
        <v>126680</v>
      </c>
      <c r="M36" s="388">
        <f t="shared" si="11"/>
        <v>126680</v>
      </c>
      <c r="N36" s="388">
        <f t="shared" si="11"/>
        <v>126680</v>
      </c>
      <c r="O36" s="389">
        <v>126570</v>
      </c>
      <c r="P36" s="389"/>
      <c r="Q36" s="606"/>
      <c r="R36" s="581">
        <f t="shared" si="3"/>
        <v>1045000</v>
      </c>
    </row>
    <row r="37" spans="1:18" s="390" customFormat="1" ht="15.75" hidden="1">
      <c r="A37" s="580">
        <v>1045</v>
      </c>
      <c r="B37" s="384"/>
      <c r="C37" s="385"/>
      <c r="D37" s="386"/>
      <c r="E37" s="388">
        <f>A37-E36</f>
        <v>1045</v>
      </c>
      <c r="F37" s="388">
        <f aca="true" t="shared" si="12" ref="F37:O37">E37-F36</f>
        <v>1045</v>
      </c>
      <c r="G37" s="388">
        <f t="shared" si="12"/>
        <v>-30625</v>
      </c>
      <c r="H37" s="388">
        <f t="shared" si="12"/>
        <v>-157305</v>
      </c>
      <c r="I37" s="388">
        <f t="shared" si="12"/>
        <v>-283985</v>
      </c>
      <c r="J37" s="388">
        <f t="shared" si="12"/>
        <v>-410665</v>
      </c>
      <c r="K37" s="388">
        <f t="shared" si="12"/>
        <v>-537345</v>
      </c>
      <c r="L37" s="388">
        <f t="shared" si="12"/>
        <v>-664025</v>
      </c>
      <c r="M37" s="388">
        <f t="shared" si="12"/>
        <v>-790705</v>
      </c>
      <c r="N37" s="388">
        <f t="shared" si="12"/>
        <v>-917385</v>
      </c>
      <c r="O37" s="388">
        <f t="shared" si="12"/>
        <v>-1043955</v>
      </c>
      <c r="P37" s="388"/>
      <c r="Q37" s="607"/>
      <c r="R37" s="581">
        <f t="shared" si="3"/>
        <v>-4835995</v>
      </c>
    </row>
    <row r="38" spans="1:18" s="390" customFormat="1" ht="15.75">
      <c r="A38" s="580" t="s">
        <v>252</v>
      </c>
      <c r="B38" s="384"/>
      <c r="C38" s="385"/>
      <c r="D38" s="386"/>
      <c r="E38" s="388">
        <f>E37*0.04518/2</f>
        <v>23.60655</v>
      </c>
      <c r="F38" s="388">
        <v>37</v>
      </c>
      <c r="G38" s="388">
        <v>36484</v>
      </c>
      <c r="H38" s="388">
        <v>32864</v>
      </c>
      <c r="I38" s="388">
        <v>28407</v>
      </c>
      <c r="J38" s="388">
        <v>23950</v>
      </c>
      <c r="K38" s="388">
        <v>19494</v>
      </c>
      <c r="L38" s="388">
        <v>15037</v>
      </c>
      <c r="M38" s="388">
        <v>10581</v>
      </c>
      <c r="N38" s="388">
        <v>6124</v>
      </c>
      <c r="O38" s="389">
        <v>556</v>
      </c>
      <c r="P38" s="389"/>
      <c r="Q38" s="606"/>
      <c r="R38" s="581">
        <f t="shared" si="3"/>
        <v>173497</v>
      </c>
    </row>
    <row r="39" spans="1:18" s="634" customFormat="1" ht="15.75">
      <c r="A39" s="635" t="s">
        <v>234</v>
      </c>
      <c r="B39" s="636"/>
      <c r="C39" s="637">
        <f>SUM(D39:M39)</f>
        <v>9683012</v>
      </c>
      <c r="D39" s="638">
        <v>0</v>
      </c>
      <c r="E39" s="639">
        <f>E4+E6+E8+E10+E12+E14+E16</f>
        <v>1983</v>
      </c>
      <c r="F39" s="639">
        <f>F4+F6+F8+F10+F12+F14+F16+F20+F23+F26+F29+F32+F35+F38</f>
        <v>2789</v>
      </c>
      <c r="G39" s="650">
        <f aca="true" t="shared" si="13" ref="G39:O39">G4+G6+G8+G10+G12+G14+G16+G20+G23+G26+G29+G32+G35+G38</f>
        <v>2532428</v>
      </c>
      <c r="H39" s="650">
        <f t="shared" si="13"/>
        <v>2159759</v>
      </c>
      <c r="I39" s="650">
        <f t="shared" si="13"/>
        <v>1759996</v>
      </c>
      <c r="J39" s="650">
        <f t="shared" si="13"/>
        <v>1359237</v>
      </c>
      <c r="K39" s="650">
        <f t="shared" si="13"/>
        <v>960477</v>
      </c>
      <c r="L39" s="650">
        <f t="shared" si="13"/>
        <v>585709</v>
      </c>
      <c r="M39" s="650">
        <f t="shared" si="13"/>
        <v>320634</v>
      </c>
      <c r="N39" s="650">
        <f t="shared" si="13"/>
        <v>184806</v>
      </c>
      <c r="O39" s="650">
        <f t="shared" si="13"/>
        <v>24774</v>
      </c>
      <c r="P39" s="650"/>
      <c r="Q39" s="651"/>
      <c r="R39" s="652">
        <f>R4+R6+R8+R10+R12+R14+R16+R20+R23+R26+R29+R32+R35+R38</f>
        <v>9887820</v>
      </c>
    </row>
    <row r="40" spans="1:18" s="634" customFormat="1" ht="15.75">
      <c r="A40" s="635" t="s">
        <v>231</v>
      </c>
      <c r="B40" s="636"/>
      <c r="C40" s="640">
        <f>SUM(D40:M40)</f>
        <v>62989928</v>
      </c>
      <c r="D40" s="638">
        <v>1718</v>
      </c>
      <c r="E40" s="639">
        <f>E5+E7+E9+E11+E13+E15+E17</f>
        <v>5610</v>
      </c>
      <c r="F40" s="639">
        <f>F5+F7+F9+F11+F13+F15+F17+F18+F21+F24+F27+F30+F33+F36</f>
        <v>8438</v>
      </c>
      <c r="G40" s="650">
        <f aca="true" t="shared" si="14" ref="G40:O40">G5+G7+G9+G11+G13+G15+G17+G18+G21+G24+G27+G30+G33+G36</f>
        <v>7469065</v>
      </c>
      <c r="H40" s="650">
        <f t="shared" si="14"/>
        <v>10358164</v>
      </c>
      <c r="I40" s="650">
        <f t="shared" si="14"/>
        <v>10358164</v>
      </c>
      <c r="J40" s="650">
        <f t="shared" si="14"/>
        <v>10358164</v>
      </c>
      <c r="K40" s="650">
        <f t="shared" si="14"/>
        <v>10358164</v>
      </c>
      <c r="L40" s="650">
        <f t="shared" si="14"/>
        <v>8689831</v>
      </c>
      <c r="M40" s="650">
        <f t="shared" si="14"/>
        <v>5382610</v>
      </c>
      <c r="N40" s="650">
        <f t="shared" si="14"/>
        <v>3852132</v>
      </c>
      <c r="O40" s="650">
        <f t="shared" si="14"/>
        <v>3852043</v>
      </c>
      <c r="P40" s="650"/>
      <c r="Q40" s="651"/>
      <c r="R40" s="652">
        <f>R5+R7+R9+R11+R13+R15+R17+R18+R21+R24+R27+R30+R33+R36</f>
        <v>70678337</v>
      </c>
    </row>
    <row r="41" spans="1:18" s="328" customFormat="1" ht="33" customHeight="1">
      <c r="A41" s="582" t="str">
        <f>finanszírozás!A81</f>
        <v>Többcélú finanszírozási hitel</v>
      </c>
      <c r="B41" s="474"/>
      <c r="C41" s="475"/>
      <c r="D41" s="476"/>
      <c r="E41" s="477"/>
      <c r="F41" s="477"/>
      <c r="G41" s="475"/>
      <c r="H41" s="475">
        <v>14494300</v>
      </c>
      <c r="I41" s="475">
        <v>57977200</v>
      </c>
      <c r="J41" s="475">
        <f aca="true" t="shared" si="15" ref="J41:O41">I41</f>
        <v>57977200</v>
      </c>
      <c r="K41" s="475">
        <f t="shared" si="15"/>
        <v>57977200</v>
      </c>
      <c r="L41" s="475">
        <f t="shared" si="15"/>
        <v>57977200</v>
      </c>
      <c r="M41" s="475">
        <f t="shared" si="15"/>
        <v>57977200</v>
      </c>
      <c r="N41" s="475">
        <f t="shared" si="15"/>
        <v>57977200</v>
      </c>
      <c r="O41" s="475">
        <f t="shared" si="15"/>
        <v>57977200</v>
      </c>
      <c r="P41" s="475">
        <v>57977300</v>
      </c>
      <c r="Q41" s="475"/>
      <c r="R41" s="583">
        <f>SUM(H41:Q41)</f>
        <v>478312000</v>
      </c>
    </row>
    <row r="42" spans="1:18" s="328" customFormat="1" ht="33" customHeight="1" hidden="1">
      <c r="A42" s="582">
        <f>finanszírozás!E81</f>
        <v>0</v>
      </c>
      <c r="B42" s="474"/>
      <c r="C42" s="475"/>
      <c r="D42" s="476"/>
      <c r="E42" s="475"/>
      <c r="F42" s="475">
        <f>A42</f>
        <v>0</v>
      </c>
      <c r="G42" s="475">
        <f>A42</f>
        <v>0</v>
      </c>
      <c r="H42" s="475">
        <f aca="true" t="shared" si="16" ref="H42:P42">G42-H41</f>
        <v>-14494300</v>
      </c>
      <c r="I42" s="475">
        <f t="shared" si="16"/>
        <v>-72471500</v>
      </c>
      <c r="J42" s="475">
        <f t="shared" si="16"/>
        <v>-130448700</v>
      </c>
      <c r="K42" s="475">
        <f t="shared" si="16"/>
        <v>-188425900</v>
      </c>
      <c r="L42" s="475">
        <f t="shared" si="16"/>
        <v>-246403100</v>
      </c>
      <c r="M42" s="475">
        <f t="shared" si="16"/>
        <v>-304380300</v>
      </c>
      <c r="N42" s="475">
        <f t="shared" si="16"/>
        <v>-362357500</v>
      </c>
      <c r="O42" s="475">
        <f t="shared" si="16"/>
        <v>-420334700</v>
      </c>
      <c r="P42" s="475">
        <f t="shared" si="16"/>
        <v>-478312000</v>
      </c>
      <c r="Q42" s="608"/>
      <c r="R42" s="583"/>
    </row>
    <row r="43" spans="1:18" s="328" customFormat="1" ht="33" customHeight="1">
      <c r="A43" s="584" t="s">
        <v>252</v>
      </c>
      <c r="B43" s="474"/>
      <c r="C43" s="475"/>
      <c r="D43" s="476"/>
      <c r="E43" s="475"/>
      <c r="F43" s="475">
        <f>F42*0.03/2</f>
        <v>0</v>
      </c>
      <c r="G43" s="475">
        <v>16827016</v>
      </c>
      <c r="H43" s="475">
        <v>16699539</v>
      </c>
      <c r="I43" s="475">
        <v>15042333</v>
      </c>
      <c r="J43" s="475">
        <v>13002695</v>
      </c>
      <c r="K43" s="475">
        <v>10963057</v>
      </c>
      <c r="L43" s="475">
        <v>8923419</v>
      </c>
      <c r="M43" s="475">
        <v>6883781</v>
      </c>
      <c r="N43" s="475">
        <v>4844144</v>
      </c>
      <c r="O43" s="475">
        <v>2804506</v>
      </c>
      <c r="P43" s="475">
        <v>764867</v>
      </c>
      <c r="Q43" s="608"/>
      <c r="R43" s="583">
        <f>SUM(G43:P43)</f>
        <v>96755357</v>
      </c>
    </row>
    <row r="44" spans="1:18" s="328" customFormat="1" ht="15.75" hidden="1">
      <c r="A44" s="585"/>
      <c r="B44" s="330"/>
      <c r="C44" s="331"/>
      <c r="D44" s="33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5"/>
      <c r="P44" s="65"/>
      <c r="Q44" s="605"/>
      <c r="R44" s="579"/>
    </row>
    <row r="45" spans="1:18" s="328" customFormat="1" ht="15.75" hidden="1">
      <c r="A45" s="585"/>
      <c r="B45" s="330"/>
      <c r="C45" s="331"/>
      <c r="D45" s="332"/>
      <c r="E45" s="333"/>
      <c r="F45" s="333"/>
      <c r="G45" s="43"/>
      <c r="H45" s="43"/>
      <c r="I45" s="43"/>
      <c r="J45" s="43"/>
      <c r="K45" s="43"/>
      <c r="L45" s="43"/>
      <c r="M45" s="43"/>
      <c r="N45" s="43"/>
      <c r="O45" s="65"/>
      <c r="P45" s="65"/>
      <c r="Q45" s="605"/>
      <c r="R45" s="579"/>
    </row>
    <row r="46" spans="1:18" s="328" customFormat="1" ht="15.75" hidden="1">
      <c r="A46" s="585"/>
      <c r="B46" s="330"/>
      <c r="C46" s="331"/>
      <c r="D46" s="33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394"/>
      <c r="R46" s="579"/>
    </row>
    <row r="47" spans="1:18" s="328" customFormat="1" ht="15.75" hidden="1">
      <c r="A47" s="585"/>
      <c r="B47" s="330"/>
      <c r="C47" s="331"/>
      <c r="D47" s="33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65"/>
      <c r="P47" s="65"/>
      <c r="Q47" s="605"/>
      <c r="R47" s="579"/>
    </row>
    <row r="48" spans="1:18" s="328" customFormat="1" ht="15.75" hidden="1">
      <c r="A48" s="585"/>
      <c r="B48" s="330"/>
      <c r="C48" s="331"/>
      <c r="D48" s="332"/>
      <c r="E48" s="333"/>
      <c r="F48" s="333"/>
      <c r="G48" s="43"/>
      <c r="H48" s="43"/>
      <c r="I48" s="43"/>
      <c r="J48" s="43"/>
      <c r="K48" s="43"/>
      <c r="L48" s="43"/>
      <c r="M48" s="43"/>
      <c r="N48" s="43"/>
      <c r="O48" s="65"/>
      <c r="P48" s="65"/>
      <c r="Q48" s="605"/>
      <c r="R48" s="579"/>
    </row>
    <row r="49" spans="1:18" s="328" customFormat="1" ht="15.75" hidden="1">
      <c r="A49" s="585"/>
      <c r="B49" s="330"/>
      <c r="C49" s="331"/>
      <c r="D49" s="33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394"/>
      <c r="R49" s="579"/>
    </row>
    <row r="50" spans="1:18" s="328" customFormat="1" ht="15.75" hidden="1">
      <c r="A50" s="585"/>
      <c r="B50" s="330"/>
      <c r="C50" s="331"/>
      <c r="D50" s="33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65"/>
      <c r="P50" s="65"/>
      <c r="Q50" s="605"/>
      <c r="R50" s="579"/>
    </row>
    <row r="51" spans="1:18" s="328" customFormat="1" ht="15.75" hidden="1">
      <c r="A51" s="585"/>
      <c r="B51" s="330"/>
      <c r="C51" s="331"/>
      <c r="D51" s="332"/>
      <c r="E51" s="333"/>
      <c r="F51" s="333"/>
      <c r="G51" s="43"/>
      <c r="H51" s="43"/>
      <c r="I51" s="43"/>
      <c r="J51" s="43"/>
      <c r="K51" s="43"/>
      <c r="L51" s="43"/>
      <c r="M51" s="43"/>
      <c r="N51" s="43"/>
      <c r="O51" s="65"/>
      <c r="P51" s="65"/>
      <c r="Q51" s="605"/>
      <c r="R51" s="579"/>
    </row>
    <row r="52" spans="1:18" s="328" customFormat="1" ht="15.75" hidden="1">
      <c r="A52" s="585"/>
      <c r="B52" s="330"/>
      <c r="C52" s="331"/>
      <c r="D52" s="33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394"/>
      <c r="R52" s="579"/>
    </row>
    <row r="53" spans="1:18" s="328" customFormat="1" ht="15.75" hidden="1">
      <c r="A53" s="585"/>
      <c r="B53" s="330"/>
      <c r="C53" s="331"/>
      <c r="D53" s="33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65"/>
      <c r="P53" s="65"/>
      <c r="Q53" s="605"/>
      <c r="R53" s="579"/>
    </row>
    <row r="54" spans="1:18" s="360" customFormat="1" ht="15.75" hidden="1">
      <c r="A54" s="586"/>
      <c r="B54" s="355"/>
      <c r="C54" s="356"/>
      <c r="D54" s="357"/>
      <c r="E54" s="358"/>
      <c r="F54" s="358"/>
      <c r="G54" s="356"/>
      <c r="H54" s="356"/>
      <c r="I54" s="356"/>
      <c r="J54" s="356"/>
      <c r="K54" s="356"/>
      <c r="L54" s="356"/>
      <c r="M54" s="356"/>
      <c r="N54" s="356"/>
      <c r="O54" s="359"/>
      <c r="P54" s="359"/>
      <c r="Q54" s="609"/>
      <c r="R54" s="587"/>
    </row>
    <row r="55" spans="1:18" s="360" customFormat="1" ht="15.75" hidden="1">
      <c r="A55" s="586"/>
      <c r="B55" s="355"/>
      <c r="C55" s="356"/>
      <c r="D55" s="357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610"/>
      <c r="R55" s="587"/>
    </row>
    <row r="56" spans="1:18" s="360" customFormat="1" ht="15.75" hidden="1">
      <c r="A56" s="586"/>
      <c r="B56" s="355"/>
      <c r="C56" s="356"/>
      <c r="D56" s="357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9"/>
      <c r="P56" s="359"/>
      <c r="Q56" s="609"/>
      <c r="R56" s="587"/>
    </row>
    <row r="57" spans="1:18" s="360" customFormat="1" ht="15.75" hidden="1">
      <c r="A57" s="586"/>
      <c r="B57" s="355"/>
      <c r="C57" s="356"/>
      <c r="D57" s="357"/>
      <c r="E57" s="358"/>
      <c r="F57" s="358"/>
      <c r="G57" s="356"/>
      <c r="H57" s="356"/>
      <c r="I57" s="356"/>
      <c r="J57" s="356"/>
      <c r="K57" s="356"/>
      <c r="L57" s="356"/>
      <c r="M57" s="356"/>
      <c r="N57" s="356"/>
      <c r="O57" s="359"/>
      <c r="P57" s="359"/>
      <c r="Q57" s="609"/>
      <c r="R57" s="587"/>
    </row>
    <row r="58" spans="1:18" s="360" customFormat="1" ht="15.75" hidden="1">
      <c r="A58" s="586"/>
      <c r="B58" s="355"/>
      <c r="C58" s="356"/>
      <c r="D58" s="357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610"/>
      <c r="R58" s="587"/>
    </row>
    <row r="59" spans="1:18" s="360" customFormat="1" ht="0.75" customHeight="1">
      <c r="A59" s="586"/>
      <c r="B59" s="355"/>
      <c r="C59" s="356"/>
      <c r="D59" s="357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9"/>
      <c r="P59" s="359"/>
      <c r="Q59" s="609"/>
      <c r="R59" s="587"/>
    </row>
    <row r="60" spans="1:18" s="328" customFormat="1" ht="0.75" customHeight="1">
      <c r="A60" s="588" t="s">
        <v>256</v>
      </c>
      <c r="B60" s="366"/>
      <c r="C60" s="334"/>
      <c r="D60" s="367"/>
      <c r="E60" s="65" t="e">
        <f>E41+#REF!+#REF!+#REF!+#REF!+E45+E48+E51+E54+E57+#REF!</f>
        <v>#REF!</v>
      </c>
      <c r="F60" s="65">
        <f>F41</f>
        <v>0</v>
      </c>
      <c r="G60" s="65">
        <f aca="true" t="shared" si="17" ref="G60:R60">G41</f>
        <v>0</v>
      </c>
      <c r="H60" s="65">
        <f t="shared" si="17"/>
        <v>14494300</v>
      </c>
      <c r="I60" s="65">
        <f t="shared" si="17"/>
        <v>57977200</v>
      </c>
      <c r="J60" s="65">
        <f t="shared" si="17"/>
        <v>57977200</v>
      </c>
      <c r="K60" s="65">
        <f t="shared" si="17"/>
        <v>57977200</v>
      </c>
      <c r="L60" s="65">
        <f t="shared" si="17"/>
        <v>57977200</v>
      </c>
      <c r="M60" s="65">
        <f t="shared" si="17"/>
        <v>57977200</v>
      </c>
      <c r="N60" s="65">
        <f t="shared" si="17"/>
        <v>57977200</v>
      </c>
      <c r="O60" s="65">
        <f t="shared" si="17"/>
        <v>57977200</v>
      </c>
      <c r="P60" s="65">
        <f t="shared" si="17"/>
        <v>57977300</v>
      </c>
      <c r="Q60" s="605"/>
      <c r="R60" s="579">
        <f t="shared" si="17"/>
        <v>478312000</v>
      </c>
    </row>
    <row r="61" spans="1:20" s="328" customFormat="1" ht="0.75" customHeight="1">
      <c r="A61" s="588" t="s">
        <v>258</v>
      </c>
      <c r="B61" s="366"/>
      <c r="C61" s="334"/>
      <c r="D61" s="367"/>
      <c r="E61" s="65" t="e">
        <f>E42+#REF!+#REF!+#REF!+#REF!+E46+E49+E52+E55+E58+#REF!</f>
        <v>#REF!</v>
      </c>
      <c r="F61" s="65">
        <f>F42</f>
        <v>0</v>
      </c>
      <c r="G61" s="65">
        <f aca="true" t="shared" si="18" ref="G61:R61">G42</f>
        <v>0</v>
      </c>
      <c r="H61" s="65">
        <f t="shared" si="18"/>
        <v>-14494300</v>
      </c>
      <c r="I61" s="65">
        <f t="shared" si="18"/>
        <v>-72471500</v>
      </c>
      <c r="J61" s="65">
        <f t="shared" si="18"/>
        <v>-130448700</v>
      </c>
      <c r="K61" s="65">
        <f t="shared" si="18"/>
        <v>-188425900</v>
      </c>
      <c r="L61" s="65">
        <f t="shared" si="18"/>
        <v>-246403100</v>
      </c>
      <c r="M61" s="65">
        <f t="shared" si="18"/>
        <v>-304380300</v>
      </c>
      <c r="N61" s="65">
        <f t="shared" si="18"/>
        <v>-362357500</v>
      </c>
      <c r="O61" s="65">
        <f t="shared" si="18"/>
        <v>-420334700</v>
      </c>
      <c r="P61" s="65">
        <f t="shared" si="18"/>
        <v>-478312000</v>
      </c>
      <c r="Q61" s="605"/>
      <c r="R61" s="579">
        <f t="shared" si="18"/>
        <v>0</v>
      </c>
      <c r="S61" s="575" t="e">
        <f>S42+#REF!+#REF!+#REF!+#REF!+S46+S49+S52+S55+S58+#REF!</f>
        <v>#REF!</v>
      </c>
      <c r="T61" s="43" t="e">
        <f>T42+#REF!+#REF!+#REF!+#REF!+T46+T49+T52+T55+T58+#REF!</f>
        <v>#REF!</v>
      </c>
    </row>
    <row r="62" spans="1:20" s="328" customFormat="1" ht="0.75" customHeight="1">
      <c r="A62" s="588" t="s">
        <v>252</v>
      </c>
      <c r="B62" s="366"/>
      <c r="C62" s="334"/>
      <c r="D62" s="367"/>
      <c r="E62" s="65" t="e">
        <f>E43+#REF!+#REF!+#REF!+E44+E47+E50+E53+E56+E59+#REF!</f>
        <v>#REF!</v>
      </c>
      <c r="F62" s="65">
        <f>F43</f>
        <v>0</v>
      </c>
      <c r="G62" s="65">
        <f aca="true" t="shared" si="19" ref="G62:T62">G43</f>
        <v>16827016</v>
      </c>
      <c r="H62" s="65">
        <f t="shared" si="19"/>
        <v>16699539</v>
      </c>
      <c r="I62" s="65">
        <f t="shared" si="19"/>
        <v>15042333</v>
      </c>
      <c r="J62" s="65">
        <f t="shared" si="19"/>
        <v>13002695</v>
      </c>
      <c r="K62" s="65">
        <f t="shared" si="19"/>
        <v>10963057</v>
      </c>
      <c r="L62" s="65">
        <f t="shared" si="19"/>
        <v>8923419</v>
      </c>
      <c r="M62" s="65">
        <f t="shared" si="19"/>
        <v>6883781</v>
      </c>
      <c r="N62" s="65">
        <f t="shared" si="19"/>
        <v>4844144</v>
      </c>
      <c r="O62" s="65">
        <f t="shared" si="19"/>
        <v>2804506</v>
      </c>
      <c r="P62" s="65">
        <f t="shared" si="19"/>
        <v>764867</v>
      </c>
      <c r="Q62" s="605"/>
      <c r="R62" s="579">
        <f t="shared" si="19"/>
        <v>96755357</v>
      </c>
      <c r="S62" s="576">
        <f t="shared" si="19"/>
        <v>0</v>
      </c>
      <c r="T62" s="65">
        <f t="shared" si="19"/>
        <v>0</v>
      </c>
    </row>
    <row r="63" spans="1:21" ht="12.75">
      <c r="A63" s="589" t="s">
        <v>257</v>
      </c>
      <c r="B63" s="379"/>
      <c r="C63" s="379"/>
      <c r="D63" s="379"/>
      <c r="E63" s="380" t="e">
        <f>E60+E40</f>
        <v>#REF!</v>
      </c>
      <c r="F63" s="380">
        <f>F60+F40</f>
        <v>8438</v>
      </c>
      <c r="G63" s="380">
        <f>G41+G40</f>
        <v>7469065</v>
      </c>
      <c r="H63" s="380">
        <f aca="true" t="shared" si="20" ref="H63:Q63">H41+H40</f>
        <v>24852464</v>
      </c>
      <c r="I63" s="380">
        <f t="shared" si="20"/>
        <v>68335364</v>
      </c>
      <c r="J63" s="380">
        <f t="shared" si="20"/>
        <v>68335364</v>
      </c>
      <c r="K63" s="380">
        <f t="shared" si="20"/>
        <v>68335364</v>
      </c>
      <c r="L63" s="380">
        <f t="shared" si="20"/>
        <v>66667031</v>
      </c>
      <c r="M63" s="380">
        <f t="shared" si="20"/>
        <v>63359810</v>
      </c>
      <c r="N63" s="380">
        <f t="shared" si="20"/>
        <v>61829332</v>
      </c>
      <c r="O63" s="380">
        <f t="shared" si="20"/>
        <v>61829243</v>
      </c>
      <c r="P63" s="380">
        <f t="shared" si="20"/>
        <v>57977300</v>
      </c>
      <c r="Q63" s="380">
        <f t="shared" si="20"/>
        <v>0</v>
      </c>
      <c r="R63" s="590">
        <f>R41+R40</f>
        <v>548990337</v>
      </c>
      <c r="U63" s="44"/>
    </row>
    <row r="64" spans="1:21" ht="13.5" thickBot="1">
      <c r="A64" s="591" t="s">
        <v>252</v>
      </c>
      <c r="B64" s="592"/>
      <c r="C64" s="592"/>
      <c r="D64" s="592"/>
      <c r="E64" s="593" t="e">
        <f>E62+E39</f>
        <v>#REF!</v>
      </c>
      <c r="F64" s="593">
        <f>F62+F39</f>
        <v>2789</v>
      </c>
      <c r="G64" s="593">
        <f>G43+G39</f>
        <v>19359444</v>
      </c>
      <c r="H64" s="593">
        <f aca="true" t="shared" si="21" ref="H64:Q64">H43+H39</f>
        <v>18859298</v>
      </c>
      <c r="I64" s="593">
        <f t="shared" si="21"/>
        <v>16802329</v>
      </c>
      <c r="J64" s="593">
        <f t="shared" si="21"/>
        <v>14361932</v>
      </c>
      <c r="K64" s="593">
        <f t="shared" si="21"/>
        <v>11923534</v>
      </c>
      <c r="L64" s="593">
        <f t="shared" si="21"/>
        <v>9509128</v>
      </c>
      <c r="M64" s="593">
        <f t="shared" si="21"/>
        <v>7204415</v>
      </c>
      <c r="N64" s="593">
        <f t="shared" si="21"/>
        <v>5028950</v>
      </c>
      <c r="O64" s="593">
        <f t="shared" si="21"/>
        <v>2829280</v>
      </c>
      <c r="P64" s="593">
        <f t="shared" si="21"/>
        <v>764867</v>
      </c>
      <c r="Q64" s="593">
        <f t="shared" si="21"/>
        <v>0</v>
      </c>
      <c r="R64" s="594">
        <f>R43+R39</f>
        <v>106643177</v>
      </c>
      <c r="U64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&amp;Rmelléklet a 2019. évi költségvetéshez
</oddHeader>
    <oddFooter>&amp;R&amp;P.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1.8515625" style="320" customWidth="1"/>
    <col min="2" max="10" width="11.140625" style="44" bestFit="1" customWidth="1"/>
    <col min="11" max="11" width="8.00390625" style="44" hidden="1" customWidth="1"/>
    <col min="12" max="12" width="11.140625" style="0" bestFit="1" customWidth="1"/>
    <col min="13" max="13" width="11.7109375" style="0" bestFit="1" customWidth="1"/>
  </cols>
  <sheetData>
    <row r="1" ht="13.5" thickBot="1">
      <c r="G1" s="158" t="s">
        <v>260</v>
      </c>
    </row>
    <row r="2" spans="1:13" ht="15.75">
      <c r="A2" s="368"/>
      <c r="B2" s="311">
        <v>2019</v>
      </c>
      <c r="C2" s="311">
        <v>2020</v>
      </c>
      <c r="D2" s="311">
        <v>2021</v>
      </c>
      <c r="E2" s="311">
        <v>2022</v>
      </c>
      <c r="F2" s="311">
        <v>2023</v>
      </c>
      <c r="G2" s="311">
        <v>2024</v>
      </c>
      <c r="H2" s="311">
        <v>2025</v>
      </c>
      <c r="I2" s="311">
        <v>2026</v>
      </c>
      <c r="J2" s="311">
        <v>2027</v>
      </c>
      <c r="K2" s="311">
        <v>2027</v>
      </c>
      <c r="L2" s="311">
        <v>2028</v>
      </c>
      <c r="M2" s="626">
        <v>2029</v>
      </c>
    </row>
    <row r="3" spans="1:13" ht="25.5">
      <c r="A3" s="369" t="s">
        <v>235</v>
      </c>
      <c r="B3" s="470">
        <v>461000000</v>
      </c>
      <c r="C3" s="470">
        <v>480000000</v>
      </c>
      <c r="D3" s="470">
        <v>495000000</v>
      </c>
      <c r="E3" s="470">
        <v>510000000</v>
      </c>
      <c r="F3" s="470">
        <v>525000000</v>
      </c>
      <c r="G3" s="470">
        <v>540000000</v>
      </c>
      <c r="H3" s="470">
        <v>555000000</v>
      </c>
      <c r="I3" s="470">
        <v>570000000</v>
      </c>
      <c r="J3" s="470">
        <v>585000000</v>
      </c>
      <c r="K3" s="321">
        <v>416000</v>
      </c>
      <c r="L3" s="470">
        <v>600000000</v>
      </c>
      <c r="M3" s="669">
        <v>615000000</v>
      </c>
    </row>
    <row r="4" spans="1:13" ht="25.5">
      <c r="A4" s="369" t="s">
        <v>236</v>
      </c>
      <c r="B4" s="321">
        <v>22050000</v>
      </c>
      <c r="C4" s="321">
        <v>22050000</v>
      </c>
      <c r="D4" s="321">
        <f>C4</f>
        <v>22050000</v>
      </c>
      <c r="E4" s="321">
        <f aca="true" t="shared" si="0" ref="E4:M4">D4</f>
        <v>22050000</v>
      </c>
      <c r="F4" s="321">
        <f t="shared" si="0"/>
        <v>22050000</v>
      </c>
      <c r="G4" s="321">
        <f t="shared" si="0"/>
        <v>22050000</v>
      </c>
      <c r="H4" s="321">
        <f t="shared" si="0"/>
        <v>22050000</v>
      </c>
      <c r="I4" s="321">
        <f t="shared" si="0"/>
        <v>22050000</v>
      </c>
      <c r="J4" s="321">
        <f t="shared" si="0"/>
        <v>22050000</v>
      </c>
      <c r="K4" s="321">
        <f t="shared" si="0"/>
        <v>22050000</v>
      </c>
      <c r="L4" s="321">
        <f t="shared" si="0"/>
        <v>22050000</v>
      </c>
      <c r="M4" s="321">
        <f t="shared" si="0"/>
        <v>22050000</v>
      </c>
    </row>
    <row r="5" spans="1:13" ht="25.5">
      <c r="A5" s="369" t="s">
        <v>237</v>
      </c>
      <c r="B5" s="321"/>
      <c r="C5" s="322"/>
      <c r="D5" s="321"/>
      <c r="E5" s="321"/>
      <c r="F5" s="321"/>
      <c r="G5" s="321"/>
      <c r="H5" s="321"/>
      <c r="I5" s="321"/>
      <c r="J5" s="323"/>
      <c r="K5" s="365"/>
      <c r="L5" s="370"/>
      <c r="M5" s="625"/>
    </row>
    <row r="6" spans="1:13" ht="25.5">
      <c r="A6" s="369" t="s">
        <v>238</v>
      </c>
      <c r="B6" s="321">
        <f>mérleg!F34</f>
        <v>97605000</v>
      </c>
      <c r="C6" s="321">
        <v>5000000</v>
      </c>
      <c r="D6" s="321">
        <f>C6</f>
        <v>5000000</v>
      </c>
      <c r="E6" s="321">
        <f aca="true" t="shared" si="1" ref="E6:M6">D6</f>
        <v>5000000</v>
      </c>
      <c r="F6" s="321">
        <f t="shared" si="1"/>
        <v>5000000</v>
      </c>
      <c r="G6" s="321">
        <f t="shared" si="1"/>
        <v>5000000</v>
      </c>
      <c r="H6" s="321">
        <f t="shared" si="1"/>
        <v>5000000</v>
      </c>
      <c r="I6" s="321">
        <f t="shared" si="1"/>
        <v>5000000</v>
      </c>
      <c r="J6" s="321">
        <f t="shared" si="1"/>
        <v>5000000</v>
      </c>
      <c r="K6" s="321">
        <f t="shared" si="1"/>
        <v>5000000</v>
      </c>
      <c r="L6" s="321">
        <f t="shared" si="1"/>
        <v>5000000</v>
      </c>
      <c r="M6" s="321">
        <f t="shared" si="1"/>
        <v>5000000</v>
      </c>
    </row>
    <row r="7" spans="1:13" ht="25.5">
      <c r="A7" s="369" t="s">
        <v>239</v>
      </c>
      <c r="B7" s="321">
        <v>5000000</v>
      </c>
      <c r="C7" s="321">
        <v>7000000</v>
      </c>
      <c r="D7" s="321">
        <f>C7</f>
        <v>7000000</v>
      </c>
      <c r="E7" s="321">
        <f aca="true" t="shared" si="2" ref="E7:M7">D7</f>
        <v>7000000</v>
      </c>
      <c r="F7" s="321">
        <f t="shared" si="2"/>
        <v>7000000</v>
      </c>
      <c r="G7" s="321">
        <f t="shared" si="2"/>
        <v>7000000</v>
      </c>
      <c r="H7" s="321">
        <f t="shared" si="2"/>
        <v>7000000</v>
      </c>
      <c r="I7" s="321">
        <f t="shared" si="2"/>
        <v>7000000</v>
      </c>
      <c r="J7" s="321">
        <f t="shared" si="2"/>
        <v>7000000</v>
      </c>
      <c r="K7" s="321">
        <f t="shared" si="2"/>
        <v>7000000</v>
      </c>
      <c r="L7" s="321">
        <f t="shared" si="2"/>
        <v>7000000</v>
      </c>
      <c r="M7" s="321">
        <f t="shared" si="2"/>
        <v>7000000</v>
      </c>
    </row>
    <row r="8" spans="1:13" ht="25.5">
      <c r="A8" s="369" t="s">
        <v>240</v>
      </c>
      <c r="B8" s="321"/>
      <c r="C8" s="322"/>
      <c r="D8" s="321"/>
      <c r="E8" s="321"/>
      <c r="F8" s="321"/>
      <c r="G8" s="321"/>
      <c r="H8" s="321"/>
      <c r="I8" s="321"/>
      <c r="J8" s="323"/>
      <c r="K8" s="365"/>
      <c r="L8" s="370"/>
      <c r="M8" s="625"/>
    </row>
    <row r="9" spans="1:13" ht="12.75">
      <c r="A9" s="369" t="s">
        <v>17</v>
      </c>
      <c r="B9" s="321">
        <f aca="true" t="shared" si="3" ref="B9:I9">SUM(B3:B8)</f>
        <v>585655000</v>
      </c>
      <c r="C9" s="321">
        <f t="shared" si="3"/>
        <v>514050000</v>
      </c>
      <c r="D9" s="321">
        <f t="shared" si="3"/>
        <v>529050000</v>
      </c>
      <c r="E9" s="321">
        <f t="shared" si="3"/>
        <v>544050000</v>
      </c>
      <c r="F9" s="321">
        <f t="shared" si="3"/>
        <v>559050000</v>
      </c>
      <c r="G9" s="321">
        <f t="shared" si="3"/>
        <v>574050000</v>
      </c>
      <c r="H9" s="321">
        <f t="shared" si="3"/>
        <v>589050000</v>
      </c>
      <c r="I9" s="321">
        <f t="shared" si="3"/>
        <v>604050000</v>
      </c>
      <c r="J9" s="323">
        <f>SUM(J3:J8)</f>
        <v>619050000</v>
      </c>
      <c r="K9" s="365"/>
      <c r="L9" s="370">
        <f>SUM(L3:L8)</f>
        <v>634050000</v>
      </c>
      <c r="M9" s="370">
        <f>SUM(M3:M8)</f>
        <v>649050000</v>
      </c>
    </row>
    <row r="10" spans="1:13" ht="31.5" customHeight="1">
      <c r="A10" s="369" t="s">
        <v>241</v>
      </c>
      <c r="B10" s="324">
        <f aca="true" t="shared" si="4" ref="B10:J10">B9/2</f>
        <v>292827500</v>
      </c>
      <c r="C10" s="324">
        <f t="shared" si="4"/>
        <v>257025000</v>
      </c>
      <c r="D10" s="324">
        <f t="shared" si="4"/>
        <v>264525000</v>
      </c>
      <c r="E10" s="324">
        <f t="shared" si="4"/>
        <v>272025000</v>
      </c>
      <c r="F10" s="324">
        <f t="shared" si="4"/>
        <v>279525000</v>
      </c>
      <c r="G10" s="324">
        <f t="shared" si="4"/>
        <v>287025000</v>
      </c>
      <c r="H10" s="324">
        <f t="shared" si="4"/>
        <v>294525000</v>
      </c>
      <c r="I10" s="324">
        <f t="shared" si="4"/>
        <v>302025000</v>
      </c>
      <c r="J10" s="324">
        <f t="shared" si="4"/>
        <v>309525000</v>
      </c>
      <c r="K10" s="365"/>
      <c r="L10" s="371">
        <f>L9/2</f>
        <v>317025000</v>
      </c>
      <c r="M10" s="371">
        <f>M9/2</f>
        <v>324525000</v>
      </c>
    </row>
    <row r="11" spans="1:13" ht="12.75">
      <c r="A11" s="372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73"/>
      <c r="M11" s="625"/>
    </row>
    <row r="12" spans="1:13" ht="25.5">
      <c r="A12" s="374" t="s">
        <v>244</v>
      </c>
      <c r="B12" s="43">
        <f>kötelezettségvállalások!G63+kötelezettségvállalások!G64</f>
        <v>26828509</v>
      </c>
      <c r="C12" s="43">
        <f>kötelezettségvállalások!H63+kötelezettségvállalások!H64</f>
        <v>43711762</v>
      </c>
      <c r="D12" s="43">
        <f>kötelezettségvállalások!I63+kötelezettségvállalások!I64</f>
        <v>85137693</v>
      </c>
      <c r="E12" s="43">
        <f>kötelezettségvállalások!J63+kötelezettségvállalások!J64</f>
        <v>82697296</v>
      </c>
      <c r="F12" s="43">
        <f>kötelezettségvállalások!K63+kötelezettségvállalások!K64</f>
        <v>80258898</v>
      </c>
      <c r="G12" s="43">
        <f>kötelezettségvállalások!L63+kötelezettségvállalások!L64</f>
        <v>76176159</v>
      </c>
      <c r="H12" s="43">
        <f>kötelezettségvállalások!M63+kötelezettségvállalások!M64</f>
        <v>70564225</v>
      </c>
      <c r="I12" s="43">
        <f>kötelezettségvállalások!N63+kötelezettségvállalások!N64</f>
        <v>66858282</v>
      </c>
      <c r="J12" s="43">
        <f>kötelezettségvállalások!O63+kötelezettségvállalások!O64</f>
        <v>64658523</v>
      </c>
      <c r="K12" s="43">
        <f>kötelezettségvállalások!P63+kötelezettségvállalások!P64</f>
        <v>58742167</v>
      </c>
      <c r="L12" s="43">
        <f>kötelezettségvállalások!P63+kötelezettségvállalások!P64</f>
        <v>58742167</v>
      </c>
      <c r="M12" s="43"/>
    </row>
    <row r="13" spans="1:13" ht="13.5" thickBot="1">
      <c r="A13" s="376" t="s">
        <v>245</v>
      </c>
      <c r="B13" s="377">
        <f aca="true" t="shared" si="5" ref="B13:J13">B10-B12</f>
        <v>265998991</v>
      </c>
      <c r="C13" s="377">
        <f t="shared" si="5"/>
        <v>213313238</v>
      </c>
      <c r="D13" s="377">
        <f t="shared" si="5"/>
        <v>179387307</v>
      </c>
      <c r="E13" s="377">
        <f t="shared" si="5"/>
        <v>189327704</v>
      </c>
      <c r="F13" s="377">
        <f t="shared" si="5"/>
        <v>199266102</v>
      </c>
      <c r="G13" s="377">
        <f t="shared" si="5"/>
        <v>210848841</v>
      </c>
      <c r="H13" s="377">
        <f t="shared" si="5"/>
        <v>223960775</v>
      </c>
      <c r="I13" s="377">
        <f t="shared" si="5"/>
        <v>235166718</v>
      </c>
      <c r="J13" s="377">
        <f t="shared" si="5"/>
        <v>244866477</v>
      </c>
      <c r="K13" s="377"/>
      <c r="L13" s="378">
        <f>L10-L12</f>
        <v>258282833</v>
      </c>
      <c r="M13" s="378">
        <f>M10-M12</f>
        <v>324525000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49.28125" style="0" customWidth="1"/>
    <col min="2" max="2" width="11.00390625" style="0" bestFit="1" customWidth="1"/>
  </cols>
  <sheetData>
    <row r="1" spans="1:2" ht="12.75">
      <c r="A1" s="42" t="s">
        <v>1</v>
      </c>
      <c r="B1" s="443" t="s">
        <v>330</v>
      </c>
    </row>
    <row r="2" spans="1:2" ht="15.75">
      <c r="A2" s="409" t="s">
        <v>331</v>
      </c>
      <c r="B2" s="444"/>
    </row>
    <row r="3" spans="1:2" ht="16.5" thickBot="1">
      <c r="A3" s="409" t="s">
        <v>431</v>
      </c>
      <c r="B3" s="444"/>
    </row>
    <row r="4" spans="1:2" ht="12.75">
      <c r="A4" s="445" t="s">
        <v>332</v>
      </c>
      <c r="B4" s="446" t="s">
        <v>333</v>
      </c>
    </row>
    <row r="5" spans="1:2" ht="12.75">
      <c r="A5" s="447"/>
      <c r="B5" s="448" t="s">
        <v>448</v>
      </c>
    </row>
    <row r="6" spans="1:2" ht="15">
      <c r="A6" s="449" t="s">
        <v>334</v>
      </c>
      <c r="B6" s="450"/>
    </row>
    <row r="7" spans="1:2" ht="12.75">
      <c r="A7" s="451" t="s">
        <v>335</v>
      </c>
      <c r="B7" s="450">
        <v>1000000</v>
      </c>
    </row>
    <row r="8" spans="1:2" ht="12.75">
      <c r="A8" s="447" t="s">
        <v>336</v>
      </c>
      <c r="B8" s="450"/>
    </row>
    <row r="9" spans="1:2" ht="12.75">
      <c r="A9" s="447"/>
      <c r="B9" s="450"/>
    </row>
    <row r="10" spans="1:2" ht="15">
      <c r="A10" s="449" t="s">
        <v>337</v>
      </c>
      <c r="B10" s="450"/>
    </row>
    <row r="11" spans="1:2" ht="12.75">
      <c r="A11" s="451" t="s">
        <v>338</v>
      </c>
      <c r="B11" s="450">
        <v>50000</v>
      </c>
    </row>
    <row r="12" spans="1:2" ht="12.75">
      <c r="A12" s="447"/>
      <c r="B12" s="450"/>
    </row>
    <row r="13" spans="1:2" ht="12.75">
      <c r="A13" s="451" t="s">
        <v>339</v>
      </c>
      <c r="B13" s="450">
        <v>0</v>
      </c>
    </row>
    <row r="14" spans="1:2" ht="12.75">
      <c r="A14" s="447"/>
      <c r="B14" s="450"/>
    </row>
    <row r="15" spans="1:2" ht="15">
      <c r="A15" s="449" t="s">
        <v>340</v>
      </c>
      <c r="B15" s="450"/>
    </row>
    <row r="16" spans="1:2" ht="12.75">
      <c r="A16" s="451" t="s">
        <v>339</v>
      </c>
      <c r="B16" s="450"/>
    </row>
    <row r="17" spans="1:2" ht="12.75">
      <c r="A17" s="447" t="s">
        <v>341</v>
      </c>
      <c r="B17" s="450">
        <v>300000</v>
      </c>
    </row>
    <row r="18" spans="1:2" ht="12.75">
      <c r="A18" s="451" t="s">
        <v>342</v>
      </c>
      <c r="B18" s="450"/>
    </row>
    <row r="19" spans="1:2" ht="12.75">
      <c r="A19" s="447"/>
      <c r="B19" s="450"/>
    </row>
    <row r="20" spans="1:2" ht="12.75">
      <c r="A20" s="451" t="s">
        <v>343</v>
      </c>
      <c r="B20" s="450"/>
    </row>
    <row r="21" spans="1:2" ht="12.75">
      <c r="A21" s="452" t="s">
        <v>344</v>
      </c>
      <c r="B21" s="708">
        <v>6497000</v>
      </c>
    </row>
    <row r="22" spans="1:2" ht="12.75">
      <c r="A22" s="447" t="s">
        <v>345</v>
      </c>
      <c r="B22" s="450"/>
    </row>
    <row r="23" spans="1:2" ht="12.75">
      <c r="A23" s="452" t="s">
        <v>346</v>
      </c>
      <c r="B23" s="450"/>
    </row>
    <row r="24" spans="1:2" ht="12.75">
      <c r="A24" s="447"/>
      <c r="B24" s="450">
        <v>83164000</v>
      </c>
    </row>
    <row r="25" spans="1:2" ht="12.75">
      <c r="A25" s="452" t="s">
        <v>347</v>
      </c>
      <c r="B25" s="450"/>
    </row>
    <row r="26" spans="1:2" ht="12.75">
      <c r="A26" s="447"/>
      <c r="B26" s="450"/>
    </row>
    <row r="27" spans="1:2" ht="15.75" thickBot="1">
      <c r="A27" s="453" t="s">
        <v>348</v>
      </c>
      <c r="B27" s="454">
        <f>SUM(B9:B26)</f>
        <v>90011000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3.8515625" style="0" customWidth="1"/>
    <col min="2" max="2" width="17.28125" style="0" bestFit="1" customWidth="1"/>
    <col min="3" max="3" width="13.00390625" style="0" customWidth="1"/>
    <col min="4" max="4" width="12.421875" style="0" customWidth="1"/>
    <col min="5" max="5" width="13.421875" style="0" customWidth="1"/>
  </cols>
  <sheetData>
    <row r="1" spans="1:5" ht="12.75">
      <c r="A1" s="42" t="s">
        <v>1</v>
      </c>
      <c r="B1" s="42"/>
      <c r="C1" s="42"/>
      <c r="D1" s="45" t="s">
        <v>349</v>
      </c>
      <c r="E1" s="42"/>
    </row>
    <row r="3" spans="1:4" ht="12.75">
      <c r="A3" s="42" t="s">
        <v>350</v>
      </c>
      <c r="B3" s="42"/>
      <c r="C3" s="42"/>
      <c r="D3" s="42"/>
    </row>
    <row r="4" ht="12.75">
      <c r="D4" s="42" t="s">
        <v>351</v>
      </c>
    </row>
    <row r="5" spans="1:5" ht="12.75">
      <c r="A5" s="58"/>
      <c r="B5" s="59">
        <v>2019</v>
      </c>
      <c r="C5" s="59">
        <v>2020</v>
      </c>
      <c r="D5" s="59">
        <v>2021</v>
      </c>
      <c r="E5" s="595">
        <v>2022</v>
      </c>
    </row>
    <row r="6" spans="1:5" ht="12.75">
      <c r="A6" s="43" t="str">
        <f>mérleg!A6</f>
        <v>Intézményi mûködési bevételek (tárgyi e. áfa nélkül)</v>
      </c>
      <c r="B6" s="43">
        <f>mérleg!F6</f>
        <v>239986175</v>
      </c>
      <c r="C6" s="43">
        <f>B6*1.03</f>
        <v>247185760.25</v>
      </c>
      <c r="D6" s="43">
        <f>C6*1.03</f>
        <v>254601333.0575</v>
      </c>
      <c r="E6" s="43">
        <f>D6*1.03</f>
        <v>262239373.049225</v>
      </c>
    </row>
    <row r="7" spans="1:5" ht="12.75">
      <c r="A7" s="43" t="str">
        <f>mérleg!A7</f>
        <v>Közhatalmi bevételek</v>
      </c>
      <c r="B7" s="43">
        <f>mérleg!F7</f>
        <v>461095000</v>
      </c>
      <c r="C7" s="43">
        <f>B7*1.05</f>
        <v>484149750</v>
      </c>
      <c r="D7" s="43">
        <f>C7*1.05</f>
        <v>508357237.5</v>
      </c>
      <c r="E7" s="43">
        <f>D7*1.05</f>
        <v>533775099.375</v>
      </c>
    </row>
    <row r="8" spans="1:5" ht="12.75">
      <c r="A8" s="43" t="str">
        <f>mérleg!A8</f>
        <v>Önkormányzatok költségvetési támogatása és</v>
      </c>
      <c r="B8" s="43">
        <f>mérleg!F8</f>
        <v>872062322</v>
      </c>
      <c r="C8" s="43">
        <f>B8*1.03</f>
        <v>898224191.66</v>
      </c>
      <c r="D8" s="43">
        <f>C8*1.03</f>
        <v>925170917.4097999</v>
      </c>
      <c r="E8" s="43">
        <f>D8*1.03</f>
        <v>952926044.932094</v>
      </c>
    </row>
    <row r="9" spans="1:5" ht="12.75">
      <c r="A9" s="43">
        <f>mérleg!A9</f>
        <v>0</v>
      </c>
      <c r="B9" s="43">
        <f>mérleg!F9</f>
        <v>0</v>
      </c>
      <c r="C9" s="43">
        <f aca="true" t="shared" si="0" ref="C9:E13">B9</f>
        <v>0</v>
      </c>
      <c r="D9" s="43">
        <f t="shared" si="0"/>
        <v>0</v>
      </c>
      <c r="E9" s="43">
        <f t="shared" si="0"/>
        <v>0</v>
      </c>
    </row>
    <row r="10" spans="1:5" ht="12.75">
      <c r="A10" s="43" t="str">
        <f>mérleg!A10</f>
        <v>Mûködési célú pénzeszköz átvétel (tám.ért.átv)</v>
      </c>
      <c r="B10" s="43">
        <f>mérleg!F10</f>
        <v>407583671</v>
      </c>
      <c r="C10" s="43">
        <f t="shared" si="0"/>
        <v>407583671</v>
      </c>
      <c r="D10" s="43">
        <v>408000000</v>
      </c>
      <c r="E10" s="43">
        <v>408000000</v>
      </c>
    </row>
    <row r="11" spans="1:5" ht="12.75">
      <c r="A11" s="43" t="str">
        <f>mérleg!A11</f>
        <v>Mûködési célú kölcsönök visszatérülése, igénybevétele</v>
      </c>
      <c r="B11" s="43">
        <f>mérleg!F11</f>
        <v>54000000</v>
      </c>
      <c r="C11" s="43">
        <f t="shared" si="0"/>
        <v>54000000</v>
      </c>
      <c r="D11" s="43">
        <f t="shared" si="0"/>
        <v>54000000</v>
      </c>
      <c r="E11" s="43">
        <f t="shared" si="0"/>
        <v>54000000</v>
      </c>
    </row>
    <row r="12" spans="1:5" ht="12.75">
      <c r="A12" s="43" t="str">
        <f>mérleg!A12</f>
        <v>állami támogatás megelőlegezés</v>
      </c>
      <c r="B12" s="43">
        <f>mérleg!F12</f>
        <v>31426346</v>
      </c>
      <c r="C12" s="43">
        <f t="shared" si="0"/>
        <v>31426346</v>
      </c>
      <c r="D12" s="43">
        <f t="shared" si="0"/>
        <v>31426346</v>
      </c>
      <c r="E12" s="43">
        <f t="shared" si="0"/>
        <v>31426346</v>
      </c>
    </row>
    <row r="13" spans="1:5" ht="12.75">
      <c r="A13" s="43" t="str">
        <f>mérleg!A13</f>
        <v>Rövidlejáratú értékpapírok értékesítése</v>
      </c>
      <c r="B13" s="43">
        <f>mérleg!F13</f>
        <v>0</v>
      </c>
      <c r="C13" s="43">
        <f t="shared" si="0"/>
        <v>0</v>
      </c>
      <c r="D13" s="43">
        <f t="shared" si="0"/>
        <v>0</v>
      </c>
      <c r="E13" s="43">
        <f t="shared" si="0"/>
        <v>0</v>
      </c>
    </row>
    <row r="14" spans="1:5" ht="12.75">
      <c r="A14" s="43" t="str">
        <f>mérleg!A14</f>
        <v>Mûködési célú elõzõ évi pénzmaradvány igénybevétele</v>
      </c>
      <c r="B14" s="43">
        <f>mérleg!F14</f>
        <v>284572430</v>
      </c>
      <c r="C14" s="43">
        <f>mérleg!G14</f>
        <v>0</v>
      </c>
      <c r="D14" s="43">
        <f>mérleg!H14</f>
        <v>0</v>
      </c>
      <c r="E14" s="43">
        <f>mérleg!I14</f>
        <v>0</v>
      </c>
    </row>
    <row r="15" spans="1:5" ht="12.75">
      <c r="A15" s="43" t="str">
        <f>mérleg!A15</f>
        <v>MÛKÖDÉSI CÉLÚ BEVÉTEL ÖSSZESEN</v>
      </c>
      <c r="B15" s="43">
        <f>mérleg!F15</f>
        <v>2350725944</v>
      </c>
      <c r="C15" s="43">
        <f>SUM(C6:C14)</f>
        <v>2122569718.9099998</v>
      </c>
      <c r="D15" s="43">
        <f>SUM(D6:D14)</f>
        <v>2181555833.9673</v>
      </c>
      <c r="E15" s="43">
        <f>SUM(E6:E14)</f>
        <v>2242366863.356319</v>
      </c>
    </row>
    <row r="16" spans="1:5" ht="12.75" hidden="1">
      <c r="A16" s="58">
        <f>'[2]mérleg'!A16</f>
        <v>0</v>
      </c>
      <c r="B16" s="43">
        <f>'[2]mérleg'!F16</f>
        <v>0</v>
      </c>
      <c r="C16" s="58"/>
      <c r="D16" s="58"/>
      <c r="E16" s="58"/>
    </row>
    <row r="17" spans="1:5" ht="12.75" hidden="1">
      <c r="A17" s="58">
        <f>'[2]mérleg'!A17</f>
        <v>0</v>
      </c>
      <c r="B17" s="43">
        <f>'[2]mérleg'!F17</f>
        <v>0</v>
      </c>
      <c r="C17" s="58"/>
      <c r="D17" s="58"/>
      <c r="E17" s="58"/>
    </row>
    <row r="18" spans="1:5" ht="12.75">
      <c r="A18" s="43">
        <f>mérleg!A18</f>
        <v>0</v>
      </c>
      <c r="B18" s="43" t="str">
        <f>mérleg!F18</f>
        <v>összeg ezer Ft-ban</v>
      </c>
      <c r="C18" s="58"/>
      <c r="D18" s="58"/>
      <c r="E18" s="58"/>
    </row>
    <row r="19" spans="1:5" ht="12.75">
      <c r="A19" s="43" t="str">
        <f>mérleg!A19</f>
        <v>Személyi juttatások</v>
      </c>
      <c r="B19" s="43">
        <f>mérleg!F19</f>
        <v>871288220</v>
      </c>
      <c r="C19" s="43">
        <f>B19*1.08</f>
        <v>940991277.6</v>
      </c>
      <c r="D19" s="43">
        <f>C19*1.05</f>
        <v>988040841.48</v>
      </c>
      <c r="E19" s="43">
        <f>D19*1.05</f>
        <v>1037442883.554</v>
      </c>
    </row>
    <row r="20" spans="1:5" ht="12.75">
      <c r="A20" s="43" t="str">
        <f>mérleg!A20</f>
        <v>Munkaadót terhelõ járulékok</v>
      </c>
      <c r="B20" s="43">
        <f>mérleg!F20</f>
        <v>181364859.63</v>
      </c>
      <c r="C20" s="43">
        <f>B20*1.08</f>
        <v>195874048.4004</v>
      </c>
      <c r="D20" s="43">
        <f>C20*1.08</f>
        <v>211543972.27243203</v>
      </c>
      <c r="E20" s="43">
        <f>D20*1.08</f>
        <v>228467490.0542266</v>
      </c>
    </row>
    <row r="21" spans="1:5" ht="12.75">
      <c r="A21" s="43" t="str">
        <f>mérleg!A21</f>
        <v>Dologi és egyéb folyó kiadások (le:t.e.áfa befiz és kamat)</v>
      </c>
      <c r="B21" s="43">
        <f>mérleg!F21</f>
        <v>673461530</v>
      </c>
      <c r="C21" s="43">
        <f>B21*1.03</f>
        <v>693665375.9</v>
      </c>
      <c r="D21" s="43">
        <f>C21*1.03</f>
        <v>714475337.177</v>
      </c>
      <c r="E21" s="43">
        <f>D21*1.03</f>
        <v>735909597.2923101</v>
      </c>
    </row>
    <row r="22" spans="1:5" ht="12.75">
      <c r="A22" s="43" t="str">
        <f>mérleg!A22</f>
        <v>Mûködési célú pénzeszköz átad.,egyéb tám.</v>
      </c>
      <c r="B22" s="43">
        <f>mérleg!F22</f>
        <v>406697994</v>
      </c>
      <c r="C22" s="43">
        <v>330000000</v>
      </c>
      <c r="D22" s="43">
        <f>C22</f>
        <v>330000000</v>
      </c>
      <c r="E22" s="43">
        <f>D22</f>
        <v>330000000</v>
      </c>
    </row>
    <row r="23" spans="1:5" ht="12.75">
      <c r="A23" s="43" t="str">
        <f>mérleg!A23</f>
        <v>Ellátottak pénzbeli juttatása</v>
      </c>
      <c r="B23" s="43">
        <f>mérleg!F23</f>
        <v>0</v>
      </c>
      <c r="C23" s="43">
        <f aca="true" t="shared" si="1" ref="C23:E24">B23</f>
        <v>0</v>
      </c>
      <c r="D23" s="43">
        <f t="shared" si="1"/>
        <v>0</v>
      </c>
      <c r="E23" s="43">
        <f t="shared" si="1"/>
        <v>0</v>
      </c>
    </row>
    <row r="24" spans="1:5" ht="12.75">
      <c r="A24" s="43" t="str">
        <f>mérleg!A24</f>
        <v>Mûköd. célú kölcsönök nyújtása és törlesztése</v>
      </c>
      <c r="B24" s="43">
        <f>mérleg!F24</f>
        <v>0</v>
      </c>
      <c r="C24" s="43">
        <f t="shared" si="1"/>
        <v>0</v>
      </c>
      <c r="D24" s="43">
        <f t="shared" si="1"/>
        <v>0</v>
      </c>
      <c r="E24" s="43">
        <f t="shared" si="1"/>
        <v>0</v>
      </c>
    </row>
    <row r="25" spans="1:5" ht="12.75">
      <c r="A25" s="43" t="str">
        <f>mérleg!A25</f>
        <v>hitel kamata</v>
      </c>
      <c r="B25" s="43">
        <f>mérleg!F25</f>
        <v>19359444</v>
      </c>
      <c r="C25" s="43">
        <f>kötelezettségvállalások!H64</f>
        <v>18859298</v>
      </c>
      <c r="D25" s="43">
        <f>kötelezettségvállalások!I64</f>
        <v>16802329</v>
      </c>
      <c r="E25" s="43">
        <f>kötelezettségvállalások!J64</f>
        <v>14361932</v>
      </c>
    </row>
    <row r="26" spans="1:5" ht="12.75">
      <c r="A26" s="43" t="str">
        <f>mérleg!A26</f>
        <v>Tartalékok</v>
      </c>
      <c r="B26" s="43">
        <f>mérleg!F26</f>
        <v>53019978</v>
      </c>
      <c r="C26" s="43">
        <v>17061000</v>
      </c>
      <c r="D26" s="43">
        <v>5061000</v>
      </c>
      <c r="E26" s="43">
        <v>5061000</v>
      </c>
    </row>
    <row r="27" spans="1:5" s="44" customFormat="1" ht="12.75">
      <c r="A27" s="43" t="str">
        <f>mérleg!A27</f>
        <v>MÛKÖDÉSI CÉLÚ KIADÁS ÖSSZESEN</v>
      </c>
      <c r="B27" s="43">
        <f>mérleg!F27</f>
        <v>2205192025.63</v>
      </c>
      <c r="C27" s="43">
        <f>SUM(C19:C26)</f>
        <v>2196450999.9004</v>
      </c>
      <c r="D27" s="43">
        <f>SUM(D19:D26)</f>
        <v>2265923479.929432</v>
      </c>
      <c r="E27" s="43">
        <f>SUM(E19:E26)</f>
        <v>2351242902.9005365</v>
      </c>
    </row>
    <row r="28" spans="1:5" ht="12.75">
      <c r="A28" s="43"/>
      <c r="B28" s="43"/>
      <c r="C28" s="58"/>
      <c r="D28" s="58"/>
      <c r="E28" s="58"/>
    </row>
    <row r="29" spans="1:5" ht="12.75">
      <c r="A29" s="43" t="str">
        <f>mérleg!A30</f>
        <v>Önkormányzatok felhalmozási és tõke jellegû bevételei</v>
      </c>
      <c r="B29" s="43">
        <f>mérleg!F30</f>
        <v>0</v>
      </c>
      <c r="C29" s="43">
        <v>0</v>
      </c>
      <c r="D29" s="43">
        <v>0</v>
      </c>
      <c r="E29" s="43">
        <v>0</v>
      </c>
    </row>
    <row r="30" spans="1:5" ht="12.75">
      <c r="A30" s="43" t="str">
        <f>mérleg!A31</f>
        <v>Fejlesztési célú támogatások </v>
      </c>
      <c r="B30" s="43">
        <f>mérleg!F31</f>
        <v>1438224543</v>
      </c>
      <c r="C30" s="43">
        <v>30000000</v>
      </c>
      <c r="D30" s="43">
        <f>C30</f>
        <v>30000000</v>
      </c>
      <c r="E30" s="43">
        <f>D30</f>
        <v>30000000</v>
      </c>
    </row>
    <row r="31" spans="1:5" ht="12.75">
      <c r="A31" s="43" t="str">
        <f>mérleg!A32</f>
        <v>Felhalmozási célú pénzeszköz átvétel</v>
      </c>
      <c r="B31" s="43">
        <f>mérleg!F32</f>
        <v>61920000</v>
      </c>
      <c r="C31" s="43">
        <v>30000000</v>
      </c>
      <c r="D31" s="43">
        <v>10000000</v>
      </c>
      <c r="E31" s="43">
        <v>10000000</v>
      </c>
    </row>
    <row r="32" spans="1:5" ht="12.75">
      <c r="A32" s="43" t="str">
        <f>mérleg!A33</f>
        <v>Felhalmozási áfa visszatérülés</v>
      </c>
      <c r="B32" s="43">
        <f>mérleg!F33</f>
        <v>0</v>
      </c>
      <c r="C32" s="43">
        <f>B32</f>
        <v>0</v>
      </c>
      <c r="D32" s="43">
        <f>C32</f>
        <v>0</v>
      </c>
      <c r="E32" s="43">
        <f>D32</f>
        <v>0</v>
      </c>
    </row>
    <row r="33" spans="1:5" ht="12.75">
      <c r="A33" s="43" t="str">
        <f>mérleg!A34</f>
        <v>Értékesített tárgyi eszközök</v>
      </c>
      <c r="B33" s="43">
        <f>mérleg!F34</f>
        <v>97605000</v>
      </c>
      <c r="C33" s="43">
        <v>5000000</v>
      </c>
      <c r="D33" s="43">
        <v>5000000</v>
      </c>
      <c r="E33" s="43">
        <v>5000000</v>
      </c>
    </row>
    <row r="34" spans="1:5" ht="12.75">
      <c r="A34" s="43" t="str">
        <f>mérleg!A35</f>
        <v>vagyonhasznosítás 2017</v>
      </c>
      <c r="B34" s="43">
        <f>mérleg!F35</f>
        <v>0</v>
      </c>
      <c r="C34" s="43"/>
      <c r="D34" s="43"/>
      <c r="E34" s="43"/>
    </row>
    <row r="35" spans="1:5" ht="12.75">
      <c r="A35" s="43" t="str">
        <f>mérleg!A36</f>
        <v>Felhalmozási célú kölcsönök visszatérülése</v>
      </c>
      <c r="B35" s="43">
        <f>mérleg!F36</f>
        <v>0</v>
      </c>
      <c r="C35" s="43">
        <v>0</v>
      </c>
      <c r="D35" s="43">
        <f>C35</f>
        <v>0</v>
      </c>
      <c r="E35" s="43">
        <f>D35</f>
        <v>0</v>
      </c>
    </row>
    <row r="36" spans="1:5" ht="12.75">
      <c r="A36" s="43" t="str">
        <f>mérleg!A37</f>
        <v>Hosszú lejáratú hitel/fejlesztési célú hitel</v>
      </c>
      <c r="B36" s="43">
        <f>mérleg!F37</f>
        <v>458554196</v>
      </c>
      <c r="C36" s="58">
        <v>0</v>
      </c>
      <c r="D36" s="58">
        <v>0</v>
      </c>
      <c r="E36" s="58">
        <v>0</v>
      </c>
    </row>
    <row r="37" spans="1:5" ht="12.75">
      <c r="A37" s="43" t="str">
        <f>mérleg!A38</f>
        <v>Felhalmozási célú elõzõ évi pénzmaradv.igénybevét.</v>
      </c>
      <c r="B37" s="43">
        <f>mérleg!F38</f>
        <v>371737530</v>
      </c>
      <c r="C37" s="43">
        <v>30000000</v>
      </c>
      <c r="D37" s="43">
        <v>40000000</v>
      </c>
      <c r="E37" s="43">
        <v>40000000</v>
      </c>
    </row>
    <row r="38" spans="1:5" ht="12.75">
      <c r="A38" s="43" t="str">
        <f>mérleg!A39</f>
        <v>FELHALMOZÁSI CÉLÚ BEVÉTELEK ÖSSZESEN</v>
      </c>
      <c r="B38" s="43">
        <f>SUM(B29:B37)</f>
        <v>2428041269</v>
      </c>
      <c r="C38" s="43">
        <f>SUM(C29:C37)</f>
        <v>95000000</v>
      </c>
      <c r="D38" s="43">
        <f>SUM(D29:D37)</f>
        <v>85000000</v>
      </c>
      <c r="E38" s="43">
        <f>SUM(E29:E37)</f>
        <v>85000000</v>
      </c>
    </row>
    <row r="39" spans="1:5" ht="12.75">
      <c r="A39" s="58">
        <f>'[2]mérleg'!A41</f>
        <v>0</v>
      </c>
      <c r="B39" s="43">
        <f>'[2]mérleg'!F42</f>
        <v>0</v>
      </c>
      <c r="C39" s="58"/>
      <c r="D39" s="58"/>
      <c r="E39" s="58"/>
    </row>
    <row r="40" spans="1:5" ht="12.75">
      <c r="A40" s="58">
        <v>0</v>
      </c>
      <c r="B40" s="43">
        <f>mérleg!F39</f>
        <v>2428041269</v>
      </c>
      <c r="C40" s="43">
        <f>C38+C15</f>
        <v>2217569718.91</v>
      </c>
      <c r="D40" s="43">
        <f>D38+D15</f>
        <v>2266555833.9673</v>
      </c>
      <c r="E40" s="43">
        <f>E38+E15</f>
        <v>2327366863.356319</v>
      </c>
    </row>
    <row r="41" spans="1:5" ht="12.75">
      <c r="A41" s="43" t="str">
        <f>mérleg!A43</f>
        <v>II. FELHALMOZÁSI KIADÁSOK</v>
      </c>
      <c r="B41" s="43" t="str">
        <f>mérleg!F43</f>
        <v>összeg Ft-ban</v>
      </c>
      <c r="C41" s="43"/>
      <c r="D41" s="43"/>
      <c r="E41" s="43"/>
    </row>
    <row r="42" spans="1:5" ht="12.75">
      <c r="A42" s="43" t="str">
        <f>mérleg!A44</f>
        <v>Felhalmozási kiadások (áfá-val)</v>
      </c>
      <c r="B42" s="43">
        <f>mérleg!F44</f>
        <v>2219233767</v>
      </c>
      <c r="C42" s="43">
        <v>20000000</v>
      </c>
      <c r="D42" s="43">
        <v>20000000</v>
      </c>
      <c r="E42" s="43">
        <v>11064000</v>
      </c>
    </row>
    <row r="43" spans="1:5" ht="12.75">
      <c r="A43" s="43" t="str">
        <f>mérleg!A45</f>
        <v>Felújítási kiadások (áfá-val)</v>
      </c>
      <c r="B43" s="43">
        <f>mérleg!F45</f>
        <v>214852355</v>
      </c>
      <c r="C43" s="43">
        <v>5000000</v>
      </c>
      <c r="D43" s="43">
        <v>5000000</v>
      </c>
      <c r="E43" s="43">
        <f>D43</f>
        <v>5000000</v>
      </c>
    </row>
    <row r="44" spans="1:5" ht="12.75">
      <c r="A44" s="43" t="str">
        <f>mérleg!A46</f>
        <v>Értékesített tárgyi eszközök utáni áfa befizet</v>
      </c>
      <c r="B44" s="43">
        <f>mérleg!F46</f>
        <v>0</v>
      </c>
      <c r="C44" s="43">
        <f>B44</f>
        <v>0</v>
      </c>
      <c r="D44" s="43">
        <f>C44</f>
        <v>0</v>
      </c>
      <c r="E44" s="43">
        <f>D44</f>
        <v>0</v>
      </c>
    </row>
    <row r="45" spans="1:5" ht="12.75">
      <c r="A45" s="43" t="str">
        <f>mérleg!A47</f>
        <v>Felhalmozási célú pénzeszköz átadás</v>
      </c>
      <c r="B45" s="43">
        <f>mérleg!F47</f>
        <v>0</v>
      </c>
      <c r="C45" s="43">
        <v>0</v>
      </c>
      <c r="D45" s="43">
        <v>0</v>
      </c>
      <c r="E45" s="43">
        <v>0</v>
      </c>
    </row>
    <row r="46" spans="1:5" ht="12.75">
      <c r="A46" s="43" t="str">
        <f>mérleg!A48</f>
        <v>Felhalmozási célú kölcsönök nyújt. és törleszt.</v>
      </c>
      <c r="B46" s="43">
        <f>mérleg!F48</f>
        <v>0</v>
      </c>
      <c r="C46" s="43"/>
      <c r="D46" s="43"/>
      <c r="E46" s="43"/>
    </row>
    <row r="47" spans="1:5" ht="12.75">
      <c r="A47" s="43" t="str">
        <f>mérleg!A49</f>
        <v>Hosszú lejáratú hitel visszafizetés</v>
      </c>
      <c r="B47" s="43">
        <f>mérleg!F49</f>
        <v>7469065</v>
      </c>
      <c r="C47" s="43">
        <f>kötelezettségvállalások!H63</f>
        <v>24852464</v>
      </c>
      <c r="D47" s="43">
        <f>kötelezettségvállalások!I63</f>
        <v>68335364</v>
      </c>
      <c r="E47" s="43">
        <f>kötelezettségvállalások!J63</f>
        <v>68335364</v>
      </c>
    </row>
    <row r="48" spans="1:5" ht="12.75">
      <c r="A48" s="43" t="str">
        <f>mérleg!A50</f>
        <v>Tartalék</v>
      </c>
      <c r="B48" s="43">
        <f>mérleg!F50</f>
        <v>132020000</v>
      </c>
      <c r="C48" s="43">
        <v>43025000</v>
      </c>
      <c r="D48" s="43">
        <v>31375000</v>
      </c>
      <c r="E48" s="43">
        <v>10000000</v>
      </c>
    </row>
    <row r="49" spans="1:5" ht="12.75">
      <c r="A49" s="43" t="str">
        <f>mérleg!A51</f>
        <v>FELHALMOZÁSI CÉLÚ KIADÁSOK ÖSSZ.</v>
      </c>
      <c r="B49" s="43">
        <f>SUM(B42:B48)</f>
        <v>2573575187</v>
      </c>
      <c r="C49" s="43">
        <f>SUM(C42:C48)</f>
        <v>92877464</v>
      </c>
      <c r="D49" s="43">
        <f>SUM(D42:D48)</f>
        <v>124710364</v>
      </c>
      <c r="E49" s="43">
        <f>SUM(E42:E48)</f>
        <v>94399364</v>
      </c>
    </row>
    <row r="50" spans="1:5" ht="12.75">
      <c r="A50" s="43" t="str">
        <f>mérleg!A53</f>
        <v>KIADÁSOK MINDÖSSZESEN</v>
      </c>
      <c r="B50" s="43">
        <f>mérleg!F53</f>
        <v>4778767212.63</v>
      </c>
      <c r="C50" s="43">
        <f>C49+C27</f>
        <v>2289328463.9004</v>
      </c>
      <c r="D50" s="43">
        <f>D49+D27</f>
        <v>2390633843.929432</v>
      </c>
      <c r="E50" s="43">
        <f>E49+E27</f>
        <v>2445642266.9005365</v>
      </c>
    </row>
    <row r="51" spans="1:5" ht="12.75">
      <c r="A51" s="43">
        <v>0</v>
      </c>
      <c r="B51" s="43">
        <f>'[2]mérleg'!F55</f>
        <v>0</v>
      </c>
      <c r="C51" s="58"/>
      <c r="D51" s="58"/>
      <c r="E51" s="58"/>
    </row>
    <row r="52" spans="1:5" ht="12.75">
      <c r="A52" s="43">
        <v>0</v>
      </c>
      <c r="B52" s="43">
        <f>'[2]mérleg'!F56</f>
        <v>0</v>
      </c>
      <c r="C52" s="43">
        <f>C50-C15</f>
        <v>166758744.9904003</v>
      </c>
      <c r="D52" s="43">
        <f>D50-D15</f>
        <v>209078009.96213198</v>
      </c>
      <c r="E52" s="43">
        <f>E50-E15</f>
        <v>203275403.5442176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&amp;Rmelléklet a 2019. évi költségvetéshez
</oddHeader>
    <oddFooter>&amp;R&amp;P.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9">
      <selection activeCell="Q12" sqref="Q12"/>
    </sheetView>
  </sheetViews>
  <sheetFormatPr defaultColWidth="9.140625" defaultRowHeight="12.75"/>
  <cols>
    <col min="1" max="1" width="30.7109375" style="0" customWidth="1"/>
    <col min="2" max="2" width="11.28125" style="0" customWidth="1"/>
    <col min="3" max="3" width="10.140625" style="44" bestFit="1" customWidth="1"/>
    <col min="4" max="4" width="10.140625" style="44" customWidth="1"/>
    <col min="5" max="5" width="10.00390625" style="44" customWidth="1"/>
    <col min="6" max="6" width="10.57421875" style="44" customWidth="1"/>
    <col min="7" max="7" width="9.8515625" style="44" customWidth="1"/>
    <col min="8" max="8" width="10.00390625" style="44" customWidth="1"/>
    <col min="9" max="12" width="9.8515625" style="44" customWidth="1"/>
    <col min="13" max="14" width="10.140625" style="44" bestFit="1" customWidth="1"/>
    <col min="15" max="15" width="9.140625" style="0" hidden="1" customWidth="1"/>
    <col min="16" max="16" width="9.7109375" style="0" hidden="1" customWidth="1"/>
    <col min="17" max="17" width="12.28125" style="456" customWidth="1"/>
  </cols>
  <sheetData>
    <row r="1" spans="1:14" ht="12.75">
      <c r="A1" s="455"/>
      <c r="B1" s="456"/>
      <c r="C1" s="466"/>
      <c r="D1" s="466"/>
      <c r="E1" s="467" t="s">
        <v>352</v>
      </c>
      <c r="F1" s="466"/>
      <c r="G1" s="466"/>
      <c r="H1" s="467"/>
      <c r="I1" s="466"/>
      <c r="J1" s="466"/>
      <c r="K1" s="467" t="s">
        <v>353</v>
      </c>
      <c r="L1" s="468"/>
      <c r="M1" s="466"/>
      <c r="N1" s="466"/>
    </row>
    <row r="2" spans="1:14" ht="12.75">
      <c r="A2" s="457"/>
      <c r="B2" s="457"/>
      <c r="C2" s="458" t="s">
        <v>354</v>
      </c>
      <c r="D2" s="458" t="s">
        <v>355</v>
      </c>
      <c r="E2" s="458" t="s">
        <v>356</v>
      </c>
      <c r="F2" s="458" t="s">
        <v>357</v>
      </c>
      <c r="G2" s="458" t="s">
        <v>358</v>
      </c>
      <c r="H2" s="458" t="s">
        <v>359</v>
      </c>
      <c r="I2" s="458" t="s">
        <v>360</v>
      </c>
      <c r="J2" s="458" t="s">
        <v>361</v>
      </c>
      <c r="K2" s="458" t="s">
        <v>362</v>
      </c>
      <c r="L2" s="458" t="s">
        <v>363</v>
      </c>
      <c r="M2" s="458" t="s">
        <v>364</v>
      </c>
      <c r="N2" s="458" t="s">
        <v>365</v>
      </c>
    </row>
    <row r="3" spans="1:18" ht="12.75">
      <c r="A3" s="457" t="str">
        <f>mérleg!A6</f>
        <v>Intézményi mûködési bevételek (tárgyi e. áfa nélkül)</v>
      </c>
      <c r="B3" s="458">
        <f>mérleg!F6</f>
        <v>239986175</v>
      </c>
      <c r="C3" s="458">
        <f>B3/12</f>
        <v>19998847.916666668</v>
      </c>
      <c r="D3" s="458">
        <f>C3</f>
        <v>19998847.916666668</v>
      </c>
      <c r="E3" s="458">
        <f aca="true" t="shared" si="0" ref="E3:N3">D3</f>
        <v>19998847.916666668</v>
      </c>
      <c r="F3" s="458">
        <f t="shared" si="0"/>
        <v>19998847.916666668</v>
      </c>
      <c r="G3" s="458">
        <f t="shared" si="0"/>
        <v>19998847.916666668</v>
      </c>
      <c r="H3" s="458">
        <f t="shared" si="0"/>
        <v>19998847.916666668</v>
      </c>
      <c r="I3" s="458">
        <f t="shared" si="0"/>
        <v>19998847.916666668</v>
      </c>
      <c r="J3" s="458">
        <f t="shared" si="0"/>
        <v>19998847.916666668</v>
      </c>
      <c r="K3" s="458">
        <f t="shared" si="0"/>
        <v>19998847.916666668</v>
      </c>
      <c r="L3" s="458">
        <f t="shared" si="0"/>
        <v>19998847.916666668</v>
      </c>
      <c r="M3" s="458">
        <f t="shared" si="0"/>
        <v>19998847.916666668</v>
      </c>
      <c r="N3" s="458">
        <f t="shared" si="0"/>
        <v>19998847.916666668</v>
      </c>
      <c r="O3" s="44">
        <f>SUM(C3:N3)</f>
        <v>239986174.99999997</v>
      </c>
      <c r="P3" s="44">
        <f>O3-B3</f>
        <v>0</v>
      </c>
      <c r="Q3" s="466"/>
      <c r="R3" s="44"/>
    </row>
    <row r="4" spans="1:18" ht="12.75">
      <c r="A4" s="457" t="str">
        <f>mérleg!A7</f>
        <v>Közhatalmi bevételek</v>
      </c>
      <c r="B4" s="458">
        <f>mérleg!F7</f>
        <v>461095000</v>
      </c>
      <c r="C4" s="670">
        <v>10000000</v>
      </c>
      <c r="D4" s="670">
        <v>8000000</v>
      </c>
      <c r="E4" s="670">
        <v>160000000</v>
      </c>
      <c r="F4" s="670">
        <v>22038000</v>
      </c>
      <c r="G4" s="670">
        <v>12000000</v>
      </c>
      <c r="H4" s="670">
        <f>G4</f>
        <v>12000000</v>
      </c>
      <c r="I4" s="670">
        <v>10000000</v>
      </c>
      <c r="J4" s="670">
        <f>I4</f>
        <v>10000000</v>
      </c>
      <c r="K4" s="670">
        <v>160000000</v>
      </c>
      <c r="L4" s="670">
        <v>10000000</v>
      </c>
      <c r="M4" s="670">
        <v>10000000</v>
      </c>
      <c r="N4" s="670">
        <v>37057000</v>
      </c>
      <c r="O4" s="44">
        <f aca="true" t="shared" si="1" ref="O4:O42">SUM(C4:N4)</f>
        <v>461095000</v>
      </c>
      <c r="P4" s="44">
        <f aca="true" t="shared" si="2" ref="P4:P42">O4-B4</f>
        <v>0</v>
      </c>
      <c r="Q4" s="466"/>
      <c r="R4" s="44"/>
    </row>
    <row r="5" spans="1:18" ht="12.75">
      <c r="A5" s="457" t="str">
        <f>mérleg!A8</f>
        <v>Önkormányzatok költségvetési támogatása és</v>
      </c>
      <c r="B5" s="458">
        <f>mérleg!F8</f>
        <v>872062322</v>
      </c>
      <c r="C5" s="458">
        <f aca="true" t="shared" si="3" ref="C5:C39">B5/12</f>
        <v>72671860.16666667</v>
      </c>
      <c r="D5" s="458">
        <f aca="true" t="shared" si="4" ref="D5:N5">C5</f>
        <v>72671860.16666667</v>
      </c>
      <c r="E5" s="458">
        <f t="shared" si="4"/>
        <v>72671860.16666667</v>
      </c>
      <c r="F5" s="458">
        <f t="shared" si="4"/>
        <v>72671860.16666667</v>
      </c>
      <c r="G5" s="458">
        <f t="shared" si="4"/>
        <v>72671860.16666667</v>
      </c>
      <c r="H5" s="458">
        <f t="shared" si="4"/>
        <v>72671860.16666667</v>
      </c>
      <c r="I5" s="458">
        <f t="shared" si="4"/>
        <v>72671860.16666667</v>
      </c>
      <c r="J5" s="458">
        <f t="shared" si="4"/>
        <v>72671860.16666667</v>
      </c>
      <c r="K5" s="458">
        <f t="shared" si="4"/>
        <v>72671860.16666667</v>
      </c>
      <c r="L5" s="458">
        <f t="shared" si="4"/>
        <v>72671860.16666667</v>
      </c>
      <c r="M5" s="458">
        <f t="shared" si="4"/>
        <v>72671860.16666667</v>
      </c>
      <c r="N5" s="458">
        <f t="shared" si="4"/>
        <v>72671860.16666667</v>
      </c>
      <c r="O5" s="44">
        <f t="shared" si="1"/>
        <v>872062321.9999999</v>
      </c>
      <c r="P5" s="44">
        <f t="shared" si="2"/>
        <v>0</v>
      </c>
      <c r="Q5" s="466"/>
      <c r="R5" s="44"/>
    </row>
    <row r="6" spans="1:18" ht="12.75">
      <c r="A6" s="457" t="str">
        <f>mérleg!A10</f>
        <v>Mûködési célú pénzeszköz átvétel (tám.ért.átv)</v>
      </c>
      <c r="B6" s="458">
        <f>mérleg!F10</f>
        <v>407583671</v>
      </c>
      <c r="C6" s="458">
        <f t="shared" si="3"/>
        <v>33965305.916666664</v>
      </c>
      <c r="D6" s="458">
        <f aca="true" t="shared" si="5" ref="D6:N6">C6</f>
        <v>33965305.916666664</v>
      </c>
      <c r="E6" s="458">
        <f t="shared" si="5"/>
        <v>33965305.916666664</v>
      </c>
      <c r="F6" s="458">
        <f t="shared" si="5"/>
        <v>33965305.916666664</v>
      </c>
      <c r="G6" s="458">
        <f t="shared" si="5"/>
        <v>33965305.916666664</v>
      </c>
      <c r="H6" s="458">
        <f t="shared" si="5"/>
        <v>33965305.916666664</v>
      </c>
      <c r="I6" s="458">
        <f t="shared" si="5"/>
        <v>33965305.916666664</v>
      </c>
      <c r="J6" s="458">
        <f t="shared" si="5"/>
        <v>33965305.916666664</v>
      </c>
      <c r="K6" s="458">
        <f t="shared" si="5"/>
        <v>33965305.916666664</v>
      </c>
      <c r="L6" s="458">
        <f t="shared" si="5"/>
        <v>33965305.916666664</v>
      </c>
      <c r="M6" s="458">
        <f t="shared" si="5"/>
        <v>33965305.916666664</v>
      </c>
      <c r="N6" s="458">
        <f t="shared" si="5"/>
        <v>33965305.916666664</v>
      </c>
      <c r="O6" s="44">
        <f t="shared" si="1"/>
        <v>407583671.00000006</v>
      </c>
      <c r="P6" s="44">
        <f t="shared" si="2"/>
        <v>0</v>
      </c>
      <c r="Q6" s="466"/>
      <c r="R6" s="44"/>
    </row>
    <row r="7" spans="1:18" ht="12.75">
      <c r="A7" s="457" t="str">
        <f>mérleg!A11</f>
        <v>Mûködési célú kölcsönök visszatérülése, igénybevétele</v>
      </c>
      <c r="B7" s="458">
        <f>mérleg!F11</f>
        <v>54000000</v>
      </c>
      <c r="C7" s="458">
        <f t="shared" si="3"/>
        <v>4500000</v>
      </c>
      <c r="D7" s="458">
        <f aca="true" t="shared" si="6" ref="D7:N7">C7</f>
        <v>4500000</v>
      </c>
      <c r="E7" s="458">
        <f t="shared" si="6"/>
        <v>4500000</v>
      </c>
      <c r="F7" s="458">
        <f t="shared" si="6"/>
        <v>4500000</v>
      </c>
      <c r="G7" s="458">
        <f t="shared" si="6"/>
        <v>4500000</v>
      </c>
      <c r="H7" s="458">
        <f t="shared" si="6"/>
        <v>4500000</v>
      </c>
      <c r="I7" s="458">
        <f t="shared" si="6"/>
        <v>4500000</v>
      </c>
      <c r="J7" s="458">
        <f t="shared" si="6"/>
        <v>4500000</v>
      </c>
      <c r="K7" s="458">
        <f t="shared" si="6"/>
        <v>4500000</v>
      </c>
      <c r="L7" s="458">
        <f t="shared" si="6"/>
        <v>4500000</v>
      </c>
      <c r="M7" s="458">
        <f t="shared" si="6"/>
        <v>4500000</v>
      </c>
      <c r="N7" s="458">
        <f t="shared" si="6"/>
        <v>4500000</v>
      </c>
      <c r="O7" s="44">
        <f t="shared" si="1"/>
        <v>54000000</v>
      </c>
      <c r="P7" s="44">
        <f t="shared" si="2"/>
        <v>0</v>
      </c>
      <c r="Q7" s="466"/>
      <c r="R7" s="44"/>
    </row>
    <row r="8" spans="1:18" ht="12.75">
      <c r="A8" s="457" t="str">
        <f>mérleg!A12</f>
        <v>állami támogatás megelőlegezés</v>
      </c>
      <c r="B8" s="458">
        <f>mérleg!F12</f>
        <v>31426346</v>
      </c>
      <c r="C8" s="458">
        <f t="shared" si="3"/>
        <v>2618862.1666666665</v>
      </c>
      <c r="D8" s="458">
        <f aca="true" t="shared" si="7" ref="D8:N8">C8</f>
        <v>2618862.1666666665</v>
      </c>
      <c r="E8" s="458">
        <f t="shared" si="7"/>
        <v>2618862.1666666665</v>
      </c>
      <c r="F8" s="458">
        <f t="shared" si="7"/>
        <v>2618862.1666666665</v>
      </c>
      <c r="G8" s="458">
        <f t="shared" si="7"/>
        <v>2618862.1666666665</v>
      </c>
      <c r="H8" s="458">
        <f t="shared" si="7"/>
        <v>2618862.1666666665</v>
      </c>
      <c r="I8" s="458">
        <f t="shared" si="7"/>
        <v>2618862.1666666665</v>
      </c>
      <c r="J8" s="458">
        <f t="shared" si="7"/>
        <v>2618862.1666666665</v>
      </c>
      <c r="K8" s="458">
        <f t="shared" si="7"/>
        <v>2618862.1666666665</v>
      </c>
      <c r="L8" s="458">
        <f t="shared" si="7"/>
        <v>2618862.1666666665</v>
      </c>
      <c r="M8" s="458">
        <f t="shared" si="7"/>
        <v>2618862.1666666665</v>
      </c>
      <c r="N8" s="458">
        <f t="shared" si="7"/>
        <v>2618862.1666666665</v>
      </c>
      <c r="O8" s="44">
        <f t="shared" si="1"/>
        <v>31426346.000000004</v>
      </c>
      <c r="P8" s="44">
        <f t="shared" si="2"/>
        <v>0</v>
      </c>
      <c r="Q8" s="466"/>
      <c r="R8" s="44"/>
    </row>
    <row r="9" spans="1:18" ht="12.75">
      <c r="A9" s="457" t="str">
        <f>mérleg!A13</f>
        <v>Rövidlejáratú értékpapírok értékesítése</v>
      </c>
      <c r="B9" s="458">
        <f>mérleg!F13</f>
        <v>0</v>
      </c>
      <c r="C9" s="458">
        <f t="shared" si="3"/>
        <v>0</v>
      </c>
      <c r="D9" s="458">
        <f aca="true" t="shared" si="8" ref="D9:N9">C9</f>
        <v>0</v>
      </c>
      <c r="E9" s="458">
        <f t="shared" si="8"/>
        <v>0</v>
      </c>
      <c r="F9" s="458">
        <f t="shared" si="8"/>
        <v>0</v>
      </c>
      <c r="G9" s="458">
        <f t="shared" si="8"/>
        <v>0</v>
      </c>
      <c r="H9" s="458">
        <f t="shared" si="8"/>
        <v>0</v>
      </c>
      <c r="I9" s="458">
        <f t="shared" si="8"/>
        <v>0</v>
      </c>
      <c r="J9" s="458">
        <f t="shared" si="8"/>
        <v>0</v>
      </c>
      <c r="K9" s="458">
        <f t="shared" si="8"/>
        <v>0</v>
      </c>
      <c r="L9" s="458">
        <f t="shared" si="8"/>
        <v>0</v>
      </c>
      <c r="M9" s="458">
        <f t="shared" si="8"/>
        <v>0</v>
      </c>
      <c r="N9" s="458">
        <f t="shared" si="8"/>
        <v>0</v>
      </c>
      <c r="O9" s="44">
        <f t="shared" si="1"/>
        <v>0</v>
      </c>
      <c r="P9" s="44">
        <f t="shared" si="2"/>
        <v>0</v>
      </c>
      <c r="Q9" s="466"/>
      <c r="R9" s="44"/>
    </row>
    <row r="10" spans="1:18" ht="12.75">
      <c r="A10" s="457" t="str">
        <f>mérleg!A14</f>
        <v>Mûködési célú elõzõ évi pénzmaradvány igénybevétele</v>
      </c>
      <c r="B10" s="458">
        <f>mérleg!F14</f>
        <v>284572430</v>
      </c>
      <c r="C10" s="458">
        <f t="shared" si="3"/>
        <v>23714369.166666668</v>
      </c>
      <c r="D10" s="458">
        <f aca="true" t="shared" si="9" ref="D10:N10">C10</f>
        <v>23714369.166666668</v>
      </c>
      <c r="E10" s="458">
        <f t="shared" si="9"/>
        <v>23714369.166666668</v>
      </c>
      <c r="F10" s="458">
        <f t="shared" si="9"/>
        <v>23714369.166666668</v>
      </c>
      <c r="G10" s="458">
        <f t="shared" si="9"/>
        <v>23714369.166666668</v>
      </c>
      <c r="H10" s="458">
        <f t="shared" si="9"/>
        <v>23714369.166666668</v>
      </c>
      <c r="I10" s="458">
        <f t="shared" si="9"/>
        <v>23714369.166666668</v>
      </c>
      <c r="J10" s="458">
        <f t="shared" si="9"/>
        <v>23714369.166666668</v>
      </c>
      <c r="K10" s="458">
        <f t="shared" si="9"/>
        <v>23714369.166666668</v>
      </c>
      <c r="L10" s="458">
        <f t="shared" si="9"/>
        <v>23714369.166666668</v>
      </c>
      <c r="M10" s="458">
        <f t="shared" si="9"/>
        <v>23714369.166666668</v>
      </c>
      <c r="N10" s="458">
        <f t="shared" si="9"/>
        <v>23714369.166666668</v>
      </c>
      <c r="O10" s="44">
        <f t="shared" si="1"/>
        <v>284572429.99999994</v>
      </c>
      <c r="P10" s="44">
        <f t="shared" si="2"/>
        <v>0</v>
      </c>
      <c r="Q10" s="466"/>
      <c r="R10" s="44"/>
    </row>
    <row r="11" spans="1:18" ht="12.75">
      <c r="A11" s="457" t="s">
        <v>402</v>
      </c>
      <c r="B11" s="458">
        <f aca="true" t="shared" si="10" ref="B11:N11">SUM(B3:B10)</f>
        <v>2350725944</v>
      </c>
      <c r="C11" s="458">
        <f t="shared" si="10"/>
        <v>167469245.3333333</v>
      </c>
      <c r="D11" s="458">
        <f t="shared" si="10"/>
        <v>165469245.3333333</v>
      </c>
      <c r="E11" s="458">
        <f t="shared" si="10"/>
        <v>317469245.3333334</v>
      </c>
      <c r="F11" s="458">
        <f t="shared" si="10"/>
        <v>179507245.3333333</v>
      </c>
      <c r="G11" s="458">
        <f t="shared" si="10"/>
        <v>169469245.3333333</v>
      </c>
      <c r="H11" s="458">
        <f t="shared" si="10"/>
        <v>169469245.3333333</v>
      </c>
      <c r="I11" s="458">
        <f t="shared" si="10"/>
        <v>167469245.3333333</v>
      </c>
      <c r="J11" s="458">
        <f t="shared" si="10"/>
        <v>167469245.3333333</v>
      </c>
      <c r="K11" s="458">
        <f t="shared" si="10"/>
        <v>317469245.3333334</v>
      </c>
      <c r="L11" s="458">
        <f t="shared" si="10"/>
        <v>167469245.3333333</v>
      </c>
      <c r="M11" s="458">
        <f t="shared" si="10"/>
        <v>167469245.3333333</v>
      </c>
      <c r="N11" s="458">
        <f t="shared" si="10"/>
        <v>194526245.3333333</v>
      </c>
      <c r="O11" s="44"/>
      <c r="P11" s="44"/>
      <c r="Q11" s="466"/>
      <c r="R11" s="44"/>
    </row>
    <row r="12" spans="1:18" ht="12.75">
      <c r="A12" s="457" t="str">
        <f>mérleg!A19</f>
        <v>Személyi juttatások</v>
      </c>
      <c r="B12" s="458">
        <f>mérleg!F19</f>
        <v>871288220</v>
      </c>
      <c r="C12" s="458">
        <f t="shared" si="3"/>
        <v>72607351.66666667</v>
      </c>
      <c r="D12" s="458">
        <f aca="true" t="shared" si="11" ref="D12:N12">C12</f>
        <v>72607351.66666667</v>
      </c>
      <c r="E12" s="458">
        <f t="shared" si="11"/>
        <v>72607351.66666667</v>
      </c>
      <c r="F12" s="458">
        <f t="shared" si="11"/>
        <v>72607351.66666667</v>
      </c>
      <c r="G12" s="458">
        <f t="shared" si="11"/>
        <v>72607351.66666667</v>
      </c>
      <c r="H12" s="458">
        <f t="shared" si="11"/>
        <v>72607351.66666667</v>
      </c>
      <c r="I12" s="458">
        <f t="shared" si="11"/>
        <v>72607351.66666667</v>
      </c>
      <c r="J12" s="458">
        <f t="shared" si="11"/>
        <v>72607351.66666667</v>
      </c>
      <c r="K12" s="458">
        <f t="shared" si="11"/>
        <v>72607351.66666667</v>
      </c>
      <c r="L12" s="458">
        <f t="shared" si="11"/>
        <v>72607351.66666667</v>
      </c>
      <c r="M12" s="458">
        <f t="shared" si="11"/>
        <v>72607351.66666667</v>
      </c>
      <c r="N12" s="458">
        <f t="shared" si="11"/>
        <v>72607351.66666667</v>
      </c>
      <c r="O12" s="44">
        <f t="shared" si="1"/>
        <v>871288219.9999999</v>
      </c>
      <c r="P12" s="44">
        <f t="shared" si="2"/>
        <v>0</v>
      </c>
      <c r="Q12" s="466"/>
      <c r="R12" s="44"/>
    </row>
    <row r="13" spans="1:18" ht="12.75">
      <c r="A13" s="457" t="str">
        <f>mérleg!A20</f>
        <v>Munkaadót terhelõ járulékok</v>
      </c>
      <c r="B13" s="458">
        <f>mérleg!F20</f>
        <v>181364859.63</v>
      </c>
      <c r="C13" s="458">
        <f t="shared" si="3"/>
        <v>15113738.3025</v>
      </c>
      <c r="D13" s="458">
        <f aca="true" t="shared" si="12" ref="D13:N13">C13</f>
        <v>15113738.3025</v>
      </c>
      <c r="E13" s="458">
        <f t="shared" si="12"/>
        <v>15113738.3025</v>
      </c>
      <c r="F13" s="458">
        <f t="shared" si="12"/>
        <v>15113738.3025</v>
      </c>
      <c r="G13" s="458">
        <f t="shared" si="12"/>
        <v>15113738.3025</v>
      </c>
      <c r="H13" s="458">
        <f t="shared" si="12"/>
        <v>15113738.3025</v>
      </c>
      <c r="I13" s="458">
        <f t="shared" si="12"/>
        <v>15113738.3025</v>
      </c>
      <c r="J13" s="458">
        <f t="shared" si="12"/>
        <v>15113738.3025</v>
      </c>
      <c r="K13" s="458">
        <f t="shared" si="12"/>
        <v>15113738.3025</v>
      </c>
      <c r="L13" s="458">
        <f t="shared" si="12"/>
        <v>15113738.3025</v>
      </c>
      <c r="M13" s="458">
        <f t="shared" si="12"/>
        <v>15113738.3025</v>
      </c>
      <c r="N13" s="458">
        <f t="shared" si="12"/>
        <v>15113738.3025</v>
      </c>
      <c r="O13" s="44">
        <f t="shared" si="1"/>
        <v>181364859.63000003</v>
      </c>
      <c r="P13" s="44">
        <f t="shared" si="2"/>
        <v>0</v>
      </c>
      <c r="Q13" s="466"/>
      <c r="R13" s="44"/>
    </row>
    <row r="14" spans="1:18" ht="12.75">
      <c r="A14" s="457" t="str">
        <f>mérleg!A21</f>
        <v>Dologi és egyéb folyó kiadások (le:t.e.áfa befiz és kamat)</v>
      </c>
      <c r="B14" s="458">
        <f>mérleg!F21</f>
        <v>673461530</v>
      </c>
      <c r="C14" s="458">
        <f t="shared" si="3"/>
        <v>56121794.166666664</v>
      </c>
      <c r="D14" s="458">
        <f aca="true" t="shared" si="13" ref="D14:N14">C14</f>
        <v>56121794.166666664</v>
      </c>
      <c r="E14" s="458">
        <f t="shared" si="13"/>
        <v>56121794.166666664</v>
      </c>
      <c r="F14" s="458">
        <f t="shared" si="13"/>
        <v>56121794.166666664</v>
      </c>
      <c r="G14" s="458">
        <f t="shared" si="13"/>
        <v>56121794.166666664</v>
      </c>
      <c r="H14" s="458">
        <f t="shared" si="13"/>
        <v>56121794.166666664</v>
      </c>
      <c r="I14" s="458">
        <f t="shared" si="13"/>
        <v>56121794.166666664</v>
      </c>
      <c r="J14" s="458">
        <f t="shared" si="13"/>
        <v>56121794.166666664</v>
      </c>
      <c r="K14" s="458">
        <f t="shared" si="13"/>
        <v>56121794.166666664</v>
      </c>
      <c r="L14" s="458">
        <f t="shared" si="13"/>
        <v>56121794.166666664</v>
      </c>
      <c r="M14" s="458">
        <f t="shared" si="13"/>
        <v>56121794.166666664</v>
      </c>
      <c r="N14" s="458">
        <f t="shared" si="13"/>
        <v>56121794.166666664</v>
      </c>
      <c r="O14" s="44">
        <f t="shared" si="1"/>
        <v>673461530</v>
      </c>
      <c r="P14" s="44">
        <f t="shared" si="2"/>
        <v>0</v>
      </c>
      <c r="Q14" s="466"/>
      <c r="R14" s="44"/>
    </row>
    <row r="15" spans="1:18" ht="12.75">
      <c r="A15" s="457" t="str">
        <f>mérleg!A22</f>
        <v>Mûködési célú pénzeszköz átad.,egyéb tám.</v>
      </c>
      <c r="B15" s="458">
        <f>mérleg!F22</f>
        <v>406697994</v>
      </c>
      <c r="C15" s="458">
        <f t="shared" si="3"/>
        <v>33891499.5</v>
      </c>
      <c r="D15" s="458">
        <f aca="true" t="shared" si="14" ref="D15:N15">C15</f>
        <v>33891499.5</v>
      </c>
      <c r="E15" s="458">
        <f t="shared" si="14"/>
        <v>33891499.5</v>
      </c>
      <c r="F15" s="458">
        <f t="shared" si="14"/>
        <v>33891499.5</v>
      </c>
      <c r="G15" s="458">
        <f t="shared" si="14"/>
        <v>33891499.5</v>
      </c>
      <c r="H15" s="458">
        <f t="shared" si="14"/>
        <v>33891499.5</v>
      </c>
      <c r="I15" s="458">
        <f t="shared" si="14"/>
        <v>33891499.5</v>
      </c>
      <c r="J15" s="458">
        <f t="shared" si="14"/>
        <v>33891499.5</v>
      </c>
      <c r="K15" s="458">
        <f t="shared" si="14"/>
        <v>33891499.5</v>
      </c>
      <c r="L15" s="458">
        <f t="shared" si="14"/>
        <v>33891499.5</v>
      </c>
      <c r="M15" s="458">
        <f t="shared" si="14"/>
        <v>33891499.5</v>
      </c>
      <c r="N15" s="458">
        <f t="shared" si="14"/>
        <v>33891499.5</v>
      </c>
      <c r="O15" s="44">
        <f t="shared" si="1"/>
        <v>406697994</v>
      </c>
      <c r="P15" s="44">
        <f t="shared" si="2"/>
        <v>0</v>
      </c>
      <c r="Q15" s="466"/>
      <c r="R15" s="44"/>
    </row>
    <row r="16" spans="1:18" ht="12.75">
      <c r="A16" s="457" t="str">
        <f>mérleg!A23</f>
        <v>Ellátottak pénzbeli juttatása</v>
      </c>
      <c r="B16" s="458">
        <f>mérleg!F23</f>
        <v>0</v>
      </c>
      <c r="C16" s="458">
        <f t="shared" si="3"/>
        <v>0</v>
      </c>
      <c r="D16" s="458">
        <f aca="true" t="shared" si="15" ref="D16:N16">C16</f>
        <v>0</v>
      </c>
      <c r="E16" s="458">
        <f t="shared" si="15"/>
        <v>0</v>
      </c>
      <c r="F16" s="458">
        <f t="shared" si="15"/>
        <v>0</v>
      </c>
      <c r="G16" s="458">
        <f t="shared" si="15"/>
        <v>0</v>
      </c>
      <c r="H16" s="458">
        <f t="shared" si="15"/>
        <v>0</v>
      </c>
      <c r="I16" s="458">
        <f t="shared" si="15"/>
        <v>0</v>
      </c>
      <c r="J16" s="458">
        <f t="shared" si="15"/>
        <v>0</v>
      </c>
      <c r="K16" s="458">
        <f t="shared" si="15"/>
        <v>0</v>
      </c>
      <c r="L16" s="458">
        <f t="shared" si="15"/>
        <v>0</v>
      </c>
      <c r="M16" s="458">
        <f t="shared" si="15"/>
        <v>0</v>
      </c>
      <c r="N16" s="458">
        <f t="shared" si="15"/>
        <v>0</v>
      </c>
      <c r="O16" s="44">
        <f t="shared" si="1"/>
        <v>0</v>
      </c>
      <c r="P16" s="44">
        <f t="shared" si="2"/>
        <v>0</v>
      </c>
      <c r="Q16" s="466"/>
      <c r="R16" s="44"/>
    </row>
    <row r="17" spans="1:18" s="42" customFormat="1" ht="12.75">
      <c r="A17" s="457" t="str">
        <f>mérleg!A24</f>
        <v>Mûköd. célú kölcsönök nyújtása és törlesztése</v>
      </c>
      <c r="B17" s="458">
        <f>mérleg!F24</f>
        <v>0</v>
      </c>
      <c r="C17" s="458">
        <f t="shared" si="3"/>
        <v>0</v>
      </c>
      <c r="D17" s="458">
        <f aca="true" t="shared" si="16" ref="D17:N17">C17</f>
        <v>0</v>
      </c>
      <c r="E17" s="458">
        <f t="shared" si="16"/>
        <v>0</v>
      </c>
      <c r="F17" s="458">
        <f t="shared" si="16"/>
        <v>0</v>
      </c>
      <c r="G17" s="458">
        <f t="shared" si="16"/>
        <v>0</v>
      </c>
      <c r="H17" s="458">
        <f t="shared" si="16"/>
        <v>0</v>
      </c>
      <c r="I17" s="458">
        <f t="shared" si="16"/>
        <v>0</v>
      </c>
      <c r="J17" s="458">
        <f t="shared" si="16"/>
        <v>0</v>
      </c>
      <c r="K17" s="458">
        <f t="shared" si="16"/>
        <v>0</v>
      </c>
      <c r="L17" s="458">
        <f t="shared" si="16"/>
        <v>0</v>
      </c>
      <c r="M17" s="458">
        <f t="shared" si="16"/>
        <v>0</v>
      </c>
      <c r="N17" s="458">
        <f t="shared" si="16"/>
        <v>0</v>
      </c>
      <c r="O17" s="44">
        <f t="shared" si="1"/>
        <v>0</v>
      </c>
      <c r="P17" s="44">
        <f t="shared" si="2"/>
        <v>0</v>
      </c>
      <c r="Q17" s="466"/>
      <c r="R17" s="44"/>
    </row>
    <row r="18" spans="1:18" ht="12.75">
      <c r="A18" s="457" t="str">
        <f>mérleg!A25</f>
        <v>hitel kamata</v>
      </c>
      <c r="B18" s="458">
        <f>mérleg!F25</f>
        <v>19359444</v>
      </c>
      <c r="C18" s="458">
        <v>0</v>
      </c>
      <c r="D18" s="458">
        <f>C18</f>
        <v>0</v>
      </c>
      <c r="E18" s="458">
        <f>B18/4</f>
        <v>4839861</v>
      </c>
      <c r="F18" s="458"/>
      <c r="G18" s="458">
        <f>F18</f>
        <v>0</v>
      </c>
      <c r="H18" s="458">
        <f>B18/4</f>
        <v>4839861</v>
      </c>
      <c r="I18" s="458"/>
      <c r="J18" s="458">
        <f>I18</f>
        <v>0</v>
      </c>
      <c r="K18" s="458">
        <f>B18/4</f>
        <v>4839861</v>
      </c>
      <c r="L18" s="458"/>
      <c r="M18" s="458">
        <f>L18</f>
        <v>0</v>
      </c>
      <c r="N18" s="458">
        <f>B18/4</f>
        <v>4839861</v>
      </c>
      <c r="O18" s="44">
        <f t="shared" si="1"/>
        <v>19359444</v>
      </c>
      <c r="P18" s="44">
        <f t="shared" si="2"/>
        <v>0</v>
      </c>
      <c r="Q18" s="466"/>
      <c r="R18" s="44"/>
    </row>
    <row r="19" spans="1:18" ht="12.75">
      <c r="A19" s="457" t="str">
        <f>mérleg!A26</f>
        <v>Tartalékok</v>
      </c>
      <c r="B19" s="458">
        <f>mérleg!F26</f>
        <v>53019978</v>
      </c>
      <c r="C19" s="458">
        <f t="shared" si="3"/>
        <v>4418331.5</v>
      </c>
      <c r="D19" s="458">
        <f aca="true" t="shared" si="17" ref="D19:N19">C19</f>
        <v>4418331.5</v>
      </c>
      <c r="E19" s="458">
        <f t="shared" si="17"/>
        <v>4418331.5</v>
      </c>
      <c r="F19" s="458">
        <f t="shared" si="17"/>
        <v>4418331.5</v>
      </c>
      <c r="G19" s="458">
        <f t="shared" si="17"/>
        <v>4418331.5</v>
      </c>
      <c r="H19" s="458">
        <f t="shared" si="17"/>
        <v>4418331.5</v>
      </c>
      <c r="I19" s="458">
        <f t="shared" si="17"/>
        <v>4418331.5</v>
      </c>
      <c r="J19" s="458">
        <f t="shared" si="17"/>
        <v>4418331.5</v>
      </c>
      <c r="K19" s="458">
        <f t="shared" si="17"/>
        <v>4418331.5</v>
      </c>
      <c r="L19" s="458">
        <f t="shared" si="17"/>
        <v>4418331.5</v>
      </c>
      <c r="M19" s="458">
        <f t="shared" si="17"/>
        <v>4418331.5</v>
      </c>
      <c r="N19" s="458">
        <f t="shared" si="17"/>
        <v>4418331.5</v>
      </c>
      <c r="O19" s="44">
        <f t="shared" si="1"/>
        <v>53019978</v>
      </c>
      <c r="P19" s="44">
        <f t="shared" si="2"/>
        <v>0</v>
      </c>
      <c r="Q19" s="466"/>
      <c r="R19" s="44"/>
    </row>
    <row r="20" spans="1:18" ht="12.75">
      <c r="A20" s="457" t="str">
        <f>mérleg!A27</f>
        <v>MÛKÖDÉSI CÉLÚ KIADÁS ÖSSZESEN</v>
      </c>
      <c r="B20" s="458">
        <f>mérleg!F27</f>
        <v>2205192025.63</v>
      </c>
      <c r="C20" s="458">
        <f>SUM(C12:C19)</f>
        <v>182152715.13583332</v>
      </c>
      <c r="D20" s="458">
        <f aca="true" t="shared" si="18" ref="D20:N20">SUM(D12:D19)</f>
        <v>182152715.13583332</v>
      </c>
      <c r="E20" s="458">
        <f t="shared" si="18"/>
        <v>186992576.13583332</v>
      </c>
      <c r="F20" s="458">
        <f t="shared" si="18"/>
        <v>182152715.13583332</v>
      </c>
      <c r="G20" s="458">
        <f t="shared" si="18"/>
        <v>182152715.13583332</v>
      </c>
      <c r="H20" s="458">
        <f t="shared" si="18"/>
        <v>186992576.13583332</v>
      </c>
      <c r="I20" s="458">
        <f t="shared" si="18"/>
        <v>182152715.13583332</v>
      </c>
      <c r="J20" s="458">
        <f t="shared" si="18"/>
        <v>182152715.13583332</v>
      </c>
      <c r="K20" s="458">
        <f t="shared" si="18"/>
        <v>186992576.13583332</v>
      </c>
      <c r="L20" s="458">
        <f t="shared" si="18"/>
        <v>182152715.13583332</v>
      </c>
      <c r="M20" s="458">
        <f t="shared" si="18"/>
        <v>182152715.13583332</v>
      </c>
      <c r="N20" s="458">
        <f t="shared" si="18"/>
        <v>186992576.13583332</v>
      </c>
      <c r="O20" s="44">
        <f t="shared" si="1"/>
        <v>2205192025.6299996</v>
      </c>
      <c r="P20" s="44">
        <f t="shared" si="2"/>
        <v>0</v>
      </c>
      <c r="Q20" s="466"/>
      <c r="R20" s="44"/>
    </row>
    <row r="21" spans="1:18" ht="12.75">
      <c r="A21" s="457" t="str">
        <f>mérleg!A28</f>
        <v>MŰKÖDÉSI BEVÉTEL - MŰKÖDÉSI KIADÁS</v>
      </c>
      <c r="B21" s="458">
        <f>mérleg!F28</f>
        <v>145533918.3699999</v>
      </c>
      <c r="C21" s="458">
        <f>C11-C20</f>
        <v>-14683469.80250001</v>
      </c>
      <c r="D21" s="458">
        <f aca="true" t="shared" si="19" ref="D21:N21">D11-D20</f>
        <v>-16683469.80250001</v>
      </c>
      <c r="E21" s="458">
        <f t="shared" si="19"/>
        <v>130476669.19750005</v>
      </c>
      <c r="F21" s="458">
        <f t="shared" si="19"/>
        <v>-2645469.8025000095</v>
      </c>
      <c r="G21" s="458">
        <f t="shared" si="19"/>
        <v>-12683469.80250001</v>
      </c>
      <c r="H21" s="458">
        <f t="shared" si="19"/>
        <v>-17523330.80250001</v>
      </c>
      <c r="I21" s="458">
        <f t="shared" si="19"/>
        <v>-14683469.80250001</v>
      </c>
      <c r="J21" s="458">
        <f t="shared" si="19"/>
        <v>-14683469.80250001</v>
      </c>
      <c r="K21" s="458">
        <f t="shared" si="19"/>
        <v>130476669.19750005</v>
      </c>
      <c r="L21" s="458">
        <f t="shared" si="19"/>
        <v>-14683469.80250001</v>
      </c>
      <c r="M21" s="458">
        <f t="shared" si="19"/>
        <v>-14683469.80250001</v>
      </c>
      <c r="N21" s="458">
        <f t="shared" si="19"/>
        <v>7533669.19749999</v>
      </c>
      <c r="O21" s="44">
        <f t="shared" si="1"/>
        <v>145533918.37</v>
      </c>
      <c r="P21" s="44">
        <f t="shared" si="2"/>
        <v>0</v>
      </c>
      <c r="Q21" s="466"/>
      <c r="R21" s="44"/>
    </row>
    <row r="22" spans="1:18" ht="12.75">
      <c r="A22" s="457" t="str">
        <f>mérleg!A30</f>
        <v>Önkormányzatok felhalmozási és tõke jellegû bevételei</v>
      </c>
      <c r="B22" s="458">
        <f>mérleg!F30</f>
        <v>0</v>
      </c>
      <c r="C22" s="458">
        <f t="shared" si="3"/>
        <v>0</v>
      </c>
      <c r="D22" s="458">
        <f aca="true" t="shared" si="20" ref="D22:N22">C22</f>
        <v>0</v>
      </c>
      <c r="E22" s="458">
        <f t="shared" si="20"/>
        <v>0</v>
      </c>
      <c r="F22" s="458">
        <f t="shared" si="20"/>
        <v>0</v>
      </c>
      <c r="G22" s="458">
        <f t="shared" si="20"/>
        <v>0</v>
      </c>
      <c r="H22" s="458">
        <f t="shared" si="20"/>
        <v>0</v>
      </c>
      <c r="I22" s="458">
        <f t="shared" si="20"/>
        <v>0</v>
      </c>
      <c r="J22" s="458">
        <f t="shared" si="20"/>
        <v>0</v>
      </c>
      <c r="K22" s="458">
        <f t="shared" si="20"/>
        <v>0</v>
      </c>
      <c r="L22" s="458">
        <f t="shared" si="20"/>
        <v>0</v>
      </c>
      <c r="M22" s="458">
        <f t="shared" si="20"/>
        <v>0</v>
      </c>
      <c r="N22" s="458">
        <f t="shared" si="20"/>
        <v>0</v>
      </c>
      <c r="O22" s="44">
        <f t="shared" si="1"/>
        <v>0</v>
      </c>
      <c r="P22" s="44">
        <f t="shared" si="2"/>
        <v>0</v>
      </c>
      <c r="Q22" s="466"/>
      <c r="R22" s="44"/>
    </row>
    <row r="23" spans="1:18" ht="12.75">
      <c r="A23" s="457" t="str">
        <f>mérleg!A31</f>
        <v>Fejlesztési célú támogatások </v>
      </c>
      <c r="B23" s="458">
        <f>mérleg!F31</f>
        <v>1438224543</v>
      </c>
      <c r="C23" s="671">
        <v>600000000</v>
      </c>
      <c r="D23" s="671"/>
      <c r="E23" s="671">
        <v>135000000</v>
      </c>
      <c r="F23" s="671"/>
      <c r="G23" s="671">
        <v>125000000</v>
      </c>
      <c r="H23" s="671">
        <v>265000000</v>
      </c>
      <c r="I23" s="671"/>
      <c r="J23" s="671"/>
      <c r="K23" s="671">
        <f>J23</f>
        <v>0</v>
      </c>
      <c r="L23" s="671">
        <v>210000000</v>
      </c>
      <c r="M23" s="671">
        <v>103224543</v>
      </c>
      <c r="N23" s="671"/>
      <c r="O23" s="44">
        <f t="shared" si="1"/>
        <v>1438224543</v>
      </c>
      <c r="P23" s="44">
        <f t="shared" si="2"/>
        <v>0</v>
      </c>
      <c r="Q23" s="466"/>
      <c r="R23" s="44"/>
    </row>
    <row r="24" spans="1:18" ht="12.75">
      <c r="A24" s="457" t="str">
        <f>mérleg!A32</f>
        <v>Felhalmozási célú pénzeszköz átvétel</v>
      </c>
      <c r="B24" s="458">
        <f>mérleg!F32</f>
        <v>61920000</v>
      </c>
      <c r="C24" s="671"/>
      <c r="D24" s="671">
        <f aca="true" t="shared" si="21" ref="D24:N24">C24</f>
        <v>0</v>
      </c>
      <c r="E24" s="671">
        <v>25000000</v>
      </c>
      <c r="F24" s="671"/>
      <c r="G24" s="671">
        <f t="shared" si="21"/>
        <v>0</v>
      </c>
      <c r="H24" s="671">
        <f t="shared" si="21"/>
        <v>0</v>
      </c>
      <c r="I24" s="671">
        <f t="shared" si="21"/>
        <v>0</v>
      </c>
      <c r="J24" s="671">
        <v>36920000</v>
      </c>
      <c r="K24" s="671"/>
      <c r="L24" s="671">
        <f t="shared" si="21"/>
        <v>0</v>
      </c>
      <c r="M24" s="671">
        <f t="shared" si="21"/>
        <v>0</v>
      </c>
      <c r="N24" s="671">
        <f t="shared" si="21"/>
        <v>0</v>
      </c>
      <c r="O24" s="44">
        <f t="shared" si="1"/>
        <v>61920000</v>
      </c>
      <c r="P24" s="44">
        <f t="shared" si="2"/>
        <v>0</v>
      </c>
      <c r="Q24" s="466"/>
      <c r="R24" s="44"/>
    </row>
    <row r="25" spans="1:18" ht="12.75">
      <c r="A25" s="457" t="str">
        <f>mérleg!A33</f>
        <v>Felhalmozási áfa visszatérülés</v>
      </c>
      <c r="B25" s="458">
        <f>mérleg!F33</f>
        <v>0</v>
      </c>
      <c r="C25" s="458">
        <f t="shared" si="3"/>
        <v>0</v>
      </c>
      <c r="D25" s="458">
        <f aca="true" t="shared" si="22" ref="D25:N25">C25</f>
        <v>0</v>
      </c>
      <c r="E25" s="458">
        <f t="shared" si="22"/>
        <v>0</v>
      </c>
      <c r="F25" s="458">
        <f t="shared" si="22"/>
        <v>0</v>
      </c>
      <c r="G25" s="458">
        <f t="shared" si="22"/>
        <v>0</v>
      </c>
      <c r="H25" s="458">
        <f t="shared" si="22"/>
        <v>0</v>
      </c>
      <c r="I25" s="458">
        <f t="shared" si="22"/>
        <v>0</v>
      </c>
      <c r="J25" s="458">
        <f t="shared" si="22"/>
        <v>0</v>
      </c>
      <c r="K25" s="458">
        <f t="shared" si="22"/>
        <v>0</v>
      </c>
      <c r="L25" s="458">
        <f t="shared" si="22"/>
        <v>0</v>
      </c>
      <c r="M25" s="458">
        <f t="shared" si="22"/>
        <v>0</v>
      </c>
      <c r="N25" s="458">
        <f t="shared" si="22"/>
        <v>0</v>
      </c>
      <c r="O25" s="44">
        <f t="shared" si="1"/>
        <v>0</v>
      </c>
      <c r="P25" s="44">
        <f t="shared" si="2"/>
        <v>0</v>
      </c>
      <c r="Q25" s="466"/>
      <c r="R25" s="44"/>
    </row>
    <row r="26" spans="1:18" ht="12.75">
      <c r="A26" s="457" t="str">
        <f>mérleg!A34</f>
        <v>Értékesített tárgyi eszközök</v>
      </c>
      <c r="B26" s="458">
        <f>mérleg!F34</f>
        <v>97605000</v>
      </c>
      <c r="C26" s="458">
        <v>0</v>
      </c>
      <c r="D26" s="458">
        <f aca="true" t="shared" si="23" ref="D26:N26">C26</f>
        <v>0</v>
      </c>
      <c r="E26" s="458">
        <f t="shared" si="23"/>
        <v>0</v>
      </c>
      <c r="F26" s="458">
        <f t="shared" si="23"/>
        <v>0</v>
      </c>
      <c r="G26" s="458">
        <f t="shared" si="23"/>
        <v>0</v>
      </c>
      <c r="H26" s="458">
        <f t="shared" si="23"/>
        <v>0</v>
      </c>
      <c r="I26" s="458">
        <v>97605000</v>
      </c>
      <c r="J26" s="458"/>
      <c r="K26" s="458">
        <f t="shared" si="23"/>
        <v>0</v>
      </c>
      <c r="L26" s="458">
        <f t="shared" si="23"/>
        <v>0</v>
      </c>
      <c r="M26" s="458">
        <f t="shared" si="23"/>
        <v>0</v>
      </c>
      <c r="N26" s="458">
        <f t="shared" si="23"/>
        <v>0</v>
      </c>
      <c r="O26" s="44">
        <f t="shared" si="1"/>
        <v>97605000</v>
      </c>
      <c r="P26" s="44">
        <f t="shared" si="2"/>
        <v>0</v>
      </c>
      <c r="Q26" s="466"/>
      <c r="R26" s="44"/>
    </row>
    <row r="27" spans="1:18" ht="12.75">
      <c r="A27" s="457" t="str">
        <f>mérleg!A35</f>
        <v>vagyonhasznosítás 2017</v>
      </c>
      <c r="B27" s="458">
        <f>mérleg!F35</f>
        <v>0</v>
      </c>
      <c r="C27" s="458">
        <f t="shared" si="3"/>
        <v>0</v>
      </c>
      <c r="D27" s="458">
        <f aca="true" t="shared" si="24" ref="D27:N27">C27</f>
        <v>0</v>
      </c>
      <c r="E27" s="458">
        <f t="shared" si="24"/>
        <v>0</v>
      </c>
      <c r="F27" s="458">
        <f t="shared" si="24"/>
        <v>0</v>
      </c>
      <c r="G27" s="458">
        <f t="shared" si="24"/>
        <v>0</v>
      </c>
      <c r="H27" s="458">
        <f t="shared" si="24"/>
        <v>0</v>
      </c>
      <c r="I27" s="458">
        <f t="shared" si="24"/>
        <v>0</v>
      </c>
      <c r="J27" s="458">
        <f t="shared" si="24"/>
        <v>0</v>
      </c>
      <c r="K27" s="458">
        <f t="shared" si="24"/>
        <v>0</v>
      </c>
      <c r="L27" s="458">
        <f t="shared" si="24"/>
        <v>0</v>
      </c>
      <c r="M27" s="458">
        <f t="shared" si="24"/>
        <v>0</v>
      </c>
      <c r="N27" s="458">
        <f t="shared" si="24"/>
        <v>0</v>
      </c>
      <c r="O27" s="44">
        <f t="shared" si="1"/>
        <v>0</v>
      </c>
      <c r="P27" s="44">
        <f t="shared" si="2"/>
        <v>0</v>
      </c>
      <c r="Q27" s="466"/>
      <c r="R27" s="44"/>
    </row>
    <row r="28" spans="1:18" ht="12.75">
      <c r="A28" s="457" t="str">
        <f>mérleg!A36</f>
        <v>Felhalmozási célú kölcsönök visszatérülése</v>
      </c>
      <c r="B28" s="458">
        <f>mérleg!F36</f>
        <v>0</v>
      </c>
      <c r="C28" s="458">
        <f t="shared" si="3"/>
        <v>0</v>
      </c>
      <c r="D28" s="458">
        <f aca="true" t="shared" si="25" ref="D28:N28">C28</f>
        <v>0</v>
      </c>
      <c r="E28" s="458">
        <f t="shared" si="25"/>
        <v>0</v>
      </c>
      <c r="F28" s="458">
        <f t="shared" si="25"/>
        <v>0</v>
      </c>
      <c r="G28" s="458">
        <f t="shared" si="25"/>
        <v>0</v>
      </c>
      <c r="H28" s="458">
        <f t="shared" si="25"/>
        <v>0</v>
      </c>
      <c r="I28" s="458">
        <f t="shared" si="25"/>
        <v>0</v>
      </c>
      <c r="J28" s="458">
        <f t="shared" si="25"/>
        <v>0</v>
      </c>
      <c r="K28" s="458">
        <f t="shared" si="25"/>
        <v>0</v>
      </c>
      <c r="L28" s="458">
        <f t="shared" si="25"/>
        <v>0</v>
      </c>
      <c r="M28" s="458">
        <f t="shared" si="25"/>
        <v>0</v>
      </c>
      <c r="N28" s="458">
        <f t="shared" si="25"/>
        <v>0</v>
      </c>
      <c r="O28" s="44">
        <f t="shared" si="1"/>
        <v>0</v>
      </c>
      <c r="P28" s="44">
        <f t="shared" si="2"/>
        <v>0</v>
      </c>
      <c r="Q28" s="466"/>
      <c r="R28" s="44"/>
    </row>
    <row r="29" spans="1:18" ht="12.75">
      <c r="A29" s="457" t="str">
        <f>mérleg!A37</f>
        <v>Hosszú lejáratú hitel/fejlesztési célú hitel</v>
      </c>
      <c r="B29" s="458">
        <f>mérleg!F37</f>
        <v>458554196</v>
      </c>
      <c r="C29" s="671">
        <v>0</v>
      </c>
      <c r="D29" s="671">
        <f>C29</f>
        <v>0</v>
      </c>
      <c r="E29" s="671">
        <v>15000000</v>
      </c>
      <c r="F29" s="671">
        <v>30000000</v>
      </c>
      <c r="G29" s="671">
        <f>F29</f>
        <v>30000000</v>
      </c>
      <c r="H29" s="671">
        <v>250000000</v>
      </c>
      <c r="I29" s="671">
        <v>58000000</v>
      </c>
      <c r="J29" s="671">
        <v>65000000</v>
      </c>
      <c r="K29" s="671">
        <v>0</v>
      </c>
      <c r="L29" s="671">
        <v>10554196</v>
      </c>
      <c r="M29" s="671">
        <v>0</v>
      </c>
      <c r="N29" s="671">
        <v>0</v>
      </c>
      <c r="O29" s="44">
        <f t="shared" si="1"/>
        <v>458554196</v>
      </c>
      <c r="P29" s="44">
        <f t="shared" si="2"/>
        <v>0</v>
      </c>
      <c r="Q29" s="466"/>
      <c r="R29" s="44"/>
    </row>
    <row r="30" spans="1:18" ht="12.75">
      <c r="A30" s="457" t="str">
        <f>mérleg!A38</f>
        <v>Felhalmozási célú elõzõ évi pénzmaradv.igénybevét.</v>
      </c>
      <c r="B30" s="458">
        <f>mérleg!F38</f>
        <v>371737530</v>
      </c>
      <c r="C30" s="458">
        <f t="shared" si="3"/>
        <v>30978127.5</v>
      </c>
      <c r="D30" s="458">
        <f aca="true" t="shared" si="26" ref="D30:N30">C30</f>
        <v>30978127.5</v>
      </c>
      <c r="E30" s="458">
        <f t="shared" si="26"/>
        <v>30978127.5</v>
      </c>
      <c r="F30" s="458">
        <f t="shared" si="26"/>
        <v>30978127.5</v>
      </c>
      <c r="G30" s="458">
        <f t="shared" si="26"/>
        <v>30978127.5</v>
      </c>
      <c r="H30" s="458">
        <f t="shared" si="26"/>
        <v>30978127.5</v>
      </c>
      <c r="I30" s="458">
        <f t="shared" si="26"/>
        <v>30978127.5</v>
      </c>
      <c r="J30" s="458">
        <f t="shared" si="26"/>
        <v>30978127.5</v>
      </c>
      <c r="K30" s="458">
        <f t="shared" si="26"/>
        <v>30978127.5</v>
      </c>
      <c r="L30" s="458">
        <f t="shared" si="26"/>
        <v>30978127.5</v>
      </c>
      <c r="M30" s="458">
        <f t="shared" si="26"/>
        <v>30978127.5</v>
      </c>
      <c r="N30" s="458">
        <f t="shared" si="26"/>
        <v>30978127.5</v>
      </c>
      <c r="O30" s="44">
        <f t="shared" si="1"/>
        <v>371737530</v>
      </c>
      <c r="P30" s="44">
        <f t="shared" si="2"/>
        <v>0</v>
      </c>
      <c r="Q30" s="466"/>
      <c r="R30" s="44"/>
    </row>
    <row r="31" spans="1:18" ht="12.75">
      <c r="A31" s="457" t="str">
        <f>mérleg!A39</f>
        <v>FELHALMOZÁSI CÉLÚ BEVÉTELEK ÖSSZESEN</v>
      </c>
      <c r="B31" s="458">
        <f>mérleg!F39</f>
        <v>2428041269</v>
      </c>
      <c r="C31" s="458">
        <f>SUM(C22:C30)</f>
        <v>630978127.5</v>
      </c>
      <c r="D31" s="458">
        <f aca="true" t="shared" si="27" ref="D31:N31">SUM(D22:D30)</f>
        <v>30978127.5</v>
      </c>
      <c r="E31" s="458">
        <f t="shared" si="27"/>
        <v>205978127.5</v>
      </c>
      <c r="F31" s="458">
        <f t="shared" si="27"/>
        <v>60978127.5</v>
      </c>
      <c r="G31" s="458">
        <f t="shared" si="27"/>
        <v>185978127.5</v>
      </c>
      <c r="H31" s="458">
        <f t="shared" si="27"/>
        <v>545978127.5</v>
      </c>
      <c r="I31" s="458">
        <f t="shared" si="27"/>
        <v>186583127.5</v>
      </c>
      <c r="J31" s="458">
        <f t="shared" si="27"/>
        <v>132898127.5</v>
      </c>
      <c r="K31" s="458">
        <f t="shared" si="27"/>
        <v>30978127.5</v>
      </c>
      <c r="L31" s="458">
        <f t="shared" si="27"/>
        <v>251532323.5</v>
      </c>
      <c r="M31" s="458">
        <f t="shared" si="27"/>
        <v>134202670.5</v>
      </c>
      <c r="N31" s="458">
        <f t="shared" si="27"/>
        <v>30978127.5</v>
      </c>
      <c r="O31" s="44">
        <f t="shared" si="1"/>
        <v>2428041269</v>
      </c>
      <c r="P31" s="44">
        <f t="shared" si="2"/>
        <v>0</v>
      </c>
      <c r="Q31" s="466"/>
      <c r="R31" s="44"/>
    </row>
    <row r="32" spans="1:18" ht="12.75">
      <c r="A32" s="457" t="str">
        <f>mérleg!A40</f>
        <v>BEVÉTELEK MINDÖSSZESEN</v>
      </c>
      <c r="B32" s="458">
        <f>mérleg!F40</f>
        <v>4778767213</v>
      </c>
      <c r="C32" s="458">
        <f>C31+C11</f>
        <v>798447372.8333333</v>
      </c>
      <c r="D32" s="458">
        <f aca="true" t="shared" si="28" ref="D32:N32">D31+D11</f>
        <v>196447372.8333333</v>
      </c>
      <c r="E32" s="458">
        <f t="shared" si="28"/>
        <v>523447372.8333334</v>
      </c>
      <c r="F32" s="458">
        <f t="shared" si="28"/>
        <v>240485372.8333333</v>
      </c>
      <c r="G32" s="458">
        <f t="shared" si="28"/>
        <v>355447372.8333333</v>
      </c>
      <c r="H32" s="458">
        <f t="shared" si="28"/>
        <v>715447372.8333333</v>
      </c>
      <c r="I32" s="458">
        <f t="shared" si="28"/>
        <v>354052372.8333333</v>
      </c>
      <c r="J32" s="458">
        <f t="shared" si="28"/>
        <v>300367372.8333333</v>
      </c>
      <c r="K32" s="458">
        <f t="shared" si="28"/>
        <v>348447372.8333334</v>
      </c>
      <c r="L32" s="458">
        <f t="shared" si="28"/>
        <v>419001568.8333333</v>
      </c>
      <c r="M32" s="458">
        <f t="shared" si="28"/>
        <v>301671915.8333333</v>
      </c>
      <c r="N32" s="458">
        <f t="shared" si="28"/>
        <v>225504372.8333333</v>
      </c>
      <c r="O32" s="44">
        <f t="shared" si="1"/>
        <v>4778767213</v>
      </c>
      <c r="P32" s="44">
        <f t="shared" si="2"/>
        <v>0</v>
      </c>
      <c r="Q32" s="466"/>
      <c r="R32" s="44"/>
    </row>
    <row r="33" spans="1:18" ht="12.75">
      <c r="A33" s="457" t="str">
        <f>mérleg!A44</f>
        <v>Felhalmozási kiadások (áfá-val)</v>
      </c>
      <c r="B33" s="458">
        <f>mérleg!F44</f>
        <v>2219233767</v>
      </c>
      <c r="C33" s="671">
        <v>580000000</v>
      </c>
      <c r="D33" s="671"/>
      <c r="E33" s="671">
        <v>205000000</v>
      </c>
      <c r="F33" s="671">
        <v>75800000</v>
      </c>
      <c r="G33" s="671">
        <v>125000000</v>
      </c>
      <c r="H33" s="671">
        <v>315000000</v>
      </c>
      <c r="I33" s="671">
        <v>250000000</v>
      </c>
      <c r="J33" s="671">
        <v>65000000</v>
      </c>
      <c r="K33" s="671">
        <v>340000000</v>
      </c>
      <c r="L33" s="671">
        <v>98000000</v>
      </c>
      <c r="M33" s="671">
        <v>100000000</v>
      </c>
      <c r="N33" s="671">
        <v>65433767</v>
      </c>
      <c r="O33" s="44">
        <f t="shared" si="1"/>
        <v>2219233767</v>
      </c>
      <c r="P33" s="44">
        <f t="shared" si="2"/>
        <v>0</v>
      </c>
      <c r="Q33" s="466"/>
      <c r="R33" s="44"/>
    </row>
    <row r="34" spans="1:18" ht="12.75">
      <c r="A34" s="457" t="str">
        <f>mérleg!A45</f>
        <v>Felújítási kiadások (áfá-val)</v>
      </c>
      <c r="B34" s="458">
        <f>mérleg!F45</f>
        <v>214852355</v>
      </c>
      <c r="C34" s="671">
        <v>25000000</v>
      </c>
      <c r="D34" s="671"/>
      <c r="E34" s="671">
        <v>19652355</v>
      </c>
      <c r="F34" s="671">
        <v>8000000</v>
      </c>
      <c r="G34" s="671">
        <v>25000000</v>
      </c>
      <c r="H34" s="671">
        <v>25000000</v>
      </c>
      <c r="I34" s="671">
        <v>35000000</v>
      </c>
      <c r="J34" s="671">
        <v>7000000</v>
      </c>
      <c r="K34" s="671">
        <v>37500000</v>
      </c>
      <c r="L34" s="671">
        <v>15700000</v>
      </c>
      <c r="M34" s="671">
        <v>8500000</v>
      </c>
      <c r="N34" s="671">
        <f>M34</f>
        <v>8500000</v>
      </c>
      <c r="O34" s="44">
        <f t="shared" si="1"/>
        <v>214852355</v>
      </c>
      <c r="P34" s="44">
        <f t="shared" si="2"/>
        <v>0</v>
      </c>
      <c r="Q34" s="466"/>
      <c r="R34" s="44"/>
    </row>
    <row r="35" spans="1:18" ht="12.75">
      <c r="A35" s="457" t="str">
        <f>mérleg!A46</f>
        <v>Értékesített tárgyi eszközök utáni áfa befizet</v>
      </c>
      <c r="B35" s="458">
        <f>mérleg!F46</f>
        <v>0</v>
      </c>
      <c r="C35" s="458">
        <f t="shared" si="3"/>
        <v>0</v>
      </c>
      <c r="D35" s="458">
        <f aca="true" t="shared" si="29" ref="D35:N35">C35</f>
        <v>0</v>
      </c>
      <c r="E35" s="458">
        <f t="shared" si="29"/>
        <v>0</v>
      </c>
      <c r="F35" s="458">
        <f t="shared" si="29"/>
        <v>0</v>
      </c>
      <c r="G35" s="458">
        <f t="shared" si="29"/>
        <v>0</v>
      </c>
      <c r="H35" s="458">
        <f t="shared" si="29"/>
        <v>0</v>
      </c>
      <c r="I35" s="458">
        <f t="shared" si="29"/>
        <v>0</v>
      </c>
      <c r="J35" s="458">
        <f t="shared" si="29"/>
        <v>0</v>
      </c>
      <c r="K35" s="458">
        <f t="shared" si="29"/>
        <v>0</v>
      </c>
      <c r="L35" s="458">
        <f t="shared" si="29"/>
        <v>0</v>
      </c>
      <c r="M35" s="458">
        <f t="shared" si="29"/>
        <v>0</v>
      </c>
      <c r="N35" s="458">
        <f t="shared" si="29"/>
        <v>0</v>
      </c>
      <c r="O35" s="44">
        <f t="shared" si="1"/>
        <v>0</v>
      </c>
      <c r="P35" s="44">
        <f t="shared" si="2"/>
        <v>0</v>
      </c>
      <c r="Q35" s="466"/>
      <c r="R35" s="44"/>
    </row>
    <row r="36" spans="1:18" ht="12.75">
      <c r="A36" s="457" t="str">
        <f>mérleg!A47</f>
        <v>Felhalmozási célú pénzeszköz átadás</v>
      </c>
      <c r="B36" s="458">
        <f>mérleg!F47</f>
        <v>0</v>
      </c>
      <c r="C36" s="458">
        <f t="shared" si="3"/>
        <v>0</v>
      </c>
      <c r="D36" s="458">
        <f aca="true" t="shared" si="30" ref="D36:N36">C36</f>
        <v>0</v>
      </c>
      <c r="E36" s="458">
        <f t="shared" si="30"/>
        <v>0</v>
      </c>
      <c r="F36" s="458">
        <f t="shared" si="30"/>
        <v>0</v>
      </c>
      <c r="G36" s="458">
        <f t="shared" si="30"/>
        <v>0</v>
      </c>
      <c r="H36" s="458">
        <f t="shared" si="30"/>
        <v>0</v>
      </c>
      <c r="I36" s="458">
        <f t="shared" si="30"/>
        <v>0</v>
      </c>
      <c r="J36" s="458">
        <f t="shared" si="30"/>
        <v>0</v>
      </c>
      <c r="K36" s="458">
        <f t="shared" si="30"/>
        <v>0</v>
      </c>
      <c r="L36" s="458">
        <f t="shared" si="30"/>
        <v>0</v>
      </c>
      <c r="M36" s="458">
        <f t="shared" si="30"/>
        <v>0</v>
      </c>
      <c r="N36" s="458">
        <f t="shared" si="30"/>
        <v>0</v>
      </c>
      <c r="O36" s="44">
        <f t="shared" si="1"/>
        <v>0</v>
      </c>
      <c r="P36" s="44">
        <f t="shared" si="2"/>
        <v>0</v>
      </c>
      <c r="Q36" s="466"/>
      <c r="R36" s="44"/>
    </row>
    <row r="37" spans="1:18" ht="12.75">
      <c r="A37" s="457" t="str">
        <f>mérleg!A48</f>
        <v>Felhalmozási célú kölcsönök nyújt. és törleszt.</v>
      </c>
      <c r="B37" s="458">
        <f>mérleg!F48</f>
        <v>0</v>
      </c>
      <c r="C37" s="458">
        <f t="shared" si="3"/>
        <v>0</v>
      </c>
      <c r="D37" s="458">
        <f aca="true" t="shared" si="31" ref="D37:N37">C37</f>
        <v>0</v>
      </c>
      <c r="E37" s="458">
        <f t="shared" si="31"/>
        <v>0</v>
      </c>
      <c r="F37" s="458">
        <f t="shared" si="31"/>
        <v>0</v>
      </c>
      <c r="G37" s="458">
        <f t="shared" si="31"/>
        <v>0</v>
      </c>
      <c r="H37" s="458">
        <f t="shared" si="31"/>
        <v>0</v>
      </c>
      <c r="I37" s="458">
        <f t="shared" si="31"/>
        <v>0</v>
      </c>
      <c r="J37" s="458">
        <f t="shared" si="31"/>
        <v>0</v>
      </c>
      <c r="K37" s="458">
        <f t="shared" si="31"/>
        <v>0</v>
      </c>
      <c r="L37" s="458">
        <f t="shared" si="31"/>
        <v>0</v>
      </c>
      <c r="M37" s="458">
        <f t="shared" si="31"/>
        <v>0</v>
      </c>
      <c r="N37" s="458">
        <f t="shared" si="31"/>
        <v>0</v>
      </c>
      <c r="O37" s="44">
        <f t="shared" si="1"/>
        <v>0</v>
      </c>
      <c r="P37" s="44">
        <f t="shared" si="2"/>
        <v>0</v>
      </c>
      <c r="Q37" s="466"/>
      <c r="R37" s="44"/>
    </row>
    <row r="38" spans="1:18" ht="12.75">
      <c r="A38" s="457" t="str">
        <f>mérleg!A49</f>
        <v>Hosszú lejáratú hitel visszafizetés</v>
      </c>
      <c r="B38" s="458">
        <f>mérleg!F49</f>
        <v>7469065</v>
      </c>
      <c r="C38" s="458">
        <v>0</v>
      </c>
      <c r="D38" s="458">
        <v>0</v>
      </c>
      <c r="E38" s="458">
        <f>B38/4</f>
        <v>1867266.25</v>
      </c>
      <c r="F38" s="458"/>
      <c r="G38" s="458">
        <v>0</v>
      </c>
      <c r="H38" s="458">
        <f>B38/4</f>
        <v>1867266.25</v>
      </c>
      <c r="I38" s="458">
        <v>0</v>
      </c>
      <c r="J38" s="458">
        <v>0</v>
      </c>
      <c r="K38" s="458">
        <f>B38/4</f>
        <v>1867266.25</v>
      </c>
      <c r="L38" s="458"/>
      <c r="M38" s="458">
        <f>L38</f>
        <v>0</v>
      </c>
      <c r="N38" s="458">
        <f>B38/4</f>
        <v>1867266.25</v>
      </c>
      <c r="O38" s="44">
        <f t="shared" si="1"/>
        <v>7469065</v>
      </c>
      <c r="P38" s="44">
        <f t="shared" si="2"/>
        <v>0</v>
      </c>
      <c r="Q38" s="466"/>
      <c r="R38" s="44"/>
    </row>
    <row r="39" spans="1:18" ht="12.75">
      <c r="A39" s="457" t="str">
        <f>mérleg!A50</f>
        <v>Tartalék</v>
      </c>
      <c r="B39" s="458">
        <f>mérleg!F50</f>
        <v>132020000</v>
      </c>
      <c r="C39" s="458">
        <f t="shared" si="3"/>
        <v>11001666.666666666</v>
      </c>
      <c r="D39" s="458">
        <f aca="true" t="shared" si="32" ref="D39:N39">C39</f>
        <v>11001666.666666666</v>
      </c>
      <c r="E39" s="458">
        <f t="shared" si="32"/>
        <v>11001666.666666666</v>
      </c>
      <c r="F39" s="458">
        <f t="shared" si="32"/>
        <v>11001666.666666666</v>
      </c>
      <c r="G39" s="458">
        <f t="shared" si="32"/>
        <v>11001666.666666666</v>
      </c>
      <c r="H39" s="458">
        <f t="shared" si="32"/>
        <v>11001666.666666666</v>
      </c>
      <c r="I39" s="458">
        <f t="shared" si="32"/>
        <v>11001666.666666666</v>
      </c>
      <c r="J39" s="458">
        <f t="shared" si="32"/>
        <v>11001666.666666666</v>
      </c>
      <c r="K39" s="458">
        <f t="shared" si="32"/>
        <v>11001666.666666666</v>
      </c>
      <c r="L39" s="458">
        <f t="shared" si="32"/>
        <v>11001666.666666666</v>
      </c>
      <c r="M39" s="458">
        <f t="shared" si="32"/>
        <v>11001666.666666666</v>
      </c>
      <c r="N39" s="458">
        <f t="shared" si="32"/>
        <v>11001666.666666666</v>
      </c>
      <c r="O39" s="44">
        <f t="shared" si="1"/>
        <v>132020000.00000001</v>
      </c>
      <c r="P39" s="44">
        <f t="shared" si="2"/>
        <v>0</v>
      </c>
      <c r="Q39" s="466"/>
      <c r="R39" s="44"/>
    </row>
    <row r="40" spans="1:18" ht="12.75">
      <c r="A40" s="457" t="str">
        <f>mérleg!A51</f>
        <v>FELHALMOZÁSI CÉLÚ KIADÁSOK ÖSSZ.</v>
      </c>
      <c r="B40" s="458">
        <f>mérleg!F51</f>
        <v>2573575187</v>
      </c>
      <c r="C40" s="458">
        <f>SUM(C33:C39)</f>
        <v>616001666.6666666</v>
      </c>
      <c r="D40" s="458">
        <f aca="true" t="shared" si="33" ref="D40:N40">SUM(D33:D39)</f>
        <v>11001666.666666666</v>
      </c>
      <c r="E40" s="458">
        <f t="shared" si="33"/>
        <v>237521287.91666666</v>
      </c>
      <c r="F40" s="458">
        <f t="shared" si="33"/>
        <v>94801666.66666667</v>
      </c>
      <c r="G40" s="458">
        <f t="shared" si="33"/>
        <v>161001666.66666666</v>
      </c>
      <c r="H40" s="458">
        <f t="shared" si="33"/>
        <v>352868932.9166667</v>
      </c>
      <c r="I40" s="458">
        <f t="shared" si="33"/>
        <v>296001666.6666667</v>
      </c>
      <c r="J40" s="458">
        <f t="shared" si="33"/>
        <v>83001666.66666667</v>
      </c>
      <c r="K40" s="458">
        <f t="shared" si="33"/>
        <v>390368932.9166667</v>
      </c>
      <c r="L40" s="458">
        <f t="shared" si="33"/>
        <v>124701666.66666667</v>
      </c>
      <c r="M40" s="458">
        <f t="shared" si="33"/>
        <v>119501666.66666667</v>
      </c>
      <c r="N40" s="458">
        <f t="shared" si="33"/>
        <v>86802699.91666667</v>
      </c>
      <c r="O40" s="44">
        <f t="shared" si="1"/>
        <v>2573575186.9999995</v>
      </c>
      <c r="P40" s="44">
        <f t="shared" si="2"/>
        <v>0</v>
      </c>
      <c r="Q40" s="466"/>
      <c r="R40" s="44"/>
    </row>
    <row r="41" spans="1:18" ht="12.75">
      <c r="A41" s="457" t="str">
        <f>mérleg!A53</f>
        <v>KIADÁSOK MINDÖSSZESEN</v>
      </c>
      <c r="B41" s="458">
        <f>mérleg!F53</f>
        <v>4778767212.63</v>
      </c>
      <c r="C41" s="458">
        <f>C40+C20</f>
        <v>798154381.8025</v>
      </c>
      <c r="D41" s="458">
        <f aca="true" t="shared" si="34" ref="D41:N41">D40+D20</f>
        <v>193154381.80249998</v>
      </c>
      <c r="E41" s="458">
        <f t="shared" si="34"/>
        <v>424513864.0525</v>
      </c>
      <c r="F41" s="458">
        <f t="shared" si="34"/>
        <v>276954381.8025</v>
      </c>
      <c r="G41" s="458">
        <f t="shared" si="34"/>
        <v>343154381.8025</v>
      </c>
      <c r="H41" s="458">
        <f t="shared" si="34"/>
        <v>539861509.0525</v>
      </c>
      <c r="I41" s="458">
        <f t="shared" si="34"/>
        <v>478154381.8025</v>
      </c>
      <c r="J41" s="458">
        <f t="shared" si="34"/>
        <v>265154381.8025</v>
      </c>
      <c r="K41" s="458">
        <f t="shared" si="34"/>
        <v>577361509.0525</v>
      </c>
      <c r="L41" s="458">
        <f t="shared" si="34"/>
        <v>306854381.8025</v>
      </c>
      <c r="M41" s="458">
        <f t="shared" si="34"/>
        <v>301654381.8025</v>
      </c>
      <c r="N41" s="458">
        <f t="shared" si="34"/>
        <v>273795276.0525</v>
      </c>
      <c r="O41" s="44">
        <f t="shared" si="1"/>
        <v>4778767212.629999</v>
      </c>
      <c r="P41" s="44">
        <f t="shared" si="2"/>
        <v>0</v>
      </c>
      <c r="Q41" s="466"/>
      <c r="R41" s="44"/>
    </row>
    <row r="42" spans="1:18" ht="12.75">
      <c r="A42" s="457" t="str">
        <f>mérleg!A56</f>
        <v>Egyenleg</v>
      </c>
      <c r="B42" s="458">
        <f>mérleg!F56</f>
        <v>0.36999988555908203</v>
      </c>
      <c r="C42" s="458">
        <f>C32-C41</f>
        <v>292991.0308332443</v>
      </c>
      <c r="D42" s="458">
        <f aca="true" t="shared" si="35" ref="D42:N42">D32-D41</f>
        <v>3292991.0308333337</v>
      </c>
      <c r="E42" s="458">
        <f t="shared" si="35"/>
        <v>98933508.78083336</v>
      </c>
      <c r="F42" s="458">
        <f t="shared" si="35"/>
        <v>-36469008.969166696</v>
      </c>
      <c r="G42" s="458">
        <f t="shared" si="35"/>
        <v>12292991.030833304</v>
      </c>
      <c r="H42" s="458">
        <f t="shared" si="35"/>
        <v>175585863.78083324</v>
      </c>
      <c r="I42" s="458">
        <f t="shared" si="35"/>
        <v>-124102008.9691667</v>
      </c>
      <c r="J42" s="458">
        <f t="shared" si="35"/>
        <v>35212991.030833304</v>
      </c>
      <c r="K42" s="458">
        <f t="shared" si="35"/>
        <v>-228914136.21916664</v>
      </c>
      <c r="L42" s="458">
        <f t="shared" si="35"/>
        <v>112147187.0308333</v>
      </c>
      <c r="M42" s="458">
        <f t="shared" si="35"/>
        <v>17534.03083330393</v>
      </c>
      <c r="N42" s="458">
        <f t="shared" si="35"/>
        <v>-48290903.219166696</v>
      </c>
      <c r="O42" s="44">
        <f t="shared" si="1"/>
        <v>0.3699996769428253</v>
      </c>
      <c r="P42" s="44">
        <f t="shared" si="2"/>
        <v>-2.086162567138672E-07</v>
      </c>
      <c r="Q42" s="466"/>
      <c r="R42" s="4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&amp;Rmelléklet a 2019. évi költségvetéshez
</oddHeader>
    <oddFooter>&amp;R&amp;P.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0.7109375" style="0" customWidth="1"/>
    <col min="2" max="2" width="11.28125" style="0" customWidth="1"/>
    <col min="3" max="3" width="9.57421875" style="44" bestFit="1" customWidth="1"/>
    <col min="4" max="4" width="10.8515625" style="44" customWidth="1"/>
    <col min="5" max="5" width="10.28125" style="44" customWidth="1"/>
    <col min="6" max="7" width="9.8515625" style="44" customWidth="1"/>
    <col min="8" max="8" width="11.28125" style="44" customWidth="1"/>
    <col min="9" max="10" width="10.8515625" style="44" customWidth="1"/>
    <col min="11" max="11" width="11.00390625" style="44" bestFit="1" customWidth="1"/>
    <col min="12" max="12" width="11.00390625" style="44" customWidth="1"/>
    <col min="13" max="13" width="10.8515625" style="44" customWidth="1"/>
    <col min="14" max="14" width="10.7109375" style="44" customWidth="1"/>
    <col min="15" max="15" width="0" style="0" hidden="1" customWidth="1"/>
    <col min="16" max="16" width="9.7109375" style="0" hidden="1" customWidth="1"/>
    <col min="17" max="17" width="12.7109375" style="0" bestFit="1" customWidth="1"/>
  </cols>
  <sheetData>
    <row r="1" spans="1:14" ht="12.75">
      <c r="A1" s="455"/>
      <c r="B1" s="456"/>
      <c r="C1" s="466"/>
      <c r="D1" s="466"/>
      <c r="E1" s="467" t="s">
        <v>416</v>
      </c>
      <c r="F1" s="466"/>
      <c r="G1" s="466"/>
      <c r="H1" s="467"/>
      <c r="I1" s="466"/>
      <c r="J1" s="466"/>
      <c r="K1" s="467" t="s">
        <v>403</v>
      </c>
      <c r="L1" s="468"/>
      <c r="M1" s="466"/>
      <c r="N1" s="466"/>
    </row>
    <row r="2" spans="1:14" ht="12.75">
      <c r="A2" s="457"/>
      <c r="B2" s="457"/>
      <c r="C2" s="458" t="s">
        <v>354</v>
      </c>
      <c r="D2" s="458" t="s">
        <v>355</v>
      </c>
      <c r="E2" s="458" t="s">
        <v>356</v>
      </c>
      <c r="F2" s="458" t="s">
        <v>357</v>
      </c>
      <c r="G2" s="458" t="s">
        <v>358</v>
      </c>
      <c r="H2" s="458" t="s">
        <v>359</v>
      </c>
      <c r="I2" s="458" t="s">
        <v>360</v>
      </c>
      <c r="J2" s="458" t="s">
        <v>361</v>
      </c>
      <c r="K2" s="458" t="s">
        <v>362</v>
      </c>
      <c r="L2" s="458" t="s">
        <v>363</v>
      </c>
      <c r="M2" s="458" t="s">
        <v>364</v>
      </c>
      <c r="N2" s="458" t="s">
        <v>365</v>
      </c>
    </row>
    <row r="3" spans="1:18" ht="12.75">
      <c r="A3" s="457" t="str">
        <f>mérleg!A6</f>
        <v>Intézményi mûködési bevételek (tárgyi e. áfa nélkül)</v>
      </c>
      <c r="B3" s="458">
        <f>mérleg!F6</f>
        <v>239986175</v>
      </c>
      <c r="C3" s="458">
        <f>B3/12</f>
        <v>19998847.916666668</v>
      </c>
      <c r="D3" s="458">
        <f>C3</f>
        <v>19998847.916666668</v>
      </c>
      <c r="E3" s="458">
        <f aca="true" t="shared" si="0" ref="E3:N4">D3</f>
        <v>19998847.916666668</v>
      </c>
      <c r="F3" s="458">
        <f t="shared" si="0"/>
        <v>19998847.916666668</v>
      </c>
      <c r="G3" s="458">
        <f t="shared" si="0"/>
        <v>19998847.916666668</v>
      </c>
      <c r="H3" s="458">
        <f t="shared" si="0"/>
        <v>19998847.916666668</v>
      </c>
      <c r="I3" s="458">
        <f t="shared" si="0"/>
        <v>19998847.916666668</v>
      </c>
      <c r="J3" s="458">
        <f t="shared" si="0"/>
        <v>19998847.916666668</v>
      </c>
      <c r="K3" s="458">
        <f t="shared" si="0"/>
        <v>19998847.916666668</v>
      </c>
      <c r="L3" s="458">
        <f t="shared" si="0"/>
        <v>19998847.916666668</v>
      </c>
      <c r="M3" s="458">
        <f t="shared" si="0"/>
        <v>19998847.916666668</v>
      </c>
      <c r="N3" s="458">
        <f t="shared" si="0"/>
        <v>19998847.916666668</v>
      </c>
      <c r="O3" s="44">
        <f>SUM(C3:N3)</f>
        <v>239986174.99999997</v>
      </c>
      <c r="P3" s="44">
        <f>O3-B3</f>
        <v>0</v>
      </c>
      <c r="Q3" s="44"/>
      <c r="R3" s="44"/>
    </row>
    <row r="4" spans="1:18" ht="12.75">
      <c r="A4" s="457" t="str">
        <f>mérleg!A7</f>
        <v>Közhatalmi bevételek</v>
      </c>
      <c r="B4" s="458">
        <f>mérleg!F7</f>
        <v>461095000</v>
      </c>
      <c r="C4" s="670">
        <v>10000000</v>
      </c>
      <c r="D4" s="670">
        <v>8000000</v>
      </c>
      <c r="E4" s="670">
        <v>160000000</v>
      </c>
      <c r="F4" s="670">
        <v>22038000</v>
      </c>
      <c r="G4" s="670">
        <v>12000000</v>
      </c>
      <c r="H4" s="670">
        <v>12000000</v>
      </c>
      <c r="I4" s="670">
        <v>10000000</v>
      </c>
      <c r="J4" s="670">
        <f t="shared" si="0"/>
        <v>10000000</v>
      </c>
      <c r="K4" s="670">
        <v>160000000</v>
      </c>
      <c r="L4" s="670">
        <v>10000000</v>
      </c>
      <c r="M4" s="670">
        <v>10000000</v>
      </c>
      <c r="N4" s="670">
        <v>37057000</v>
      </c>
      <c r="O4" s="44">
        <f aca="true" t="shared" si="1" ref="O4:O42">SUM(C4:N4)</f>
        <v>461095000</v>
      </c>
      <c r="P4" s="44">
        <f aca="true" t="shared" si="2" ref="P4:P42">O4-B4</f>
        <v>0</v>
      </c>
      <c r="Q4" s="44"/>
      <c r="R4" s="44"/>
    </row>
    <row r="5" spans="1:18" ht="12.75">
      <c r="A5" s="457" t="str">
        <f>mérleg!A8</f>
        <v>Önkormányzatok költségvetési támogatása és</v>
      </c>
      <c r="B5" s="458">
        <f>mérleg!F8</f>
        <v>872062322</v>
      </c>
      <c r="C5" s="458">
        <f>B5/12</f>
        <v>72671860.16666667</v>
      </c>
      <c r="D5" s="458">
        <f>B5/12</f>
        <v>72671860.16666667</v>
      </c>
      <c r="E5" s="458">
        <f>B5/12</f>
        <v>72671860.16666667</v>
      </c>
      <c r="F5" s="458">
        <f>B5/12</f>
        <v>72671860.16666667</v>
      </c>
      <c r="G5" s="458">
        <f>B5/12</f>
        <v>72671860.16666667</v>
      </c>
      <c r="H5" s="458">
        <f>B5/12</f>
        <v>72671860.16666667</v>
      </c>
      <c r="I5" s="458">
        <f>B5/12</f>
        <v>72671860.16666667</v>
      </c>
      <c r="J5" s="458">
        <f>B5/12</f>
        <v>72671860.16666667</v>
      </c>
      <c r="K5" s="458">
        <f>B5/12</f>
        <v>72671860.16666667</v>
      </c>
      <c r="L5" s="458">
        <f>B5/12</f>
        <v>72671860.16666667</v>
      </c>
      <c r="M5" s="458">
        <f>B5/12</f>
        <v>72671860.16666667</v>
      </c>
      <c r="N5" s="458">
        <f>B5/12</f>
        <v>72671860.16666667</v>
      </c>
      <c r="O5" s="44">
        <f t="shared" si="1"/>
        <v>872062321.9999999</v>
      </c>
      <c r="P5" s="44">
        <f t="shared" si="2"/>
        <v>0</v>
      </c>
      <c r="Q5" s="44"/>
      <c r="R5" s="44"/>
    </row>
    <row r="6" spans="1:18" ht="12.75">
      <c r="A6" s="457" t="str">
        <f>mérleg!A10</f>
        <v>Mûködési célú pénzeszköz átvétel (tám.ért.átv)</v>
      </c>
      <c r="B6" s="458">
        <f>mérleg!F10</f>
        <v>407583671</v>
      </c>
      <c r="C6" s="458">
        <f aca="true" t="shared" si="3" ref="C6:C39">B6/12</f>
        <v>33965305.916666664</v>
      </c>
      <c r="D6" s="458">
        <f aca="true" t="shared" si="4" ref="D6:N10">C6</f>
        <v>33965305.916666664</v>
      </c>
      <c r="E6" s="458">
        <f t="shared" si="4"/>
        <v>33965305.916666664</v>
      </c>
      <c r="F6" s="458">
        <f t="shared" si="4"/>
        <v>33965305.916666664</v>
      </c>
      <c r="G6" s="458">
        <f t="shared" si="4"/>
        <v>33965305.916666664</v>
      </c>
      <c r="H6" s="458">
        <f t="shared" si="4"/>
        <v>33965305.916666664</v>
      </c>
      <c r="I6" s="458">
        <f t="shared" si="4"/>
        <v>33965305.916666664</v>
      </c>
      <c r="J6" s="458">
        <f t="shared" si="4"/>
        <v>33965305.916666664</v>
      </c>
      <c r="K6" s="458">
        <f t="shared" si="4"/>
        <v>33965305.916666664</v>
      </c>
      <c r="L6" s="458">
        <f>K6</f>
        <v>33965305.916666664</v>
      </c>
      <c r="M6" s="458">
        <f t="shared" si="4"/>
        <v>33965305.916666664</v>
      </c>
      <c r="N6" s="458">
        <f t="shared" si="4"/>
        <v>33965305.916666664</v>
      </c>
      <c r="O6" s="44">
        <f t="shared" si="1"/>
        <v>407583671.00000006</v>
      </c>
      <c r="P6" s="44">
        <f t="shared" si="2"/>
        <v>0</v>
      </c>
      <c r="Q6" s="44"/>
      <c r="R6" s="44"/>
    </row>
    <row r="7" spans="1:18" ht="12.75">
      <c r="A7" s="457" t="str">
        <f>mérleg!A11</f>
        <v>Mûködési célú kölcsönök visszatérülése, igénybevétele</v>
      </c>
      <c r="B7" s="458">
        <f>mérleg!F11</f>
        <v>54000000</v>
      </c>
      <c r="C7" s="458">
        <f t="shared" si="3"/>
        <v>4500000</v>
      </c>
      <c r="D7" s="458">
        <f t="shared" si="4"/>
        <v>4500000</v>
      </c>
      <c r="E7" s="458">
        <f t="shared" si="4"/>
        <v>4500000</v>
      </c>
      <c r="F7" s="458">
        <f t="shared" si="4"/>
        <v>4500000</v>
      </c>
      <c r="G7" s="458">
        <f t="shared" si="4"/>
        <v>4500000</v>
      </c>
      <c r="H7" s="458">
        <f t="shared" si="4"/>
        <v>4500000</v>
      </c>
      <c r="I7" s="458">
        <f t="shared" si="4"/>
        <v>4500000</v>
      </c>
      <c r="J7" s="458">
        <f t="shared" si="4"/>
        <v>4500000</v>
      </c>
      <c r="K7" s="458">
        <f t="shared" si="4"/>
        <v>4500000</v>
      </c>
      <c r="L7" s="458">
        <f t="shared" si="4"/>
        <v>4500000</v>
      </c>
      <c r="M7" s="458">
        <f t="shared" si="4"/>
        <v>4500000</v>
      </c>
      <c r="N7" s="458">
        <f t="shared" si="4"/>
        <v>4500000</v>
      </c>
      <c r="O7" s="44">
        <f t="shared" si="1"/>
        <v>54000000</v>
      </c>
      <c r="P7" s="44">
        <f t="shared" si="2"/>
        <v>0</v>
      </c>
      <c r="Q7" s="44"/>
      <c r="R7" s="44"/>
    </row>
    <row r="8" spans="1:18" ht="12.75">
      <c r="A8" s="457" t="str">
        <f>mérleg!A12</f>
        <v>állami támogatás megelőlegezés</v>
      </c>
      <c r="B8" s="458">
        <f>mérleg!F12</f>
        <v>31426346</v>
      </c>
      <c r="C8" s="458">
        <f t="shared" si="3"/>
        <v>2618862.1666666665</v>
      </c>
      <c r="D8" s="458">
        <f t="shared" si="4"/>
        <v>2618862.1666666665</v>
      </c>
      <c r="E8" s="458">
        <f t="shared" si="4"/>
        <v>2618862.1666666665</v>
      </c>
      <c r="F8" s="458">
        <f t="shared" si="4"/>
        <v>2618862.1666666665</v>
      </c>
      <c r="G8" s="458">
        <f t="shared" si="4"/>
        <v>2618862.1666666665</v>
      </c>
      <c r="H8" s="458">
        <f t="shared" si="4"/>
        <v>2618862.1666666665</v>
      </c>
      <c r="I8" s="458">
        <f t="shared" si="4"/>
        <v>2618862.1666666665</v>
      </c>
      <c r="J8" s="458">
        <f t="shared" si="4"/>
        <v>2618862.1666666665</v>
      </c>
      <c r="K8" s="458">
        <f t="shared" si="4"/>
        <v>2618862.1666666665</v>
      </c>
      <c r="L8" s="458">
        <f t="shared" si="4"/>
        <v>2618862.1666666665</v>
      </c>
      <c r="M8" s="458">
        <f t="shared" si="4"/>
        <v>2618862.1666666665</v>
      </c>
      <c r="N8" s="458">
        <f t="shared" si="4"/>
        <v>2618862.1666666665</v>
      </c>
      <c r="O8" s="44">
        <f t="shared" si="1"/>
        <v>31426346.000000004</v>
      </c>
      <c r="P8" s="44">
        <f t="shared" si="2"/>
        <v>0</v>
      </c>
      <c r="Q8" s="44"/>
      <c r="R8" s="44"/>
    </row>
    <row r="9" spans="1:18" ht="12.75">
      <c r="A9" s="457" t="str">
        <f>mérleg!A13</f>
        <v>Rövidlejáratú értékpapírok értékesítése</v>
      </c>
      <c r="B9" s="458">
        <f>mérleg!F13</f>
        <v>0</v>
      </c>
      <c r="C9" s="458">
        <f t="shared" si="3"/>
        <v>0</v>
      </c>
      <c r="D9" s="458">
        <f t="shared" si="4"/>
        <v>0</v>
      </c>
      <c r="E9" s="458">
        <f t="shared" si="4"/>
        <v>0</v>
      </c>
      <c r="F9" s="458">
        <f t="shared" si="4"/>
        <v>0</v>
      </c>
      <c r="G9" s="458">
        <f t="shared" si="4"/>
        <v>0</v>
      </c>
      <c r="H9" s="458">
        <f t="shared" si="4"/>
        <v>0</v>
      </c>
      <c r="I9" s="458">
        <f t="shared" si="4"/>
        <v>0</v>
      </c>
      <c r="J9" s="458">
        <f t="shared" si="4"/>
        <v>0</v>
      </c>
      <c r="K9" s="458">
        <f t="shared" si="4"/>
        <v>0</v>
      </c>
      <c r="L9" s="458">
        <f t="shared" si="4"/>
        <v>0</v>
      </c>
      <c r="M9" s="458">
        <f t="shared" si="4"/>
        <v>0</v>
      </c>
      <c r="N9" s="458">
        <f t="shared" si="4"/>
        <v>0</v>
      </c>
      <c r="O9" s="44">
        <f t="shared" si="1"/>
        <v>0</v>
      </c>
      <c r="P9" s="44">
        <f t="shared" si="2"/>
        <v>0</v>
      </c>
      <c r="Q9" s="44"/>
      <c r="R9" s="44"/>
    </row>
    <row r="10" spans="1:18" ht="12.75">
      <c r="A10" s="457" t="str">
        <f>mérleg!A14</f>
        <v>Mûködési célú elõzõ évi pénzmaradvány igénybevétele</v>
      </c>
      <c r="B10" s="458">
        <f>mérleg!F14</f>
        <v>284572430</v>
      </c>
      <c r="C10" s="458">
        <f t="shared" si="3"/>
        <v>23714369.166666668</v>
      </c>
      <c r="D10" s="458">
        <f t="shared" si="4"/>
        <v>23714369.166666668</v>
      </c>
      <c r="E10" s="458">
        <f t="shared" si="4"/>
        <v>23714369.166666668</v>
      </c>
      <c r="F10" s="458">
        <f t="shared" si="4"/>
        <v>23714369.166666668</v>
      </c>
      <c r="G10" s="458">
        <f t="shared" si="4"/>
        <v>23714369.166666668</v>
      </c>
      <c r="H10" s="458">
        <f t="shared" si="4"/>
        <v>23714369.166666668</v>
      </c>
      <c r="I10" s="458">
        <f t="shared" si="4"/>
        <v>23714369.166666668</v>
      </c>
      <c r="J10" s="458">
        <f t="shared" si="4"/>
        <v>23714369.166666668</v>
      </c>
      <c r="K10" s="458">
        <f t="shared" si="4"/>
        <v>23714369.166666668</v>
      </c>
      <c r="L10" s="458">
        <f t="shared" si="4"/>
        <v>23714369.166666668</v>
      </c>
      <c r="M10" s="458">
        <f t="shared" si="4"/>
        <v>23714369.166666668</v>
      </c>
      <c r="N10" s="458">
        <f t="shared" si="4"/>
        <v>23714369.166666668</v>
      </c>
      <c r="O10" s="44">
        <f t="shared" si="1"/>
        <v>284572429.99999994</v>
      </c>
      <c r="P10" s="44">
        <f t="shared" si="2"/>
        <v>0</v>
      </c>
      <c r="Q10" s="44"/>
      <c r="R10" s="44"/>
    </row>
    <row r="11" spans="1:18" ht="12.75">
      <c r="A11" s="457" t="s">
        <v>402</v>
      </c>
      <c r="B11" s="458">
        <f aca="true" t="shared" si="5" ref="B11:N11">SUM(B3:B10)</f>
        <v>2350725944</v>
      </c>
      <c r="C11" s="458">
        <f t="shared" si="5"/>
        <v>167469245.3333333</v>
      </c>
      <c r="D11" s="458">
        <f t="shared" si="5"/>
        <v>165469245.3333333</v>
      </c>
      <c r="E11" s="458">
        <f t="shared" si="5"/>
        <v>317469245.3333334</v>
      </c>
      <c r="F11" s="458">
        <f t="shared" si="5"/>
        <v>179507245.3333333</v>
      </c>
      <c r="G11" s="458">
        <f t="shared" si="5"/>
        <v>169469245.3333333</v>
      </c>
      <c r="H11" s="458">
        <f t="shared" si="5"/>
        <v>169469245.3333333</v>
      </c>
      <c r="I11" s="458">
        <f t="shared" si="5"/>
        <v>167469245.3333333</v>
      </c>
      <c r="J11" s="458">
        <f t="shared" si="5"/>
        <v>167469245.3333333</v>
      </c>
      <c r="K11" s="458">
        <f t="shared" si="5"/>
        <v>317469245.3333334</v>
      </c>
      <c r="L11" s="458">
        <f t="shared" si="5"/>
        <v>167469245.3333333</v>
      </c>
      <c r="M11" s="458">
        <f t="shared" si="5"/>
        <v>167469245.3333333</v>
      </c>
      <c r="N11" s="458">
        <f t="shared" si="5"/>
        <v>194526245.3333333</v>
      </c>
      <c r="O11" s="44"/>
      <c r="P11" s="44"/>
      <c r="Q11" s="44"/>
      <c r="R11" s="44"/>
    </row>
    <row r="12" spans="1:18" ht="12.75">
      <c r="A12" s="457" t="str">
        <f>mérleg!A19</f>
        <v>Személyi juttatások</v>
      </c>
      <c r="B12" s="458">
        <f>mérleg!F19</f>
        <v>871288220</v>
      </c>
      <c r="C12" s="458">
        <f>B12/12</f>
        <v>72607351.66666667</v>
      </c>
      <c r="D12" s="458">
        <f>C12</f>
        <v>72607351.66666667</v>
      </c>
      <c r="E12" s="458">
        <f aca="true" t="shared" si="6" ref="E12:N12">D12</f>
        <v>72607351.66666667</v>
      </c>
      <c r="F12" s="458">
        <f t="shared" si="6"/>
        <v>72607351.66666667</v>
      </c>
      <c r="G12" s="458">
        <f t="shared" si="6"/>
        <v>72607351.66666667</v>
      </c>
      <c r="H12" s="458">
        <f t="shared" si="6"/>
        <v>72607351.66666667</v>
      </c>
      <c r="I12" s="458">
        <f t="shared" si="6"/>
        <v>72607351.66666667</v>
      </c>
      <c r="J12" s="458">
        <f t="shared" si="6"/>
        <v>72607351.66666667</v>
      </c>
      <c r="K12" s="458">
        <f t="shared" si="6"/>
        <v>72607351.66666667</v>
      </c>
      <c r="L12" s="458">
        <f t="shared" si="6"/>
        <v>72607351.66666667</v>
      </c>
      <c r="M12" s="458">
        <f t="shared" si="6"/>
        <v>72607351.66666667</v>
      </c>
      <c r="N12" s="458">
        <f t="shared" si="6"/>
        <v>72607351.66666667</v>
      </c>
      <c r="O12" s="44">
        <f t="shared" si="1"/>
        <v>871288219.9999999</v>
      </c>
      <c r="P12" s="44">
        <f t="shared" si="2"/>
        <v>0</v>
      </c>
      <c r="Q12" s="44"/>
      <c r="R12" s="44"/>
    </row>
    <row r="13" spans="1:18" ht="12.75">
      <c r="A13" s="457" t="str">
        <f>mérleg!A20</f>
        <v>Munkaadót terhelõ járulékok</v>
      </c>
      <c r="B13" s="458">
        <f>mérleg!F20</f>
        <v>181364859.63</v>
      </c>
      <c r="C13" s="458">
        <f>B13/12</f>
        <v>15113738.3025</v>
      </c>
      <c r="D13" s="458">
        <f aca="true" t="shared" si="7" ref="D13:N19">C13</f>
        <v>15113738.3025</v>
      </c>
      <c r="E13" s="458">
        <f t="shared" si="7"/>
        <v>15113738.3025</v>
      </c>
      <c r="F13" s="458">
        <f t="shared" si="7"/>
        <v>15113738.3025</v>
      </c>
      <c r="G13" s="458">
        <f t="shared" si="7"/>
        <v>15113738.3025</v>
      </c>
      <c r="H13" s="458">
        <f t="shared" si="7"/>
        <v>15113738.3025</v>
      </c>
      <c r="I13" s="458">
        <f t="shared" si="7"/>
        <v>15113738.3025</v>
      </c>
      <c r="J13" s="458">
        <f t="shared" si="7"/>
        <v>15113738.3025</v>
      </c>
      <c r="K13" s="458">
        <f t="shared" si="7"/>
        <v>15113738.3025</v>
      </c>
      <c r="L13" s="458">
        <f t="shared" si="7"/>
        <v>15113738.3025</v>
      </c>
      <c r="M13" s="458">
        <f t="shared" si="7"/>
        <v>15113738.3025</v>
      </c>
      <c r="N13" s="458">
        <f t="shared" si="7"/>
        <v>15113738.3025</v>
      </c>
      <c r="O13" s="44">
        <f t="shared" si="1"/>
        <v>181364859.63000003</v>
      </c>
      <c r="P13" s="44">
        <f t="shared" si="2"/>
        <v>0</v>
      </c>
      <c r="Q13" s="44"/>
      <c r="R13" s="44"/>
    </row>
    <row r="14" spans="1:18" ht="12.75">
      <c r="A14" s="457" t="str">
        <f>mérleg!A21</f>
        <v>Dologi és egyéb folyó kiadások (le:t.e.áfa befiz és kamat)</v>
      </c>
      <c r="B14" s="458">
        <f>mérleg!F21</f>
        <v>673461530</v>
      </c>
      <c r="C14" s="458">
        <f t="shared" si="3"/>
        <v>56121794.166666664</v>
      </c>
      <c r="D14" s="458">
        <f t="shared" si="7"/>
        <v>56121794.166666664</v>
      </c>
      <c r="E14" s="458">
        <f t="shared" si="7"/>
        <v>56121794.166666664</v>
      </c>
      <c r="F14" s="458">
        <f t="shared" si="7"/>
        <v>56121794.166666664</v>
      </c>
      <c r="G14" s="458">
        <f t="shared" si="7"/>
        <v>56121794.166666664</v>
      </c>
      <c r="H14" s="458">
        <f t="shared" si="7"/>
        <v>56121794.166666664</v>
      </c>
      <c r="I14" s="458">
        <f t="shared" si="7"/>
        <v>56121794.166666664</v>
      </c>
      <c r="J14" s="458">
        <f t="shared" si="7"/>
        <v>56121794.166666664</v>
      </c>
      <c r="K14" s="458">
        <f t="shared" si="7"/>
        <v>56121794.166666664</v>
      </c>
      <c r="L14" s="458">
        <f t="shared" si="7"/>
        <v>56121794.166666664</v>
      </c>
      <c r="M14" s="458">
        <f t="shared" si="7"/>
        <v>56121794.166666664</v>
      </c>
      <c r="N14" s="458">
        <f t="shared" si="7"/>
        <v>56121794.166666664</v>
      </c>
      <c r="O14" s="44">
        <f t="shared" si="1"/>
        <v>673461530</v>
      </c>
      <c r="P14" s="44">
        <f t="shared" si="2"/>
        <v>0</v>
      </c>
      <c r="Q14" s="44"/>
      <c r="R14" s="44"/>
    </row>
    <row r="15" spans="1:18" ht="12.75">
      <c r="A15" s="457" t="str">
        <f>mérleg!A22</f>
        <v>Mûködési célú pénzeszköz átad.,egyéb tám.</v>
      </c>
      <c r="B15" s="458">
        <f>mérleg!F22</f>
        <v>406697994</v>
      </c>
      <c r="C15" s="458">
        <f t="shared" si="3"/>
        <v>33891499.5</v>
      </c>
      <c r="D15" s="458">
        <f t="shared" si="7"/>
        <v>33891499.5</v>
      </c>
      <c r="E15" s="458">
        <f t="shared" si="7"/>
        <v>33891499.5</v>
      </c>
      <c r="F15" s="458">
        <f t="shared" si="7"/>
        <v>33891499.5</v>
      </c>
      <c r="G15" s="458">
        <f t="shared" si="7"/>
        <v>33891499.5</v>
      </c>
      <c r="H15" s="458">
        <f t="shared" si="7"/>
        <v>33891499.5</v>
      </c>
      <c r="I15" s="458">
        <f t="shared" si="7"/>
        <v>33891499.5</v>
      </c>
      <c r="J15" s="458">
        <f t="shared" si="7"/>
        <v>33891499.5</v>
      </c>
      <c r="K15" s="458">
        <f t="shared" si="7"/>
        <v>33891499.5</v>
      </c>
      <c r="L15" s="458">
        <f t="shared" si="7"/>
        <v>33891499.5</v>
      </c>
      <c r="M15" s="458">
        <f t="shared" si="7"/>
        <v>33891499.5</v>
      </c>
      <c r="N15" s="458">
        <f t="shared" si="7"/>
        <v>33891499.5</v>
      </c>
      <c r="O15" s="44">
        <f t="shared" si="1"/>
        <v>406697994</v>
      </c>
      <c r="P15" s="44">
        <f t="shared" si="2"/>
        <v>0</v>
      </c>
      <c r="Q15" s="44"/>
      <c r="R15" s="44"/>
    </row>
    <row r="16" spans="1:18" ht="12.75">
      <c r="A16" s="457" t="str">
        <f>mérleg!A23</f>
        <v>Ellátottak pénzbeli juttatása</v>
      </c>
      <c r="B16" s="458">
        <f>mérleg!F23</f>
        <v>0</v>
      </c>
      <c r="C16" s="458">
        <f t="shared" si="3"/>
        <v>0</v>
      </c>
      <c r="D16" s="458">
        <f t="shared" si="7"/>
        <v>0</v>
      </c>
      <c r="E16" s="458">
        <f t="shared" si="7"/>
        <v>0</v>
      </c>
      <c r="F16" s="458">
        <f t="shared" si="7"/>
        <v>0</v>
      </c>
      <c r="G16" s="458">
        <f t="shared" si="7"/>
        <v>0</v>
      </c>
      <c r="H16" s="458">
        <f t="shared" si="7"/>
        <v>0</v>
      </c>
      <c r="I16" s="458">
        <f t="shared" si="7"/>
        <v>0</v>
      </c>
      <c r="J16" s="458">
        <f t="shared" si="7"/>
        <v>0</v>
      </c>
      <c r="K16" s="458">
        <f t="shared" si="7"/>
        <v>0</v>
      </c>
      <c r="L16" s="458">
        <f t="shared" si="7"/>
        <v>0</v>
      </c>
      <c r="M16" s="458">
        <f t="shared" si="7"/>
        <v>0</v>
      </c>
      <c r="N16" s="458">
        <f t="shared" si="7"/>
        <v>0</v>
      </c>
      <c r="O16" s="44">
        <f t="shared" si="1"/>
        <v>0</v>
      </c>
      <c r="P16" s="44">
        <f t="shared" si="2"/>
        <v>0</v>
      </c>
      <c r="Q16" s="44"/>
      <c r="R16" s="44"/>
    </row>
    <row r="17" spans="1:18" s="42" customFormat="1" ht="12.75">
      <c r="A17" s="457" t="str">
        <f>mérleg!A24</f>
        <v>Mûköd. célú kölcsönök nyújtása és törlesztése</v>
      </c>
      <c r="B17" s="458">
        <f>mérleg!F24</f>
        <v>0</v>
      </c>
      <c r="C17" s="458">
        <f t="shared" si="3"/>
        <v>0</v>
      </c>
      <c r="D17" s="458">
        <f t="shared" si="7"/>
        <v>0</v>
      </c>
      <c r="E17" s="458">
        <f t="shared" si="7"/>
        <v>0</v>
      </c>
      <c r="F17" s="458">
        <f t="shared" si="7"/>
        <v>0</v>
      </c>
      <c r="G17" s="458">
        <f t="shared" si="7"/>
        <v>0</v>
      </c>
      <c r="H17" s="458">
        <f t="shared" si="7"/>
        <v>0</v>
      </c>
      <c r="I17" s="458">
        <f t="shared" si="7"/>
        <v>0</v>
      </c>
      <c r="J17" s="458">
        <f t="shared" si="7"/>
        <v>0</v>
      </c>
      <c r="K17" s="458">
        <f t="shared" si="7"/>
        <v>0</v>
      </c>
      <c r="L17" s="458">
        <f t="shared" si="7"/>
        <v>0</v>
      </c>
      <c r="M17" s="458">
        <f t="shared" si="7"/>
        <v>0</v>
      </c>
      <c r="N17" s="458">
        <f t="shared" si="7"/>
        <v>0</v>
      </c>
      <c r="O17" s="44">
        <f t="shared" si="1"/>
        <v>0</v>
      </c>
      <c r="P17" s="44">
        <f t="shared" si="2"/>
        <v>0</v>
      </c>
      <c r="Q17" s="44"/>
      <c r="R17" s="44"/>
    </row>
    <row r="18" spans="1:18" ht="12.75">
      <c r="A18" s="457" t="str">
        <f>mérleg!A25</f>
        <v>hitel kamata</v>
      </c>
      <c r="B18" s="458">
        <f>mérleg!F25</f>
        <v>19359444</v>
      </c>
      <c r="C18" s="458">
        <v>0</v>
      </c>
      <c r="D18" s="458">
        <f t="shared" si="7"/>
        <v>0</v>
      </c>
      <c r="E18" s="458">
        <f>B18/4</f>
        <v>4839861</v>
      </c>
      <c r="F18" s="458"/>
      <c r="G18" s="458">
        <f t="shared" si="7"/>
        <v>0</v>
      </c>
      <c r="H18" s="458">
        <f>B18/4</f>
        <v>4839861</v>
      </c>
      <c r="I18" s="458"/>
      <c r="J18" s="458">
        <f t="shared" si="7"/>
        <v>0</v>
      </c>
      <c r="K18" s="458">
        <f>B18/4</f>
        <v>4839861</v>
      </c>
      <c r="L18" s="458"/>
      <c r="M18" s="458">
        <f t="shared" si="7"/>
        <v>0</v>
      </c>
      <c r="N18" s="458">
        <f>B18/4</f>
        <v>4839861</v>
      </c>
      <c r="O18" s="44">
        <f t="shared" si="1"/>
        <v>19359444</v>
      </c>
      <c r="P18" s="44">
        <f t="shared" si="2"/>
        <v>0</v>
      </c>
      <c r="Q18" s="44"/>
      <c r="R18" s="44"/>
    </row>
    <row r="19" spans="1:18" ht="12.75">
      <c r="A19" s="457" t="str">
        <f>mérleg!A26</f>
        <v>Tartalékok</v>
      </c>
      <c r="B19" s="458">
        <f>mérleg!F26</f>
        <v>53019978</v>
      </c>
      <c r="C19" s="458">
        <f t="shared" si="3"/>
        <v>4418331.5</v>
      </c>
      <c r="D19" s="458">
        <f t="shared" si="7"/>
        <v>4418331.5</v>
      </c>
      <c r="E19" s="458">
        <f t="shared" si="7"/>
        <v>4418331.5</v>
      </c>
      <c r="F19" s="458">
        <f t="shared" si="7"/>
        <v>4418331.5</v>
      </c>
      <c r="G19" s="458">
        <f t="shared" si="7"/>
        <v>4418331.5</v>
      </c>
      <c r="H19" s="458">
        <f t="shared" si="7"/>
        <v>4418331.5</v>
      </c>
      <c r="I19" s="458">
        <f t="shared" si="7"/>
        <v>4418331.5</v>
      </c>
      <c r="J19" s="458">
        <f t="shared" si="7"/>
        <v>4418331.5</v>
      </c>
      <c r="K19" s="458">
        <f t="shared" si="7"/>
        <v>4418331.5</v>
      </c>
      <c r="L19" s="458">
        <f t="shared" si="7"/>
        <v>4418331.5</v>
      </c>
      <c r="M19" s="458">
        <f t="shared" si="7"/>
        <v>4418331.5</v>
      </c>
      <c r="N19" s="458">
        <f t="shared" si="7"/>
        <v>4418331.5</v>
      </c>
      <c r="O19" s="44">
        <f t="shared" si="1"/>
        <v>53019978</v>
      </c>
      <c r="P19" s="44">
        <f t="shared" si="2"/>
        <v>0</v>
      </c>
      <c r="Q19" s="44"/>
      <c r="R19" s="44"/>
    </row>
    <row r="20" spans="1:18" ht="12.75">
      <c r="A20" s="457" t="str">
        <f>mérleg!A27</f>
        <v>MÛKÖDÉSI CÉLÚ KIADÁS ÖSSZESEN</v>
      </c>
      <c r="B20" s="458">
        <f>mérleg!F27</f>
        <v>2205192025.63</v>
      </c>
      <c r="C20" s="458">
        <f>SUM(C12:C19)</f>
        <v>182152715.13583332</v>
      </c>
      <c r="D20" s="458">
        <f aca="true" t="shared" si="8" ref="D20:N20">SUM(D12:D19)</f>
        <v>182152715.13583332</v>
      </c>
      <c r="E20" s="458">
        <f t="shared" si="8"/>
        <v>186992576.13583332</v>
      </c>
      <c r="F20" s="458">
        <f t="shared" si="8"/>
        <v>182152715.13583332</v>
      </c>
      <c r="G20" s="458">
        <f t="shared" si="8"/>
        <v>182152715.13583332</v>
      </c>
      <c r="H20" s="458">
        <f t="shared" si="8"/>
        <v>186992576.13583332</v>
      </c>
      <c r="I20" s="458">
        <f t="shared" si="8"/>
        <v>182152715.13583332</v>
      </c>
      <c r="J20" s="458">
        <f t="shared" si="8"/>
        <v>182152715.13583332</v>
      </c>
      <c r="K20" s="458">
        <f t="shared" si="8"/>
        <v>186992576.13583332</v>
      </c>
      <c r="L20" s="458">
        <f t="shared" si="8"/>
        <v>182152715.13583332</v>
      </c>
      <c r="M20" s="458">
        <f t="shared" si="8"/>
        <v>182152715.13583332</v>
      </c>
      <c r="N20" s="458">
        <f t="shared" si="8"/>
        <v>186992576.13583332</v>
      </c>
      <c r="O20" s="44">
        <f t="shared" si="1"/>
        <v>2205192025.6299996</v>
      </c>
      <c r="P20" s="44">
        <f t="shared" si="2"/>
        <v>0</v>
      </c>
      <c r="Q20" s="44"/>
      <c r="R20" s="44"/>
    </row>
    <row r="21" spans="1:18" ht="12.75">
      <c r="A21" s="457" t="str">
        <f>mérleg!A28</f>
        <v>MŰKÖDÉSI BEVÉTEL - MŰKÖDÉSI KIADÁS</v>
      </c>
      <c r="B21" s="458">
        <f>mérleg!F28</f>
        <v>145533918.3699999</v>
      </c>
      <c r="C21" s="458">
        <f>C11-C20</f>
        <v>-14683469.80250001</v>
      </c>
      <c r="D21" s="458">
        <f aca="true" t="shared" si="9" ref="D21:N21">D11-D20</f>
        <v>-16683469.80250001</v>
      </c>
      <c r="E21" s="458">
        <f t="shared" si="9"/>
        <v>130476669.19750005</v>
      </c>
      <c r="F21" s="458">
        <f t="shared" si="9"/>
        <v>-2645469.8025000095</v>
      </c>
      <c r="G21" s="458">
        <f t="shared" si="9"/>
        <v>-12683469.80250001</v>
      </c>
      <c r="H21" s="458">
        <f t="shared" si="9"/>
        <v>-17523330.80250001</v>
      </c>
      <c r="I21" s="458">
        <f t="shared" si="9"/>
        <v>-14683469.80250001</v>
      </c>
      <c r="J21" s="458">
        <f t="shared" si="9"/>
        <v>-14683469.80250001</v>
      </c>
      <c r="K21" s="458">
        <f t="shared" si="9"/>
        <v>130476669.19750005</v>
      </c>
      <c r="L21" s="458">
        <f t="shared" si="9"/>
        <v>-14683469.80250001</v>
      </c>
      <c r="M21" s="458">
        <f t="shared" si="9"/>
        <v>-14683469.80250001</v>
      </c>
      <c r="N21" s="458">
        <f t="shared" si="9"/>
        <v>7533669.19749999</v>
      </c>
      <c r="O21" s="44">
        <f t="shared" si="1"/>
        <v>145533918.37</v>
      </c>
      <c r="P21" s="44">
        <f t="shared" si="2"/>
        <v>0</v>
      </c>
      <c r="Q21" s="44"/>
      <c r="R21" s="44"/>
    </row>
    <row r="22" spans="1:18" ht="12.75">
      <c r="A22" s="457" t="str">
        <f>mérleg!A30</f>
        <v>Önkormányzatok felhalmozási és tõke jellegû bevételei</v>
      </c>
      <c r="B22" s="458">
        <f>mérleg!F30</f>
        <v>0</v>
      </c>
      <c r="C22" s="458">
        <f t="shared" si="3"/>
        <v>0</v>
      </c>
      <c r="D22" s="458">
        <f aca="true" t="shared" si="10" ref="D22:N23">C22</f>
        <v>0</v>
      </c>
      <c r="E22" s="458">
        <f t="shared" si="10"/>
        <v>0</v>
      </c>
      <c r="F22" s="458">
        <f t="shared" si="10"/>
        <v>0</v>
      </c>
      <c r="G22" s="458">
        <f t="shared" si="10"/>
        <v>0</v>
      </c>
      <c r="H22" s="458">
        <f t="shared" si="10"/>
        <v>0</v>
      </c>
      <c r="I22" s="458">
        <f t="shared" si="10"/>
        <v>0</v>
      </c>
      <c r="J22" s="458">
        <f t="shared" si="10"/>
        <v>0</v>
      </c>
      <c r="K22" s="458">
        <f t="shared" si="10"/>
        <v>0</v>
      </c>
      <c r="L22" s="458">
        <f t="shared" si="10"/>
        <v>0</v>
      </c>
      <c r="M22" s="458">
        <f t="shared" si="10"/>
        <v>0</v>
      </c>
      <c r="N22" s="458">
        <f t="shared" si="10"/>
        <v>0</v>
      </c>
      <c r="O22" s="44">
        <f t="shared" si="1"/>
        <v>0</v>
      </c>
      <c r="P22" s="44">
        <f t="shared" si="2"/>
        <v>0</v>
      </c>
      <c r="R22" s="44"/>
    </row>
    <row r="23" spans="1:18" ht="12.75">
      <c r="A23" s="457" t="str">
        <f>mérleg!A31</f>
        <v>Fejlesztési célú támogatások </v>
      </c>
      <c r="B23" s="458">
        <f>mérleg!F31</f>
        <v>1438224543</v>
      </c>
      <c r="C23" s="670">
        <v>600000000</v>
      </c>
      <c r="D23" s="670"/>
      <c r="E23" s="670">
        <v>135000000</v>
      </c>
      <c r="F23" s="670"/>
      <c r="G23" s="670">
        <v>125000000</v>
      </c>
      <c r="H23" s="670">
        <v>265000000</v>
      </c>
      <c r="I23" s="670"/>
      <c r="J23" s="670">
        <f t="shared" si="10"/>
        <v>0</v>
      </c>
      <c r="K23" s="670">
        <f t="shared" si="10"/>
        <v>0</v>
      </c>
      <c r="L23" s="670">
        <v>210000000</v>
      </c>
      <c r="M23" s="670">
        <v>103224543</v>
      </c>
      <c r="N23" s="670"/>
      <c r="O23" s="44">
        <f t="shared" si="1"/>
        <v>1438224543</v>
      </c>
      <c r="P23" s="44">
        <f t="shared" si="2"/>
        <v>0</v>
      </c>
      <c r="Q23" s="44"/>
      <c r="R23" s="44"/>
    </row>
    <row r="24" spans="1:18" ht="12.75">
      <c r="A24" s="457" t="str">
        <f>mérleg!A32</f>
        <v>Felhalmozási célú pénzeszköz átvétel</v>
      </c>
      <c r="B24" s="458">
        <f>mérleg!F32</f>
        <v>61920000</v>
      </c>
      <c r="C24" s="670"/>
      <c r="D24" s="670">
        <f aca="true" t="shared" si="11" ref="D24:N30">C24</f>
        <v>0</v>
      </c>
      <c r="E24" s="670">
        <v>25000000</v>
      </c>
      <c r="F24" s="670"/>
      <c r="G24" s="670">
        <f t="shared" si="11"/>
        <v>0</v>
      </c>
      <c r="H24" s="670">
        <f t="shared" si="11"/>
        <v>0</v>
      </c>
      <c r="I24" s="670">
        <f t="shared" si="11"/>
        <v>0</v>
      </c>
      <c r="J24" s="670">
        <v>36920000</v>
      </c>
      <c r="K24" s="670"/>
      <c r="L24" s="670">
        <f t="shared" si="11"/>
        <v>0</v>
      </c>
      <c r="M24" s="670">
        <f t="shared" si="11"/>
        <v>0</v>
      </c>
      <c r="N24" s="670">
        <f t="shared" si="11"/>
        <v>0</v>
      </c>
      <c r="O24" s="44">
        <f t="shared" si="1"/>
        <v>61920000</v>
      </c>
      <c r="P24" s="44">
        <f t="shared" si="2"/>
        <v>0</v>
      </c>
      <c r="Q24" s="44"/>
      <c r="R24" s="44"/>
    </row>
    <row r="25" spans="1:18" ht="12.75">
      <c r="A25" s="457" t="str">
        <f>mérleg!A33</f>
        <v>Felhalmozási áfa visszatérülés</v>
      </c>
      <c r="B25" s="458">
        <f>mérleg!F33</f>
        <v>0</v>
      </c>
      <c r="C25" s="458">
        <f t="shared" si="3"/>
        <v>0</v>
      </c>
      <c r="D25" s="458">
        <f t="shared" si="11"/>
        <v>0</v>
      </c>
      <c r="E25" s="458">
        <f t="shared" si="11"/>
        <v>0</v>
      </c>
      <c r="F25" s="458">
        <f t="shared" si="11"/>
        <v>0</v>
      </c>
      <c r="G25" s="458">
        <f t="shared" si="11"/>
        <v>0</v>
      </c>
      <c r="H25" s="458">
        <f t="shared" si="11"/>
        <v>0</v>
      </c>
      <c r="I25" s="458">
        <f t="shared" si="11"/>
        <v>0</v>
      </c>
      <c r="J25" s="458">
        <f t="shared" si="11"/>
        <v>0</v>
      </c>
      <c r="K25" s="458">
        <f t="shared" si="11"/>
        <v>0</v>
      </c>
      <c r="L25" s="458">
        <f t="shared" si="11"/>
        <v>0</v>
      </c>
      <c r="M25" s="458">
        <f t="shared" si="11"/>
        <v>0</v>
      </c>
      <c r="N25" s="458">
        <f t="shared" si="11"/>
        <v>0</v>
      </c>
      <c r="O25" s="44">
        <f t="shared" si="1"/>
        <v>0</v>
      </c>
      <c r="P25" s="44">
        <f t="shared" si="2"/>
        <v>0</v>
      </c>
      <c r="R25" s="44"/>
    </row>
    <row r="26" spans="1:18" ht="12.75">
      <c r="A26" s="457" t="str">
        <f>mérleg!A34</f>
        <v>Értékesített tárgyi eszközök</v>
      </c>
      <c r="B26" s="458">
        <f>mérleg!F34</f>
        <v>97605000</v>
      </c>
      <c r="C26" s="458">
        <f t="shared" si="3"/>
        <v>8133750</v>
      </c>
      <c r="D26" s="458">
        <f t="shared" si="11"/>
        <v>8133750</v>
      </c>
      <c r="E26" s="458">
        <f t="shared" si="11"/>
        <v>8133750</v>
      </c>
      <c r="F26" s="458">
        <f t="shared" si="11"/>
        <v>8133750</v>
      </c>
      <c r="G26" s="458">
        <f t="shared" si="11"/>
        <v>8133750</v>
      </c>
      <c r="H26" s="458">
        <f t="shared" si="11"/>
        <v>8133750</v>
      </c>
      <c r="I26" s="458">
        <f t="shared" si="11"/>
        <v>8133750</v>
      </c>
      <c r="J26" s="458">
        <f t="shared" si="11"/>
        <v>8133750</v>
      </c>
      <c r="K26" s="458">
        <f t="shared" si="11"/>
        <v>8133750</v>
      </c>
      <c r="L26" s="458">
        <f t="shared" si="11"/>
        <v>8133750</v>
      </c>
      <c r="M26" s="458">
        <f t="shared" si="11"/>
        <v>8133750</v>
      </c>
      <c r="N26" s="458">
        <f t="shared" si="11"/>
        <v>8133750</v>
      </c>
      <c r="O26" s="44">
        <f t="shared" si="1"/>
        <v>97605000</v>
      </c>
      <c r="P26" s="44">
        <f t="shared" si="2"/>
        <v>0</v>
      </c>
      <c r="Q26" s="44"/>
      <c r="R26" s="44"/>
    </row>
    <row r="27" spans="1:18" ht="12.75">
      <c r="A27" s="457" t="str">
        <f>mérleg!A35</f>
        <v>vagyonhasznosítás 2017</v>
      </c>
      <c r="B27" s="458">
        <f>mérleg!F35</f>
        <v>0</v>
      </c>
      <c r="C27" s="458">
        <f t="shared" si="3"/>
        <v>0</v>
      </c>
      <c r="D27" s="458">
        <f t="shared" si="11"/>
        <v>0</v>
      </c>
      <c r="E27" s="458">
        <f t="shared" si="11"/>
        <v>0</v>
      </c>
      <c r="F27" s="458">
        <f t="shared" si="11"/>
        <v>0</v>
      </c>
      <c r="G27" s="458">
        <f t="shared" si="11"/>
        <v>0</v>
      </c>
      <c r="H27" s="458">
        <f t="shared" si="11"/>
        <v>0</v>
      </c>
      <c r="I27" s="458">
        <f t="shared" si="11"/>
        <v>0</v>
      </c>
      <c r="J27" s="458">
        <f t="shared" si="11"/>
        <v>0</v>
      </c>
      <c r="K27" s="458">
        <f t="shared" si="11"/>
        <v>0</v>
      </c>
      <c r="L27" s="458">
        <f t="shared" si="11"/>
        <v>0</v>
      </c>
      <c r="M27" s="458">
        <f t="shared" si="11"/>
        <v>0</v>
      </c>
      <c r="N27" s="458">
        <f t="shared" si="11"/>
        <v>0</v>
      </c>
      <c r="O27" s="44">
        <f t="shared" si="1"/>
        <v>0</v>
      </c>
      <c r="P27" s="44">
        <f t="shared" si="2"/>
        <v>0</v>
      </c>
      <c r="Q27" s="44"/>
      <c r="R27" s="44"/>
    </row>
    <row r="28" spans="1:18" ht="12.75">
      <c r="A28" s="457" t="str">
        <f>mérleg!A36</f>
        <v>Felhalmozási célú kölcsönök visszatérülése</v>
      </c>
      <c r="B28" s="458">
        <f>mérleg!F36</f>
        <v>0</v>
      </c>
      <c r="C28" s="458">
        <f t="shared" si="3"/>
        <v>0</v>
      </c>
      <c r="D28" s="458">
        <f t="shared" si="11"/>
        <v>0</v>
      </c>
      <c r="E28" s="458">
        <f t="shared" si="11"/>
        <v>0</v>
      </c>
      <c r="F28" s="458">
        <f t="shared" si="11"/>
        <v>0</v>
      </c>
      <c r="G28" s="458">
        <f t="shared" si="11"/>
        <v>0</v>
      </c>
      <c r="H28" s="458">
        <f t="shared" si="11"/>
        <v>0</v>
      </c>
      <c r="I28" s="458">
        <f t="shared" si="11"/>
        <v>0</v>
      </c>
      <c r="J28" s="458">
        <f t="shared" si="11"/>
        <v>0</v>
      </c>
      <c r="K28" s="458">
        <f t="shared" si="11"/>
        <v>0</v>
      </c>
      <c r="L28" s="458">
        <f t="shared" si="11"/>
        <v>0</v>
      </c>
      <c r="M28" s="458">
        <f t="shared" si="11"/>
        <v>0</v>
      </c>
      <c r="N28" s="458">
        <f t="shared" si="11"/>
        <v>0</v>
      </c>
      <c r="O28" s="44">
        <f t="shared" si="1"/>
        <v>0</v>
      </c>
      <c r="P28" s="44">
        <f t="shared" si="2"/>
        <v>0</v>
      </c>
      <c r="Q28" s="44"/>
      <c r="R28" s="44"/>
    </row>
    <row r="29" spans="1:18" ht="12.75">
      <c r="A29" s="457" t="str">
        <f>mérleg!A37</f>
        <v>Hosszú lejáratú hitel/fejlesztési célú hitel</v>
      </c>
      <c r="B29" s="458">
        <f>mérleg!F37</f>
        <v>458554196</v>
      </c>
      <c r="C29" s="458">
        <v>0</v>
      </c>
      <c r="D29" s="458">
        <f t="shared" si="11"/>
        <v>0</v>
      </c>
      <c r="E29" s="458">
        <v>15000000</v>
      </c>
      <c r="F29" s="458">
        <v>30000000</v>
      </c>
      <c r="G29" s="458">
        <f t="shared" si="11"/>
        <v>30000000</v>
      </c>
      <c r="H29" s="458">
        <v>250000000</v>
      </c>
      <c r="I29" s="458">
        <v>58000000</v>
      </c>
      <c r="J29" s="458">
        <v>65000000</v>
      </c>
      <c r="K29" s="458">
        <v>0</v>
      </c>
      <c r="L29" s="458">
        <v>10554196</v>
      </c>
      <c r="M29" s="458">
        <v>0</v>
      </c>
      <c r="N29" s="458">
        <v>0</v>
      </c>
      <c r="O29" s="44">
        <f t="shared" si="1"/>
        <v>458554196</v>
      </c>
      <c r="P29" s="44">
        <f t="shared" si="2"/>
        <v>0</v>
      </c>
      <c r="Q29" s="44"/>
      <c r="R29" s="44"/>
    </row>
    <row r="30" spans="1:18" ht="12.75">
      <c r="A30" s="457" t="str">
        <f>mérleg!A38</f>
        <v>Felhalmozási célú elõzõ évi pénzmaradv.igénybevét.</v>
      </c>
      <c r="B30" s="458">
        <f>mérleg!F38</f>
        <v>371737530</v>
      </c>
      <c r="C30" s="458">
        <f t="shared" si="3"/>
        <v>30978127.5</v>
      </c>
      <c r="D30" s="458">
        <f t="shared" si="11"/>
        <v>30978127.5</v>
      </c>
      <c r="E30" s="458">
        <f t="shared" si="11"/>
        <v>30978127.5</v>
      </c>
      <c r="F30" s="458">
        <f t="shared" si="11"/>
        <v>30978127.5</v>
      </c>
      <c r="G30" s="458">
        <f t="shared" si="11"/>
        <v>30978127.5</v>
      </c>
      <c r="H30" s="458">
        <f t="shared" si="11"/>
        <v>30978127.5</v>
      </c>
      <c r="I30" s="458">
        <f t="shared" si="11"/>
        <v>30978127.5</v>
      </c>
      <c r="J30" s="458">
        <f t="shared" si="11"/>
        <v>30978127.5</v>
      </c>
      <c r="K30" s="458">
        <f t="shared" si="11"/>
        <v>30978127.5</v>
      </c>
      <c r="L30" s="458">
        <f t="shared" si="11"/>
        <v>30978127.5</v>
      </c>
      <c r="M30" s="458">
        <f t="shared" si="11"/>
        <v>30978127.5</v>
      </c>
      <c r="N30" s="458">
        <f t="shared" si="11"/>
        <v>30978127.5</v>
      </c>
      <c r="O30" s="44">
        <f t="shared" si="1"/>
        <v>371737530</v>
      </c>
      <c r="P30" s="44">
        <f t="shared" si="2"/>
        <v>0</v>
      </c>
      <c r="Q30" s="44"/>
      <c r="R30" s="44"/>
    </row>
    <row r="31" spans="1:18" ht="12.75">
      <c r="A31" s="457" t="str">
        <f>mérleg!A39</f>
        <v>FELHALMOZÁSI CÉLÚ BEVÉTELEK ÖSSZESEN</v>
      </c>
      <c r="B31" s="458">
        <f>mérleg!F39</f>
        <v>2428041269</v>
      </c>
      <c r="C31" s="458">
        <f>SUM(C22:C30)</f>
        <v>639111877.5</v>
      </c>
      <c r="D31" s="458">
        <f aca="true" t="shared" si="12" ref="D31:N31">SUM(D22:D30)</f>
        <v>39111877.5</v>
      </c>
      <c r="E31" s="458">
        <f t="shared" si="12"/>
        <v>214111877.5</v>
      </c>
      <c r="F31" s="458">
        <f t="shared" si="12"/>
        <v>69111877.5</v>
      </c>
      <c r="G31" s="458">
        <f t="shared" si="12"/>
        <v>194111877.5</v>
      </c>
      <c r="H31" s="458">
        <f t="shared" si="12"/>
        <v>554111877.5</v>
      </c>
      <c r="I31" s="458">
        <f t="shared" si="12"/>
        <v>97111877.5</v>
      </c>
      <c r="J31" s="458">
        <f t="shared" si="12"/>
        <v>141031877.5</v>
      </c>
      <c r="K31" s="458">
        <f t="shared" si="12"/>
        <v>39111877.5</v>
      </c>
      <c r="L31" s="458">
        <f t="shared" si="12"/>
        <v>259666073.5</v>
      </c>
      <c r="M31" s="458">
        <f t="shared" si="12"/>
        <v>142336420.5</v>
      </c>
      <c r="N31" s="458">
        <f t="shared" si="12"/>
        <v>39111877.5</v>
      </c>
      <c r="O31" s="44">
        <f t="shared" si="1"/>
        <v>2428041269</v>
      </c>
      <c r="P31" s="44">
        <f t="shared" si="2"/>
        <v>0</v>
      </c>
      <c r="Q31" s="44"/>
      <c r="R31" s="44"/>
    </row>
    <row r="32" spans="1:18" ht="12.75">
      <c r="A32" s="457" t="str">
        <f>mérleg!A40</f>
        <v>BEVÉTELEK MINDÖSSZESEN</v>
      </c>
      <c r="B32" s="458">
        <f>mérleg!F40</f>
        <v>4778767213</v>
      </c>
      <c r="C32" s="458">
        <f>C31+C11</f>
        <v>806581122.8333333</v>
      </c>
      <c r="D32" s="458">
        <f aca="true" t="shared" si="13" ref="D32:N32">D31+D11</f>
        <v>204581122.8333333</v>
      </c>
      <c r="E32" s="458">
        <f t="shared" si="13"/>
        <v>531581122.8333334</v>
      </c>
      <c r="F32" s="458">
        <f t="shared" si="13"/>
        <v>248619122.8333333</v>
      </c>
      <c r="G32" s="458">
        <f t="shared" si="13"/>
        <v>363581122.8333333</v>
      </c>
      <c r="H32" s="458">
        <f t="shared" si="13"/>
        <v>723581122.8333333</v>
      </c>
      <c r="I32" s="458">
        <f t="shared" si="13"/>
        <v>264581122.8333333</v>
      </c>
      <c r="J32" s="458">
        <f t="shared" si="13"/>
        <v>308501122.8333333</v>
      </c>
      <c r="K32" s="458">
        <f t="shared" si="13"/>
        <v>356581122.8333334</v>
      </c>
      <c r="L32" s="458">
        <f t="shared" si="13"/>
        <v>427135318.8333333</v>
      </c>
      <c r="M32" s="458">
        <f t="shared" si="13"/>
        <v>309805665.8333333</v>
      </c>
      <c r="N32" s="458">
        <f t="shared" si="13"/>
        <v>233638122.8333333</v>
      </c>
      <c r="O32" s="44">
        <f t="shared" si="1"/>
        <v>4778767213</v>
      </c>
      <c r="P32" s="44">
        <f t="shared" si="2"/>
        <v>0</v>
      </c>
      <c r="Q32" s="44"/>
      <c r="R32" s="44"/>
    </row>
    <row r="33" spans="1:18" ht="12.75">
      <c r="A33" s="457" t="str">
        <f>mérleg!A44</f>
        <v>Felhalmozási kiadások (áfá-val)</v>
      </c>
      <c r="B33" s="458">
        <f>mérleg!F44</f>
        <v>2219233767</v>
      </c>
      <c r="C33" s="458">
        <v>100000000</v>
      </c>
      <c r="D33" s="458">
        <v>150000000</v>
      </c>
      <c r="E33" s="458">
        <v>35000000</v>
      </c>
      <c r="F33" s="670">
        <v>680000000</v>
      </c>
      <c r="G33" s="670">
        <v>75800000</v>
      </c>
      <c r="H33" s="670">
        <v>125000000</v>
      </c>
      <c r="I33" s="670">
        <v>150000000</v>
      </c>
      <c r="J33" s="670">
        <v>28000000</v>
      </c>
      <c r="K33" s="670">
        <v>220000000</v>
      </c>
      <c r="L33" s="670">
        <v>210000000</v>
      </c>
      <c r="M33" s="670">
        <v>250000000</v>
      </c>
      <c r="N33" s="670">
        <v>195433767</v>
      </c>
      <c r="O33" s="44">
        <f t="shared" si="1"/>
        <v>2219233767</v>
      </c>
      <c r="P33" s="44">
        <f t="shared" si="2"/>
        <v>0</v>
      </c>
      <c r="Q33" s="466"/>
      <c r="R33" s="44"/>
    </row>
    <row r="34" spans="1:18" ht="12.75">
      <c r="A34" s="457" t="str">
        <f>mérleg!A45</f>
        <v>Felújítási kiadások (áfá-val)</v>
      </c>
      <c r="B34" s="458">
        <f>mérleg!F45</f>
        <v>214852355</v>
      </c>
      <c r="C34" s="458">
        <v>10000000</v>
      </c>
      <c r="D34" s="458">
        <v>25000000</v>
      </c>
      <c r="E34" s="458">
        <v>5000000</v>
      </c>
      <c r="F34" s="670">
        <v>44652355</v>
      </c>
      <c r="G34" s="670">
        <v>8000000</v>
      </c>
      <c r="H34" s="670">
        <v>25000000</v>
      </c>
      <c r="I34" s="670">
        <v>10000000</v>
      </c>
      <c r="J34" s="670">
        <v>15000000</v>
      </c>
      <c r="K34" s="670">
        <v>18050000</v>
      </c>
      <c r="L34" s="670">
        <v>18050000</v>
      </c>
      <c r="M34" s="670">
        <v>18050000</v>
      </c>
      <c r="N34" s="670">
        <v>18050000</v>
      </c>
      <c r="O34" s="44">
        <f t="shared" si="1"/>
        <v>214852355</v>
      </c>
      <c r="P34" s="44">
        <f t="shared" si="2"/>
        <v>0</v>
      </c>
      <c r="Q34" s="466"/>
      <c r="R34" s="44"/>
    </row>
    <row r="35" spans="1:18" ht="12.75">
      <c r="A35" s="457" t="str">
        <f>mérleg!A46</f>
        <v>Értékesített tárgyi eszközök utáni áfa befizet</v>
      </c>
      <c r="B35" s="458">
        <f>mérleg!F46</f>
        <v>0</v>
      </c>
      <c r="C35" s="458">
        <f t="shared" si="3"/>
        <v>0</v>
      </c>
      <c r="D35" s="458">
        <f aca="true" t="shared" si="14" ref="D35:N38">C35</f>
        <v>0</v>
      </c>
      <c r="E35" s="458">
        <f t="shared" si="14"/>
        <v>0</v>
      </c>
      <c r="F35" s="458">
        <f t="shared" si="14"/>
        <v>0</v>
      </c>
      <c r="G35" s="458">
        <f t="shared" si="14"/>
        <v>0</v>
      </c>
      <c r="H35" s="458">
        <f t="shared" si="14"/>
        <v>0</v>
      </c>
      <c r="I35" s="458">
        <f t="shared" si="14"/>
        <v>0</v>
      </c>
      <c r="J35" s="458">
        <f t="shared" si="14"/>
        <v>0</v>
      </c>
      <c r="K35" s="458">
        <f t="shared" si="14"/>
        <v>0</v>
      </c>
      <c r="L35" s="458">
        <f t="shared" si="14"/>
        <v>0</v>
      </c>
      <c r="M35" s="458">
        <f t="shared" si="14"/>
        <v>0</v>
      </c>
      <c r="N35" s="458">
        <f t="shared" si="14"/>
        <v>0</v>
      </c>
      <c r="O35" s="44">
        <f t="shared" si="1"/>
        <v>0</v>
      </c>
      <c r="P35" s="44">
        <f t="shared" si="2"/>
        <v>0</v>
      </c>
      <c r="Q35" s="466"/>
      <c r="R35" s="44"/>
    </row>
    <row r="36" spans="1:18" ht="12.75">
      <c r="A36" s="457" t="str">
        <f>mérleg!A47</f>
        <v>Felhalmozási célú pénzeszköz átadás</v>
      </c>
      <c r="B36" s="458">
        <f>mérleg!F47</f>
        <v>0</v>
      </c>
      <c r="C36" s="458">
        <f t="shared" si="3"/>
        <v>0</v>
      </c>
      <c r="D36" s="458">
        <f t="shared" si="14"/>
        <v>0</v>
      </c>
      <c r="E36" s="458">
        <f t="shared" si="14"/>
        <v>0</v>
      </c>
      <c r="F36" s="458">
        <f t="shared" si="14"/>
        <v>0</v>
      </c>
      <c r="G36" s="458">
        <f t="shared" si="14"/>
        <v>0</v>
      </c>
      <c r="H36" s="458">
        <f t="shared" si="14"/>
        <v>0</v>
      </c>
      <c r="I36" s="458">
        <f t="shared" si="14"/>
        <v>0</v>
      </c>
      <c r="J36" s="458">
        <f t="shared" si="14"/>
        <v>0</v>
      </c>
      <c r="K36" s="458">
        <f t="shared" si="14"/>
        <v>0</v>
      </c>
      <c r="L36" s="458">
        <f t="shared" si="14"/>
        <v>0</v>
      </c>
      <c r="M36" s="458">
        <f t="shared" si="14"/>
        <v>0</v>
      </c>
      <c r="N36" s="458">
        <f t="shared" si="14"/>
        <v>0</v>
      </c>
      <c r="O36" s="44">
        <f t="shared" si="1"/>
        <v>0</v>
      </c>
      <c r="P36" s="44">
        <f t="shared" si="2"/>
        <v>0</v>
      </c>
      <c r="Q36" s="466"/>
      <c r="R36" s="44"/>
    </row>
    <row r="37" spans="1:18" ht="12.75">
      <c r="A37" s="457" t="str">
        <f>mérleg!A48</f>
        <v>Felhalmozási célú kölcsönök nyújt. és törleszt.</v>
      </c>
      <c r="B37" s="458">
        <f>mérleg!F48</f>
        <v>0</v>
      </c>
      <c r="C37" s="458">
        <f t="shared" si="3"/>
        <v>0</v>
      </c>
      <c r="D37" s="458">
        <f t="shared" si="14"/>
        <v>0</v>
      </c>
      <c r="E37" s="458">
        <f t="shared" si="14"/>
        <v>0</v>
      </c>
      <c r="F37" s="458">
        <f t="shared" si="14"/>
        <v>0</v>
      </c>
      <c r="G37" s="458">
        <f t="shared" si="14"/>
        <v>0</v>
      </c>
      <c r="H37" s="458">
        <f t="shared" si="14"/>
        <v>0</v>
      </c>
      <c r="I37" s="458">
        <f t="shared" si="14"/>
        <v>0</v>
      </c>
      <c r="J37" s="458">
        <f t="shared" si="14"/>
        <v>0</v>
      </c>
      <c r="K37" s="458">
        <f t="shared" si="14"/>
        <v>0</v>
      </c>
      <c r="L37" s="458">
        <f t="shared" si="14"/>
        <v>0</v>
      </c>
      <c r="M37" s="458">
        <f t="shared" si="14"/>
        <v>0</v>
      </c>
      <c r="N37" s="458">
        <f t="shared" si="14"/>
        <v>0</v>
      </c>
      <c r="O37" s="44">
        <f t="shared" si="1"/>
        <v>0</v>
      </c>
      <c r="P37" s="44">
        <f t="shared" si="2"/>
        <v>0</v>
      </c>
      <c r="Q37" s="466"/>
      <c r="R37" s="44"/>
    </row>
    <row r="38" spans="1:18" ht="12.75">
      <c r="A38" s="457" t="str">
        <f>mérleg!A49</f>
        <v>Hosszú lejáratú hitel visszafizetés</v>
      </c>
      <c r="B38" s="458">
        <f>mérleg!F49</f>
        <v>7469065</v>
      </c>
      <c r="C38" s="458">
        <v>0</v>
      </c>
      <c r="D38" s="458">
        <v>0</v>
      </c>
      <c r="E38" s="458">
        <f>B38/4</f>
        <v>1867266.25</v>
      </c>
      <c r="F38" s="458"/>
      <c r="G38" s="458">
        <v>0</v>
      </c>
      <c r="H38" s="458">
        <f>B38/4</f>
        <v>1867266.25</v>
      </c>
      <c r="I38" s="458">
        <v>0</v>
      </c>
      <c r="J38" s="458">
        <v>0</v>
      </c>
      <c r="K38" s="458">
        <f>B38/4</f>
        <v>1867266.25</v>
      </c>
      <c r="L38" s="458"/>
      <c r="M38" s="458">
        <f t="shared" si="14"/>
        <v>0</v>
      </c>
      <c r="N38" s="458">
        <f>B38/4</f>
        <v>1867266.25</v>
      </c>
      <c r="O38" s="44">
        <f t="shared" si="1"/>
        <v>7469065</v>
      </c>
      <c r="P38" s="44">
        <f t="shared" si="2"/>
        <v>0</v>
      </c>
      <c r="Q38" s="466"/>
      <c r="R38" s="44"/>
    </row>
    <row r="39" spans="1:18" ht="12.75">
      <c r="A39" s="457" t="str">
        <f>mérleg!A50</f>
        <v>Tartalék</v>
      </c>
      <c r="B39" s="458">
        <f>mérleg!F50</f>
        <v>132020000</v>
      </c>
      <c r="C39" s="458">
        <f t="shared" si="3"/>
        <v>11001666.666666666</v>
      </c>
      <c r="D39" s="458">
        <f aca="true" t="shared" si="15" ref="D39:N39">C39</f>
        <v>11001666.666666666</v>
      </c>
      <c r="E39" s="458">
        <f t="shared" si="15"/>
        <v>11001666.666666666</v>
      </c>
      <c r="F39" s="458">
        <f t="shared" si="15"/>
        <v>11001666.666666666</v>
      </c>
      <c r="G39" s="458">
        <f t="shared" si="15"/>
        <v>11001666.666666666</v>
      </c>
      <c r="H39" s="458">
        <f t="shared" si="15"/>
        <v>11001666.666666666</v>
      </c>
      <c r="I39" s="458">
        <f t="shared" si="15"/>
        <v>11001666.666666666</v>
      </c>
      <c r="J39" s="458">
        <f t="shared" si="15"/>
        <v>11001666.666666666</v>
      </c>
      <c r="K39" s="458">
        <f t="shared" si="15"/>
        <v>11001666.666666666</v>
      </c>
      <c r="L39" s="458">
        <f t="shared" si="15"/>
        <v>11001666.666666666</v>
      </c>
      <c r="M39" s="458">
        <f t="shared" si="15"/>
        <v>11001666.666666666</v>
      </c>
      <c r="N39" s="458">
        <f t="shared" si="15"/>
        <v>11001666.666666666</v>
      </c>
      <c r="O39" s="44">
        <f t="shared" si="1"/>
        <v>132020000.00000001</v>
      </c>
      <c r="P39" s="44">
        <f t="shared" si="2"/>
        <v>0</v>
      </c>
      <c r="Q39" s="466"/>
      <c r="R39" s="44"/>
    </row>
    <row r="40" spans="1:18" ht="12.75">
      <c r="A40" s="457" t="str">
        <f>mérleg!A51</f>
        <v>FELHALMOZÁSI CÉLÚ KIADÁSOK ÖSSZ.</v>
      </c>
      <c r="B40" s="458">
        <f>mérleg!F51</f>
        <v>2573575187</v>
      </c>
      <c r="C40" s="458">
        <f>SUM(C33:C39)</f>
        <v>121001666.66666667</v>
      </c>
      <c r="D40" s="458">
        <f aca="true" t="shared" si="16" ref="D40:N40">SUM(D33:D39)</f>
        <v>186001666.66666666</v>
      </c>
      <c r="E40" s="458">
        <f t="shared" si="16"/>
        <v>52868932.916666664</v>
      </c>
      <c r="F40" s="458">
        <f t="shared" si="16"/>
        <v>735654021.6666666</v>
      </c>
      <c r="G40" s="458">
        <f t="shared" si="16"/>
        <v>94801666.66666667</v>
      </c>
      <c r="H40" s="458">
        <f t="shared" si="16"/>
        <v>162868932.91666666</v>
      </c>
      <c r="I40" s="458">
        <f t="shared" si="16"/>
        <v>171001666.66666666</v>
      </c>
      <c r="J40" s="458">
        <f t="shared" si="16"/>
        <v>54001666.666666664</v>
      </c>
      <c r="K40" s="458">
        <f t="shared" si="16"/>
        <v>250918932.91666666</v>
      </c>
      <c r="L40" s="458">
        <f t="shared" si="16"/>
        <v>239051666.66666666</v>
      </c>
      <c r="M40" s="458">
        <f t="shared" si="16"/>
        <v>279051666.6666667</v>
      </c>
      <c r="N40" s="458">
        <f t="shared" si="16"/>
        <v>226352699.91666666</v>
      </c>
      <c r="O40" s="44">
        <f t="shared" si="1"/>
        <v>2573575187</v>
      </c>
      <c r="P40" s="44">
        <f t="shared" si="2"/>
        <v>0</v>
      </c>
      <c r="Q40" s="466"/>
      <c r="R40" s="44"/>
    </row>
    <row r="41" spans="1:18" ht="12.75">
      <c r="A41" s="457" t="str">
        <f>mérleg!A53</f>
        <v>KIADÁSOK MINDÖSSZESEN</v>
      </c>
      <c r="B41" s="458">
        <f>mérleg!F53</f>
        <v>4778767212.63</v>
      </c>
      <c r="C41" s="458">
        <f>C40+C20</f>
        <v>303154381.8025</v>
      </c>
      <c r="D41" s="458">
        <f aca="true" t="shared" si="17" ref="D41:N41">D40+D20</f>
        <v>368154381.8025</v>
      </c>
      <c r="E41" s="458">
        <f t="shared" si="17"/>
        <v>239861509.05249998</v>
      </c>
      <c r="F41" s="458">
        <f t="shared" si="17"/>
        <v>917806736.8025</v>
      </c>
      <c r="G41" s="458">
        <f t="shared" si="17"/>
        <v>276954381.8025</v>
      </c>
      <c r="H41" s="458">
        <f t="shared" si="17"/>
        <v>349861509.0525</v>
      </c>
      <c r="I41" s="458">
        <f t="shared" si="17"/>
        <v>353154381.8025</v>
      </c>
      <c r="J41" s="458">
        <f t="shared" si="17"/>
        <v>236154381.80249998</v>
      </c>
      <c r="K41" s="458">
        <f t="shared" si="17"/>
        <v>437911509.0525</v>
      </c>
      <c r="L41" s="458">
        <f t="shared" si="17"/>
        <v>421204381.8025</v>
      </c>
      <c r="M41" s="458">
        <f t="shared" si="17"/>
        <v>461204381.8025</v>
      </c>
      <c r="N41" s="458">
        <f t="shared" si="17"/>
        <v>413345276.0525</v>
      </c>
      <c r="O41" s="44">
        <f t="shared" si="1"/>
        <v>4778767212.629999</v>
      </c>
      <c r="P41" s="44">
        <f t="shared" si="2"/>
        <v>0</v>
      </c>
      <c r="Q41" s="466"/>
      <c r="R41" s="44"/>
    </row>
    <row r="42" spans="1:18" ht="12.75">
      <c r="A42" s="457" t="str">
        <f>mérleg!A56</f>
        <v>Egyenleg</v>
      </c>
      <c r="B42" s="458">
        <f>mérleg!F56</f>
        <v>0.36999988555908203</v>
      </c>
      <c r="C42" s="458">
        <f>C32-C41</f>
        <v>503426741.03083324</v>
      </c>
      <c r="D42" s="458">
        <f aca="true" t="shared" si="18" ref="D42:N42">D32-D41</f>
        <v>-163573258.9691667</v>
      </c>
      <c r="E42" s="458">
        <f t="shared" si="18"/>
        <v>291719613.78083336</v>
      </c>
      <c r="F42" s="458">
        <f t="shared" si="18"/>
        <v>-669187613.9691668</v>
      </c>
      <c r="G42" s="458">
        <f t="shared" si="18"/>
        <v>86626741.0308333</v>
      </c>
      <c r="H42" s="458">
        <f t="shared" si="18"/>
        <v>373719613.78083324</v>
      </c>
      <c r="I42" s="458">
        <f t="shared" si="18"/>
        <v>-88573258.9691667</v>
      </c>
      <c r="J42" s="458">
        <f t="shared" si="18"/>
        <v>72346741.03083333</v>
      </c>
      <c r="K42" s="458">
        <f t="shared" si="18"/>
        <v>-81330386.21916664</v>
      </c>
      <c r="L42" s="458">
        <f t="shared" si="18"/>
        <v>5930937.030833304</v>
      </c>
      <c r="M42" s="458">
        <f t="shared" si="18"/>
        <v>-151398715.9691667</v>
      </c>
      <c r="N42" s="458">
        <f t="shared" si="18"/>
        <v>-179707153.2191667</v>
      </c>
      <c r="O42" s="44">
        <f t="shared" si="1"/>
        <v>0.3699997067451477</v>
      </c>
      <c r="P42" s="44">
        <f t="shared" si="2"/>
        <v>-1.7881393432617188E-07</v>
      </c>
      <c r="Q42" s="466"/>
      <c r="R42" s="44"/>
    </row>
    <row r="43" spans="1:18" ht="12.75">
      <c r="A43" s="58" t="s">
        <v>404</v>
      </c>
      <c r="B43" s="58"/>
      <c r="C43" s="43"/>
      <c r="D43" s="458">
        <f>C42+D42</f>
        <v>339853482.06166655</v>
      </c>
      <c r="E43" s="458">
        <f aca="true" t="shared" si="19" ref="E43:N43">D43+E42</f>
        <v>631573095.8425</v>
      </c>
      <c r="F43" s="458">
        <f t="shared" si="19"/>
        <v>-37614518.126666784</v>
      </c>
      <c r="G43" s="458">
        <f t="shared" si="19"/>
        <v>49012222.90416652</v>
      </c>
      <c r="H43" s="458">
        <f t="shared" si="19"/>
        <v>422731836.68499976</v>
      </c>
      <c r="I43" s="458">
        <f t="shared" si="19"/>
        <v>334158577.71583307</v>
      </c>
      <c r="J43" s="458">
        <f t="shared" si="19"/>
        <v>406505318.74666643</v>
      </c>
      <c r="K43" s="458">
        <f t="shared" si="19"/>
        <v>325174932.5274998</v>
      </c>
      <c r="L43" s="458">
        <f t="shared" si="19"/>
        <v>331105869.5583331</v>
      </c>
      <c r="M43" s="458">
        <f t="shared" si="19"/>
        <v>179707153.5891664</v>
      </c>
      <c r="N43" s="458">
        <f t="shared" si="19"/>
        <v>0.3699997067451477</v>
      </c>
      <c r="Q43" s="466"/>
      <c r="R43" s="4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&amp;Rmelléklet a 2019. évi költségvetéshez
</oddHead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C4">
      <selection activeCell="F25" sqref="F25"/>
    </sheetView>
  </sheetViews>
  <sheetFormatPr defaultColWidth="8.8515625" defaultRowHeight="12.75"/>
  <cols>
    <col min="1" max="1" width="4.57421875" style="0" hidden="1" customWidth="1"/>
    <col min="2" max="2" width="3.421875" style="0" hidden="1" customWidth="1"/>
    <col min="3" max="3" width="21.7109375" style="0" customWidth="1"/>
    <col min="4" max="4" width="14.140625" style="0" customWidth="1"/>
    <col min="5" max="5" width="14.28125" style="0" bestFit="1" customWidth="1"/>
    <col min="6" max="6" width="16.00390625" style="0" customWidth="1"/>
    <col min="7" max="8" width="14.140625" style="0" bestFit="1" customWidth="1"/>
    <col min="9" max="9" width="15.28125" style="0" bestFit="1" customWidth="1"/>
    <col min="10" max="11" width="13.140625" style="0" customWidth="1"/>
    <col min="12" max="12" width="12.7109375" style="0" customWidth="1"/>
    <col min="13" max="13" width="16.00390625" style="0" bestFit="1" customWidth="1"/>
    <col min="14" max="14" width="17.00390625" style="0" customWidth="1"/>
    <col min="15" max="15" width="11.140625" style="0" bestFit="1" customWidth="1"/>
  </cols>
  <sheetData>
    <row r="1" spans="3:13" s="4" customFormat="1" ht="15.75">
      <c r="C1" s="1" t="s">
        <v>1</v>
      </c>
      <c r="D1" s="2"/>
      <c r="E1" s="2"/>
      <c r="F1" s="2"/>
      <c r="G1" s="2"/>
      <c r="H1" s="2"/>
      <c r="I1" s="3"/>
      <c r="L1" s="19" t="s">
        <v>24</v>
      </c>
      <c r="M1" s="16"/>
    </row>
    <row r="2" spans="3:13" ht="12.75">
      <c r="C2" s="2"/>
      <c r="D2" s="2"/>
      <c r="E2" s="2"/>
      <c r="F2" s="2"/>
      <c r="G2" s="2"/>
      <c r="H2" s="2"/>
      <c r="I2" s="2"/>
      <c r="J2" s="2"/>
      <c r="K2" s="2"/>
      <c r="L2" s="2"/>
      <c r="M2" s="16"/>
    </row>
    <row r="3" spans="3:13" ht="15.75">
      <c r="C3" s="2"/>
      <c r="D3" s="21" t="s">
        <v>429</v>
      </c>
      <c r="E3" s="2"/>
      <c r="F3" s="2"/>
      <c r="G3" s="2"/>
      <c r="H3" s="2"/>
      <c r="I3" s="2"/>
      <c r="J3" s="2"/>
      <c r="K3" s="2"/>
      <c r="L3" s="2"/>
      <c r="M3" s="16"/>
    </row>
    <row r="4" spans="3:13" ht="13.5" thickBot="1">
      <c r="C4" s="2"/>
      <c r="D4" s="2"/>
      <c r="E4" s="2"/>
      <c r="F4" s="2"/>
      <c r="G4" s="2"/>
      <c r="H4" s="4"/>
      <c r="I4" s="4"/>
      <c r="J4" s="4"/>
      <c r="K4" s="4"/>
      <c r="L4" s="20" t="s">
        <v>451</v>
      </c>
      <c r="M4" s="16"/>
    </row>
    <row r="5" spans="1:14" ht="13.5" thickBot="1">
      <c r="A5" s="26" t="s">
        <v>25</v>
      </c>
      <c r="B5" s="22" t="s">
        <v>26</v>
      </c>
      <c r="C5" s="5"/>
      <c r="D5" s="6" t="s">
        <v>2</v>
      </c>
      <c r="E5" s="7" t="s">
        <v>3</v>
      </c>
      <c r="F5" s="764" t="s">
        <v>524</v>
      </c>
      <c r="G5" s="5" t="s">
        <v>4</v>
      </c>
      <c r="H5" s="8" t="s">
        <v>5</v>
      </c>
      <c r="I5" s="9" t="s">
        <v>6</v>
      </c>
      <c r="J5" s="10"/>
      <c r="K5" s="6"/>
      <c r="L5" s="6" t="s">
        <v>7</v>
      </c>
      <c r="M5" s="17" t="s">
        <v>8</v>
      </c>
      <c r="N5" s="767" t="s">
        <v>8</v>
      </c>
    </row>
    <row r="6" spans="1:14" ht="12.75">
      <c r="A6" s="27"/>
      <c r="B6" s="23" t="s">
        <v>27</v>
      </c>
      <c r="C6" s="11" t="s">
        <v>9</v>
      </c>
      <c r="D6" s="12" t="s">
        <v>10</v>
      </c>
      <c r="E6" s="1" t="s">
        <v>11</v>
      </c>
      <c r="F6" s="765" t="s">
        <v>525</v>
      </c>
      <c r="G6" s="11" t="s">
        <v>12</v>
      </c>
      <c r="H6" s="13" t="s">
        <v>13</v>
      </c>
      <c r="I6" s="12" t="s">
        <v>14</v>
      </c>
      <c r="J6" s="13" t="s">
        <v>15</v>
      </c>
      <c r="K6" s="13" t="s">
        <v>531</v>
      </c>
      <c r="L6" s="13" t="s">
        <v>426</v>
      </c>
      <c r="M6" s="18" t="s">
        <v>16</v>
      </c>
      <c r="N6" s="767" t="s">
        <v>526</v>
      </c>
    </row>
    <row r="7" spans="1:14" ht="16.5" thickBot="1">
      <c r="A7" s="28"/>
      <c r="B7" s="24"/>
      <c r="C7" s="11"/>
      <c r="D7" s="12" t="s">
        <v>17</v>
      </c>
      <c r="E7" s="32" t="s">
        <v>18</v>
      </c>
      <c r="F7" s="766" t="s">
        <v>523</v>
      </c>
      <c r="G7" s="11" t="s">
        <v>19</v>
      </c>
      <c r="H7" s="13"/>
      <c r="I7" s="12"/>
      <c r="J7" s="13"/>
      <c r="K7" s="13" t="s">
        <v>523</v>
      </c>
      <c r="L7" s="13"/>
      <c r="M7" s="33"/>
      <c r="N7" s="767" t="s">
        <v>527</v>
      </c>
    </row>
    <row r="8" spans="1:14" ht="16.5" thickBot="1">
      <c r="A8" s="29">
        <v>1</v>
      </c>
      <c r="B8" s="25"/>
      <c r="C8" s="104" t="s">
        <v>22</v>
      </c>
      <c r="D8" s="34">
        <f>MŰKÖDÉSI!G7</f>
        <v>230179045</v>
      </c>
      <c r="E8" s="35">
        <v>3527679</v>
      </c>
      <c r="F8" s="35">
        <v>3527679</v>
      </c>
      <c r="G8" s="35"/>
      <c r="H8" s="35"/>
      <c r="I8" s="35"/>
      <c r="J8" s="35">
        <v>0</v>
      </c>
      <c r="K8" s="35"/>
      <c r="L8" s="35"/>
      <c r="M8" s="41">
        <f>L8+J8+I8+H8+G8+E8+D8</f>
        <v>233706724</v>
      </c>
      <c r="N8" s="632">
        <v>233706724</v>
      </c>
    </row>
    <row r="9" spans="1:14" ht="16.5" thickBot="1">
      <c r="A9" s="27"/>
      <c r="B9" s="39"/>
      <c r="C9" s="55" t="s">
        <v>101</v>
      </c>
      <c r="D9" s="34">
        <f>MŰKÖDÉSI!G8</f>
        <v>287940201.63</v>
      </c>
      <c r="E9" s="103">
        <f>'beruházás és felh. célú átadás'!B44-E21-E22-E8</f>
        <v>2187329798</v>
      </c>
      <c r="F9" s="103">
        <f>'beruházás és felh. célú átadás'!N44-F8-F22-F21</f>
        <v>2373668856</v>
      </c>
      <c r="G9" s="103">
        <f>'pénzeszkö átadás'!B62-'pénzeszkö átadás'!B60-'pénzeszkö átadás'!B59</f>
        <v>319983414</v>
      </c>
      <c r="H9" s="661">
        <f>'felújítások (2)'!B35</f>
        <v>214852355</v>
      </c>
      <c r="I9" s="103">
        <f>céltARTALÉK!B12+céltARTALÉK!B24</f>
        <v>170626806</v>
      </c>
      <c r="J9" s="103">
        <f>15000000+10157712-1627000-488540-6000000-2629000</f>
        <v>14413172</v>
      </c>
      <c r="K9" s="103">
        <f>14413172</f>
        <v>14413172</v>
      </c>
      <c r="L9" s="103">
        <f>kötelezettségvállalások!G63</f>
        <v>7469065</v>
      </c>
      <c r="M9" s="41">
        <f>L9+J9+I9+H9+G9+E9+D9</f>
        <v>3202614811.63</v>
      </c>
      <c r="N9" s="44">
        <f>D9+F9+G9+H9+I9+K9+L9</f>
        <v>3388953869.63</v>
      </c>
    </row>
    <row r="10" spans="1:14" ht="15.75" thickBot="1">
      <c r="A10" s="174">
        <v>1</v>
      </c>
      <c r="B10" s="175" t="s">
        <v>29</v>
      </c>
      <c r="C10" s="480" t="s">
        <v>100</v>
      </c>
      <c r="D10" s="481">
        <f>MŰKÖDÉSI!G9</f>
        <v>518119246.63</v>
      </c>
      <c r="E10" s="657">
        <f aca="true" t="shared" si="0" ref="E10:M10">E9+E8</f>
        <v>2190857477</v>
      </c>
      <c r="F10" s="657">
        <f t="shared" si="0"/>
        <v>2377196535</v>
      </c>
      <c r="G10" s="482">
        <f t="shared" si="0"/>
        <v>319983414</v>
      </c>
      <c r="H10" s="657">
        <f t="shared" si="0"/>
        <v>214852355</v>
      </c>
      <c r="I10" s="482">
        <f t="shared" si="0"/>
        <v>170626806</v>
      </c>
      <c r="J10" s="482">
        <f t="shared" si="0"/>
        <v>14413172</v>
      </c>
      <c r="K10" s="482">
        <f t="shared" si="0"/>
        <v>14413172</v>
      </c>
      <c r="L10" s="482">
        <f t="shared" si="0"/>
        <v>7469065</v>
      </c>
      <c r="M10" s="482">
        <f t="shared" si="0"/>
        <v>3436321535.63</v>
      </c>
      <c r="N10" s="743">
        <f>SUM(N8:N9)</f>
        <v>3622660593.63</v>
      </c>
    </row>
    <row r="11" spans="1:14" ht="15.75" customHeight="1">
      <c r="A11" s="31"/>
      <c r="B11" s="37">
        <v>2</v>
      </c>
      <c r="C11" s="485" t="s">
        <v>375</v>
      </c>
      <c r="D11" s="486">
        <f>MŰKÖDÉSI!G10</f>
        <v>130597984</v>
      </c>
      <c r="E11" s="676">
        <v>2250002</v>
      </c>
      <c r="F11" s="676">
        <v>2250002</v>
      </c>
      <c r="G11" s="58"/>
      <c r="H11" s="58"/>
      <c r="I11" s="43">
        <v>0</v>
      </c>
      <c r="J11" s="58"/>
      <c r="K11" s="58"/>
      <c r="L11" s="58"/>
      <c r="M11" s="487">
        <f aca="true" t="shared" si="1" ref="M11:M20">D11+E11</f>
        <v>132847986</v>
      </c>
      <c r="N11" s="632">
        <f>M11</f>
        <v>132847986</v>
      </c>
    </row>
    <row r="12" spans="1:14" ht="15.75">
      <c r="A12" s="31"/>
      <c r="B12" s="36">
        <v>3</v>
      </c>
      <c r="C12" s="485" t="s">
        <v>63</v>
      </c>
      <c r="D12" s="486">
        <f>MŰKÖDÉSI!G11</f>
        <v>37359238</v>
      </c>
      <c r="E12" s="488">
        <v>317500</v>
      </c>
      <c r="F12" s="488">
        <v>317500</v>
      </c>
      <c r="G12" s="488"/>
      <c r="H12" s="488">
        <v>0</v>
      </c>
      <c r="I12" s="488"/>
      <c r="J12" s="488"/>
      <c r="K12" s="488"/>
      <c r="L12" s="488"/>
      <c r="M12" s="487">
        <f t="shared" si="1"/>
        <v>37676738</v>
      </c>
      <c r="N12" s="632">
        <f aca="true" t="shared" si="2" ref="N12:N20">M12</f>
        <v>37676738</v>
      </c>
    </row>
    <row r="13" spans="1:14" ht="15.75">
      <c r="A13" s="40"/>
      <c r="B13" s="38">
        <v>4</v>
      </c>
      <c r="C13" s="489" t="s">
        <v>20</v>
      </c>
      <c r="D13" s="486">
        <f>MŰKÖDÉSI!G12</f>
        <v>62984093</v>
      </c>
      <c r="E13" s="488">
        <v>4680398</v>
      </c>
      <c r="F13" s="488">
        <v>4680398</v>
      </c>
      <c r="G13" s="488"/>
      <c r="H13" s="488">
        <v>0</v>
      </c>
      <c r="I13" s="488"/>
      <c r="J13" s="488"/>
      <c r="K13" s="488"/>
      <c r="L13" s="488"/>
      <c r="M13" s="487">
        <f t="shared" si="1"/>
        <v>67664491</v>
      </c>
      <c r="N13" s="632">
        <f t="shared" si="2"/>
        <v>67664491</v>
      </c>
    </row>
    <row r="14" spans="1:14" ht="15.75">
      <c r="A14" s="27"/>
      <c r="B14" s="37"/>
      <c r="C14" s="489" t="s">
        <v>209</v>
      </c>
      <c r="D14" s="486">
        <f>MŰKÖDÉSI!G13</f>
        <v>293996924</v>
      </c>
      <c r="E14" s="488">
        <v>4719070</v>
      </c>
      <c r="F14" s="488">
        <v>4719070</v>
      </c>
      <c r="G14" s="488"/>
      <c r="H14" s="488"/>
      <c r="I14" s="488"/>
      <c r="J14" s="488"/>
      <c r="K14" s="488"/>
      <c r="L14" s="488"/>
      <c r="M14" s="487">
        <f t="shared" si="1"/>
        <v>298715994</v>
      </c>
      <c r="N14" s="632">
        <f t="shared" si="2"/>
        <v>298715994</v>
      </c>
    </row>
    <row r="15" spans="1:14" ht="15.75">
      <c r="A15" s="27"/>
      <c r="B15" s="37"/>
      <c r="C15" s="489" t="s">
        <v>220</v>
      </c>
      <c r="D15" s="486">
        <f>MŰKÖDÉSI!G14</f>
        <v>38102127</v>
      </c>
      <c r="E15" s="488">
        <v>825500</v>
      </c>
      <c r="F15" s="488">
        <v>825500</v>
      </c>
      <c r="G15" s="488"/>
      <c r="H15" s="488"/>
      <c r="I15" s="488"/>
      <c r="J15" s="488"/>
      <c r="K15" s="488"/>
      <c r="L15" s="488"/>
      <c r="M15" s="487">
        <f t="shared" si="1"/>
        <v>38927627</v>
      </c>
      <c r="N15" s="632">
        <f t="shared" si="2"/>
        <v>38927627</v>
      </c>
    </row>
    <row r="16" spans="1:14" ht="15.75">
      <c r="A16" s="27"/>
      <c r="B16" s="37">
        <v>5</v>
      </c>
      <c r="C16" s="490" t="s">
        <v>150</v>
      </c>
      <c r="D16" s="493">
        <f>MŰKÖDÉSI!G15</f>
        <v>301297085</v>
      </c>
      <c r="E16" s="494">
        <f aca="true" t="shared" si="3" ref="E16:L16">SUM(E17:E20)</f>
        <v>2484501</v>
      </c>
      <c r="F16" s="494">
        <f t="shared" si="3"/>
        <v>2484501</v>
      </c>
      <c r="G16" s="494">
        <f t="shared" si="3"/>
        <v>0</v>
      </c>
      <c r="H16" s="494">
        <f t="shared" si="3"/>
        <v>0</v>
      </c>
      <c r="I16" s="494">
        <f t="shared" si="3"/>
        <v>0</v>
      </c>
      <c r="J16" s="494">
        <f t="shared" si="3"/>
        <v>0</v>
      </c>
      <c r="K16" s="494"/>
      <c r="L16" s="494">
        <f t="shared" si="3"/>
        <v>0</v>
      </c>
      <c r="M16" s="494">
        <f t="shared" si="1"/>
        <v>303781586</v>
      </c>
      <c r="N16" s="632">
        <f t="shared" si="2"/>
        <v>303781586</v>
      </c>
    </row>
    <row r="17" spans="1:14" ht="15.75">
      <c r="A17" s="27"/>
      <c r="B17" s="37" t="s">
        <v>77</v>
      </c>
      <c r="C17" s="491" t="s">
        <v>151</v>
      </c>
      <c r="D17" s="486">
        <f>MŰKÖDÉSI!G16</f>
        <v>78767058</v>
      </c>
      <c r="E17" s="488">
        <v>571500</v>
      </c>
      <c r="F17" s="488">
        <v>571500</v>
      </c>
      <c r="G17" s="488"/>
      <c r="H17" s="488"/>
      <c r="I17" s="488"/>
      <c r="J17" s="488"/>
      <c r="K17" s="488"/>
      <c r="L17" s="488"/>
      <c r="M17" s="487">
        <f t="shared" si="1"/>
        <v>79338558</v>
      </c>
      <c r="N17" s="632">
        <f t="shared" si="2"/>
        <v>79338558</v>
      </c>
    </row>
    <row r="18" spans="1:14" ht="15.75">
      <c r="A18" s="30"/>
      <c r="B18" s="36" t="s">
        <v>149</v>
      </c>
      <c r="C18" s="491" t="s">
        <v>148</v>
      </c>
      <c r="D18" s="486">
        <f>MŰKÖDÉSI!G17</f>
        <v>3246001</v>
      </c>
      <c r="E18" s="488">
        <v>254000</v>
      </c>
      <c r="F18" s="488">
        <v>254000</v>
      </c>
      <c r="G18" s="488"/>
      <c r="H18" s="488"/>
      <c r="I18" s="492"/>
      <c r="J18" s="488"/>
      <c r="K18" s="488"/>
      <c r="L18" s="488"/>
      <c r="M18" s="487">
        <f t="shared" si="1"/>
        <v>3500001</v>
      </c>
      <c r="N18" s="632">
        <f t="shared" si="2"/>
        <v>3500001</v>
      </c>
    </row>
    <row r="19" spans="1:14" ht="15.75">
      <c r="A19" s="27"/>
      <c r="B19" s="157"/>
      <c r="C19" s="491" t="s">
        <v>218</v>
      </c>
      <c r="D19" s="486">
        <f>MŰKÖDÉSI!G18</f>
        <v>3120585</v>
      </c>
      <c r="E19" s="488">
        <v>0</v>
      </c>
      <c r="F19" s="488">
        <v>0</v>
      </c>
      <c r="G19" s="488"/>
      <c r="H19" s="488"/>
      <c r="I19" s="488"/>
      <c r="J19" s="488"/>
      <c r="K19" s="488"/>
      <c r="L19" s="488"/>
      <c r="M19" s="487">
        <f t="shared" si="1"/>
        <v>3120585</v>
      </c>
      <c r="N19" s="632">
        <f t="shared" si="2"/>
        <v>3120585</v>
      </c>
    </row>
    <row r="20" spans="1:14" ht="16.5" thickBot="1">
      <c r="A20" s="27"/>
      <c r="B20" s="157" t="s">
        <v>154</v>
      </c>
      <c r="C20" s="491" t="s">
        <v>219</v>
      </c>
      <c r="D20" s="486">
        <f>MŰKÖDÉSI!G19</f>
        <v>216163441</v>
      </c>
      <c r="E20" s="488">
        <v>1659001</v>
      </c>
      <c r="F20" s="488">
        <v>1659001</v>
      </c>
      <c r="G20" s="488"/>
      <c r="H20" s="488"/>
      <c r="I20" s="488"/>
      <c r="J20" s="488"/>
      <c r="K20" s="488"/>
      <c r="L20" s="488"/>
      <c r="M20" s="487">
        <f t="shared" si="1"/>
        <v>217822442</v>
      </c>
      <c r="N20" s="632">
        <f t="shared" si="2"/>
        <v>217822442</v>
      </c>
    </row>
    <row r="21" spans="1:14" ht="15" thickBot="1">
      <c r="A21" s="176">
        <v>2</v>
      </c>
      <c r="B21" s="177" t="s">
        <v>78</v>
      </c>
      <c r="C21" s="483" t="s">
        <v>150</v>
      </c>
      <c r="D21" s="484">
        <f aca="true" t="shared" si="4" ref="D21:N21">SUM(D11:D16)</f>
        <v>864337451</v>
      </c>
      <c r="E21" s="484">
        <f t="shared" si="4"/>
        <v>15276971</v>
      </c>
      <c r="F21" s="484">
        <f t="shared" si="4"/>
        <v>15276971</v>
      </c>
      <c r="G21" s="484">
        <f t="shared" si="4"/>
        <v>0</v>
      </c>
      <c r="H21" s="484">
        <f t="shared" si="4"/>
        <v>0</v>
      </c>
      <c r="I21" s="484">
        <f t="shared" si="4"/>
        <v>0</v>
      </c>
      <c r="J21" s="484">
        <f t="shared" si="4"/>
        <v>0</v>
      </c>
      <c r="K21" s="484"/>
      <c r="L21" s="484">
        <f t="shared" si="4"/>
        <v>0</v>
      </c>
      <c r="M21" s="484">
        <f t="shared" si="4"/>
        <v>879614422</v>
      </c>
      <c r="N21" s="484">
        <f t="shared" si="4"/>
        <v>879614422</v>
      </c>
    </row>
    <row r="22" spans="1:14" ht="16.5" thickBot="1">
      <c r="A22" s="178">
        <v>3</v>
      </c>
      <c r="B22" s="179"/>
      <c r="C22" s="268" t="s">
        <v>21</v>
      </c>
      <c r="D22" s="269">
        <f>MŰKÖDÉSI!G21</f>
        <v>277870200</v>
      </c>
      <c r="E22" s="270">
        <v>13099319</v>
      </c>
      <c r="F22" s="270">
        <v>13099319</v>
      </c>
      <c r="G22" s="270">
        <v>59714580</v>
      </c>
      <c r="H22" s="271"/>
      <c r="I22" s="270">
        <v>0</v>
      </c>
      <c r="J22" s="270"/>
      <c r="K22" s="270"/>
      <c r="L22" s="270"/>
      <c r="M22" s="272">
        <f>D22+E22+G22</f>
        <v>350684099</v>
      </c>
      <c r="N22" s="44">
        <f>D22+F22+G22</f>
        <v>350684099</v>
      </c>
    </row>
    <row r="23" spans="1:14" ht="16.5" thickBot="1">
      <c r="A23" s="178"/>
      <c r="B23" s="291"/>
      <c r="C23" s="268" t="s">
        <v>197</v>
      </c>
      <c r="D23" s="269">
        <f>MŰKÖDÉSI!G22</f>
        <v>65787712</v>
      </c>
      <c r="E23" s="270"/>
      <c r="F23" s="270"/>
      <c r="G23" s="270">
        <v>27000000</v>
      </c>
      <c r="H23" s="271"/>
      <c r="I23" s="270"/>
      <c r="J23" s="270"/>
      <c r="K23" s="270"/>
      <c r="L23" s="270"/>
      <c r="M23" s="272">
        <f>D23+E23+G23</f>
        <v>92787712</v>
      </c>
      <c r="N23" s="44">
        <v>92787712</v>
      </c>
    </row>
    <row r="24" spans="1:15" ht="17.25" customHeight="1" thickBot="1">
      <c r="A24" s="180" t="s">
        <v>31</v>
      </c>
      <c r="B24" s="176"/>
      <c r="C24" s="181" t="s">
        <v>23</v>
      </c>
      <c r="D24" s="173">
        <f>MŰKÖDÉSI!G23</f>
        <v>1726114609.63</v>
      </c>
      <c r="E24" s="658">
        <f>E22+E21+E10</f>
        <v>2219233767</v>
      </c>
      <c r="F24" s="658">
        <f>F22+F21+F10</f>
        <v>2405572825</v>
      </c>
      <c r="G24" s="182">
        <f>G10+G22+G23</f>
        <v>406697994</v>
      </c>
      <c r="H24" s="182">
        <f>H22+H21+H10</f>
        <v>214852355</v>
      </c>
      <c r="I24" s="182">
        <f>I22+I21+I10</f>
        <v>170626806</v>
      </c>
      <c r="J24" s="173">
        <f>J23+J22+J21+J10</f>
        <v>14413172</v>
      </c>
      <c r="K24" s="173">
        <f>K23+K22+K21+K10</f>
        <v>14413172</v>
      </c>
      <c r="L24" s="182">
        <f>L22+L21+L10</f>
        <v>7469065</v>
      </c>
      <c r="M24" s="183">
        <f>L24+J24+I24+H24+G24+E24+D24</f>
        <v>4759407768.63</v>
      </c>
      <c r="N24" s="44">
        <f>D24+F24+G24+H24+I24+K24+L24</f>
        <v>4945746826.63</v>
      </c>
      <c r="O24" s="44"/>
    </row>
    <row r="25" spans="3:13" ht="12.75">
      <c r="C25" s="62" t="s">
        <v>98</v>
      </c>
      <c r="D25" s="63">
        <f>D24-MŰKÖDÉSI!G23</f>
        <v>0</v>
      </c>
      <c r="E25" s="63">
        <f>E24-'beruházás és felh. célú átadás'!B44</f>
        <v>0</v>
      </c>
      <c r="F25" s="63"/>
      <c r="G25" s="63">
        <f>'pénzeszkö átadás'!B62-'teljes kiadás'!G24</f>
        <v>0</v>
      </c>
      <c r="H25" s="63">
        <v>0</v>
      </c>
      <c r="I25" s="63">
        <f>céltARTALÉK!B24+céltARTALÉK!B12-I24</f>
        <v>0</v>
      </c>
      <c r="M25" s="44">
        <f>M24-M9</f>
        <v>1556792957</v>
      </c>
    </row>
    <row r="26" spans="1:13" ht="12.75">
      <c r="A26" s="292"/>
      <c r="B26" s="292"/>
      <c r="C26" s="293" t="s">
        <v>201</v>
      </c>
      <c r="D26" s="296">
        <f>D15+önkormányzat!F45</f>
        <v>59945899</v>
      </c>
      <c r="E26" s="296">
        <f aca="true" t="shared" si="5" ref="E26:M26">E15</f>
        <v>825500</v>
      </c>
      <c r="F26" s="296"/>
      <c r="G26" s="296">
        <f t="shared" si="5"/>
        <v>0</v>
      </c>
      <c r="H26" s="296">
        <f t="shared" si="5"/>
        <v>0</v>
      </c>
      <c r="I26" s="296">
        <f t="shared" si="5"/>
        <v>0</v>
      </c>
      <c r="J26" s="296">
        <f t="shared" si="5"/>
        <v>0</v>
      </c>
      <c r="K26" s="296"/>
      <c r="L26" s="296">
        <f t="shared" si="5"/>
        <v>0</v>
      </c>
      <c r="M26" s="296">
        <f t="shared" si="5"/>
        <v>38927627</v>
      </c>
    </row>
    <row r="27" spans="3:13" ht="12.75">
      <c r="C27" s="42" t="s">
        <v>410</v>
      </c>
      <c r="D27" s="42">
        <v>0</v>
      </c>
      <c r="E27" s="158">
        <v>0</v>
      </c>
      <c r="F27" s="158"/>
      <c r="G27" s="158">
        <v>0</v>
      </c>
      <c r="H27" s="158">
        <v>0</v>
      </c>
      <c r="I27" s="158">
        <v>0</v>
      </c>
      <c r="J27" s="158">
        <v>0</v>
      </c>
      <c r="K27" s="158"/>
      <c r="L27" s="158">
        <v>0</v>
      </c>
      <c r="M27" s="407">
        <v>0</v>
      </c>
    </row>
    <row r="28" spans="3:6" ht="12.75">
      <c r="C28" s="64"/>
      <c r="E28" s="44">
        <f>E24-E25</f>
        <v>2219233767</v>
      </c>
      <c r="F28" s="44"/>
    </row>
    <row r="29" ht="12.75">
      <c r="C29" s="64"/>
    </row>
    <row r="30" spans="3:6" ht="12.75">
      <c r="C30" s="64"/>
      <c r="E30" s="64"/>
      <c r="F30" s="64"/>
    </row>
    <row r="31" spans="3:6" ht="12.75">
      <c r="C31" s="64"/>
      <c r="E31" s="64"/>
      <c r="F31" s="64"/>
    </row>
    <row r="32" ht="12.75">
      <c r="C32" s="64"/>
    </row>
    <row r="33" spans="3:6" ht="12.75">
      <c r="C33" s="64"/>
      <c r="E33" s="64"/>
      <c r="F33" s="64"/>
    </row>
    <row r="34" spans="3:6" ht="12.75">
      <c r="C34" s="64"/>
      <c r="E34" s="64"/>
      <c r="F34" s="64"/>
    </row>
    <row r="35" spans="3:6" ht="12.75">
      <c r="C35" s="64"/>
      <c r="E35" s="64"/>
      <c r="F35" s="64"/>
    </row>
    <row r="36" ht="12.75">
      <c r="C36" s="64"/>
    </row>
    <row r="37" ht="12.75">
      <c r="C37" s="64"/>
    </row>
    <row r="38" ht="12.75">
      <c r="C38" s="64"/>
    </row>
    <row r="39" ht="12.75">
      <c r="C39" s="64"/>
    </row>
    <row r="40" ht="12.75">
      <c r="C40" s="64"/>
    </row>
    <row r="41" ht="12.75">
      <c r="C41" s="64"/>
    </row>
    <row r="42" ht="12.75">
      <c r="C42" s="64"/>
    </row>
    <row r="45" ht="12.75">
      <c r="D45" s="4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C1">
      <selection activeCell="F8" sqref="F8"/>
    </sheetView>
  </sheetViews>
  <sheetFormatPr defaultColWidth="8.57421875" defaultRowHeight="12.75"/>
  <cols>
    <col min="1" max="1" width="3.28125" style="194" hidden="1" customWidth="1"/>
    <col min="2" max="2" width="3.00390625" style="194" hidden="1" customWidth="1"/>
    <col min="3" max="3" width="36.140625" style="194" customWidth="1"/>
    <col min="4" max="4" width="17.421875" style="194" customWidth="1"/>
    <col min="5" max="5" width="17.00390625" style="194" customWidth="1"/>
    <col min="6" max="6" width="17.28125" style="194" customWidth="1"/>
    <col min="7" max="7" width="14.28125" style="194" bestFit="1" customWidth="1"/>
    <col min="8" max="16384" width="8.57421875" style="194" customWidth="1"/>
  </cols>
  <sheetData>
    <row r="1" spans="3:7" s="192" customFormat="1" ht="15">
      <c r="C1" s="161" t="s">
        <v>59</v>
      </c>
      <c r="D1" s="193"/>
      <c r="E1" s="162"/>
      <c r="F1" s="193"/>
      <c r="G1" s="164"/>
    </row>
    <row r="2" spans="3:7" ht="15">
      <c r="C2" s="193"/>
      <c r="D2" s="161" t="s">
        <v>428</v>
      </c>
      <c r="E2" s="161"/>
      <c r="F2" s="193"/>
      <c r="G2" s="193"/>
    </row>
    <row r="3" spans="3:7" ht="15.75" thickBot="1">
      <c r="C3" s="195"/>
      <c r="D3" s="196" t="s">
        <v>50</v>
      </c>
      <c r="E3" s="196"/>
      <c r="F3" s="195"/>
      <c r="G3" s="195"/>
    </row>
    <row r="4" spans="1:7" ht="14.25">
      <c r="A4" s="197"/>
      <c r="B4" s="198"/>
      <c r="C4" s="199"/>
      <c r="D4" s="199"/>
      <c r="E4" s="199"/>
      <c r="F4" s="199"/>
      <c r="G4" s="598"/>
    </row>
    <row r="5" spans="1:7" ht="14.25">
      <c r="A5" s="200" t="s">
        <v>25</v>
      </c>
      <c r="B5" s="201" t="s">
        <v>60</v>
      </c>
      <c r="C5" s="202" t="s">
        <v>61</v>
      </c>
      <c r="D5" s="677" t="s">
        <v>116</v>
      </c>
      <c r="E5" s="677" t="s">
        <v>293</v>
      </c>
      <c r="F5" s="677" t="s">
        <v>294</v>
      </c>
      <c r="G5" s="677" t="s">
        <v>427</v>
      </c>
    </row>
    <row r="6" spans="1:7" ht="14.25">
      <c r="A6" s="200"/>
      <c r="B6" s="201" t="s">
        <v>27</v>
      </c>
      <c r="C6" s="202"/>
      <c r="D6" s="204">
        <v>2019</v>
      </c>
      <c r="E6" s="204">
        <v>2019</v>
      </c>
      <c r="F6" s="204">
        <v>2019</v>
      </c>
      <c r="G6" s="599">
        <v>2019</v>
      </c>
    </row>
    <row r="7" spans="1:8" ht="14.25">
      <c r="A7" s="205">
        <v>1</v>
      </c>
      <c r="B7" s="206"/>
      <c r="C7" s="207" t="str">
        <f>'teljes kiadás'!C8</f>
        <v>Polgármesteri Hivatal</v>
      </c>
      <c r="D7" s="622">
        <v>155847650</v>
      </c>
      <c r="E7" s="622">
        <v>32870357</v>
      </c>
      <c r="F7" s="622">
        <v>41461038</v>
      </c>
      <c r="G7" s="596">
        <f>F7+E7+D7</f>
        <v>230179045</v>
      </c>
      <c r="H7" s="678"/>
    </row>
    <row r="8" spans="1:7" ht="14.25">
      <c r="A8" s="205"/>
      <c r="B8" s="209" t="s">
        <v>28</v>
      </c>
      <c r="C8" s="207" t="str">
        <f>'teljes kiadás'!C9</f>
        <v>Önkormányzat </v>
      </c>
      <c r="D8" s="622">
        <f>önkormányzat!C40</f>
        <v>40808679</v>
      </c>
      <c r="E8" s="226">
        <f>önkormányzat!D40</f>
        <v>9317723.629999999</v>
      </c>
      <c r="F8" s="228">
        <f>önkormányzat!E40</f>
        <v>237813799</v>
      </c>
      <c r="G8" s="596">
        <f>F8+E8+D8</f>
        <v>287940201.63</v>
      </c>
    </row>
    <row r="9" spans="1:7" ht="14.25">
      <c r="A9" s="211">
        <v>1</v>
      </c>
      <c r="B9" s="212" t="s">
        <v>29</v>
      </c>
      <c r="C9" s="213" t="s">
        <v>62</v>
      </c>
      <c r="D9" s="191">
        <f>SUM(D7:D8)</f>
        <v>196656329</v>
      </c>
      <c r="E9" s="191">
        <f>SUM(E7:E8)</f>
        <v>42188080.629999995</v>
      </c>
      <c r="F9" s="191">
        <f>SUM(F7:F8)</f>
        <v>279274837</v>
      </c>
      <c r="G9" s="597">
        <f>SUM(G7:G8)</f>
        <v>518119246.63</v>
      </c>
    </row>
    <row r="10" spans="1:8" ht="14.25">
      <c r="A10" s="205"/>
      <c r="B10" s="206">
        <v>2</v>
      </c>
      <c r="C10" s="207" t="str">
        <f>'teljes kiadás'!C11</f>
        <v>Gólyafészek Bölcsőde</v>
      </c>
      <c r="D10" s="227">
        <v>89698724</v>
      </c>
      <c r="E10" s="227">
        <v>18088089</v>
      </c>
      <c r="F10" s="227">
        <v>22811171</v>
      </c>
      <c r="G10" s="596">
        <f>F10+E10+D10</f>
        <v>130597984</v>
      </c>
      <c r="H10" s="678"/>
    </row>
    <row r="11" spans="1:8" ht="14.25">
      <c r="A11" s="205"/>
      <c r="B11" s="206">
        <v>3</v>
      </c>
      <c r="C11" s="203" t="s">
        <v>63</v>
      </c>
      <c r="D11" s="227">
        <v>18312442</v>
      </c>
      <c r="E11" s="227">
        <v>3611611</v>
      </c>
      <c r="F11" s="227">
        <v>15435185</v>
      </c>
      <c r="G11" s="596">
        <f>F11+E11+D11</f>
        <v>37359238</v>
      </c>
      <c r="H11" s="678"/>
    </row>
    <row r="12" spans="1:8" ht="14.25">
      <c r="A12" s="205"/>
      <c r="B12" s="206">
        <v>4</v>
      </c>
      <c r="C12" s="202" t="s">
        <v>20</v>
      </c>
      <c r="D12" s="227">
        <v>24880884</v>
      </c>
      <c r="E12" s="227">
        <v>4830153</v>
      </c>
      <c r="F12" s="227">
        <v>33273056</v>
      </c>
      <c r="G12" s="596">
        <f>F12+E12+D12</f>
        <v>62984093</v>
      </c>
      <c r="H12" s="678"/>
    </row>
    <row r="13" spans="1:8" ht="14.25">
      <c r="A13" s="205"/>
      <c r="B13" s="206"/>
      <c r="C13" s="202" t="s">
        <v>207</v>
      </c>
      <c r="D13" s="227">
        <v>220796550</v>
      </c>
      <c r="E13" s="227">
        <v>47392829</v>
      </c>
      <c r="F13" s="227">
        <v>25807545</v>
      </c>
      <c r="G13" s="596">
        <f>F13+E13+D13</f>
        <v>293996924</v>
      </c>
      <c r="H13" s="678"/>
    </row>
    <row r="14" spans="1:8" ht="14.25">
      <c r="A14" s="205"/>
      <c r="B14" s="206"/>
      <c r="C14" s="207" t="str">
        <f>'teljes kiadás'!C15</f>
        <v>Árpád Múzeum</v>
      </c>
      <c r="D14" s="227">
        <v>24339127</v>
      </c>
      <c r="E14" s="227">
        <v>4752370</v>
      </c>
      <c r="F14" s="227">
        <v>9010630</v>
      </c>
      <c r="G14" s="596">
        <f>F14+E14+D14</f>
        <v>38102127</v>
      </c>
      <c r="H14" s="678"/>
    </row>
    <row r="15" spans="1:7" s="214" customFormat="1" ht="15">
      <c r="A15" s="205"/>
      <c r="B15" s="206">
        <v>5</v>
      </c>
      <c r="C15" s="202" t="s">
        <v>150</v>
      </c>
      <c r="D15" s="227">
        <f>D16+D17+D19+D18</f>
        <v>92401956</v>
      </c>
      <c r="E15" s="227">
        <f>E16+E17+E19+E18</f>
        <v>19998092</v>
      </c>
      <c r="F15" s="227">
        <f>F16+F17+F19+F18</f>
        <v>188897037</v>
      </c>
      <c r="G15" s="227">
        <f>G16+G17+G19+G18</f>
        <v>301297085</v>
      </c>
    </row>
    <row r="16" spans="1:8" ht="14.25">
      <c r="A16" s="205"/>
      <c r="B16" s="206" t="s">
        <v>77</v>
      </c>
      <c r="C16" s="207" t="s">
        <v>151</v>
      </c>
      <c r="D16" s="226">
        <v>36351226</v>
      </c>
      <c r="E16" s="226">
        <v>8975898</v>
      </c>
      <c r="F16" s="226">
        <v>33439934</v>
      </c>
      <c r="G16" s="596">
        <f>F16+E16+D16</f>
        <v>78767058</v>
      </c>
      <c r="H16" s="678"/>
    </row>
    <row r="17" spans="1:8" ht="14.25">
      <c r="A17" s="205"/>
      <c r="B17" s="206" t="s">
        <v>149</v>
      </c>
      <c r="C17" s="207" t="s">
        <v>148</v>
      </c>
      <c r="D17" s="226">
        <v>0</v>
      </c>
      <c r="E17" s="623">
        <v>0</v>
      </c>
      <c r="F17" s="225">
        <v>3246001</v>
      </c>
      <c r="G17" s="596">
        <f>F17+E17+D17</f>
        <v>3246001</v>
      </c>
      <c r="H17" s="678"/>
    </row>
    <row r="18" spans="1:8" ht="14.25">
      <c r="A18" s="205"/>
      <c r="B18" s="210"/>
      <c r="C18" s="207" t="str">
        <f>'teljes kiadás'!C19</f>
        <v>Ady Endre Gimnázium</v>
      </c>
      <c r="D18" s="227">
        <v>0</v>
      </c>
      <c r="E18" s="624">
        <v>0</v>
      </c>
      <c r="F18" s="227">
        <v>3120585</v>
      </c>
      <c r="G18" s="596">
        <f>F18+E18+D18</f>
        <v>3120585</v>
      </c>
      <c r="H18" s="678"/>
    </row>
    <row r="19" spans="1:8" ht="14.25">
      <c r="A19" s="205"/>
      <c r="B19" s="210" t="s">
        <v>153</v>
      </c>
      <c r="C19" s="207" t="str">
        <f>'teljes kiadás'!C20</f>
        <v>Városi Konyha</v>
      </c>
      <c r="D19" s="227">
        <v>56050730</v>
      </c>
      <c r="E19" s="225">
        <v>11022194</v>
      </c>
      <c r="F19" s="227">
        <v>149090517</v>
      </c>
      <c r="G19" s="596">
        <f>F19+E19+D19</f>
        <v>216163441</v>
      </c>
      <c r="H19" s="678"/>
    </row>
    <row r="20" spans="1:7" ht="14.25">
      <c r="A20" s="215">
        <v>2</v>
      </c>
      <c r="B20" s="216" t="s">
        <v>30</v>
      </c>
      <c r="C20" s="217" t="s">
        <v>152</v>
      </c>
      <c r="D20" s="190">
        <f>SUM(D10:D15)</f>
        <v>470429683</v>
      </c>
      <c r="E20" s="190">
        <f>SUM(E10:E15)</f>
        <v>98673144</v>
      </c>
      <c r="F20" s="190">
        <f>SUM(F10:F15)</f>
        <v>295234624</v>
      </c>
      <c r="G20" s="600">
        <f>SUM(G10:G15)</f>
        <v>864337451</v>
      </c>
    </row>
    <row r="21" spans="1:7" s="265" customFormat="1" ht="14.25">
      <c r="A21" s="261">
        <v>3</v>
      </c>
      <c r="B21" s="262"/>
      <c r="C21" s="263" t="s">
        <v>21</v>
      </c>
      <c r="D21" s="264">
        <v>151392866</v>
      </c>
      <c r="E21" s="627">
        <v>29910015</v>
      </c>
      <c r="F21" s="627">
        <v>96567319</v>
      </c>
      <c r="G21" s="601">
        <f>F21+E21+D21</f>
        <v>277870200</v>
      </c>
    </row>
    <row r="22" spans="1:7" s="265" customFormat="1" ht="14.25">
      <c r="A22" s="287"/>
      <c r="B22" s="288"/>
      <c r="C22" s="289" t="s">
        <v>197</v>
      </c>
      <c r="D22" s="290">
        <v>52809342</v>
      </c>
      <c r="E22" s="628">
        <v>10593620</v>
      </c>
      <c r="F22" s="628">
        <v>2384750</v>
      </c>
      <c r="G22" s="602">
        <f>F22+E22+D22</f>
        <v>65787712</v>
      </c>
    </row>
    <row r="23" spans="1:7" ht="17.25" customHeight="1" thickBot="1">
      <c r="A23" s="229" t="s">
        <v>31</v>
      </c>
      <c r="B23" s="230"/>
      <c r="C23" s="231" t="s">
        <v>23</v>
      </c>
      <c r="D23" s="232">
        <f>D21+D20+D9+D22</f>
        <v>871288220</v>
      </c>
      <c r="E23" s="232">
        <f>E21+E20+E9+E22</f>
        <v>181364859.63</v>
      </c>
      <c r="F23" s="232">
        <f>F21+F20+F9+F22</f>
        <v>673461530</v>
      </c>
      <c r="G23" s="603">
        <f>G21+G20+G9+G22</f>
        <v>1726114609.63</v>
      </c>
    </row>
    <row r="24" spans="3:7" ht="14.25" hidden="1">
      <c r="C24" s="218"/>
      <c r="D24" s="194" t="e">
        <f>D23/#REF!</f>
        <v>#REF!</v>
      </c>
      <c r="E24" s="194" t="e">
        <f>E23/#REF!</f>
        <v>#REF!</v>
      </c>
      <c r="F24" s="208">
        <f>F23-174532</f>
        <v>673286998</v>
      </c>
      <c r="G24" s="208" t="e">
        <f>#REF!-#REF!</f>
        <v>#REF!</v>
      </c>
    </row>
    <row r="25" spans="3:6" ht="15" hidden="1">
      <c r="C25" s="219" t="s">
        <v>88</v>
      </c>
      <c r="D25" s="167"/>
      <c r="E25" s="167"/>
      <c r="F25" s="167" t="e">
        <f>F24/#REF!</f>
        <v>#REF!</v>
      </c>
    </row>
    <row r="26" spans="4:7" ht="14.25" hidden="1">
      <c r="D26" s="192"/>
      <c r="E26" s="192"/>
      <c r="F26" s="192"/>
      <c r="G26" s="167"/>
    </row>
    <row r="27" spans="3:7" ht="14.25" hidden="1">
      <c r="C27" s="194" t="s">
        <v>83</v>
      </c>
      <c r="D27" s="208">
        <f>D10</f>
        <v>89698724</v>
      </c>
      <c r="E27" s="208">
        <f>E10</f>
        <v>18088089</v>
      </c>
      <c r="F27" s="208">
        <f>F10</f>
        <v>22811171</v>
      </c>
      <c r="G27" s="208">
        <f>G10</f>
        <v>130597984</v>
      </c>
    </row>
    <row r="28" spans="3:7" ht="15" hidden="1">
      <c r="C28" s="194" t="s">
        <v>84</v>
      </c>
      <c r="D28" s="194">
        <v>33796</v>
      </c>
      <c r="E28" s="194">
        <v>10251</v>
      </c>
      <c r="F28" s="208">
        <f>16577+286</f>
        <v>16863</v>
      </c>
      <c r="G28" s="166">
        <f>F28+E28+D28</f>
        <v>60910</v>
      </c>
    </row>
    <row r="29" spans="3:7" ht="14.25" hidden="1">
      <c r="C29" s="220" t="s">
        <v>85</v>
      </c>
      <c r="D29" s="208">
        <f>D27-D28</f>
        <v>89664928</v>
      </c>
      <c r="E29" s="208">
        <f>E27-E28</f>
        <v>18077838</v>
      </c>
      <c r="F29" s="208">
        <f>F27-F28</f>
        <v>22794308</v>
      </c>
      <c r="G29" s="208">
        <f>G27-G28</f>
        <v>130537074</v>
      </c>
    </row>
    <row r="30" ht="14.25" hidden="1"/>
    <row r="31" spans="3:7" ht="15" hidden="1">
      <c r="C31" s="167" t="s">
        <v>86</v>
      </c>
      <c r="G31" s="57">
        <f>G16-4500</f>
        <v>78762558</v>
      </c>
    </row>
    <row r="32" ht="15" hidden="1">
      <c r="G32" s="46"/>
    </row>
    <row r="33" ht="14.25" hidden="1">
      <c r="F33" s="208">
        <f>F7-174532</f>
        <v>41286506</v>
      </c>
    </row>
    <row r="34" ht="14.25" hidden="1">
      <c r="G34" s="208">
        <v>448010</v>
      </c>
    </row>
    <row r="35" ht="14.25" hidden="1">
      <c r="G35" s="208" t="e">
        <f>G34+#REF!+14064</f>
        <v>#REF!</v>
      </c>
    </row>
    <row r="36" spans="3:6" ht="14.25">
      <c r="C36" s="304"/>
      <c r="D36" s="305"/>
      <c r="E36" s="305"/>
      <c r="F36" s="305"/>
    </row>
    <row r="37" spans="4:7" ht="14.25">
      <c r="D37" s="208"/>
      <c r="E37" s="208"/>
      <c r="F37" s="208"/>
      <c r="G37" s="20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7.7109375" style="0" bestFit="1" customWidth="1"/>
    <col min="2" max="3" width="17.57421875" style="0" customWidth="1"/>
    <col min="4" max="4" width="12.421875" style="0" bestFit="1" customWidth="1"/>
    <col min="5" max="5" width="20.00390625" style="0" customWidth="1"/>
    <col min="6" max="6" width="15.57421875" style="0" customWidth="1"/>
    <col min="7" max="7" width="13.421875" style="0" customWidth="1"/>
  </cols>
  <sheetData>
    <row r="1" ht="12.75">
      <c r="D1" s="64"/>
    </row>
    <row r="2" spans="2:5" ht="13.5" thickBot="1">
      <c r="B2" s="42" t="s">
        <v>298</v>
      </c>
      <c r="C2" s="42"/>
      <c r="D2" s="42"/>
      <c r="E2" s="42" t="s">
        <v>417</v>
      </c>
    </row>
    <row r="3" spans="1:7" ht="15">
      <c r="A3" s="423"/>
      <c r="B3" s="410"/>
      <c r="C3" s="768" t="s">
        <v>527</v>
      </c>
      <c r="D3" s="410"/>
      <c r="E3" s="432"/>
      <c r="F3" s="771"/>
      <c r="G3" s="775" t="s">
        <v>527</v>
      </c>
    </row>
    <row r="4" spans="1:7" ht="30">
      <c r="A4" s="424" t="s">
        <v>9</v>
      </c>
      <c r="B4" s="411" t="s">
        <v>17</v>
      </c>
      <c r="C4" s="769" t="s">
        <v>17</v>
      </c>
      <c r="D4" s="412" t="s">
        <v>299</v>
      </c>
      <c r="E4" s="430" t="s">
        <v>300</v>
      </c>
      <c r="F4" s="772" t="s">
        <v>301</v>
      </c>
      <c r="G4" s="776" t="s">
        <v>301</v>
      </c>
    </row>
    <row r="5" spans="1:9" ht="14.25">
      <c r="A5" s="425" t="s">
        <v>22</v>
      </c>
      <c r="B5" s="169">
        <f>'teljes kiadás'!M8</f>
        <v>233706724</v>
      </c>
      <c r="C5" s="169">
        <v>233706724</v>
      </c>
      <c r="D5" s="169">
        <v>130759000</v>
      </c>
      <c r="E5" s="431">
        <f>'intézmény fin'!D6</f>
        <v>14677954</v>
      </c>
      <c r="F5" s="773">
        <f>B5-D5-E5</f>
        <v>88269770</v>
      </c>
      <c r="G5" s="43">
        <f>C5-D5-E5</f>
        <v>88269770</v>
      </c>
      <c r="I5" s="415"/>
    </row>
    <row r="6" spans="1:7" ht="14.25">
      <c r="A6" s="425" t="s">
        <v>302</v>
      </c>
      <c r="B6" s="169">
        <f>'teljes kiadás'!M9</f>
        <v>3202614811.63</v>
      </c>
      <c r="C6" s="169">
        <f>'teljes kiadás'!N9</f>
        <v>3388953869.63</v>
      </c>
      <c r="D6" s="169">
        <v>256358663</v>
      </c>
      <c r="E6" s="431">
        <f>'intézmény fin'!D7-872062322</f>
        <v>3464337212</v>
      </c>
      <c r="F6" s="773">
        <f>B6-D6-E6</f>
        <v>-518081063.3699999</v>
      </c>
      <c r="G6" s="43">
        <f aca="true" t="shared" si="0" ref="G6:G20">C6-D6-E6</f>
        <v>-331742005.3699999</v>
      </c>
    </row>
    <row r="7" spans="1:7" ht="14.25">
      <c r="A7" s="426" t="s">
        <v>303</v>
      </c>
      <c r="B7" s="169">
        <f>B6+B5</f>
        <v>3436321535.63</v>
      </c>
      <c r="C7" s="169">
        <f>C6+C5</f>
        <v>3622660593.63</v>
      </c>
      <c r="D7" s="169">
        <f>D6+D5</f>
        <v>387117663</v>
      </c>
      <c r="E7" s="169">
        <f>E6+E5</f>
        <v>3479015166</v>
      </c>
      <c r="F7" s="774">
        <f>F6+F5</f>
        <v>-429811293.3699999</v>
      </c>
      <c r="G7" s="43">
        <f t="shared" si="0"/>
        <v>-243472235.3699999</v>
      </c>
    </row>
    <row r="8" spans="1:7" ht="14.25">
      <c r="A8" s="427" t="s">
        <v>82</v>
      </c>
      <c r="B8" s="169">
        <f>'teljes kiadás'!M11</f>
        <v>132847986</v>
      </c>
      <c r="C8" s="169">
        <v>132847986</v>
      </c>
      <c r="D8" s="431">
        <f>110350100+9960414</f>
        <v>120310514</v>
      </c>
      <c r="E8" s="431">
        <f>'intézmény fin'!D9</f>
        <v>6837588</v>
      </c>
      <c r="F8" s="773">
        <f aca="true" t="shared" si="1" ref="F8:F17">B8-D8-E8</f>
        <v>5699884</v>
      </c>
      <c r="G8" s="43">
        <f t="shared" si="0"/>
        <v>5699884</v>
      </c>
    </row>
    <row r="9" spans="1:8" ht="14.25">
      <c r="A9" s="427" t="s">
        <v>63</v>
      </c>
      <c r="B9" s="169">
        <f>'teljes kiadás'!M12</f>
        <v>37676738</v>
      </c>
      <c r="C9" s="169">
        <v>37676738</v>
      </c>
      <c r="D9" s="169">
        <v>4526755</v>
      </c>
      <c r="E9" s="431">
        <f>'intézmény fin'!D10</f>
        <v>4435852</v>
      </c>
      <c r="F9" s="773">
        <f t="shared" si="1"/>
        <v>28714131</v>
      </c>
      <c r="G9" s="43">
        <f t="shared" si="0"/>
        <v>28714131</v>
      </c>
      <c r="H9" s="415"/>
    </row>
    <row r="10" spans="1:8" ht="14.25">
      <c r="A10" s="428" t="s">
        <v>20</v>
      </c>
      <c r="B10" s="169">
        <f>'teljes kiadás'!M13</f>
        <v>67664491</v>
      </c>
      <c r="C10" s="169">
        <v>67664491</v>
      </c>
      <c r="D10" s="169">
        <v>8047565</v>
      </c>
      <c r="E10" s="431">
        <f>'intézmény fin'!D11</f>
        <v>13386037</v>
      </c>
      <c r="F10" s="773">
        <f t="shared" si="1"/>
        <v>46230889</v>
      </c>
      <c r="G10" s="43">
        <f t="shared" si="0"/>
        <v>46230889</v>
      </c>
      <c r="H10" s="415"/>
    </row>
    <row r="11" spans="1:8" ht="14.25">
      <c r="A11" s="428" t="s">
        <v>209</v>
      </c>
      <c r="B11" s="169">
        <f>'teljes kiadás'!M14</f>
        <v>298715994</v>
      </c>
      <c r="C11" s="169">
        <v>298715994</v>
      </c>
      <c r="D11" s="169">
        <v>226840250</v>
      </c>
      <c r="E11" s="431">
        <f>'intézmény fin'!D12</f>
        <v>2071753</v>
      </c>
      <c r="F11" s="773">
        <f t="shared" si="1"/>
        <v>69803991</v>
      </c>
      <c r="G11" s="43">
        <f t="shared" si="0"/>
        <v>69803991</v>
      </c>
      <c r="H11" s="415"/>
    </row>
    <row r="12" spans="1:8" ht="14.25">
      <c r="A12" s="428" t="s">
        <v>304</v>
      </c>
      <c r="B12" s="169">
        <f>'teljes kiadás'!M15</f>
        <v>38927627</v>
      </c>
      <c r="C12" s="169">
        <v>38927627</v>
      </c>
      <c r="D12" s="169">
        <v>8939000</v>
      </c>
      <c r="E12" s="431">
        <f>'intézmény fin'!D13</f>
        <v>2026002</v>
      </c>
      <c r="F12" s="773">
        <f t="shared" si="1"/>
        <v>27962625</v>
      </c>
      <c r="G12" s="43">
        <f t="shared" si="0"/>
        <v>27962625</v>
      </c>
      <c r="H12" s="415"/>
    </row>
    <row r="13" spans="1:7" ht="14.25">
      <c r="A13" s="429" t="s">
        <v>150</v>
      </c>
      <c r="B13" s="169">
        <f>SUM(B14:B17)</f>
        <v>303781586</v>
      </c>
      <c r="C13" s="169">
        <v>303781586</v>
      </c>
      <c r="D13" s="169">
        <f>SUM(D14:D17)</f>
        <v>116280575</v>
      </c>
      <c r="E13" s="431">
        <f>'intézmény fin'!D14</f>
        <v>149571021</v>
      </c>
      <c r="F13" s="773">
        <f t="shared" si="1"/>
        <v>37929990</v>
      </c>
      <c r="G13" s="43">
        <f t="shared" si="0"/>
        <v>37929990</v>
      </c>
    </row>
    <row r="14" spans="1:9" ht="14.25">
      <c r="A14" s="425" t="s">
        <v>151</v>
      </c>
      <c r="B14" s="169">
        <f>'teljes kiadás'!M17</f>
        <v>79338558</v>
      </c>
      <c r="C14" s="169">
        <v>79338558</v>
      </c>
      <c r="D14" s="169"/>
      <c r="E14" s="431">
        <f>'intézmény fin'!D15</f>
        <v>29110048</v>
      </c>
      <c r="F14" s="773">
        <f t="shared" si="1"/>
        <v>50228510</v>
      </c>
      <c r="G14" s="43">
        <f t="shared" si="0"/>
        <v>50228510</v>
      </c>
      <c r="I14" s="415"/>
    </row>
    <row r="15" spans="1:9" ht="14.25">
      <c r="A15" s="425" t="s">
        <v>148</v>
      </c>
      <c r="B15" s="169">
        <f>'teljes kiadás'!M18</f>
        <v>3500001</v>
      </c>
      <c r="C15" s="169">
        <v>3500001</v>
      </c>
      <c r="D15" s="169"/>
      <c r="E15" s="431">
        <f>'intézmény fin'!D16</f>
        <v>635000</v>
      </c>
      <c r="F15" s="773">
        <f t="shared" si="1"/>
        <v>2865001</v>
      </c>
      <c r="G15" s="43">
        <f t="shared" si="0"/>
        <v>2865001</v>
      </c>
      <c r="I15" s="415"/>
    </row>
    <row r="16" spans="1:9" ht="14.25">
      <c r="A16" s="425" t="s">
        <v>305</v>
      </c>
      <c r="B16" s="169">
        <f>'teljes kiadás'!M19</f>
        <v>3120585</v>
      </c>
      <c r="C16" s="169">
        <v>3120585</v>
      </c>
      <c r="D16" s="169"/>
      <c r="E16" s="431">
        <f>'intézmény fin'!D17</f>
        <v>581000</v>
      </c>
      <c r="F16" s="773">
        <f t="shared" si="1"/>
        <v>2539585</v>
      </c>
      <c r="G16" s="43">
        <f t="shared" si="0"/>
        <v>2539585</v>
      </c>
      <c r="I16" s="415"/>
    </row>
    <row r="17" spans="1:9" ht="14.25">
      <c r="A17" s="425" t="s">
        <v>306</v>
      </c>
      <c r="B17" s="169">
        <f>'teljes kiadás'!M20</f>
        <v>217822442</v>
      </c>
      <c r="C17" s="169">
        <v>217822442</v>
      </c>
      <c r="D17" s="169">
        <v>116280575</v>
      </c>
      <c r="E17" s="431">
        <f>'intézmény fin'!D18</f>
        <v>119244973</v>
      </c>
      <c r="F17" s="773">
        <f t="shared" si="1"/>
        <v>-17703106</v>
      </c>
      <c r="G17" s="43">
        <f t="shared" si="0"/>
        <v>-17703106</v>
      </c>
      <c r="I17" s="415"/>
    </row>
    <row r="18" spans="1:7" ht="14.25">
      <c r="A18" s="441" t="s">
        <v>307</v>
      </c>
      <c r="B18" s="169">
        <f>SUM(B8:B13)</f>
        <v>879614422</v>
      </c>
      <c r="C18" s="169">
        <f>SUM(C8:C13)</f>
        <v>879614422</v>
      </c>
      <c r="D18" s="169">
        <f>SUM(D8:D13)</f>
        <v>484944659</v>
      </c>
      <c r="E18" s="431">
        <f>'intézmény fin'!D19</f>
        <v>178328253</v>
      </c>
      <c r="F18" s="774">
        <f>SUM(F8:F13)</f>
        <v>216341510</v>
      </c>
      <c r="G18" s="43">
        <f t="shared" si="0"/>
        <v>216341510</v>
      </c>
    </row>
    <row r="19" spans="1:7" ht="14.25">
      <c r="A19" s="441" t="s">
        <v>21</v>
      </c>
      <c r="B19" s="169">
        <f>'teljes kiadás'!M22</f>
        <v>350684099</v>
      </c>
      <c r="C19" s="169">
        <v>350684099</v>
      </c>
      <c r="D19" s="382">
        <v>0</v>
      </c>
      <c r="E19" s="431">
        <f>'intézmény fin'!D20</f>
        <v>329576506</v>
      </c>
      <c r="F19" s="773">
        <f>B19-D19-E19</f>
        <v>21107593</v>
      </c>
      <c r="G19" s="43">
        <f t="shared" si="0"/>
        <v>21107593</v>
      </c>
    </row>
    <row r="20" spans="1:7" ht="14.25">
      <c r="A20" s="441" t="s">
        <v>308</v>
      </c>
      <c r="B20" s="169">
        <f>'teljes kiadás'!M23</f>
        <v>92787712</v>
      </c>
      <c r="C20" s="169">
        <v>92787712</v>
      </c>
      <c r="D20" s="382"/>
      <c r="E20" s="431">
        <f>'intézmény fin'!D21</f>
        <v>86764580</v>
      </c>
      <c r="F20" s="773">
        <f>B20-D20-E20</f>
        <v>6023132</v>
      </c>
      <c r="G20" s="43">
        <f t="shared" si="0"/>
        <v>6023132</v>
      </c>
    </row>
    <row r="21" spans="1:7" ht="14.25">
      <c r="A21" s="435" t="s">
        <v>309</v>
      </c>
      <c r="B21" s="169">
        <f aca="true" t="shared" si="2" ref="B21:G21">B20+B19+B18+B7</f>
        <v>4759407768.63</v>
      </c>
      <c r="C21" s="169">
        <f t="shared" si="2"/>
        <v>4945746826.63</v>
      </c>
      <c r="D21" s="169">
        <f t="shared" si="2"/>
        <v>872062322</v>
      </c>
      <c r="E21" s="169">
        <f t="shared" si="2"/>
        <v>4073684505</v>
      </c>
      <c r="F21" s="774">
        <f t="shared" si="2"/>
        <v>-186339058.3699999</v>
      </c>
      <c r="G21" s="169">
        <f t="shared" si="2"/>
        <v>-0.36999988555908203</v>
      </c>
    </row>
    <row r="22" spans="1:7" ht="12.75">
      <c r="A22" s="436"/>
      <c r="B22" s="58"/>
      <c r="C22" s="58"/>
      <c r="D22" s="58"/>
      <c r="E22" s="58"/>
      <c r="F22" s="723"/>
      <c r="G22" s="58"/>
    </row>
    <row r="23" ht="12.75">
      <c r="D23" s="44">
        <v>872062322</v>
      </c>
    </row>
    <row r="24" ht="12.75">
      <c r="D24" s="44">
        <f>D21-D23</f>
        <v>0</v>
      </c>
    </row>
    <row r="25" spans="1:6" ht="12.75">
      <c r="A25" s="44"/>
      <c r="B25" s="44"/>
      <c r="C25" s="44"/>
      <c r="D25" s="44"/>
      <c r="E25" s="44"/>
      <c r="F25" s="44"/>
    </row>
    <row r="26" spans="1:6" ht="12.75">
      <c r="A26" s="44"/>
      <c r="B26" s="44"/>
      <c r="C26" s="44"/>
      <c r="D26" s="44"/>
      <c r="E26" s="44"/>
      <c r="F26" s="44"/>
    </row>
    <row r="27" spans="1:6" ht="12.75">
      <c r="A27" s="44"/>
      <c r="B27" s="44"/>
      <c r="C27" s="44"/>
      <c r="D27" s="44"/>
      <c r="E27" s="44"/>
      <c r="F27" s="44"/>
    </row>
    <row r="28" spans="1:6" ht="12.75">
      <c r="A28" s="44"/>
      <c r="B28" s="44"/>
      <c r="C28" s="44"/>
      <c r="D28" s="44"/>
      <c r="E28" s="44"/>
      <c r="F28" s="44"/>
    </row>
    <row r="29" spans="1:6" ht="12.75">
      <c r="A29" s="44"/>
      <c r="B29" s="44"/>
      <c r="C29" s="44"/>
      <c r="D29" s="44"/>
      <c r="E29" s="44"/>
      <c r="F29" s="44"/>
    </row>
    <row r="30" spans="1:6" ht="12.75">
      <c r="A30" s="158"/>
      <c r="B30" s="158"/>
      <c r="C30" s="158"/>
      <c r="D30" s="158"/>
      <c r="E30" s="158"/>
      <c r="F30" s="158"/>
    </row>
    <row r="31" spans="1:6" ht="12.75">
      <c r="A31" s="158"/>
      <c r="B31" s="158"/>
      <c r="C31" s="158"/>
      <c r="D31" s="158"/>
      <c r="E31" s="158"/>
      <c r="F31" s="158"/>
    </row>
    <row r="32" spans="1:6" ht="12.75">
      <c r="A32" s="158"/>
      <c r="B32" s="158"/>
      <c r="C32" s="158"/>
      <c r="D32" s="158"/>
      <c r="E32" s="158"/>
      <c r="F32" s="158"/>
    </row>
    <row r="33" spans="1:6" ht="12.75">
      <c r="A33" s="158"/>
      <c r="B33" s="158"/>
      <c r="C33" s="158"/>
      <c r="D33" s="158"/>
      <c r="E33" s="158"/>
      <c r="F33" s="158"/>
    </row>
    <row r="34" spans="1:6" ht="12.75">
      <c r="A34" s="158"/>
      <c r="B34" s="158"/>
      <c r="C34" s="158"/>
      <c r="D34" s="158"/>
      <c r="E34" s="158"/>
      <c r="F34" s="158"/>
    </row>
    <row r="35" spans="1:6" ht="12.75">
      <c r="A35" s="158"/>
      <c r="B35" s="158"/>
      <c r="C35" s="158"/>
      <c r="D35" s="158"/>
      <c r="E35" s="158"/>
      <c r="F35" s="158"/>
    </row>
    <row r="36" spans="1:6" ht="12.75">
      <c r="A36" s="158"/>
      <c r="B36" s="158"/>
      <c r="C36" s="158"/>
      <c r="D36" s="158"/>
      <c r="E36" s="158"/>
      <c r="F36" s="158"/>
    </row>
    <row r="37" spans="1:6" ht="12.75">
      <c r="A37" s="158"/>
      <c r="B37" s="158"/>
      <c r="C37" s="158"/>
      <c r="D37" s="158"/>
      <c r="E37" s="158"/>
      <c r="F37" s="158"/>
    </row>
    <row r="38" spans="1:6" ht="12.75">
      <c r="A38" s="158"/>
      <c r="B38" s="158"/>
      <c r="C38" s="158"/>
      <c r="D38" s="158"/>
      <c r="E38" s="158"/>
      <c r="F38" s="158"/>
    </row>
    <row r="39" spans="1:6" ht="12.75">
      <c r="A39" s="158"/>
      <c r="B39" s="158"/>
      <c r="C39" s="158"/>
      <c r="D39" s="158"/>
      <c r="E39" s="158"/>
      <c r="F39" s="158"/>
    </row>
    <row r="40" spans="1:6" ht="12.75">
      <c r="A40" s="158"/>
      <c r="B40" s="158"/>
      <c r="C40" s="158"/>
      <c r="D40" s="158"/>
      <c r="E40" s="158"/>
      <c r="F40" s="158"/>
    </row>
    <row r="41" spans="1:6" ht="12.75">
      <c r="A41" s="158"/>
      <c r="B41" s="158"/>
      <c r="C41" s="158"/>
      <c r="D41" s="158"/>
      <c r="E41" s="158"/>
      <c r="F41" s="158"/>
    </row>
    <row r="42" spans="1:6" ht="12.75">
      <c r="A42" s="158"/>
      <c r="B42" s="158"/>
      <c r="C42" s="158"/>
      <c r="D42" s="158"/>
      <c r="E42" s="158"/>
      <c r="F42" s="158"/>
    </row>
    <row r="43" spans="1:6" ht="12.75">
      <c r="A43" s="158"/>
      <c r="B43" s="158"/>
      <c r="C43" s="158"/>
      <c r="D43" s="158"/>
      <c r="E43" s="158"/>
      <c r="F43" s="158"/>
    </row>
    <row r="44" spans="1:6" ht="12.75">
      <c r="A44" s="158"/>
      <c r="B44" s="158"/>
      <c r="C44" s="158"/>
      <c r="D44" s="158"/>
      <c r="E44" s="158"/>
      <c r="F44" s="158"/>
    </row>
    <row r="45" spans="1:6" ht="12.75">
      <c r="A45" s="158"/>
      <c r="B45" s="158"/>
      <c r="C45" s="158"/>
      <c r="D45" s="158"/>
      <c r="E45" s="158"/>
      <c r="F45" s="158"/>
    </row>
    <row r="46" spans="1:6" ht="12.75">
      <c r="A46" s="158"/>
      <c r="B46" s="158"/>
      <c r="C46" s="158"/>
      <c r="D46" s="158"/>
      <c r="E46" s="158"/>
      <c r="F46" s="158"/>
    </row>
    <row r="47" spans="1:6" ht="12.75">
      <c r="A47" s="158"/>
      <c r="B47" s="158"/>
      <c r="C47" s="158"/>
      <c r="D47" s="158"/>
      <c r="E47" s="158"/>
      <c r="F47" s="158"/>
    </row>
    <row r="48" spans="1:6" ht="12.75">
      <c r="A48" s="158"/>
      <c r="B48" s="158"/>
      <c r="C48" s="158"/>
      <c r="D48" s="158"/>
      <c r="E48" s="158"/>
      <c r="F48" s="158"/>
    </row>
    <row r="49" spans="1:6" ht="12.75">
      <c r="A49" s="158"/>
      <c r="B49" s="158"/>
      <c r="C49" s="158"/>
      <c r="D49" s="158"/>
      <c r="E49" s="158"/>
      <c r="F49" s="158"/>
    </row>
    <row r="50" spans="1:6" ht="12.75">
      <c r="A50" s="158"/>
      <c r="B50" s="158"/>
      <c r="C50" s="158"/>
      <c r="D50" s="158"/>
      <c r="E50" s="158"/>
      <c r="F50" s="158"/>
    </row>
    <row r="51" spans="1:6" ht="12.75">
      <c r="A51" s="158"/>
      <c r="B51" s="158"/>
      <c r="C51" s="158"/>
      <c r="D51" s="158"/>
      <c r="E51" s="158"/>
      <c r="F51" s="158"/>
    </row>
    <row r="52" spans="1:6" ht="12.75">
      <c r="A52" s="44"/>
      <c r="B52" s="44"/>
      <c r="C52" s="44"/>
      <c r="D52" s="44"/>
      <c r="E52" s="44"/>
      <c r="F52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7.7109375" style="0" bestFit="1" customWidth="1"/>
    <col min="2" max="3" width="23.00390625" style="0" customWidth="1"/>
    <col min="4" max="4" width="20.00390625" style="0" customWidth="1"/>
    <col min="5" max="5" width="14.00390625" style="0" bestFit="1" customWidth="1"/>
    <col min="6" max="6" width="16.28125" style="0" customWidth="1"/>
  </cols>
  <sheetData>
    <row r="2" spans="2:4" ht="13.5" thickBot="1">
      <c r="B2" s="42" t="s">
        <v>310</v>
      </c>
      <c r="C2" s="42"/>
      <c r="D2" s="42" t="s">
        <v>411</v>
      </c>
    </row>
    <row r="3" spans="1:6" ht="15.75" thickBot="1">
      <c r="A3" s="423"/>
      <c r="B3" s="410"/>
      <c r="C3" s="768" t="s">
        <v>17</v>
      </c>
      <c r="D3" s="432"/>
      <c r="E3" s="433"/>
      <c r="F3" s="770" t="s">
        <v>528</v>
      </c>
    </row>
    <row r="4" spans="1:6" ht="15">
      <c r="A4" s="424" t="s">
        <v>9</v>
      </c>
      <c r="B4" s="411" t="s">
        <v>17</v>
      </c>
      <c r="C4" s="769" t="s">
        <v>523</v>
      </c>
      <c r="D4" s="430" t="s">
        <v>300</v>
      </c>
      <c r="E4" s="434" t="s">
        <v>311</v>
      </c>
      <c r="F4" s="786" t="s">
        <v>523</v>
      </c>
    </row>
    <row r="5" spans="1:6" ht="12.75">
      <c r="A5" s="424"/>
      <c r="B5" s="413"/>
      <c r="C5" s="413"/>
      <c r="D5" s="430"/>
      <c r="E5" s="785"/>
      <c r="F5" s="58"/>
    </row>
    <row r="6" spans="1:8" ht="14.25">
      <c r="A6" s="425" t="s">
        <v>22</v>
      </c>
      <c r="B6" s="169">
        <f>'teljes kiadás'!M8</f>
        <v>233706724</v>
      </c>
      <c r="C6" s="169">
        <v>233706724</v>
      </c>
      <c r="D6" s="431">
        <f>'[6]bevételek'!$C$66</f>
        <v>14677954</v>
      </c>
      <c r="E6" s="773">
        <f>B6-D6</f>
        <v>219028770</v>
      </c>
      <c r="F6" s="43">
        <f>C6-D6</f>
        <v>219028770</v>
      </c>
      <c r="H6" s="415"/>
    </row>
    <row r="7" spans="1:6" ht="14.25">
      <c r="A7" s="425" t="s">
        <v>302</v>
      </c>
      <c r="B7" s="169">
        <f>'teljes kiadás'!M9</f>
        <v>3202614811.63</v>
      </c>
      <c r="C7" s="169">
        <f>'teljes kiadás'!N9</f>
        <v>3388953869.63</v>
      </c>
      <c r="D7" s="431">
        <f>'[6]bevételek'!$B$66+2370044</f>
        <v>4336399534</v>
      </c>
      <c r="E7" s="773">
        <f aca="true" t="shared" si="0" ref="E7:E22">B7-D7</f>
        <v>-1133784722.37</v>
      </c>
      <c r="F7" s="43">
        <f aca="true" t="shared" si="1" ref="F7:F22">C7-D7</f>
        <v>-947445664.3699999</v>
      </c>
    </row>
    <row r="8" spans="1:6" ht="14.25">
      <c r="A8" s="426" t="s">
        <v>303</v>
      </c>
      <c r="B8" s="169">
        <f>'teljes kiadás'!M10</f>
        <v>3436321535.63</v>
      </c>
      <c r="C8" s="169">
        <f>'teljes kiadás'!N10</f>
        <v>3622660593.63</v>
      </c>
      <c r="D8" s="169">
        <f>D7+D6</f>
        <v>4351077488</v>
      </c>
      <c r="E8" s="773">
        <f t="shared" si="0"/>
        <v>-914755952.3699999</v>
      </c>
      <c r="F8" s="43">
        <f t="shared" si="1"/>
        <v>-728416894.3699999</v>
      </c>
    </row>
    <row r="9" spans="1:6" ht="14.25">
      <c r="A9" s="427" t="s">
        <v>82</v>
      </c>
      <c r="B9" s="169">
        <f>'teljes kiadás'!M11</f>
        <v>132847986</v>
      </c>
      <c r="C9" s="169">
        <f>'teljes kiadás'!N11</f>
        <v>132847986</v>
      </c>
      <c r="D9" s="431">
        <f>'[6]bevételek'!$H$66</f>
        <v>6837588</v>
      </c>
      <c r="E9" s="773">
        <f t="shared" si="0"/>
        <v>126010398</v>
      </c>
      <c r="F9" s="43">
        <f t="shared" si="1"/>
        <v>126010398</v>
      </c>
    </row>
    <row r="10" spans="1:7" ht="14.25">
      <c r="A10" s="427" t="s">
        <v>63</v>
      </c>
      <c r="B10" s="169">
        <f>'teljes kiadás'!M12</f>
        <v>37676738</v>
      </c>
      <c r="C10" s="169">
        <f>'teljes kiadás'!N12</f>
        <v>37676738</v>
      </c>
      <c r="D10" s="431">
        <f>'[6]bevételek'!$I$66</f>
        <v>4435852</v>
      </c>
      <c r="E10" s="773">
        <f t="shared" si="0"/>
        <v>33240886</v>
      </c>
      <c r="F10" s="43">
        <f t="shared" si="1"/>
        <v>33240886</v>
      </c>
      <c r="G10" s="415"/>
    </row>
    <row r="11" spans="1:7" ht="14.25">
      <c r="A11" s="428" t="s">
        <v>20</v>
      </c>
      <c r="B11" s="169">
        <f>'teljes kiadás'!M13</f>
        <v>67664491</v>
      </c>
      <c r="C11" s="169">
        <f>'teljes kiadás'!N13</f>
        <v>67664491</v>
      </c>
      <c r="D11" s="431">
        <f>'[6]bevételek'!$J$66</f>
        <v>13386037</v>
      </c>
      <c r="E11" s="773">
        <f t="shared" si="0"/>
        <v>54278454</v>
      </c>
      <c r="F11" s="43">
        <f t="shared" si="1"/>
        <v>54278454</v>
      </c>
      <c r="G11" s="415"/>
    </row>
    <row r="12" spans="1:7" ht="14.25">
      <c r="A12" s="428" t="s">
        <v>209</v>
      </c>
      <c r="B12" s="169">
        <f>'teljes kiadás'!M14</f>
        <v>298715994</v>
      </c>
      <c r="C12" s="169">
        <f>'teljes kiadás'!N14</f>
        <v>298715994</v>
      </c>
      <c r="D12" s="431">
        <f>'[6]bevételek'!$K$66</f>
        <v>2071753</v>
      </c>
      <c r="E12" s="773">
        <f t="shared" si="0"/>
        <v>296644241</v>
      </c>
      <c r="F12" s="43">
        <f t="shared" si="1"/>
        <v>296644241</v>
      </c>
      <c r="G12" s="415"/>
    </row>
    <row r="13" spans="1:7" ht="14.25">
      <c r="A13" s="428" t="s">
        <v>304</v>
      </c>
      <c r="B13" s="169">
        <f>'teljes kiadás'!M15</f>
        <v>38927627</v>
      </c>
      <c r="C13" s="169">
        <f>'teljes kiadás'!N15</f>
        <v>38927627</v>
      </c>
      <c r="D13" s="431">
        <f>'[6]bevételek'!$L$66</f>
        <v>2026002</v>
      </c>
      <c r="E13" s="773">
        <f t="shared" si="0"/>
        <v>36901625</v>
      </c>
      <c r="F13" s="43">
        <f t="shared" si="1"/>
        <v>36901625</v>
      </c>
      <c r="G13" s="415"/>
    </row>
    <row r="14" spans="1:6" ht="14.25">
      <c r="A14" s="429" t="s">
        <v>150</v>
      </c>
      <c r="B14" s="169">
        <f>'teljes kiadás'!M16</f>
        <v>303781586</v>
      </c>
      <c r="C14" s="169">
        <f>'teljes kiadás'!N16</f>
        <v>303781586</v>
      </c>
      <c r="D14" s="169">
        <f>SUM(D15:D18)</f>
        <v>149571021</v>
      </c>
      <c r="E14" s="773">
        <f t="shared" si="0"/>
        <v>154210565</v>
      </c>
      <c r="F14" s="43">
        <f t="shared" si="1"/>
        <v>154210565</v>
      </c>
    </row>
    <row r="15" spans="1:8" ht="14.25">
      <c r="A15" s="425" t="s">
        <v>151</v>
      </c>
      <c r="B15" s="169">
        <f>'teljes kiadás'!M17</f>
        <v>79338558</v>
      </c>
      <c r="C15" s="169">
        <f>'teljes kiadás'!N17</f>
        <v>79338558</v>
      </c>
      <c r="D15" s="431">
        <f>'[6]bevételek'!$E$66</f>
        <v>29110048</v>
      </c>
      <c r="E15" s="773">
        <f t="shared" si="0"/>
        <v>50228510</v>
      </c>
      <c r="F15" s="43">
        <f t="shared" si="1"/>
        <v>50228510</v>
      </c>
      <c r="H15" s="415"/>
    </row>
    <row r="16" spans="1:8" ht="14.25">
      <c r="A16" s="425" t="s">
        <v>148</v>
      </c>
      <c r="B16" s="169">
        <f>'teljes kiadás'!M18</f>
        <v>3500001</v>
      </c>
      <c r="C16" s="169">
        <f>'teljes kiadás'!N18</f>
        <v>3500001</v>
      </c>
      <c r="D16" s="431">
        <f>'[6]bevételek'!$D$66</f>
        <v>635000</v>
      </c>
      <c r="E16" s="773">
        <f t="shared" si="0"/>
        <v>2865001</v>
      </c>
      <c r="F16" s="43">
        <f t="shared" si="1"/>
        <v>2865001</v>
      </c>
      <c r="H16" s="415"/>
    </row>
    <row r="17" spans="1:8" ht="14.25">
      <c r="A17" s="425" t="s">
        <v>305</v>
      </c>
      <c r="B17" s="169">
        <f>'teljes kiadás'!M19</f>
        <v>3120585</v>
      </c>
      <c r="C17" s="169">
        <f>'teljes kiadás'!N19</f>
        <v>3120585</v>
      </c>
      <c r="D17" s="431">
        <f>'[6]bevételek'!$F$66</f>
        <v>581000</v>
      </c>
      <c r="E17" s="773">
        <f t="shared" si="0"/>
        <v>2539585</v>
      </c>
      <c r="F17" s="43">
        <f t="shared" si="1"/>
        <v>2539585</v>
      </c>
      <c r="H17" s="415"/>
    </row>
    <row r="18" spans="1:8" ht="14.25">
      <c r="A18" s="425" t="s">
        <v>306</v>
      </c>
      <c r="B18" s="169">
        <f>'teljes kiadás'!M20</f>
        <v>217822442</v>
      </c>
      <c r="C18" s="169">
        <f>'teljes kiadás'!N20</f>
        <v>217822442</v>
      </c>
      <c r="D18" s="431">
        <f>'[6]bevételek'!$G$66</f>
        <v>119244973</v>
      </c>
      <c r="E18" s="773">
        <f t="shared" si="0"/>
        <v>98577469</v>
      </c>
      <c r="F18" s="43">
        <f t="shared" si="1"/>
        <v>98577469</v>
      </c>
      <c r="H18" s="415"/>
    </row>
    <row r="19" spans="1:6" ht="14.25">
      <c r="A19" s="441" t="s">
        <v>307</v>
      </c>
      <c r="B19" s="169">
        <f>'teljes kiadás'!M21</f>
        <v>879614422</v>
      </c>
      <c r="C19" s="169">
        <f>'teljes kiadás'!N21</f>
        <v>879614422</v>
      </c>
      <c r="D19" s="629">
        <f>SUM(D9:D14)</f>
        <v>178328253</v>
      </c>
      <c r="E19" s="773">
        <f t="shared" si="0"/>
        <v>701286169</v>
      </c>
      <c r="F19" s="43">
        <f t="shared" si="1"/>
        <v>701286169</v>
      </c>
    </row>
    <row r="20" spans="1:6" ht="14.25">
      <c r="A20" s="441" t="s">
        <v>21</v>
      </c>
      <c r="B20" s="169">
        <f>'teljes kiadás'!M22</f>
        <v>350684099</v>
      </c>
      <c r="C20" s="169">
        <f>'teljes kiadás'!N22</f>
        <v>350684099</v>
      </c>
      <c r="D20" s="442">
        <f>'[3]bevételek'!$M$66</f>
        <v>329576506</v>
      </c>
      <c r="E20" s="773">
        <f t="shared" si="0"/>
        <v>21107593</v>
      </c>
      <c r="F20" s="43">
        <f t="shared" si="1"/>
        <v>21107593</v>
      </c>
    </row>
    <row r="21" spans="1:6" ht="14.25">
      <c r="A21" s="441" t="s">
        <v>308</v>
      </c>
      <c r="B21" s="169">
        <f>'teljes kiadás'!M23</f>
        <v>92787712</v>
      </c>
      <c r="C21" s="169">
        <f>'teljes kiadás'!N23</f>
        <v>92787712</v>
      </c>
      <c r="D21" s="442">
        <f>'[6]bevételek'!$N$66</f>
        <v>86764580</v>
      </c>
      <c r="E21" s="773">
        <f t="shared" si="0"/>
        <v>6023132</v>
      </c>
      <c r="F21" s="43">
        <f t="shared" si="1"/>
        <v>6023132</v>
      </c>
    </row>
    <row r="22" spans="1:6" ht="14.25">
      <c r="A22" s="435" t="s">
        <v>309</v>
      </c>
      <c r="B22" s="169">
        <f>'teljes kiadás'!M24</f>
        <v>4759407768.63</v>
      </c>
      <c r="C22" s="169">
        <f>'teljes kiadás'!N24</f>
        <v>4945746826.63</v>
      </c>
      <c r="D22" s="169">
        <f>D21+D20+D19+D8</f>
        <v>4945746827</v>
      </c>
      <c r="E22" s="773">
        <f t="shared" si="0"/>
        <v>-186339058.3699999</v>
      </c>
      <c r="F22" s="43">
        <f t="shared" si="1"/>
        <v>-0.36999988555908203</v>
      </c>
    </row>
    <row r="23" spans="1:6" ht="12.75">
      <c r="A23" s="436"/>
      <c r="B23" s="58"/>
      <c r="C23" s="58"/>
      <c r="D23" s="58"/>
      <c r="E23" s="723"/>
      <c r="F23" s="58"/>
    </row>
    <row r="26" spans="1:5" ht="12.75">
      <c r="A26" s="44"/>
      <c r="B26" s="44"/>
      <c r="C26" s="44"/>
      <c r="D26" s="44"/>
      <c r="E26" s="44"/>
    </row>
    <row r="27" spans="1:5" ht="12.75">
      <c r="A27" s="44"/>
      <c r="B27" s="44"/>
      <c r="C27" s="44"/>
      <c r="D27" s="44"/>
      <c r="E27" s="44"/>
    </row>
    <row r="28" spans="1:5" ht="12.75">
      <c r="A28" s="44"/>
      <c r="B28" s="44"/>
      <c r="C28" s="44"/>
      <c r="D28" s="44"/>
      <c r="E28" s="44"/>
    </row>
    <row r="29" spans="1:5" ht="12.75">
      <c r="A29" s="44"/>
      <c r="B29" s="44"/>
      <c r="C29" s="44"/>
      <c r="D29" s="44"/>
      <c r="E29" s="44"/>
    </row>
    <row r="30" spans="1:5" ht="12.75">
      <c r="A30" s="44"/>
      <c r="B30" s="44"/>
      <c r="C30" s="44"/>
      <c r="D30" s="44"/>
      <c r="E30" s="44"/>
    </row>
    <row r="31" spans="1:5" ht="12.75">
      <c r="A31" s="158"/>
      <c r="B31" s="158"/>
      <c r="C31" s="158"/>
      <c r="D31" s="158"/>
      <c r="E31" s="158"/>
    </row>
    <row r="32" spans="1:5" ht="12.75">
      <c r="A32" s="158"/>
      <c r="B32" s="158"/>
      <c r="C32" s="158"/>
      <c r="D32" s="158"/>
      <c r="E32" s="158"/>
    </row>
    <row r="33" spans="1:5" ht="12.75">
      <c r="A33" s="158"/>
      <c r="B33" s="158"/>
      <c r="C33" s="158"/>
      <c r="D33" s="158"/>
      <c r="E33" s="158"/>
    </row>
    <row r="34" spans="1:5" ht="12.75">
      <c r="A34" s="158"/>
      <c r="B34" s="158"/>
      <c r="C34" s="158"/>
      <c r="D34" s="158"/>
      <c r="E34" s="158"/>
    </row>
    <row r="35" spans="1:5" ht="12.75">
      <c r="A35" s="158"/>
      <c r="B35" s="158"/>
      <c r="C35" s="158"/>
      <c r="D35" s="158"/>
      <c r="E35" s="158"/>
    </row>
    <row r="36" spans="1:5" ht="12.75">
      <c r="A36" s="158"/>
      <c r="B36" s="158"/>
      <c r="C36" s="158"/>
      <c r="D36" s="158"/>
      <c r="E36" s="158"/>
    </row>
    <row r="37" spans="1:5" ht="12.75">
      <c r="A37" s="158"/>
      <c r="B37" s="158"/>
      <c r="C37" s="158"/>
      <c r="D37" s="158"/>
      <c r="E37" s="158"/>
    </row>
    <row r="38" spans="1:5" ht="12.75">
      <c r="A38" s="158"/>
      <c r="B38" s="158"/>
      <c r="C38" s="158"/>
      <c r="D38" s="158"/>
      <c r="E38" s="158"/>
    </row>
    <row r="39" spans="1:5" ht="12.75">
      <c r="A39" s="158"/>
      <c r="B39" s="158"/>
      <c r="C39" s="158"/>
      <c r="D39" s="158"/>
      <c r="E39" s="158"/>
    </row>
    <row r="40" spans="1:5" ht="12.75">
      <c r="A40" s="158"/>
      <c r="B40" s="158"/>
      <c r="C40" s="158"/>
      <c r="D40" s="158"/>
      <c r="E40" s="158"/>
    </row>
    <row r="41" spans="1:5" ht="12.75">
      <c r="A41" s="158"/>
      <c r="B41" s="158"/>
      <c r="C41" s="158"/>
      <c r="D41" s="158"/>
      <c r="E41" s="158"/>
    </row>
    <row r="42" spans="1:5" ht="12.75">
      <c r="A42" s="158"/>
      <c r="B42" s="158"/>
      <c r="C42" s="158"/>
      <c r="D42" s="158"/>
      <c r="E42" s="158"/>
    </row>
    <row r="43" spans="1:5" ht="12.75">
      <c r="A43" s="158"/>
      <c r="B43" s="158"/>
      <c r="C43" s="158"/>
      <c r="D43" s="158"/>
      <c r="E43" s="158"/>
    </row>
    <row r="44" spans="1:5" ht="12.75">
      <c r="A44" s="158"/>
      <c r="B44" s="158"/>
      <c r="C44" s="158"/>
      <c r="D44" s="158"/>
      <c r="E44" s="158"/>
    </row>
    <row r="45" spans="1:5" ht="12.75">
      <c r="A45" s="158"/>
      <c r="B45" s="158"/>
      <c r="C45" s="158"/>
      <c r="D45" s="158"/>
      <c r="E45" s="158"/>
    </row>
    <row r="46" spans="1:5" ht="12.75">
      <c r="A46" s="158"/>
      <c r="B46" s="158"/>
      <c r="C46" s="158"/>
      <c r="D46" s="158"/>
      <c r="E46" s="158"/>
    </row>
    <row r="47" spans="1:5" ht="12.75">
      <c r="A47" s="158"/>
      <c r="B47" s="158"/>
      <c r="C47" s="158"/>
      <c r="D47" s="158"/>
      <c r="E47" s="158"/>
    </row>
    <row r="48" spans="1:5" ht="12.75">
      <c r="A48" s="158"/>
      <c r="B48" s="158"/>
      <c r="C48" s="158"/>
      <c r="D48" s="158"/>
      <c r="E48" s="158"/>
    </row>
    <row r="49" spans="1:5" ht="12.75">
      <c r="A49" s="158"/>
      <c r="B49" s="158"/>
      <c r="C49" s="158"/>
      <c r="D49" s="158"/>
      <c r="E49" s="158"/>
    </row>
    <row r="50" spans="1:5" ht="12.75">
      <c r="A50" s="158"/>
      <c r="B50" s="158"/>
      <c r="C50" s="158"/>
      <c r="D50" s="158"/>
      <c r="E50" s="158"/>
    </row>
    <row r="51" spans="1:5" ht="12.75">
      <c r="A51" s="158"/>
      <c r="B51" s="158"/>
      <c r="C51" s="158"/>
      <c r="D51" s="158"/>
      <c r="E51" s="158"/>
    </row>
    <row r="52" spans="1:5" ht="12.75">
      <c r="A52" s="158"/>
      <c r="B52" s="158"/>
      <c r="C52" s="158"/>
      <c r="D52" s="158"/>
      <c r="E52" s="158"/>
    </row>
    <row r="53" spans="1:5" ht="12.75">
      <c r="A53" s="44"/>
      <c r="B53" s="44"/>
      <c r="C53" s="44"/>
      <c r="D53" s="44"/>
      <c r="E53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115" zoomScaleNormal="115" zoomScalePageLayoutView="0" workbookViewId="0" topLeftCell="B1">
      <pane xSplit="1" ySplit="6" topLeftCell="C2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E40" sqref="E40"/>
    </sheetView>
  </sheetViews>
  <sheetFormatPr defaultColWidth="9.140625" defaultRowHeight="12.75"/>
  <cols>
    <col min="1" max="1" width="4.00390625" style="61" customWidth="1"/>
    <col min="2" max="2" width="32.8515625" style="61" customWidth="1"/>
    <col min="3" max="3" width="12.00390625" style="61" customWidth="1"/>
    <col min="4" max="4" width="10.28125" style="61" customWidth="1"/>
    <col min="5" max="5" width="10.7109375" style="61" customWidth="1"/>
    <col min="6" max="6" width="10.57421875" style="61" customWidth="1"/>
    <col min="7" max="7" width="0" style="61" hidden="1" customWidth="1"/>
    <col min="8" max="16384" width="9.140625" style="61" customWidth="1"/>
  </cols>
  <sheetData>
    <row r="1" spans="1:6" ht="12.75">
      <c r="A1" s="67"/>
      <c r="B1" s="68" t="s">
        <v>1</v>
      </c>
      <c r="C1" s="68"/>
      <c r="D1" s="68"/>
      <c r="E1" s="68"/>
      <c r="F1" s="68" t="s">
        <v>87</v>
      </c>
    </row>
    <row r="2" spans="1:6" s="71" customFormat="1" ht="15.75">
      <c r="A2" s="61"/>
      <c r="B2" s="61"/>
      <c r="C2" s="70"/>
      <c r="D2" s="70"/>
      <c r="E2" s="70"/>
      <c r="F2" s="70"/>
    </row>
    <row r="3" spans="3:6" s="71" customFormat="1" ht="16.5" thickBot="1">
      <c r="C3" s="70"/>
      <c r="D3" s="70"/>
      <c r="E3" s="70"/>
      <c r="F3" s="70"/>
    </row>
    <row r="4" spans="1:6" ht="13.5" thickTop="1">
      <c r="A4" s="73"/>
      <c r="B4" s="223" t="s">
        <v>64</v>
      </c>
      <c r="C4" s="59" t="s">
        <v>430</v>
      </c>
      <c r="D4" s="59"/>
      <c r="E4" s="59"/>
      <c r="F4" s="59"/>
    </row>
    <row r="5" spans="1:6" ht="12.75">
      <c r="A5" s="74" t="s">
        <v>26</v>
      </c>
      <c r="B5" s="223" t="s">
        <v>65</v>
      </c>
      <c r="C5" s="59" t="s">
        <v>66</v>
      </c>
      <c r="D5" s="59" t="s">
        <v>67</v>
      </c>
      <c r="E5" s="59" t="s">
        <v>68</v>
      </c>
      <c r="F5" s="59" t="s">
        <v>69</v>
      </c>
    </row>
    <row r="6" spans="1:6" ht="27" customHeight="1" thickBot="1">
      <c r="A6" s="84" t="s">
        <v>27</v>
      </c>
      <c r="B6" s="59"/>
      <c r="C6" s="59" t="s">
        <v>70</v>
      </c>
      <c r="D6" s="59" t="s">
        <v>71</v>
      </c>
      <c r="E6" s="59" t="s">
        <v>72</v>
      </c>
      <c r="F6" s="59" t="s">
        <v>73</v>
      </c>
    </row>
    <row r="7" spans="1:6" s="76" customFormat="1" ht="12.75" hidden="1">
      <c r="A7" s="75"/>
      <c r="B7" s="59" t="s">
        <v>74</v>
      </c>
      <c r="C7" s="59"/>
      <c r="D7" s="59"/>
      <c r="E7" s="59" t="s">
        <v>75</v>
      </c>
      <c r="F7" s="59"/>
    </row>
    <row r="8" spans="1:6" ht="12.75" hidden="1">
      <c r="A8" s="77"/>
      <c r="B8" s="189" t="s">
        <v>90</v>
      </c>
      <c r="C8" s="221"/>
      <c r="D8" s="221"/>
      <c r="E8" s="189"/>
      <c r="F8" s="168">
        <f>E8+D8+C8</f>
        <v>0</v>
      </c>
    </row>
    <row r="9" spans="1:6" ht="12.75" hidden="1">
      <c r="A9" s="75"/>
      <c r="B9" s="189" t="s">
        <v>91</v>
      </c>
      <c r="C9" s="221"/>
      <c r="D9" s="221"/>
      <c r="E9" s="189"/>
      <c r="F9" s="168">
        <f>E9+D9+C9</f>
        <v>0</v>
      </c>
    </row>
    <row r="10" spans="1:6" ht="12.75" hidden="1">
      <c r="A10" s="75"/>
      <c r="B10" s="189" t="s">
        <v>92</v>
      </c>
      <c r="C10" s="221"/>
      <c r="D10" s="221"/>
      <c r="E10" s="189"/>
      <c r="F10" s="168">
        <f>E10+D10+C10</f>
        <v>0</v>
      </c>
    </row>
    <row r="11" spans="1:6" ht="12.75" hidden="1">
      <c r="A11" s="78">
        <v>1</v>
      </c>
      <c r="B11" s="189" t="s">
        <v>147</v>
      </c>
      <c r="C11" s="168">
        <f>SUM(C8:C10)</f>
        <v>0</v>
      </c>
      <c r="D11" s="168">
        <f>SUM(D8:D10)</f>
        <v>0</v>
      </c>
      <c r="E11" s="168">
        <f>SUM(E8:E10)</f>
        <v>0</v>
      </c>
      <c r="F11" s="168">
        <f>E11+D11+C11</f>
        <v>0</v>
      </c>
    </row>
    <row r="12" spans="1:6" ht="12.75" hidden="1">
      <c r="A12" s="85">
        <v>6</v>
      </c>
      <c r="B12" s="222"/>
      <c r="C12" s="168"/>
      <c r="D12" s="168"/>
      <c r="E12" s="168"/>
      <c r="F12" s="168"/>
    </row>
    <row r="13" spans="1:6" ht="12.75" hidden="1">
      <c r="A13" s="81"/>
      <c r="B13" s="222"/>
      <c r="C13" s="168"/>
      <c r="D13" s="168"/>
      <c r="E13" s="168"/>
      <c r="F13" s="168"/>
    </row>
    <row r="14" spans="1:7" s="498" customFormat="1" ht="12.75">
      <c r="A14" s="495">
        <v>1</v>
      </c>
      <c r="B14" s="496" t="s">
        <v>160</v>
      </c>
      <c r="C14" s="680">
        <v>150000</v>
      </c>
      <c r="D14" s="680">
        <v>29250</v>
      </c>
      <c r="E14" s="680">
        <f>4989595+1627000</f>
        <v>6616595</v>
      </c>
      <c r="F14" s="300">
        <f>SUM(C14:E14)</f>
        <v>6795845</v>
      </c>
      <c r="G14" s="497" t="e">
        <f>F14-#REF!</f>
        <v>#REF!</v>
      </c>
    </row>
    <row r="15" spans="1:7" s="498" customFormat="1" ht="12.75">
      <c r="A15" s="495">
        <v>2</v>
      </c>
      <c r="B15" s="298" t="s">
        <v>221</v>
      </c>
      <c r="C15" s="300"/>
      <c r="D15" s="300"/>
      <c r="E15" s="680">
        <v>317500</v>
      </c>
      <c r="F15" s="300">
        <f aca="true" t="shared" si="0" ref="F15:F38">SUM(C15:E15)</f>
        <v>317500</v>
      </c>
      <c r="G15" s="497" t="e">
        <f>F15-#REF!</f>
        <v>#REF!</v>
      </c>
    </row>
    <row r="16" spans="1:8" s="500" customFormat="1" ht="12.75">
      <c r="A16" s="499"/>
      <c r="B16" s="503" t="s">
        <v>443</v>
      </c>
      <c r="C16" s="682">
        <v>2494818</v>
      </c>
      <c r="D16" s="682">
        <v>486490</v>
      </c>
      <c r="E16" s="300">
        <v>0</v>
      </c>
      <c r="F16" s="300">
        <f t="shared" si="0"/>
        <v>2981308</v>
      </c>
      <c r="G16" s="497" t="e">
        <f>F16-#REF!</f>
        <v>#REF!</v>
      </c>
      <c r="H16" s="383"/>
    </row>
    <row r="17" spans="1:7" s="502" customFormat="1" ht="12.75">
      <c r="A17" s="501"/>
      <c r="B17" s="496" t="s">
        <v>161</v>
      </c>
      <c r="C17" s="300"/>
      <c r="D17" s="300"/>
      <c r="E17" s="299">
        <v>15640000</v>
      </c>
      <c r="F17" s="300">
        <f t="shared" si="0"/>
        <v>15640000</v>
      </c>
      <c r="G17" s="497" t="e">
        <f>F17-#REF!</f>
        <v>#REF!</v>
      </c>
    </row>
    <row r="18" spans="1:8" s="301" customFormat="1" ht="12.75">
      <c r="A18" s="297"/>
      <c r="B18" s="298" t="s">
        <v>193</v>
      </c>
      <c r="C18" s="681">
        <v>1600000</v>
      </c>
      <c r="D18" s="681">
        <v>312000</v>
      </c>
      <c r="E18" s="681">
        <v>228600</v>
      </c>
      <c r="F18" s="300">
        <f t="shared" si="0"/>
        <v>2140600</v>
      </c>
      <c r="G18" s="497" t="e">
        <f>F18-#REF!</f>
        <v>#REF!</v>
      </c>
      <c r="H18" s="679"/>
    </row>
    <row r="19" spans="1:8" s="301" customFormat="1" ht="12.75">
      <c r="A19" s="297"/>
      <c r="B19" s="298" t="s">
        <v>222</v>
      </c>
      <c r="C19" s="680">
        <v>3010000</v>
      </c>
      <c r="D19" s="680">
        <v>586950</v>
      </c>
      <c r="E19" s="680">
        <v>106900</v>
      </c>
      <c r="F19" s="300">
        <f t="shared" si="0"/>
        <v>3703850</v>
      </c>
      <c r="G19" s="497" t="e">
        <f>F19-#REF!</f>
        <v>#REF!</v>
      </c>
      <c r="H19" s="679"/>
    </row>
    <row r="20" spans="1:7" s="502" customFormat="1" ht="12.75">
      <c r="A20" s="501"/>
      <c r="B20" s="496" t="s">
        <v>162</v>
      </c>
      <c r="C20" s="682">
        <f>C21+C22+C23+C24+C26+C28</f>
        <v>25962634</v>
      </c>
      <c r="D20" s="682">
        <f>D21+D22+D23+D24+D26+D28</f>
        <v>5062713.63</v>
      </c>
      <c r="E20" s="681">
        <f>E21+E22+E23+E24+E26+E28</f>
        <v>42263181</v>
      </c>
      <c r="F20" s="300">
        <f t="shared" si="0"/>
        <v>73288528.63</v>
      </c>
      <c r="G20" s="497" t="e">
        <f>F20-#REF!</f>
        <v>#REF!</v>
      </c>
    </row>
    <row r="21" spans="1:7" s="498" customFormat="1" ht="12.75">
      <c r="A21" s="495"/>
      <c r="B21" s="298" t="s">
        <v>376</v>
      </c>
      <c r="C21" s="300"/>
      <c r="D21" s="300"/>
      <c r="E21" s="680">
        <v>101600</v>
      </c>
      <c r="F21" s="300">
        <f t="shared" si="0"/>
        <v>101600</v>
      </c>
      <c r="G21" s="497" t="e">
        <f>F21-#REF!</f>
        <v>#REF!</v>
      </c>
    </row>
    <row r="22" spans="1:7" s="498" customFormat="1" ht="12.75" hidden="1">
      <c r="A22" s="495"/>
      <c r="B22" s="496" t="s">
        <v>163</v>
      </c>
      <c r="C22" s="300"/>
      <c r="D22" s="300"/>
      <c r="E22" s="299">
        <v>0</v>
      </c>
      <c r="F22" s="300">
        <f t="shared" si="0"/>
        <v>0</v>
      </c>
      <c r="G22" s="497" t="e">
        <f>F22-#REF!</f>
        <v>#REF!</v>
      </c>
    </row>
    <row r="23" spans="1:7" s="498" customFormat="1" ht="12.75">
      <c r="A23" s="495"/>
      <c r="B23" s="496" t="s">
        <v>164</v>
      </c>
      <c r="C23" s="300"/>
      <c r="D23" s="300"/>
      <c r="E23" s="299">
        <v>0</v>
      </c>
      <c r="F23" s="300">
        <f t="shared" si="0"/>
        <v>0</v>
      </c>
      <c r="G23" s="497" t="e">
        <f>F23-#REF!</f>
        <v>#REF!</v>
      </c>
    </row>
    <row r="24" spans="1:7" s="498" customFormat="1" ht="12.75">
      <c r="A24" s="495"/>
      <c r="B24" s="496" t="s">
        <v>165</v>
      </c>
      <c r="C24" s="680">
        <v>25962634</v>
      </c>
      <c r="D24" s="680">
        <f>C24*0.195</f>
        <v>5062713.63</v>
      </c>
      <c r="E24" s="680">
        <v>42161581</v>
      </c>
      <c r="F24" s="300">
        <f t="shared" si="0"/>
        <v>73186928.63</v>
      </c>
      <c r="G24" s="497" t="e">
        <f>F24-#REF!</f>
        <v>#REF!</v>
      </c>
    </row>
    <row r="25" spans="1:7" s="498" customFormat="1" ht="12.75">
      <c r="A25" s="495"/>
      <c r="B25" s="298" t="s">
        <v>194</v>
      </c>
      <c r="C25" s="680">
        <v>529407</v>
      </c>
      <c r="D25" s="680">
        <v>142940</v>
      </c>
      <c r="E25" s="680">
        <v>14375580</v>
      </c>
      <c r="F25" s="300">
        <f t="shared" si="0"/>
        <v>15047927</v>
      </c>
      <c r="G25" s="497" t="e">
        <f>F25-#REF!</f>
        <v>#REF!</v>
      </c>
    </row>
    <row r="26" spans="1:7" s="498" customFormat="1" ht="12.75">
      <c r="A26" s="495"/>
      <c r="B26" s="496" t="s">
        <v>166</v>
      </c>
      <c r="C26" s="299"/>
      <c r="D26" s="299"/>
      <c r="E26" s="299"/>
      <c r="F26" s="300">
        <f t="shared" si="0"/>
        <v>0</v>
      </c>
      <c r="G26" s="497" t="e">
        <f>F26-#REF!</f>
        <v>#REF!</v>
      </c>
    </row>
    <row r="27" spans="1:7" s="502" customFormat="1" ht="12.75">
      <c r="A27" s="501"/>
      <c r="B27" s="496" t="s">
        <v>76</v>
      </c>
      <c r="C27" s="300"/>
      <c r="D27" s="300"/>
      <c r="E27" s="681">
        <v>5207000</v>
      </c>
      <c r="F27" s="300">
        <f t="shared" si="0"/>
        <v>5207000</v>
      </c>
      <c r="G27" s="497" t="e">
        <f>F27-#REF!</f>
        <v>#REF!</v>
      </c>
    </row>
    <row r="28" spans="1:7" s="301" customFormat="1" ht="12.75">
      <c r="A28" s="297"/>
      <c r="B28" s="503" t="s">
        <v>418</v>
      </c>
      <c r="C28" s="300"/>
      <c r="D28" s="300"/>
      <c r="E28" s="300">
        <v>0</v>
      </c>
      <c r="F28" s="300">
        <f t="shared" si="0"/>
        <v>0</v>
      </c>
      <c r="G28" s="497" t="e">
        <f>F28-#REF!</f>
        <v>#REF!</v>
      </c>
    </row>
    <row r="29" spans="1:7" s="301" customFormat="1" ht="12.75">
      <c r="A29" s="297"/>
      <c r="B29" s="503" t="s">
        <v>419</v>
      </c>
      <c r="C29" s="300"/>
      <c r="D29" s="300"/>
      <c r="E29" s="300"/>
      <c r="F29" s="300"/>
      <c r="G29" s="497"/>
    </row>
    <row r="30" spans="1:7" s="301" customFormat="1" ht="12.75">
      <c r="A30" s="297"/>
      <c r="B30" s="503" t="s">
        <v>420</v>
      </c>
      <c r="C30" s="300"/>
      <c r="D30" s="300"/>
      <c r="E30" s="300"/>
      <c r="F30" s="300"/>
      <c r="G30" s="497"/>
    </row>
    <row r="31" spans="1:7" s="498" customFormat="1" ht="12.75">
      <c r="A31" s="495"/>
      <c r="B31" s="496" t="s">
        <v>167</v>
      </c>
      <c r="C31" s="504"/>
      <c r="D31" s="300"/>
      <c r="E31" s="680">
        <v>28155448</v>
      </c>
      <c r="F31" s="300">
        <f t="shared" si="0"/>
        <v>28155448</v>
      </c>
      <c r="G31" s="497" t="e">
        <f>F31-#REF!</f>
        <v>#REF!</v>
      </c>
    </row>
    <row r="32" spans="1:7" s="498" customFormat="1" ht="12.75">
      <c r="A32" s="495"/>
      <c r="B32" s="496" t="s">
        <v>168</v>
      </c>
      <c r="C32" s="681">
        <f>1188000+408820</f>
        <v>1596820</v>
      </c>
      <c r="D32" s="681">
        <f>231660+79720</f>
        <v>311380</v>
      </c>
      <c r="E32" s="680">
        <f>44428964</f>
        <v>44428964</v>
      </c>
      <c r="F32" s="300">
        <f t="shared" si="0"/>
        <v>46337164</v>
      </c>
      <c r="G32" s="497" t="e">
        <f>F32-#REF!</f>
        <v>#REF!</v>
      </c>
    </row>
    <row r="33" spans="1:7" s="498" customFormat="1" ht="12.75">
      <c r="A33" s="495"/>
      <c r="B33" s="505" t="s">
        <v>169</v>
      </c>
      <c r="C33" s="506"/>
      <c r="D33" s="507"/>
      <c r="E33" s="680">
        <v>9127008</v>
      </c>
      <c r="F33" s="300">
        <f t="shared" si="0"/>
        <v>9127008</v>
      </c>
      <c r="G33" s="497" t="e">
        <f>F33-#REF!</f>
        <v>#REF!</v>
      </c>
    </row>
    <row r="34" spans="1:7" s="498" customFormat="1" ht="12.75">
      <c r="A34" s="495"/>
      <c r="B34" s="505" t="s">
        <v>170</v>
      </c>
      <c r="C34" s="506"/>
      <c r="D34" s="507"/>
      <c r="E34" s="680">
        <v>2020000</v>
      </c>
      <c r="F34" s="300">
        <f t="shared" si="0"/>
        <v>2020000</v>
      </c>
      <c r="G34" s="497" t="e">
        <f>F34-#REF!</f>
        <v>#REF!</v>
      </c>
    </row>
    <row r="35" spans="1:7" s="498" customFormat="1" ht="12.75">
      <c r="A35" s="495"/>
      <c r="B35" s="503" t="s">
        <v>203</v>
      </c>
      <c r="C35" s="506"/>
      <c r="D35" s="507"/>
      <c r="E35" s="680">
        <v>1067538</v>
      </c>
      <c r="F35" s="300">
        <f t="shared" si="0"/>
        <v>1067538</v>
      </c>
      <c r="G35" s="497" t="e">
        <f>F35-#REF!</f>
        <v>#REF!</v>
      </c>
    </row>
    <row r="36" spans="1:7" s="502" customFormat="1" ht="13.5" thickBot="1">
      <c r="A36" s="508">
        <v>1</v>
      </c>
      <c r="B36" s="503" t="s">
        <v>195</v>
      </c>
      <c r="C36" s="507"/>
      <c r="D36" s="507"/>
      <c r="E36" s="680">
        <v>35357139</v>
      </c>
      <c r="F36" s="300">
        <f t="shared" si="0"/>
        <v>35357139</v>
      </c>
      <c r="G36" s="497" t="e">
        <f>F36-#REF!</f>
        <v>#REF!</v>
      </c>
    </row>
    <row r="37" spans="1:7" s="502" customFormat="1" ht="12.75">
      <c r="A37" s="501"/>
      <c r="B37" s="503" t="s">
        <v>198</v>
      </c>
      <c r="C37" s="507"/>
      <c r="D37" s="507"/>
      <c r="E37" s="682">
        <v>31426346</v>
      </c>
      <c r="F37" s="300">
        <f t="shared" si="0"/>
        <v>31426346</v>
      </c>
      <c r="G37" s="497" t="e">
        <f>F37-#REF!</f>
        <v>#REF!</v>
      </c>
    </row>
    <row r="38" spans="1:8" s="301" customFormat="1" ht="12.75">
      <c r="A38" s="509"/>
      <c r="B38" s="503" t="s">
        <v>206</v>
      </c>
      <c r="C38" s="681">
        <v>5465000</v>
      </c>
      <c r="D38" s="681">
        <v>2386000</v>
      </c>
      <c r="E38" s="681">
        <v>1476000</v>
      </c>
      <c r="F38" s="300">
        <f t="shared" si="0"/>
        <v>9327000</v>
      </c>
      <c r="G38" s="497" t="e">
        <f>F38-#REF!</f>
        <v>#REF!</v>
      </c>
      <c r="H38" s="679"/>
    </row>
    <row r="39" spans="1:7" s="498" customFormat="1" ht="12.75">
      <c r="A39" s="510"/>
      <c r="B39" s="503" t="s">
        <v>243</v>
      </c>
      <c r="C39" s="506"/>
      <c r="D39" s="507"/>
      <c r="E39" s="507"/>
      <c r="F39" s="300"/>
      <c r="G39" s="497"/>
    </row>
    <row r="40" spans="1:7" s="42" customFormat="1" ht="13.5" thickBot="1">
      <c r="A40" s="86" t="s">
        <v>79</v>
      </c>
      <c r="B40" s="257" t="s">
        <v>80</v>
      </c>
      <c r="C40" s="258">
        <f>SUM(C14:C39)-C20</f>
        <v>40808679</v>
      </c>
      <c r="D40" s="258">
        <f>SUM(D14:D39)-D20</f>
        <v>9317723.629999999</v>
      </c>
      <c r="E40" s="258">
        <f>SUM(E14:E39)-E20</f>
        <v>237813799</v>
      </c>
      <c r="F40" s="258">
        <f>SUM(F14:F39)-F20-F16</f>
        <v>284958893.63</v>
      </c>
      <c r="G40" s="307" t="e">
        <f>F40-#REF!</f>
        <v>#REF!</v>
      </c>
    </row>
    <row r="41" spans="2:7" ht="12.75" hidden="1">
      <c r="B41" s="82"/>
      <c r="C41" s="79"/>
      <c r="D41" s="79"/>
      <c r="E41" s="79" t="e">
        <f>#REF!+F43</f>
        <v>#REF!</v>
      </c>
      <c r="F41" s="80" t="e">
        <f>#REF!-#REF!</f>
        <v>#REF!</v>
      </c>
      <c r="G41" s="307" t="e">
        <f>F41-#REF!</f>
        <v>#REF!</v>
      </c>
    </row>
    <row r="42" spans="3:7" ht="12.75" hidden="1">
      <c r="C42" s="83"/>
      <c r="D42" s="83">
        <v>26655</v>
      </c>
      <c r="E42" s="83"/>
      <c r="F42" s="83">
        <v>480322</v>
      </c>
      <c r="G42" s="307" t="e">
        <f>F42-#REF!</f>
        <v>#REF!</v>
      </c>
    </row>
    <row r="43" spans="1:7" s="71" customFormat="1" ht="15.75" hidden="1">
      <c r="A43" s="61"/>
      <c r="B43" s="70" t="s">
        <v>81</v>
      </c>
      <c r="D43" s="72">
        <f>D42-D40</f>
        <v>-9291068.629999999</v>
      </c>
      <c r="E43" s="72">
        <f>2590/2</f>
        <v>1295</v>
      </c>
      <c r="F43" s="72" t="e">
        <f>F42-#REF!</f>
        <v>#REF!</v>
      </c>
      <c r="G43" s="307" t="e">
        <f>F43-#REF!</f>
        <v>#REF!</v>
      </c>
    </row>
    <row r="44" spans="2:7" s="71" customFormat="1" ht="12.75" hidden="1">
      <c r="B44" s="71" t="s">
        <v>99</v>
      </c>
      <c r="E44" s="72"/>
      <c r="F44" s="72" t="e">
        <f>#REF!-F40</f>
        <v>#REF!</v>
      </c>
      <c r="G44" s="307" t="e">
        <f>F44-#REF!</f>
        <v>#REF!</v>
      </c>
    </row>
    <row r="45" spans="2:6" s="71" customFormat="1" ht="12.75">
      <c r="B45" s="293" t="s">
        <v>201</v>
      </c>
      <c r="C45" s="294"/>
      <c r="D45" s="294"/>
      <c r="E45" s="295"/>
      <c r="F45" s="295">
        <f>F14+F25</f>
        <v>21843772</v>
      </c>
    </row>
    <row r="46" spans="1:5" ht="12.75">
      <c r="A46" s="71"/>
      <c r="B46" s="53"/>
      <c r="E46" s="83"/>
    </row>
    <row r="47" ht="12.75">
      <c r="B47" s="654" t="s">
        <v>444</v>
      </c>
    </row>
    <row r="50" spans="2:6" ht="12.75">
      <c r="B50" s="69"/>
      <c r="C50" s="69"/>
      <c r="D50" s="69"/>
      <c r="E50" s="69"/>
      <c r="F50" s="6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&amp;Rmelléklet a 2019. évi költségvetéshez
</oddHeader>
    <oddFooter>&amp;R&amp;P.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4">
      <selection activeCell="Y23" sqref="Y23"/>
    </sheetView>
  </sheetViews>
  <sheetFormatPr defaultColWidth="9.140625" defaultRowHeight="12.75"/>
  <cols>
    <col min="1" max="1" width="43.7109375" style="345" customWidth="1"/>
    <col min="2" max="2" width="26.140625" style="44" customWidth="1"/>
    <col min="3" max="3" width="13.421875" style="0" hidden="1" customWidth="1"/>
    <col min="4" max="5" width="0" style="0" hidden="1" customWidth="1"/>
    <col min="6" max="6" width="15.421875" style="0" hidden="1" customWidth="1"/>
    <col min="7" max="7" width="22.28125" style="0" hidden="1" customWidth="1"/>
    <col min="8" max="8" width="5.140625" style="0" hidden="1" customWidth="1"/>
    <col min="9" max="9" width="9.28125" style="0" hidden="1" customWidth="1"/>
    <col min="10" max="10" width="0" style="0" hidden="1" customWidth="1"/>
    <col min="11" max="11" width="3.57421875" style="0" hidden="1" customWidth="1"/>
    <col min="12" max="12" width="0" style="0" hidden="1" customWidth="1"/>
    <col min="13" max="13" width="9.00390625" style="0" hidden="1" customWidth="1"/>
    <col min="14" max="14" width="0" style="0" hidden="1" customWidth="1"/>
    <col min="15" max="15" width="4.140625" style="0" hidden="1" customWidth="1"/>
    <col min="16" max="24" width="0" style="0" hidden="1" customWidth="1"/>
    <col min="25" max="25" width="11.140625" style="0" bestFit="1" customWidth="1"/>
    <col min="27" max="27" width="11.140625" style="0" bestFit="1" customWidth="1"/>
  </cols>
  <sheetData>
    <row r="1" spans="1:2" ht="30">
      <c r="A1" s="343" t="s">
        <v>156</v>
      </c>
      <c r="B1"/>
    </row>
    <row r="2" spans="1:2" ht="24.75" customHeight="1">
      <c r="A2" s="344" t="s">
        <v>33</v>
      </c>
      <c r="B2" s="42">
        <v>2019</v>
      </c>
    </row>
    <row r="3" ht="12.75">
      <c r="B3" s="42" t="s">
        <v>452</v>
      </c>
    </row>
    <row r="4" spans="1:2" ht="15">
      <c r="A4" s="346" t="s">
        <v>34</v>
      </c>
      <c r="B4" s="184" t="s">
        <v>32</v>
      </c>
    </row>
    <row r="5" spans="1:25" ht="15">
      <c r="A5" s="347"/>
      <c r="B5" s="184" t="s">
        <v>35</v>
      </c>
      <c r="Y5" s="42"/>
    </row>
    <row r="6" spans="1:2" ht="15">
      <c r="A6" s="346" t="s">
        <v>36</v>
      </c>
      <c r="B6" s="342"/>
    </row>
    <row r="7" spans="1:2" ht="14.25">
      <c r="A7" s="348" t="s">
        <v>377</v>
      </c>
      <c r="B7" s="169">
        <v>25996498</v>
      </c>
    </row>
    <row r="8" spans="1:26" s="328" customFormat="1" ht="14.25">
      <c r="A8" s="511" t="s">
        <v>476</v>
      </c>
      <c r="B8" s="382">
        <v>7000000</v>
      </c>
      <c r="Y8" s="383"/>
      <c r="Z8" s="383"/>
    </row>
    <row r="9" spans="1:2" ht="14.25" hidden="1">
      <c r="A9" s="348"/>
      <c r="B9" s="169"/>
    </row>
    <row r="10" spans="1:26" ht="14.25">
      <c r="A10" s="349" t="s">
        <v>378</v>
      </c>
      <c r="B10" s="169">
        <v>2981308</v>
      </c>
      <c r="X10" s="64"/>
      <c r="Y10" s="64"/>
      <c r="Z10" s="64"/>
    </row>
    <row r="11" spans="1:26" ht="14.25">
      <c r="A11" s="349" t="s">
        <v>486</v>
      </c>
      <c r="B11" s="169">
        <v>2629000</v>
      </c>
      <c r="X11" s="64"/>
      <c r="Y11" s="64"/>
      <c r="Z11" s="64"/>
    </row>
    <row r="12" spans="1:25" ht="39.75" customHeight="1">
      <c r="A12" s="350" t="s">
        <v>37</v>
      </c>
      <c r="B12" s="341">
        <f>SUM(B7:B11)</f>
        <v>38606806</v>
      </c>
      <c r="C12" s="341">
        <f aca="true" t="shared" si="0" ref="C12:Y12">SUM(C7:C10)</f>
        <v>0</v>
      </c>
      <c r="D12" s="341">
        <f t="shared" si="0"/>
        <v>0</v>
      </c>
      <c r="E12" s="341">
        <f t="shared" si="0"/>
        <v>0</v>
      </c>
      <c r="F12" s="341">
        <f t="shared" si="0"/>
        <v>0</v>
      </c>
      <c r="G12" s="341">
        <f t="shared" si="0"/>
        <v>0</v>
      </c>
      <c r="H12" s="341">
        <f t="shared" si="0"/>
        <v>0</v>
      </c>
      <c r="I12" s="341">
        <f t="shared" si="0"/>
        <v>0</v>
      </c>
      <c r="J12" s="341">
        <f t="shared" si="0"/>
        <v>0</v>
      </c>
      <c r="K12" s="341">
        <f t="shared" si="0"/>
        <v>0</v>
      </c>
      <c r="L12" s="341">
        <f t="shared" si="0"/>
        <v>0</v>
      </c>
      <c r="M12" s="341">
        <f t="shared" si="0"/>
        <v>0</v>
      </c>
      <c r="N12" s="341">
        <f t="shared" si="0"/>
        <v>0</v>
      </c>
      <c r="O12" s="341">
        <f t="shared" si="0"/>
        <v>0</v>
      </c>
      <c r="P12" s="341">
        <f t="shared" si="0"/>
        <v>0</v>
      </c>
      <c r="Q12" s="341">
        <f t="shared" si="0"/>
        <v>0</v>
      </c>
      <c r="R12" s="341">
        <f t="shared" si="0"/>
        <v>0</v>
      </c>
      <c r="S12" s="341">
        <f t="shared" si="0"/>
        <v>0</v>
      </c>
      <c r="T12" s="341">
        <f t="shared" si="0"/>
        <v>0</v>
      </c>
      <c r="U12" s="341">
        <f t="shared" si="0"/>
        <v>0</v>
      </c>
      <c r="V12" s="341">
        <f t="shared" si="0"/>
        <v>0</v>
      </c>
      <c r="W12" s="341">
        <f t="shared" si="0"/>
        <v>0</v>
      </c>
      <c r="X12" s="341">
        <f t="shared" si="0"/>
        <v>0</v>
      </c>
      <c r="Y12" s="478">
        <f t="shared" si="0"/>
        <v>0</v>
      </c>
    </row>
    <row r="13" spans="1:3" ht="16.5">
      <c r="A13" s="351" t="s">
        <v>38</v>
      </c>
      <c r="B13" s="342"/>
      <c r="C13" s="156">
        <v>800</v>
      </c>
    </row>
    <row r="14" spans="1:24" ht="14.25" hidden="1">
      <c r="A14" s="349" t="s">
        <v>205</v>
      </c>
      <c r="B14" s="169">
        <v>0</v>
      </c>
      <c r="X14" t="s">
        <v>373</v>
      </c>
    </row>
    <row r="15" spans="1:24" ht="14.25">
      <c r="A15" s="349" t="s">
        <v>379</v>
      </c>
      <c r="B15" s="169">
        <v>0</v>
      </c>
      <c r="X15" s="328" t="s">
        <v>196</v>
      </c>
    </row>
    <row r="16" spans="1:24" ht="14.25">
      <c r="A16" s="349" t="s">
        <v>380</v>
      </c>
      <c r="B16" s="169">
        <v>0</v>
      </c>
      <c r="X16" s="64" t="s">
        <v>264</v>
      </c>
    </row>
    <row r="17" spans="1:2" ht="14.25">
      <c r="A17" s="349" t="s">
        <v>202</v>
      </c>
      <c r="B17" s="169">
        <v>14700000</v>
      </c>
    </row>
    <row r="18" spans="1:24" s="328" customFormat="1" ht="14.25">
      <c r="A18" s="381" t="s">
        <v>381</v>
      </c>
      <c r="B18" s="382">
        <v>0</v>
      </c>
      <c r="X18" s="328" t="s">
        <v>196</v>
      </c>
    </row>
    <row r="19" spans="1:24" s="328" customFormat="1" ht="14.25">
      <c r="A19" s="381" t="s">
        <v>261</v>
      </c>
      <c r="B19" s="382">
        <v>700000</v>
      </c>
      <c r="X19" s="328" t="s">
        <v>196</v>
      </c>
    </row>
    <row r="20" spans="1:25" s="328" customFormat="1" ht="14.25">
      <c r="A20" s="406" t="s">
        <v>226</v>
      </c>
      <c r="B20" s="693">
        <v>1620000</v>
      </c>
      <c r="X20" s="383"/>
      <c r="Y20" s="383"/>
    </row>
    <row r="21" spans="1:25" s="328" customFormat="1" ht="14.25" customHeight="1">
      <c r="A21" s="706" t="s">
        <v>479</v>
      </c>
      <c r="B21" s="693">
        <v>15000000</v>
      </c>
      <c r="X21" s="383"/>
      <c r="Y21" s="383"/>
    </row>
    <row r="22" spans="1:3" s="93" customFormat="1" ht="12.75">
      <c r="A22" s="471" t="s">
        <v>383</v>
      </c>
      <c r="B22" s="632">
        <v>70000000</v>
      </c>
      <c r="C22" s="96"/>
    </row>
    <row r="23" spans="1:24" s="56" customFormat="1" ht="14.25">
      <c r="A23" s="352" t="s">
        <v>0</v>
      </c>
      <c r="B23" s="169">
        <v>30000000</v>
      </c>
      <c r="X23"/>
    </row>
    <row r="24" spans="1:27" ht="31.5">
      <c r="A24" s="350" t="s">
        <v>39</v>
      </c>
      <c r="B24" s="341">
        <f>SUM(B14:B23)</f>
        <v>132020000</v>
      </c>
      <c r="C24" s="341">
        <f aca="true" t="shared" si="1" ref="C24:X24">SUM(C14:C23)</f>
        <v>0</v>
      </c>
      <c r="D24" s="341">
        <f t="shared" si="1"/>
        <v>0</v>
      </c>
      <c r="E24" s="341">
        <f t="shared" si="1"/>
        <v>0</v>
      </c>
      <c r="F24" s="341">
        <f t="shared" si="1"/>
        <v>0</v>
      </c>
      <c r="G24" s="341">
        <f t="shared" si="1"/>
        <v>0</v>
      </c>
      <c r="H24" s="341">
        <f t="shared" si="1"/>
        <v>0</v>
      </c>
      <c r="I24" s="341">
        <f t="shared" si="1"/>
        <v>0</v>
      </c>
      <c r="J24" s="341">
        <f t="shared" si="1"/>
        <v>0</v>
      </c>
      <c r="K24" s="341">
        <f t="shared" si="1"/>
        <v>0</v>
      </c>
      <c r="L24" s="341">
        <f t="shared" si="1"/>
        <v>0</v>
      </c>
      <c r="M24" s="341">
        <f t="shared" si="1"/>
        <v>0</v>
      </c>
      <c r="N24" s="341">
        <f t="shared" si="1"/>
        <v>0</v>
      </c>
      <c r="O24" s="341">
        <f t="shared" si="1"/>
        <v>0</v>
      </c>
      <c r="P24" s="341">
        <f t="shared" si="1"/>
        <v>0</v>
      </c>
      <c r="Q24" s="341">
        <f t="shared" si="1"/>
        <v>0</v>
      </c>
      <c r="R24" s="341">
        <f t="shared" si="1"/>
        <v>0</v>
      </c>
      <c r="S24" s="341">
        <f t="shared" si="1"/>
        <v>0</v>
      </c>
      <c r="T24" s="341">
        <f t="shared" si="1"/>
        <v>0</v>
      </c>
      <c r="U24" s="341">
        <f t="shared" si="1"/>
        <v>0</v>
      </c>
      <c r="V24" s="341">
        <f t="shared" si="1"/>
        <v>0</v>
      </c>
      <c r="W24" s="341">
        <f t="shared" si="1"/>
        <v>0</v>
      </c>
      <c r="X24" s="341">
        <f t="shared" si="1"/>
        <v>0</v>
      </c>
      <c r="Y24" s="478"/>
      <c r="AA24" s="44"/>
    </row>
    <row r="25" ht="12" customHeight="1">
      <c r="B25" s="64"/>
    </row>
    <row r="26" spans="2:25" ht="12.75">
      <c r="B26" s="632"/>
      <c r="Y26" s="632"/>
    </row>
    <row r="27" ht="12.75">
      <c r="B27" s="632"/>
    </row>
    <row r="28" ht="12.75">
      <c r="B28" s="632"/>
    </row>
    <row r="49" ht="12.75">
      <c r="H49" t="e">
        <f>E49/E51</f>
        <v>#DIV/0!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6">
      <selection activeCell="Q19" sqref="Q19"/>
    </sheetView>
  </sheetViews>
  <sheetFormatPr defaultColWidth="9.140625" defaultRowHeight="12.75"/>
  <cols>
    <col min="1" max="1" width="35.7109375" style="94" customWidth="1"/>
    <col min="2" max="2" width="14.28125" style="267" customWidth="1"/>
    <col min="3" max="3" width="9.140625" style="93" hidden="1" customWidth="1"/>
    <col min="4" max="7" width="0" style="93" hidden="1" customWidth="1"/>
    <col min="8" max="8" width="5.140625" style="93" hidden="1" customWidth="1"/>
    <col min="9" max="9" width="9.28125" style="93" hidden="1" customWidth="1"/>
    <col min="10" max="10" width="0" style="93" hidden="1" customWidth="1"/>
    <col min="11" max="11" width="3.57421875" style="93" hidden="1" customWidth="1"/>
    <col min="12" max="12" width="0" style="93" hidden="1" customWidth="1"/>
    <col min="13" max="13" width="6.28125" style="93" hidden="1" customWidth="1"/>
    <col min="14" max="14" width="12.7109375" style="93" bestFit="1" customWidth="1"/>
    <col min="15" max="15" width="4.140625" style="93" hidden="1" customWidth="1"/>
    <col min="16" max="16" width="10.140625" style="93" bestFit="1" customWidth="1"/>
    <col min="17" max="16384" width="9.140625" style="93" customWidth="1"/>
  </cols>
  <sheetData>
    <row r="1" spans="1:2" s="88" customFormat="1" ht="15.75">
      <c r="A1" s="87" t="s">
        <v>1</v>
      </c>
      <c r="B1" s="279"/>
    </row>
    <row r="2" spans="1:2" s="88" customFormat="1" ht="8.25" customHeight="1">
      <c r="A2" s="89"/>
      <c r="B2" s="280"/>
    </row>
    <row r="3" spans="1:2" s="88" customFormat="1" ht="15.75">
      <c r="A3" s="787" t="s">
        <v>158</v>
      </c>
      <c r="B3" s="788"/>
    </row>
    <row r="4" spans="1:2" s="88" customFormat="1" ht="15.75">
      <c r="A4" s="87" t="s">
        <v>171</v>
      </c>
      <c r="B4" s="279"/>
    </row>
    <row r="5" spans="1:2" s="90" customFormat="1" ht="12.75">
      <c r="A5" s="170"/>
      <c r="B5" s="281"/>
    </row>
    <row r="6" spans="1:14" s="91" customFormat="1" ht="13.5" thickBot="1">
      <c r="A6" s="105"/>
      <c r="B6" s="710">
        <v>2019</v>
      </c>
      <c r="N6" s="91">
        <v>2019</v>
      </c>
    </row>
    <row r="7" spans="1:14" s="92" customFormat="1" ht="15.75">
      <c r="A7" s="259" t="s">
        <v>93</v>
      </c>
      <c r="B7" s="282" t="s">
        <v>32</v>
      </c>
      <c r="N7" s="64" t="s">
        <v>523</v>
      </c>
    </row>
    <row r="8" spans="1:2" s="92" customFormat="1" ht="15">
      <c r="A8" s="260" t="s">
        <v>94</v>
      </c>
      <c r="B8" s="283"/>
    </row>
    <row r="9" spans="1:14" s="92" customFormat="1" ht="30" customHeight="1">
      <c r="A9" s="273" t="s">
        <v>175</v>
      </c>
      <c r="B9" s="284" t="s">
        <v>181</v>
      </c>
      <c r="C9" s="284" t="s">
        <v>181</v>
      </c>
      <c r="D9" s="284" t="s">
        <v>181</v>
      </c>
      <c r="E9" s="284" t="s">
        <v>181</v>
      </c>
      <c r="F9" s="284" t="s">
        <v>181</v>
      </c>
      <c r="G9" s="284" t="s">
        <v>181</v>
      </c>
      <c r="H9" s="284" t="s">
        <v>181</v>
      </c>
      <c r="I9" s="284" t="s">
        <v>181</v>
      </c>
      <c r="J9" s="284" t="s">
        <v>181</v>
      </c>
      <c r="K9" s="284" t="s">
        <v>181</v>
      </c>
      <c r="L9" s="284" t="s">
        <v>181</v>
      </c>
      <c r="M9" s="284" t="s">
        <v>181</v>
      </c>
      <c r="N9" s="284" t="s">
        <v>447</v>
      </c>
    </row>
    <row r="10" spans="1:14" s="92" customFormat="1" ht="15.75" customHeight="1">
      <c r="A10" s="274" t="s">
        <v>182</v>
      </c>
      <c r="B10" s="683">
        <f>'eu támogatások'!B7</f>
        <v>1026119044</v>
      </c>
      <c r="C10" s="275" t="s">
        <v>183</v>
      </c>
      <c r="N10" s="309">
        <v>1026119044</v>
      </c>
    </row>
    <row r="11" spans="1:14" s="92" customFormat="1" ht="15.75" customHeight="1">
      <c r="A11" s="274" t="s">
        <v>483</v>
      </c>
      <c r="B11" s="699">
        <f>'eu támogatások'!F53</f>
        <v>152502859</v>
      </c>
      <c r="C11" s="275"/>
      <c r="N11" s="309">
        <v>152502859</v>
      </c>
    </row>
    <row r="12" spans="1:14" s="92" customFormat="1" ht="26.25" customHeight="1">
      <c r="A12" s="274" t="s">
        <v>296</v>
      </c>
      <c r="B12" s="683">
        <v>0</v>
      </c>
      <c r="C12" s="275"/>
      <c r="N12" s="309"/>
    </row>
    <row r="13" spans="1:14" s="92" customFormat="1" ht="26.25" customHeight="1">
      <c r="A13" s="274" t="s">
        <v>446</v>
      </c>
      <c r="B13" s="683">
        <f>99999387+5263158</f>
        <v>105262545</v>
      </c>
      <c r="C13" s="275"/>
      <c r="N13" s="309">
        <v>105262545</v>
      </c>
    </row>
    <row r="14" spans="1:14" s="92" customFormat="1" ht="26.25" customHeight="1">
      <c r="A14" s="277" t="s">
        <v>384</v>
      </c>
      <c r="B14" s="684">
        <f>11811000+13000000</f>
        <v>24811000</v>
      </c>
      <c r="C14" s="275"/>
      <c r="N14" s="779">
        <v>24811000</v>
      </c>
    </row>
    <row r="15" spans="1:14" s="92" customFormat="1" ht="26.25" customHeight="1">
      <c r="A15" s="277" t="s">
        <v>442</v>
      </c>
      <c r="B15" s="684">
        <v>113879860</v>
      </c>
      <c r="C15" s="275"/>
      <c r="N15" s="779">
        <v>113879860</v>
      </c>
    </row>
    <row r="16" spans="1:14" ht="29.25" customHeight="1">
      <c r="A16" s="512" t="s">
        <v>184</v>
      </c>
      <c r="B16" s="685">
        <v>3000000</v>
      </c>
      <c r="C16" s="275" t="s">
        <v>185</v>
      </c>
      <c r="N16" s="303">
        <v>3000000</v>
      </c>
    </row>
    <row r="17" spans="1:14" ht="15.75" customHeight="1">
      <c r="A17" s="513" t="s">
        <v>186</v>
      </c>
      <c r="B17" s="686">
        <v>2500000</v>
      </c>
      <c r="C17" s="275"/>
      <c r="N17" s="303">
        <v>2500000</v>
      </c>
    </row>
    <row r="18" spans="1:16" s="473" customFormat="1" ht="15" customHeight="1">
      <c r="A18" s="792" t="s">
        <v>529</v>
      </c>
      <c r="B18" s="686"/>
      <c r="C18" s="793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82">
        <f>183969014+2370044</f>
        <v>186339058</v>
      </c>
      <c r="P18" s="383"/>
    </row>
    <row r="19" spans="1:14" s="473" customFormat="1" ht="27.75" customHeight="1">
      <c r="A19" s="633" t="s">
        <v>440</v>
      </c>
      <c r="B19" s="687">
        <v>840000</v>
      </c>
      <c r="C19" s="472"/>
      <c r="N19" s="780">
        <v>840000</v>
      </c>
    </row>
    <row r="20" spans="1:16" ht="12.75">
      <c r="A20" s="513" t="s">
        <v>295</v>
      </c>
      <c r="B20" s="686">
        <v>2000000</v>
      </c>
      <c r="C20" s="275"/>
      <c r="N20" s="309">
        <v>2000000</v>
      </c>
      <c r="P20" s="64"/>
    </row>
    <row r="21" spans="1:14" ht="12.75">
      <c r="A21" s="513" t="s">
        <v>385</v>
      </c>
      <c r="B21" s="686">
        <v>50673631</v>
      </c>
      <c r="C21" s="275"/>
      <c r="N21" s="303">
        <v>50673631</v>
      </c>
    </row>
    <row r="22" spans="1:16" s="473" customFormat="1" ht="25.5">
      <c r="A22" s="514" t="s">
        <v>386</v>
      </c>
      <c r="B22" s="687">
        <v>61920000</v>
      </c>
      <c r="C22" s="472"/>
      <c r="N22" s="780">
        <v>61920000</v>
      </c>
      <c r="P22" s="383"/>
    </row>
    <row r="23" spans="1:14" ht="15.75" customHeight="1">
      <c r="A23" s="513" t="s">
        <v>263</v>
      </c>
      <c r="B23" s="686">
        <v>25986595</v>
      </c>
      <c r="C23" s="275"/>
      <c r="N23" s="303">
        <v>25986595</v>
      </c>
    </row>
    <row r="24" spans="1:16" s="473" customFormat="1" ht="15.75" customHeight="1">
      <c r="A24" s="656" t="s">
        <v>215</v>
      </c>
      <c r="B24" s="687">
        <v>228600000</v>
      </c>
      <c r="C24" s="472"/>
      <c r="N24" s="780">
        <v>228600000</v>
      </c>
      <c r="P24" s="383"/>
    </row>
    <row r="25" spans="1:14" s="473" customFormat="1" ht="24" customHeight="1">
      <c r="A25" s="514" t="s">
        <v>374</v>
      </c>
      <c r="B25" s="687">
        <v>48000000</v>
      </c>
      <c r="C25" s="472"/>
      <c r="N25" s="781">
        <v>48000000</v>
      </c>
    </row>
    <row r="26" spans="1:16" s="473" customFormat="1" ht="24" customHeight="1">
      <c r="A26" s="514" t="s">
        <v>437</v>
      </c>
      <c r="B26" s="687">
        <v>4064000</v>
      </c>
      <c r="C26" s="472"/>
      <c r="N26" s="781">
        <v>4064000</v>
      </c>
      <c r="P26" s="383"/>
    </row>
    <row r="27" spans="1:14" s="473" customFormat="1" ht="15.75" customHeight="1">
      <c r="A27" s="514" t="s">
        <v>262</v>
      </c>
      <c r="B27" s="687">
        <v>0</v>
      </c>
      <c r="C27" s="472"/>
      <c r="N27" s="781">
        <v>0</v>
      </c>
    </row>
    <row r="28" spans="1:16" s="473" customFormat="1" ht="15.75" customHeight="1">
      <c r="A28" s="514" t="s">
        <v>438</v>
      </c>
      <c r="B28" s="687">
        <v>11691404</v>
      </c>
      <c r="C28" s="472"/>
      <c r="N28" s="781">
        <v>11691404</v>
      </c>
      <c r="P28" s="383"/>
    </row>
    <row r="29" spans="1:17" s="473" customFormat="1" ht="30" customHeight="1">
      <c r="A29" s="514" t="s">
        <v>439</v>
      </c>
      <c r="B29" s="687">
        <v>4000000</v>
      </c>
      <c r="C29" s="472"/>
      <c r="N29" s="781">
        <v>4000000</v>
      </c>
      <c r="P29" s="390"/>
      <c r="Q29" s="383"/>
    </row>
    <row r="30" spans="1:16" s="473" customFormat="1" ht="25.5">
      <c r="A30" s="514" t="s">
        <v>434</v>
      </c>
      <c r="B30" s="687">
        <v>600000</v>
      </c>
      <c r="C30" s="472"/>
      <c r="N30" s="781">
        <v>600000</v>
      </c>
      <c r="P30" s="383"/>
    </row>
    <row r="31" spans="1:14" s="62" customFormat="1" ht="15.75" customHeight="1">
      <c r="A31" s="515" t="s">
        <v>208</v>
      </c>
      <c r="B31" s="688">
        <f>'teljes kiadás'!E14</f>
        <v>4719070</v>
      </c>
      <c r="C31" s="306"/>
      <c r="N31" s="335">
        <v>4719070</v>
      </c>
    </row>
    <row r="32" spans="1:14" s="62" customFormat="1" ht="15.75" customHeight="1">
      <c r="A32" s="515" t="s">
        <v>210</v>
      </c>
      <c r="B32" s="688">
        <f>'teljes kiadás'!E13</f>
        <v>4680398</v>
      </c>
      <c r="C32" s="306"/>
      <c r="N32" s="335">
        <v>4680398</v>
      </c>
    </row>
    <row r="33" spans="1:14" s="62" customFormat="1" ht="15.75" customHeight="1">
      <c r="A33" s="515" t="s">
        <v>211</v>
      </c>
      <c r="B33" s="688">
        <f>'teljes kiadás'!E11</f>
        <v>2250002</v>
      </c>
      <c r="C33" s="306"/>
      <c r="N33" s="335">
        <v>2250002</v>
      </c>
    </row>
    <row r="34" spans="1:14" s="62" customFormat="1" ht="15.75" customHeight="1">
      <c r="A34" s="515" t="s">
        <v>216</v>
      </c>
      <c r="B34" s="688">
        <f>'teljes kiadás'!E15</f>
        <v>825500</v>
      </c>
      <c r="C34" s="306"/>
      <c r="N34" s="335">
        <v>825500</v>
      </c>
    </row>
    <row r="35" spans="1:14" s="62" customFormat="1" ht="15.75" customHeight="1">
      <c r="A35" s="515" t="s">
        <v>217</v>
      </c>
      <c r="B35" s="688">
        <f>'teljes kiadás'!E22</f>
        <v>13099319</v>
      </c>
      <c r="C35" s="306"/>
      <c r="N35" s="335">
        <v>13099319</v>
      </c>
    </row>
    <row r="36" spans="1:14" s="62" customFormat="1" ht="15.75" customHeight="1">
      <c r="A36" s="515" t="s">
        <v>213</v>
      </c>
      <c r="B36" s="688">
        <f>'teljes kiadás'!E16</f>
        <v>2484501</v>
      </c>
      <c r="C36" s="306"/>
      <c r="N36" s="335">
        <v>2484501</v>
      </c>
    </row>
    <row r="37" spans="1:14" s="62" customFormat="1" ht="15.75" customHeight="1">
      <c r="A37" s="515" t="s">
        <v>214</v>
      </c>
      <c r="B37" s="688">
        <f>'teljes kiadás'!E8</f>
        <v>3527679</v>
      </c>
      <c r="C37" s="306"/>
      <c r="N37" s="335">
        <v>3527679</v>
      </c>
    </row>
    <row r="38" spans="1:14" s="62" customFormat="1" ht="15.75" customHeight="1">
      <c r="A38" s="515" t="s">
        <v>212</v>
      </c>
      <c r="B38" s="688">
        <f>'teljes kiadás'!E12</f>
        <v>317500</v>
      </c>
      <c r="C38" s="306"/>
      <c r="N38" s="335">
        <v>317500</v>
      </c>
    </row>
    <row r="39" spans="1:17" ht="15.75" customHeight="1">
      <c r="A39" s="278" t="s">
        <v>17</v>
      </c>
      <c r="B39" s="689">
        <f>SUM(B10:B38)</f>
        <v>1898354907</v>
      </c>
      <c r="C39" s="276">
        <f aca="true" t="shared" si="0" ref="C39:M39">SUM(C10:C38)</f>
        <v>0</v>
      </c>
      <c r="D39" s="276">
        <f t="shared" si="0"/>
        <v>0</v>
      </c>
      <c r="E39" s="276">
        <f t="shared" si="0"/>
        <v>0</v>
      </c>
      <c r="F39" s="276">
        <f t="shared" si="0"/>
        <v>0</v>
      </c>
      <c r="G39" s="276">
        <f t="shared" si="0"/>
        <v>0</v>
      </c>
      <c r="H39" s="276">
        <f t="shared" si="0"/>
        <v>0</v>
      </c>
      <c r="I39" s="276">
        <f t="shared" si="0"/>
        <v>0</v>
      </c>
      <c r="J39" s="276">
        <f t="shared" si="0"/>
        <v>0</v>
      </c>
      <c r="K39" s="276">
        <f t="shared" si="0"/>
        <v>0</v>
      </c>
      <c r="L39" s="276">
        <f t="shared" si="0"/>
        <v>0</v>
      </c>
      <c r="M39" s="777">
        <f t="shared" si="0"/>
        <v>0</v>
      </c>
      <c r="N39" s="782">
        <f>SUM(N10:N38)</f>
        <v>2084693965</v>
      </c>
      <c r="P39" s="267"/>
      <c r="Q39" s="267"/>
    </row>
    <row r="40" spans="1:14" s="64" customFormat="1" ht="12.75">
      <c r="A40" s="306" t="s">
        <v>368</v>
      </c>
      <c r="B40" s="690">
        <v>268765000</v>
      </c>
      <c r="N40" s="309">
        <v>268765000</v>
      </c>
    </row>
    <row r="41" spans="1:14" s="64" customFormat="1" ht="12.75">
      <c r="A41" s="306" t="s">
        <v>382</v>
      </c>
      <c r="B41" s="690">
        <v>52113860</v>
      </c>
      <c r="N41" s="309">
        <v>52113860</v>
      </c>
    </row>
    <row r="42" spans="1:14" s="64" customFormat="1" ht="12.75">
      <c r="A42" s="306" t="s">
        <v>421</v>
      </c>
      <c r="B42" s="690"/>
      <c r="N42" s="309"/>
    </row>
    <row r="43" spans="1:14" s="64" customFormat="1" ht="12.75">
      <c r="A43" s="516" t="s">
        <v>422</v>
      </c>
      <c r="B43" s="691"/>
      <c r="N43" s="309"/>
    </row>
    <row r="44" spans="1:14" ht="12.75">
      <c r="A44" s="171" t="s">
        <v>95</v>
      </c>
      <c r="B44" s="692">
        <f>B43+B39+B40+B41</f>
        <v>2219233767</v>
      </c>
      <c r="C44" s="172">
        <f aca="true" t="shared" si="1" ref="C44:M44">C43+C39+C40+C41+C42</f>
        <v>0</v>
      </c>
      <c r="D44" s="172">
        <f t="shared" si="1"/>
        <v>0</v>
      </c>
      <c r="E44" s="172">
        <f t="shared" si="1"/>
        <v>0</v>
      </c>
      <c r="F44" s="172">
        <f t="shared" si="1"/>
        <v>0</v>
      </c>
      <c r="G44" s="172">
        <f t="shared" si="1"/>
        <v>0</v>
      </c>
      <c r="H44" s="172">
        <f t="shared" si="1"/>
        <v>0</v>
      </c>
      <c r="I44" s="172">
        <f t="shared" si="1"/>
        <v>0</v>
      </c>
      <c r="J44" s="172">
        <f t="shared" si="1"/>
        <v>0</v>
      </c>
      <c r="K44" s="172">
        <f t="shared" si="1"/>
        <v>0</v>
      </c>
      <c r="L44" s="172">
        <f t="shared" si="1"/>
        <v>0</v>
      </c>
      <c r="M44" s="778">
        <f t="shared" si="1"/>
        <v>0</v>
      </c>
      <c r="N44" s="783">
        <f>N39+N40+N41</f>
        <v>2405572825</v>
      </c>
    </row>
    <row r="45" spans="1:14" ht="12.75">
      <c r="A45" s="353"/>
      <c r="B45" s="354"/>
      <c r="N45" s="303"/>
    </row>
    <row r="46" spans="1:14" ht="12.75">
      <c r="A46" s="302"/>
      <c r="B46" s="303"/>
      <c r="N46" s="303"/>
    </row>
    <row r="47" spans="1:14" ht="12.75">
      <c r="A47" s="471" t="s">
        <v>484</v>
      </c>
      <c r="B47" s="267">
        <v>50000000</v>
      </c>
      <c r="N47" s="93">
        <v>50000000</v>
      </c>
    </row>
    <row r="48" spans="1:14" ht="12.75">
      <c r="A48" s="711" t="s">
        <v>485</v>
      </c>
      <c r="B48" s="267">
        <v>6100000</v>
      </c>
      <c r="N48" s="93">
        <v>6100000</v>
      </c>
    </row>
    <row r="49" ht="12.75">
      <c r="A49" s="96"/>
    </row>
    <row r="50" ht="12.75">
      <c r="A50" s="96"/>
    </row>
    <row r="51" ht="12.75">
      <c r="A51" s="96"/>
    </row>
    <row r="52" ht="12.75">
      <c r="A52" s="96"/>
    </row>
    <row r="53" ht="12.75">
      <c r="A53" s="96"/>
    </row>
    <row r="54" ht="12.75">
      <c r="A54" s="96"/>
    </row>
    <row r="55" ht="12.75">
      <c r="A55" s="96"/>
    </row>
    <row r="56" ht="12.75">
      <c r="A56" s="96"/>
    </row>
    <row r="57" ht="12.75">
      <c r="A57" s="96"/>
    </row>
    <row r="58" ht="12.75">
      <c r="A58" s="96"/>
    </row>
    <row r="59" ht="12.75">
      <c r="A59" s="96"/>
    </row>
    <row r="60" ht="12.75">
      <c r="A60" s="96"/>
    </row>
    <row r="61" ht="12.75">
      <c r="A61" s="96"/>
    </row>
    <row r="62" ht="12.75">
      <c r="A62" s="96"/>
    </row>
    <row r="63" ht="12.75">
      <c r="A63" s="96"/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/>
    </row>
    <row r="70" ht="12.75">
      <c r="A70" s="96"/>
    </row>
    <row r="71" ht="12.75">
      <c r="A71" s="96"/>
    </row>
    <row r="72" ht="12.75">
      <c r="A72" s="96"/>
    </row>
    <row r="73" ht="12.75">
      <c r="A73" s="96"/>
    </row>
    <row r="74" ht="12.75">
      <c r="A74" s="96"/>
    </row>
    <row r="75" ht="12.75">
      <c r="A75" s="96"/>
    </row>
    <row r="76" ht="12.75">
      <c r="A76" s="96"/>
    </row>
    <row r="77" ht="12.75">
      <c r="A77" s="96"/>
    </row>
    <row r="78" ht="12.75">
      <c r="A78" s="96"/>
    </row>
    <row r="79" ht="12.75">
      <c r="A79" s="96"/>
    </row>
    <row r="80" ht="12.75">
      <c r="A80" s="96"/>
    </row>
    <row r="81" ht="12.75">
      <c r="A81" s="96"/>
    </row>
    <row r="82" ht="12.75">
      <c r="A82" s="96"/>
    </row>
    <row r="83" ht="12.75">
      <c r="A83" s="96"/>
    </row>
    <row r="84" ht="12.75">
      <c r="A84" s="96"/>
    </row>
    <row r="85" ht="12.75">
      <c r="A85" s="96"/>
    </row>
    <row r="86" ht="12.75">
      <c r="A86" s="96"/>
    </row>
    <row r="87" ht="12.75">
      <c r="A87" s="96"/>
    </row>
    <row r="88" ht="12.75">
      <c r="A88" s="96"/>
    </row>
    <row r="89" ht="12.75">
      <c r="A89" s="96"/>
    </row>
    <row r="90" ht="12.75">
      <c r="A90" s="96"/>
    </row>
    <row r="91" ht="12.75">
      <c r="A91" s="96"/>
    </row>
    <row r="92" ht="12.75">
      <c r="A92" s="96"/>
    </row>
    <row r="93" ht="12.75">
      <c r="A93" s="96"/>
    </row>
    <row r="94" ht="12.75">
      <c r="A94" s="96"/>
    </row>
    <row r="95" ht="12.75">
      <c r="A95" s="96"/>
    </row>
    <row r="96" ht="12.75">
      <c r="A96" s="96"/>
    </row>
    <row r="97" ht="12.75">
      <c r="A97" s="96"/>
    </row>
    <row r="98" ht="12.75">
      <c r="A98" s="96"/>
    </row>
    <row r="99" ht="12.75">
      <c r="A99" s="96"/>
    </row>
    <row r="100" ht="12.75">
      <c r="A100" s="96"/>
    </row>
    <row r="101" ht="12.75">
      <c r="A101" s="96"/>
    </row>
    <row r="102" ht="12.75">
      <c r="A102" s="96"/>
    </row>
    <row r="103" ht="12.75">
      <c r="A103" s="96"/>
    </row>
    <row r="104" ht="12.75">
      <c r="A104" s="96"/>
    </row>
    <row r="105" ht="12.75">
      <c r="A105" s="96"/>
    </row>
    <row r="106" ht="12.75">
      <c r="A106" s="96"/>
    </row>
    <row r="107" ht="12.75">
      <c r="A107" s="96"/>
    </row>
    <row r="108" ht="12.75">
      <c r="A108" s="96"/>
    </row>
    <row r="109" spans="1:2" ht="12.75">
      <c r="A109" s="95"/>
      <c r="B109" s="285"/>
    </row>
    <row r="110" spans="1:2" ht="12.75">
      <c r="A110" s="95"/>
      <c r="B110" s="285"/>
    </row>
    <row r="111" spans="1:2" ht="12.75">
      <c r="A111" s="95"/>
      <c r="B111" s="285"/>
    </row>
    <row r="112" spans="1:2" ht="12.75">
      <c r="A112" s="95"/>
      <c r="B112" s="285"/>
    </row>
    <row r="113" spans="1:2" ht="12.75">
      <c r="A113" s="95"/>
      <c r="B113" s="285"/>
    </row>
    <row r="114" spans="1:2" ht="12.75">
      <c r="A114" s="95"/>
      <c r="B114" s="285"/>
    </row>
    <row r="115" spans="1:2" ht="12.75">
      <c r="A115" s="95"/>
      <c r="B115" s="285"/>
    </row>
    <row r="116" spans="1:2" ht="12.75">
      <c r="A116" s="95"/>
      <c r="B116" s="285"/>
    </row>
    <row r="117" spans="1:2" ht="12.75">
      <c r="A117" s="95"/>
      <c r="B117" s="285"/>
    </row>
    <row r="118" spans="1:2" ht="12.75">
      <c r="A118" s="95"/>
      <c r="B118" s="285"/>
    </row>
    <row r="119" spans="1:2" ht="12.75">
      <c r="A119" s="95"/>
      <c r="B119" s="285"/>
    </row>
    <row r="120" spans="1:2" ht="12.75">
      <c r="A120" s="95"/>
      <c r="B120" s="285"/>
    </row>
    <row r="121" spans="1:2" ht="12.75">
      <c r="A121" s="95"/>
      <c r="B121" s="285"/>
    </row>
    <row r="122" spans="1:2" ht="12.75">
      <c r="A122" s="95"/>
      <c r="B122" s="285"/>
    </row>
    <row r="123" spans="1:2" ht="12.75">
      <c r="A123" s="95"/>
      <c r="B123" s="285"/>
    </row>
    <row r="124" spans="1:2" ht="12.75">
      <c r="A124" s="95"/>
      <c r="B124" s="285"/>
    </row>
  </sheetData>
  <sheetProtection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&amp;Rmelléklet a 2019. évi költségvetéshez
</oddHeader>
    <oddFooter>&amp;R&amp;P.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zoomScalePageLayoutView="0" workbookViewId="0" topLeftCell="A36">
      <selection activeCell="AG6" sqref="AG5:AG6"/>
    </sheetView>
  </sheetViews>
  <sheetFormatPr defaultColWidth="8.8515625" defaultRowHeight="12.75"/>
  <cols>
    <col min="1" max="1" width="42.140625" style="0" customWidth="1"/>
    <col min="2" max="2" width="14.140625" style="0" customWidth="1"/>
    <col min="3" max="3" width="16.140625" style="102" customWidth="1"/>
    <col min="4" max="4" width="0" style="0" hidden="1" customWidth="1"/>
    <col min="5" max="5" width="9.140625" style="0" hidden="1" customWidth="1"/>
    <col min="6" max="7" width="0" style="0" hidden="1" customWidth="1"/>
    <col min="8" max="8" width="5.140625" style="0" hidden="1" customWidth="1"/>
    <col min="9" max="9" width="9.28125" style="0" hidden="1" customWidth="1"/>
    <col min="10" max="10" width="0" style="0" hidden="1" customWidth="1"/>
    <col min="11" max="11" width="3.57421875" style="0" hidden="1" customWidth="1"/>
    <col min="12" max="12" width="0" style="0" hidden="1" customWidth="1"/>
    <col min="13" max="13" width="9.00390625" style="0" hidden="1" customWidth="1"/>
    <col min="14" max="14" width="0" style="0" hidden="1" customWidth="1"/>
    <col min="15" max="15" width="4.140625" style="0" hidden="1" customWidth="1"/>
    <col min="16" max="16" width="0" style="0" hidden="1" customWidth="1"/>
    <col min="17" max="17" width="10.7109375" style="0" hidden="1" customWidth="1"/>
    <col min="18" max="19" width="0" style="0" hidden="1" customWidth="1"/>
  </cols>
  <sheetData>
    <row r="1" spans="1:3" s="4" customFormat="1" ht="15">
      <c r="A1" s="14" t="s">
        <v>1</v>
      </c>
      <c r="B1" s="789"/>
      <c r="C1" s="789"/>
    </row>
    <row r="2" spans="1:3" s="4" customFormat="1" ht="15">
      <c r="A2" s="14"/>
      <c r="B2" s="47"/>
      <c r="C2" s="97"/>
    </row>
    <row r="3" spans="1:3" ht="15">
      <c r="A3" s="48" t="s">
        <v>40</v>
      </c>
      <c r="B3" s="48"/>
      <c r="C3" s="98"/>
    </row>
    <row r="4" spans="1:3" ht="18.75" customHeight="1" thickBot="1">
      <c r="A4" s="2"/>
      <c r="B4" s="2"/>
      <c r="C4" s="99" t="s">
        <v>452</v>
      </c>
    </row>
    <row r="5" spans="1:3" ht="30">
      <c r="A5" s="518" t="s">
        <v>41</v>
      </c>
      <c r="B5" s="611">
        <v>2019</v>
      </c>
      <c r="C5" s="519" t="s">
        <v>42</v>
      </c>
    </row>
    <row r="6" spans="1:3" ht="12.75">
      <c r="A6" s="520" t="s">
        <v>43</v>
      </c>
      <c r="B6" s="630"/>
      <c r="C6" s="521"/>
    </row>
    <row r="7" spans="1:3" s="328" customFormat="1" ht="12.75">
      <c r="A7" s="522" t="s">
        <v>412</v>
      </c>
      <c r="B7" s="631">
        <v>313260</v>
      </c>
      <c r="C7" s="523"/>
    </row>
    <row r="8" spans="1:3" s="328" customFormat="1" ht="12.75">
      <c r="A8" s="522" t="s">
        <v>423</v>
      </c>
      <c r="B8" s="631">
        <v>616000</v>
      </c>
      <c r="C8" s="523"/>
    </row>
    <row r="9" spans="1:3" s="328" customFormat="1" ht="13.5" customHeight="1">
      <c r="A9" s="522" t="s">
        <v>449</v>
      </c>
      <c r="B9" s="631">
        <v>25000</v>
      </c>
      <c r="C9" s="523"/>
    </row>
    <row r="10" spans="1:3" s="328" customFormat="1" ht="12.75">
      <c r="A10" s="522" t="s">
        <v>387</v>
      </c>
      <c r="B10" s="612">
        <v>650000</v>
      </c>
      <c r="C10" s="523"/>
    </row>
    <row r="11" spans="1:3" s="328" customFormat="1" ht="12.75">
      <c r="A11" s="522" t="s">
        <v>388</v>
      </c>
      <c r="B11" s="631">
        <v>2500000</v>
      </c>
      <c r="C11" s="524"/>
    </row>
    <row r="12" spans="1:3" s="328" customFormat="1" ht="12.75">
      <c r="A12" s="522" t="s">
        <v>435</v>
      </c>
      <c r="B12" s="631">
        <v>500000</v>
      </c>
      <c r="C12" s="525"/>
    </row>
    <row r="13" spans="1:3" s="328" customFormat="1" ht="12.75">
      <c r="A13" s="522" t="s">
        <v>389</v>
      </c>
      <c r="B13" s="631">
        <v>654000</v>
      </c>
      <c r="C13" s="525"/>
    </row>
    <row r="14" spans="1:3" s="328" customFormat="1" ht="12.75">
      <c r="A14" s="522" t="s">
        <v>390</v>
      </c>
      <c r="B14" s="631">
        <v>250000</v>
      </c>
      <c r="C14" s="525"/>
    </row>
    <row r="15" spans="1:3" s="328" customFormat="1" ht="12.75">
      <c r="A15" s="522" t="s">
        <v>367</v>
      </c>
      <c r="B15" s="631">
        <v>100000</v>
      </c>
      <c r="C15" s="525"/>
    </row>
    <row r="16" spans="1:20" s="328" customFormat="1" ht="12.75">
      <c r="A16" s="522" t="s">
        <v>391</v>
      </c>
      <c r="B16" s="631">
        <v>500000</v>
      </c>
      <c r="C16" s="525"/>
      <c r="T16" s="383"/>
    </row>
    <row r="17" spans="1:20" s="328" customFormat="1" ht="12.75">
      <c r="A17" s="522" t="s">
        <v>480</v>
      </c>
      <c r="B17" s="631">
        <v>8385276</v>
      </c>
      <c r="C17" s="525"/>
      <c r="T17" s="383"/>
    </row>
    <row r="18" spans="1:20" s="328" customFormat="1" ht="12.75">
      <c r="A18" s="522" t="s">
        <v>481</v>
      </c>
      <c r="B18" s="631">
        <v>5529500</v>
      </c>
      <c r="C18" s="525"/>
      <c r="T18" s="383"/>
    </row>
    <row r="19" spans="1:3" s="328" customFormat="1" ht="12.75">
      <c r="A19" s="522" t="s">
        <v>445</v>
      </c>
      <c r="B19" s="631">
        <v>500000</v>
      </c>
      <c r="C19" s="526"/>
    </row>
    <row r="20" spans="1:3" s="328" customFormat="1" ht="12.75">
      <c r="A20" s="522" t="s">
        <v>199</v>
      </c>
      <c r="B20" s="631">
        <v>27000000</v>
      </c>
      <c r="C20" s="526"/>
    </row>
    <row r="21" spans="1:3" s="328" customFormat="1" ht="12.75">
      <c r="A21" s="522" t="s">
        <v>424</v>
      </c>
      <c r="B21" s="631">
        <v>240000</v>
      </c>
      <c r="C21" s="526"/>
    </row>
    <row r="22" spans="1:3" s="328" customFormat="1" ht="12.75">
      <c r="A22" s="522" t="s">
        <v>436</v>
      </c>
      <c r="B22" s="631">
        <v>600000</v>
      </c>
      <c r="C22" s="526"/>
    </row>
    <row r="23" spans="1:3" s="328" customFormat="1" ht="12.75">
      <c r="A23" s="522" t="s">
        <v>455</v>
      </c>
      <c r="B23" s="631">
        <f>42984242+9500000</f>
        <v>52484242</v>
      </c>
      <c r="C23" s="527"/>
    </row>
    <row r="24" spans="1:3" s="328" customFormat="1" ht="13.5" thickBot="1">
      <c r="A24" s="528" t="s">
        <v>44</v>
      </c>
      <c r="B24" s="529">
        <f>SUM(B7:B23)</f>
        <v>100847278</v>
      </c>
      <c r="C24" s="530"/>
    </row>
    <row r="25" spans="1:3" s="328" customFormat="1" ht="12.75">
      <c r="A25" s="531" t="s">
        <v>45</v>
      </c>
      <c r="B25" s="613"/>
      <c r="C25" s="532"/>
    </row>
    <row r="26" spans="1:3" ht="12.75">
      <c r="A26" s="533" t="s">
        <v>188</v>
      </c>
      <c r="B26" s="614">
        <v>100000</v>
      </c>
      <c r="C26" s="521"/>
    </row>
    <row r="27" spans="1:3" ht="12.75">
      <c r="A27" s="533" t="s">
        <v>189</v>
      </c>
      <c r="B27" s="614">
        <v>100000</v>
      </c>
      <c r="C27" s="521"/>
    </row>
    <row r="28" spans="1:3" ht="12.75">
      <c r="A28" s="533" t="s">
        <v>190</v>
      </c>
      <c r="B28" s="614">
        <v>300000</v>
      </c>
      <c r="C28" s="521"/>
    </row>
    <row r="29" spans="1:3" ht="12.75">
      <c r="A29" s="533" t="s">
        <v>191</v>
      </c>
      <c r="B29" s="614">
        <v>300000</v>
      </c>
      <c r="C29" s="521"/>
    </row>
    <row r="30" spans="1:3" ht="12.75" hidden="1">
      <c r="A30" s="533"/>
      <c r="B30" s="614"/>
      <c r="C30" s="534"/>
    </row>
    <row r="31" spans="1:3" s="517" customFormat="1" ht="19.5" customHeight="1">
      <c r="A31" s="535" t="s">
        <v>192</v>
      </c>
      <c r="B31" s="615">
        <v>18000000</v>
      </c>
      <c r="C31" s="536"/>
    </row>
    <row r="32" spans="1:3" s="517" customFormat="1" ht="20.25" customHeight="1">
      <c r="A32" s="535" t="s">
        <v>392</v>
      </c>
      <c r="B32" s="615">
        <v>1000000</v>
      </c>
      <c r="C32" s="536"/>
    </row>
    <row r="33" spans="1:3" s="517" customFormat="1" ht="25.5" customHeight="1">
      <c r="A33" s="535" t="s">
        <v>393</v>
      </c>
      <c r="B33" s="615">
        <v>500000</v>
      </c>
      <c r="C33" s="536"/>
    </row>
    <row r="34" spans="1:3" s="517" customFormat="1" ht="21.75" customHeight="1">
      <c r="A34" s="535" t="s">
        <v>227</v>
      </c>
      <c r="B34" s="615">
        <v>330000</v>
      </c>
      <c r="C34" s="536"/>
    </row>
    <row r="35" spans="1:3" s="517" customFormat="1" ht="21.75" customHeight="1">
      <c r="A35" s="535" t="s">
        <v>433</v>
      </c>
      <c r="B35" s="615">
        <v>2000000</v>
      </c>
      <c r="C35" s="536"/>
    </row>
    <row r="36" spans="1:3" s="517" customFormat="1" ht="12.75">
      <c r="A36" s="535" t="s">
        <v>179</v>
      </c>
      <c r="B36" s="615">
        <v>2000000</v>
      </c>
      <c r="C36" s="537"/>
    </row>
    <row r="37" spans="1:3" s="517" customFormat="1" ht="12.75">
      <c r="A37" s="535" t="s">
        <v>394</v>
      </c>
      <c r="B37" s="615">
        <v>0</v>
      </c>
      <c r="C37" s="537"/>
    </row>
    <row r="38" spans="1:3" ht="12.75" hidden="1">
      <c r="A38" s="533" t="s">
        <v>174</v>
      </c>
      <c r="B38" s="614"/>
      <c r="C38" s="534"/>
    </row>
    <row r="39" spans="1:3" ht="12.75">
      <c r="A39" s="538" t="s">
        <v>46</v>
      </c>
      <c r="B39" s="479">
        <f>SUM(B26:B38)</f>
        <v>24630000</v>
      </c>
      <c r="C39" s="521"/>
    </row>
    <row r="40" spans="1:3" ht="13.5" thickBot="1">
      <c r="A40" s="539" t="s">
        <v>47</v>
      </c>
      <c r="B40" s="540">
        <f>B39+B24</f>
        <v>125477278</v>
      </c>
      <c r="C40" s="541"/>
    </row>
    <row r="41" spans="1:3" ht="12.75">
      <c r="A41" s="543" t="s">
        <v>48</v>
      </c>
      <c r="B41" s="616"/>
      <c r="C41" s="544"/>
    </row>
    <row r="42" spans="1:3" ht="12.75">
      <c r="A42" s="545" t="s">
        <v>49</v>
      </c>
      <c r="B42" s="614"/>
      <c r="C42" s="521"/>
    </row>
    <row r="43" spans="1:3" ht="12.75">
      <c r="A43" s="546" t="s">
        <v>187</v>
      </c>
      <c r="B43" s="617">
        <v>2000000</v>
      </c>
      <c r="C43" s="534"/>
    </row>
    <row r="44" spans="1:3" ht="12.75">
      <c r="A44" s="546" t="s">
        <v>395</v>
      </c>
      <c r="B44" s="617">
        <v>900000</v>
      </c>
      <c r="C44" s="534"/>
    </row>
    <row r="45" spans="1:16" ht="12.75">
      <c r="A45" s="546" t="s">
        <v>180</v>
      </c>
      <c r="B45" s="617">
        <v>14219000</v>
      </c>
      <c r="C45" s="534"/>
      <c r="P45" t="s">
        <v>89</v>
      </c>
    </row>
    <row r="46" spans="1:3" ht="12.75">
      <c r="A46" s="546" t="s">
        <v>396</v>
      </c>
      <c r="B46" s="617">
        <v>1381000</v>
      </c>
      <c r="C46" s="521"/>
    </row>
    <row r="47" spans="1:3" ht="38.25" hidden="1">
      <c r="A47" s="533" t="s">
        <v>200</v>
      </c>
      <c r="B47" s="617"/>
      <c r="C47" s="521" t="s">
        <v>223</v>
      </c>
    </row>
    <row r="48" spans="1:21" ht="12.75">
      <c r="A48" s="547" t="s">
        <v>51</v>
      </c>
      <c r="B48" s="618">
        <v>18500000</v>
      </c>
      <c r="C48" s="521"/>
      <c r="T48" s="44"/>
      <c r="U48" s="44"/>
    </row>
    <row r="49" spans="1:3" ht="12.75">
      <c r="A49" s="533" t="s">
        <v>52</v>
      </c>
      <c r="B49" s="614"/>
      <c r="C49" s="521"/>
    </row>
    <row r="50" spans="1:3" ht="12.75">
      <c r="A50" s="533" t="s">
        <v>53</v>
      </c>
      <c r="B50" s="617">
        <v>1500000</v>
      </c>
      <c r="C50" s="521"/>
    </row>
    <row r="51" spans="1:3" ht="12.75">
      <c r="A51" s="547" t="s">
        <v>54</v>
      </c>
      <c r="B51" s="618">
        <v>1500000</v>
      </c>
      <c r="C51" s="521"/>
    </row>
    <row r="52" spans="1:23" ht="12.75">
      <c r="A52" s="538" t="s">
        <v>55</v>
      </c>
      <c r="B52" s="542">
        <f>B51+B48</f>
        <v>20000000</v>
      </c>
      <c r="C52" s="521"/>
      <c r="P52" s="44"/>
      <c r="Q52" s="44"/>
      <c r="T52" s="44"/>
      <c r="U52" s="44"/>
      <c r="W52" s="44"/>
    </row>
    <row r="53" spans="1:3" ht="13.5" thickBot="1">
      <c r="A53" s="548" t="s">
        <v>56</v>
      </c>
      <c r="B53" s="549">
        <f>B52+B40</f>
        <v>145477278</v>
      </c>
      <c r="C53" s="550"/>
    </row>
    <row r="54" spans="1:3" ht="12.75">
      <c r="A54" s="543" t="s">
        <v>57</v>
      </c>
      <c r="B54" s="619"/>
      <c r="C54" s="544"/>
    </row>
    <row r="55" spans="1:3" ht="12.75" hidden="1">
      <c r="A55" s="538" t="s">
        <v>172</v>
      </c>
      <c r="B55" s="620"/>
      <c r="C55" s="521"/>
    </row>
    <row r="56" spans="1:3" ht="12.75">
      <c r="A56" s="538" t="s">
        <v>173</v>
      </c>
      <c r="B56" s="621">
        <v>161241450</v>
      </c>
      <c r="C56" s="521"/>
    </row>
    <row r="57" spans="1:3" ht="12.75">
      <c r="A57" s="533" t="s">
        <v>178</v>
      </c>
      <c r="B57" s="614">
        <v>13264686</v>
      </c>
      <c r="C57" s="521"/>
    </row>
    <row r="58" spans="1:3" ht="12.75">
      <c r="A58" s="533" t="s">
        <v>425</v>
      </c>
      <c r="B58" s="614">
        <v>0</v>
      </c>
      <c r="C58" s="521"/>
    </row>
    <row r="59" spans="1:3" ht="12.75">
      <c r="A59" s="533" t="s">
        <v>224</v>
      </c>
      <c r="B59" s="614">
        <v>59714580</v>
      </c>
      <c r="C59" s="521"/>
    </row>
    <row r="60" spans="1:3" ht="12.75">
      <c r="A60" s="533" t="s">
        <v>397</v>
      </c>
      <c r="B60" s="614">
        <v>27000000</v>
      </c>
      <c r="C60" s="521"/>
    </row>
    <row r="61" spans="1:3" ht="12.75">
      <c r="A61" s="538" t="s">
        <v>58</v>
      </c>
      <c r="B61" s="552">
        <f>SUM(B55:B60)</f>
        <v>261220716</v>
      </c>
      <c r="C61" s="553"/>
    </row>
    <row r="62" spans="1:18" ht="16.5" thickBot="1">
      <c r="A62" s="554" t="s">
        <v>23</v>
      </c>
      <c r="B62" s="555">
        <f>B61+B53</f>
        <v>406697994</v>
      </c>
      <c r="C62" s="556"/>
      <c r="R62" s="44" t="e">
        <f>#REF!-#REF!</f>
        <v>#REF!</v>
      </c>
    </row>
    <row r="63" spans="1:3" ht="12.75">
      <c r="A63" s="131"/>
      <c r="B63" s="551"/>
      <c r="C63" s="100"/>
    </row>
    <row r="64" spans="1:3" ht="12.75">
      <c r="A64" s="49"/>
      <c r="B64" s="51"/>
      <c r="C64" s="100"/>
    </row>
    <row r="65" spans="1:3" ht="15.75">
      <c r="A65" s="54"/>
      <c r="B65" s="51"/>
      <c r="C65" s="100"/>
    </row>
    <row r="66" spans="1:3" ht="12.75">
      <c r="A66" s="52"/>
      <c r="B66" s="51"/>
      <c r="C66" s="100"/>
    </row>
    <row r="67" spans="1:3" ht="12.75">
      <c r="A67" s="52"/>
      <c r="B67" s="51"/>
      <c r="C67" s="100"/>
    </row>
    <row r="68" spans="1:3" ht="12.75">
      <c r="A68" s="52"/>
      <c r="B68" s="51"/>
      <c r="C68" s="100"/>
    </row>
    <row r="69" spans="1:3" ht="12.75">
      <c r="A69" s="52"/>
      <c r="B69" s="51"/>
      <c r="C69" s="100"/>
    </row>
    <row r="70" spans="1:3" ht="12.75">
      <c r="A70" s="52"/>
      <c r="B70" s="51"/>
      <c r="C70" s="100"/>
    </row>
    <row r="71" spans="1:3" ht="12.75">
      <c r="A71" s="52"/>
      <c r="B71" s="51"/>
      <c r="C71" s="100"/>
    </row>
    <row r="72" spans="1:3" ht="12.75">
      <c r="A72" s="52"/>
      <c r="B72" s="51"/>
      <c r="C72" s="100"/>
    </row>
    <row r="73" spans="1:3" ht="12.75">
      <c r="A73" s="52"/>
      <c r="B73" s="51"/>
      <c r="C73" s="100"/>
    </row>
    <row r="74" spans="1:3" ht="12.75">
      <c r="A74" s="52"/>
      <c r="B74" s="51"/>
      <c r="C74" s="100"/>
    </row>
    <row r="75" spans="1:3" ht="12.75">
      <c r="A75" s="52"/>
      <c r="B75" s="51"/>
      <c r="C75" s="100"/>
    </row>
    <row r="76" spans="1:3" ht="12.75">
      <c r="A76" s="52"/>
      <c r="B76" s="51"/>
      <c r="C76" s="100"/>
    </row>
    <row r="77" spans="1:3" ht="12.75">
      <c r="A77" s="52"/>
      <c r="B77" s="51"/>
      <c r="C77" s="100"/>
    </row>
    <row r="78" spans="1:3" ht="12.75">
      <c r="A78" s="42"/>
      <c r="B78" s="15"/>
      <c r="C78" s="101"/>
    </row>
    <row r="79" spans="1:3" ht="12.75">
      <c r="A79" s="42"/>
      <c r="B79" s="15"/>
      <c r="C79" s="101"/>
    </row>
    <row r="80" spans="1:3" ht="12.75">
      <c r="A80" s="42"/>
      <c r="B80" s="15"/>
      <c r="C80" s="101"/>
    </row>
    <row r="81" spans="1:3" ht="12.75">
      <c r="A81" s="42"/>
      <c r="B81" s="15"/>
      <c r="C81" s="101"/>
    </row>
    <row r="82" spans="1:3" ht="12.75">
      <c r="A82" s="42"/>
      <c r="B82" s="15"/>
      <c r="C82" s="101"/>
    </row>
    <row r="83" spans="1:3" ht="12.75">
      <c r="A83" s="42"/>
      <c r="B83" s="15"/>
      <c r="C83" s="101"/>
    </row>
    <row r="84" spans="1:3" ht="12.75">
      <c r="A84" s="42"/>
      <c r="B84" s="15"/>
      <c r="C84" s="101"/>
    </row>
    <row r="85" spans="1:3" ht="12.75">
      <c r="A85" s="42"/>
      <c r="B85" s="15"/>
      <c r="C85" s="101"/>
    </row>
    <row r="87" spans="1:8" ht="12.75">
      <c r="A87" s="53"/>
      <c r="H87" t="e">
        <f>E87/E89</f>
        <v>#DIV/0!</v>
      </c>
    </row>
    <row r="88" ht="1.5" customHeight="1"/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&amp;Rmelléklet a 2019. évi költségvetéshez
</oddHeader>
    <oddFooter>&amp;R&amp;P.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Péterné Kovács</dc:creator>
  <cp:keywords/>
  <dc:description/>
  <cp:lastModifiedBy>Bodorné Éva</cp:lastModifiedBy>
  <cp:lastPrinted>2019-03-19T09:52:44Z</cp:lastPrinted>
  <dcterms:created xsi:type="dcterms:W3CDTF">2003-01-31T11:08:55Z</dcterms:created>
  <dcterms:modified xsi:type="dcterms:W3CDTF">2019-03-19T09:52:59Z</dcterms:modified>
  <cp:category/>
  <cp:version/>
  <cp:contentType/>
  <cp:contentStatus/>
  <cp:revision>15</cp:revision>
</cp:coreProperties>
</file>